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3.xml" ContentType="application/vnd.openxmlformats-officedocument.spreadsheetml.comments+xml"/>
  <Override PartName="/xl/comments4.xml" ContentType="application/vnd.openxmlformats-officedocument.spreadsheetml.comments+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gsi0001\Documents\Slutavräkning 2019\"/>
    </mc:Choice>
  </mc:AlternateContent>
  <bookViews>
    <workbookView xWindow="0" yWindow="0" windowWidth="28800" windowHeight="8295" tabRatio="867" firstSheet="1" activeTab="1"/>
  </bookViews>
  <sheets>
    <sheet name="underlag medverkande 2 föreg" sheetId="183" state="hidden" r:id="rId1"/>
    <sheet name="INFO RTV 2019" sheetId="90" r:id="rId2"/>
    <sheet name="Start" sheetId="3" r:id="rId3"/>
    <sheet name="Totalt per inst" sheetId="95" r:id="rId4"/>
    <sheet name="Bokforder Dec - prel avr" sheetId="191" r:id="rId5"/>
    <sheet name="Utfördelat tom nov" sheetId="192" r:id="rId6"/>
    <sheet name="Utfördelat tom okt" sheetId="190" state="hidden" r:id="rId7"/>
    <sheet name="Utfördelat tom aug" sheetId="187" state="hidden" r:id="rId8"/>
    <sheet name="Utfördelat tom maj" sheetId="181" state="hidden" r:id="rId9"/>
    <sheet name="Medv" sheetId="73" r:id="rId10"/>
    <sheet name="Kursansv till medv" sheetId="74" r:id="rId11"/>
    <sheet name="Inst per termin" sheetId="168" r:id="rId12"/>
    <sheet name="Prognos 2c t Anna 190913" sheetId="185" state="hidden" r:id="rId13"/>
    <sheet name="Prognos 2b t Anna 190611" sheetId="184" state="hidden" r:id="rId14"/>
    <sheet name="Prognos 2 t Anna 190401" sheetId="180" state="hidden" r:id="rId15"/>
    <sheet name="Prognos 1 t Anna" sheetId="177" state="hidden" r:id="rId16"/>
    <sheet name="kurser alla" sheetId="178" r:id="rId17"/>
    <sheet name="Prislapp" sheetId="51" r:id="rId18"/>
    <sheet name="kurspris" sheetId="55" r:id="rId19"/>
    <sheet name="Orgenheter" sheetId="26" r:id="rId20"/>
    <sheet name="Program" sheetId="53" r:id="rId21"/>
    <sheet name="Ansvar kurs" sheetId="78" r:id="rId22"/>
    <sheet name="Totalt pivot" sheetId="83" r:id="rId23"/>
    <sheet name="Pivot Kursmedv % (2)" sheetId="162" r:id="rId24"/>
    <sheet name="Pivot Kursmedv %" sheetId="131" r:id="rId25"/>
    <sheet name="underlag medverkande 2" sheetId="70" r:id="rId26"/>
  </sheets>
  <definedNames>
    <definedName name="_xlnm._FilterDatabase" localSheetId="21" hidden="1">'Ansvar kurs'!$A$1:$C$882</definedName>
    <definedName name="_xlnm._FilterDatabase" localSheetId="4" hidden="1">'Bokforder Dec - prel avr'!$A$4:$N$4</definedName>
    <definedName name="_xlnm._FilterDatabase" localSheetId="16" hidden="1">'kurser alla'!$A$1:$BN$483</definedName>
    <definedName name="_xlnm._FilterDatabase" localSheetId="18" hidden="1">kurspris!$A$1:$T$809</definedName>
    <definedName name="_xlnm._FilterDatabase" localSheetId="19" hidden="1">Orgenheter!$A$1:$G$1</definedName>
    <definedName name="_xlnm._FilterDatabase" localSheetId="2" hidden="1">Start!#REF!</definedName>
    <definedName name="_xlnm._FilterDatabase" localSheetId="25" hidden="1">'underlag medverkande 2'!$A$1:$T$107</definedName>
    <definedName name="_xlnm._FilterDatabase" localSheetId="0" hidden="1">'underlag medverkande 2 föreg'!$A$1:$T$132</definedName>
    <definedName name="_xlnm.Print_Area" localSheetId="21">'Ansvar kurs'!$A$1:$C$790</definedName>
    <definedName name="_xlnm.Print_Area" localSheetId="4">'Bokforder Dec - prel avr'!$A$1:$N$73</definedName>
    <definedName name="_xlnm.Print_Area" localSheetId="16">'kurser alla'!$A$1:$AP$135</definedName>
    <definedName name="_xlnm.Print_Area" localSheetId="18">kurspris!$A$1:$N$809</definedName>
    <definedName name="_xlnm.Print_Area" localSheetId="9">Medv!$A$1:$K$28</definedName>
    <definedName name="_xlnm.Print_Area" localSheetId="2">Start!$B$1:$F$33</definedName>
    <definedName name="_xlnm.Print_Area" localSheetId="3">'Totalt per inst'!$A$2:$S$51</definedName>
    <definedName name="_xlnm.Print_Area" localSheetId="25">'underlag medverkande 2'!$A$1:$I$101</definedName>
    <definedName name="_xlnm.Print_Area" localSheetId="0">'underlag medverkande 2 föreg'!$A$1:$I$126</definedName>
    <definedName name="_xlnm.Print_Titles" localSheetId="21">'Ansvar kurs'!$1:$1</definedName>
    <definedName name="_xlnm.Print_Titles" localSheetId="4">'Bokforder Dec - prel avr'!$4:$4</definedName>
    <definedName name="_xlnm.Print_Titles" localSheetId="10">'Kursansv till medv'!$4:$4</definedName>
    <definedName name="_xlnm.Print_Titles" localSheetId="18">kurspris!$1:$1</definedName>
    <definedName name="_xlnm.Print_Titles" localSheetId="9">Medv!$3:$3</definedName>
    <definedName name="_xlnm.Print_Titles" localSheetId="23">'Pivot Kursmedv % (2)'!$3:$3</definedName>
    <definedName name="_xlnm.Print_Titles" localSheetId="22">'Totalt pivot'!$4:$4</definedName>
  </definedNames>
  <calcPr calcId="162913"/>
  <pivotCaches>
    <pivotCache cacheId="0" r:id="rId27"/>
    <pivotCache cacheId="1" r:id="rId28"/>
    <pivotCache cacheId="2" r:id="rId29"/>
    <pivotCache cacheId="3" r:id="rId30"/>
  </pivotCaches>
</workbook>
</file>

<file path=xl/calcChain.xml><?xml version="1.0" encoding="utf-8"?>
<calcChain xmlns="http://schemas.openxmlformats.org/spreadsheetml/2006/main">
  <c r="F71" i="70" l="1"/>
  <c r="T299" i="178" l="1"/>
  <c r="U299" i="178" s="1"/>
  <c r="W299" i="178"/>
  <c r="X299" i="178"/>
  <c r="Y299" i="178"/>
  <c r="AA299" i="178"/>
  <c r="AD299" i="178"/>
  <c r="AE299" i="178"/>
  <c r="AF299" i="178"/>
  <c r="AG299" i="178"/>
  <c r="AH299" i="178"/>
  <c r="AI299" i="178"/>
  <c r="AJ299" i="178"/>
  <c r="AK299" i="178"/>
  <c r="AL299" i="178"/>
  <c r="AM299" i="178"/>
  <c r="AN299" i="178"/>
  <c r="AO299" i="178"/>
  <c r="Q299" i="178"/>
  <c r="AR299" i="178" s="1"/>
  <c r="Q298" i="178"/>
  <c r="B299" i="178"/>
  <c r="X349" i="178"/>
  <c r="Y349" i="178"/>
  <c r="AA349" i="178"/>
  <c r="AD349" i="178"/>
  <c r="AE349" i="178"/>
  <c r="AF349" i="178"/>
  <c r="AG349" i="178"/>
  <c r="AH349" i="178"/>
  <c r="AI349" i="178"/>
  <c r="AJ349" i="178"/>
  <c r="AK349" i="178"/>
  <c r="AL349" i="178"/>
  <c r="AM349" i="178"/>
  <c r="AN349" i="178"/>
  <c r="AO349" i="178"/>
  <c r="X350" i="178"/>
  <c r="Y350" i="178"/>
  <c r="AA350" i="178"/>
  <c r="AD350" i="178"/>
  <c r="AE350" i="178"/>
  <c r="AF350" i="178"/>
  <c r="AG350" i="178"/>
  <c r="AH350" i="178"/>
  <c r="AI350" i="178"/>
  <c r="AJ350" i="178"/>
  <c r="AK350" i="178"/>
  <c r="AL350" i="178"/>
  <c r="AM350" i="178"/>
  <c r="AN350" i="178"/>
  <c r="AO350" i="178"/>
  <c r="W349" i="178"/>
  <c r="W350" i="178"/>
  <c r="T349" i="178"/>
  <c r="U349" i="178" s="1"/>
  <c r="T350" i="178"/>
  <c r="V350" i="178" s="1"/>
  <c r="Q350" i="178"/>
  <c r="AR350" i="178" s="1"/>
  <c r="Q349" i="178"/>
  <c r="S349" i="178" s="1"/>
  <c r="B349" i="178"/>
  <c r="B350" i="178"/>
  <c r="AU349" i="178" l="1"/>
  <c r="BM350" i="178"/>
  <c r="BD350" i="178"/>
  <c r="AB299" i="178"/>
  <c r="BM349" i="178"/>
  <c r="BF349" i="178"/>
  <c r="AX349" i="178"/>
  <c r="AB349" i="178"/>
  <c r="BK299" i="178"/>
  <c r="BF350" i="178"/>
  <c r="AX350" i="178"/>
  <c r="AB350" i="178"/>
  <c r="BL349" i="178"/>
  <c r="BD349" i="178"/>
  <c r="AV349" i="178"/>
  <c r="AZ350" i="178"/>
  <c r="BC349" i="178"/>
  <c r="BJ299" i="178"/>
  <c r="BF299" i="178"/>
  <c r="BB299" i="178"/>
  <c r="AX299" i="178"/>
  <c r="AT299" i="178"/>
  <c r="BJ349" i="178"/>
  <c r="BB349" i="178"/>
  <c r="AT349" i="178"/>
  <c r="AV350" i="178"/>
  <c r="AY349" i="178"/>
  <c r="BM299" i="178"/>
  <c r="BG349" i="178"/>
  <c r="S350" i="178"/>
  <c r="BA350" i="178" s="1"/>
  <c r="BJ350" i="178"/>
  <c r="BB350" i="178"/>
  <c r="AT350" i="178"/>
  <c r="BH349" i="178"/>
  <c r="AZ349" i="178"/>
  <c r="AR349" i="178"/>
  <c r="BH350" i="178"/>
  <c r="S299" i="178"/>
  <c r="BH299" i="178"/>
  <c r="BD299" i="178"/>
  <c r="AZ299" i="178"/>
  <c r="AV299" i="178"/>
  <c r="V299" i="178"/>
  <c r="Z349" i="178"/>
  <c r="AC349" i="178" s="1"/>
  <c r="BK350" i="178"/>
  <c r="AU350" i="178"/>
  <c r="BN349" i="178"/>
  <c r="BK349" i="178"/>
  <c r="BI349" i="178"/>
  <c r="BE349" i="178"/>
  <c r="BA349" i="178"/>
  <c r="AW349" i="178"/>
  <c r="AS349" i="178"/>
  <c r="U350" i="178"/>
  <c r="V349" i="178"/>
  <c r="BN350" i="178" l="1"/>
  <c r="Z350" i="178"/>
  <c r="AC350" i="178" s="1"/>
  <c r="AY350" i="178"/>
  <c r="AS350" i="178"/>
  <c r="AW350" i="178"/>
  <c r="BI350" i="178"/>
  <c r="BL299" i="178"/>
  <c r="AS299" i="178"/>
  <c r="AW299" i="178"/>
  <c r="BA299" i="178"/>
  <c r="BE299" i="178"/>
  <c r="BI299" i="178"/>
  <c r="BN299" i="178"/>
  <c r="AU299" i="178"/>
  <c r="AY299" i="178"/>
  <c r="BC299" i="178"/>
  <c r="BG299" i="178"/>
  <c r="Z299" i="178"/>
  <c r="AC299" i="178" s="1"/>
  <c r="BL350" i="178"/>
  <c r="BC350" i="178"/>
  <c r="BG350" i="178"/>
  <c r="BE350" i="178"/>
  <c r="O793" i="55"/>
  <c r="P793" i="55"/>
  <c r="Q793" i="55"/>
  <c r="R793" i="55"/>
  <c r="C829" i="78"/>
  <c r="O736" i="55"/>
  <c r="P736" i="55"/>
  <c r="Q736" i="55"/>
  <c r="R736" i="55"/>
  <c r="O737" i="55"/>
  <c r="P737" i="55"/>
  <c r="Q737" i="55"/>
  <c r="R737" i="55"/>
  <c r="O738" i="55"/>
  <c r="P738" i="55"/>
  <c r="Q738" i="55"/>
  <c r="R738" i="55"/>
  <c r="C772" i="78"/>
  <c r="C773" i="78"/>
  <c r="C770" i="78"/>
  <c r="O734" i="55"/>
  <c r="P734" i="55"/>
  <c r="Q734" i="55"/>
  <c r="R734" i="55"/>
  <c r="O735" i="55"/>
  <c r="P735" i="55"/>
  <c r="Q735" i="55"/>
  <c r="R735" i="55"/>
  <c r="C769" i="78"/>
  <c r="O733" i="55"/>
  <c r="P733" i="55"/>
  <c r="Q733" i="55"/>
  <c r="R733" i="55"/>
  <c r="C739" i="78"/>
  <c r="C740" i="78"/>
  <c r="O703" i="55"/>
  <c r="P703" i="55"/>
  <c r="Q703" i="55"/>
  <c r="R703" i="55"/>
  <c r="O704" i="55"/>
  <c r="P704" i="55"/>
  <c r="Q704" i="55"/>
  <c r="R704" i="55"/>
  <c r="O396" i="55"/>
  <c r="P396" i="55"/>
  <c r="Q396" i="55"/>
  <c r="R396" i="55"/>
  <c r="O397" i="55"/>
  <c r="P397" i="55"/>
  <c r="Q397" i="55"/>
  <c r="R397" i="55"/>
  <c r="C426" i="78"/>
  <c r="C427" i="78"/>
  <c r="O395" i="55"/>
  <c r="P395" i="55"/>
  <c r="Q395" i="55"/>
  <c r="R395" i="55"/>
  <c r="C425" i="78"/>
  <c r="O268" i="55"/>
  <c r="P268" i="55"/>
  <c r="Q268" i="55"/>
  <c r="R268" i="55"/>
  <c r="C293" i="78"/>
  <c r="C292" i="78"/>
  <c r="O267" i="55"/>
  <c r="P267" i="55"/>
  <c r="Q267" i="55"/>
  <c r="R267" i="55"/>
  <c r="C291" i="78"/>
  <c r="O266" i="55"/>
  <c r="P266" i="55"/>
  <c r="Q266" i="55"/>
  <c r="R266" i="55"/>
  <c r="C197" i="78"/>
  <c r="O178" i="55"/>
  <c r="P178" i="55"/>
  <c r="Q178" i="55"/>
  <c r="R178" i="55"/>
  <c r="C186" i="78"/>
  <c r="O167" i="55"/>
  <c r="P167" i="55"/>
  <c r="Q167" i="55"/>
  <c r="R167" i="55"/>
  <c r="O168" i="55"/>
  <c r="P168" i="55"/>
  <c r="Q168" i="55"/>
  <c r="R168" i="55"/>
  <c r="C172" i="78"/>
  <c r="O153" i="55"/>
  <c r="P153" i="55"/>
  <c r="Q153" i="55"/>
  <c r="R153" i="55"/>
  <c r="C80" i="78"/>
  <c r="O68" i="55"/>
  <c r="P68" i="55"/>
  <c r="Q68" i="55"/>
  <c r="R68" i="55"/>
  <c r="K18" i="192" l="1"/>
  <c r="J28" i="192"/>
  <c r="J27" i="192"/>
  <c r="J26" i="192"/>
  <c r="K25" i="192"/>
  <c r="J25" i="192"/>
  <c r="J24" i="192"/>
  <c r="J23" i="192"/>
  <c r="K23" i="192"/>
  <c r="K22" i="192"/>
  <c r="J22" i="192"/>
  <c r="J21" i="192"/>
  <c r="J20" i="192"/>
  <c r="K20" i="192"/>
  <c r="J17" i="192"/>
  <c r="J16" i="192"/>
  <c r="J14" i="192"/>
  <c r="J12" i="192"/>
  <c r="J10" i="192"/>
  <c r="J8" i="192"/>
  <c r="J7" i="192"/>
  <c r="J6" i="192"/>
  <c r="J5" i="192"/>
  <c r="K3" i="192"/>
  <c r="O650" i="55" l="1"/>
  <c r="P650" i="55"/>
  <c r="Q650" i="55"/>
  <c r="K42" i="191" l="1"/>
  <c r="K38" i="191"/>
  <c r="K36" i="191"/>
  <c r="K34" i="191"/>
  <c r="K32" i="191"/>
  <c r="K30" i="191"/>
  <c r="K28" i="191"/>
  <c r="K26" i="191"/>
  <c r="K24" i="191"/>
  <c r="K22" i="191"/>
  <c r="K20" i="191"/>
  <c r="K18" i="191"/>
  <c r="K16" i="191"/>
  <c r="K8" i="191"/>
  <c r="D30" i="3"/>
  <c r="C30" i="3"/>
  <c r="L28" i="192" l="1"/>
  <c r="K62" i="191" s="1"/>
  <c r="F28" i="192"/>
  <c r="E28" i="192"/>
  <c r="G28" i="192" s="1"/>
  <c r="L27" i="192"/>
  <c r="K60" i="191" s="1"/>
  <c r="F27" i="192"/>
  <c r="E27" i="192"/>
  <c r="G27" i="192" s="1"/>
  <c r="L26" i="192"/>
  <c r="K58" i="191" s="1"/>
  <c r="F26" i="192"/>
  <c r="E26" i="192"/>
  <c r="G26" i="192" s="1"/>
  <c r="L25" i="192"/>
  <c r="K56" i="191" s="1"/>
  <c r="F25" i="192"/>
  <c r="E25" i="192"/>
  <c r="G25" i="192" s="1"/>
  <c r="L24" i="192"/>
  <c r="K54" i="191" s="1"/>
  <c r="F24" i="192"/>
  <c r="E24" i="192"/>
  <c r="G24" i="192" s="1"/>
  <c r="L23" i="192"/>
  <c r="K52" i="191" s="1"/>
  <c r="F23" i="192"/>
  <c r="E23" i="192"/>
  <c r="G23" i="192" s="1"/>
  <c r="L22" i="192"/>
  <c r="K50" i="191" s="1"/>
  <c r="F22" i="192"/>
  <c r="E22" i="192"/>
  <c r="G22" i="192" s="1"/>
  <c r="L21" i="192"/>
  <c r="K48" i="191" s="1"/>
  <c r="F21" i="192"/>
  <c r="E21" i="192"/>
  <c r="G21" i="192" s="1"/>
  <c r="L20" i="192"/>
  <c r="K44" i="191" s="1"/>
  <c r="F20" i="192"/>
  <c r="E20" i="192"/>
  <c r="G20" i="192" s="1"/>
  <c r="L19" i="192"/>
  <c r="F19" i="192"/>
  <c r="E19" i="192"/>
  <c r="G19" i="192" s="1"/>
  <c r="I18" i="192"/>
  <c r="G18" i="192"/>
  <c r="F18" i="192"/>
  <c r="E18" i="192"/>
  <c r="L17" i="192"/>
  <c r="G17" i="192"/>
  <c r="F17" i="192"/>
  <c r="E17" i="192"/>
  <c r="L16" i="192"/>
  <c r="G16" i="192"/>
  <c r="F16" i="192"/>
  <c r="E16" i="192"/>
  <c r="L15" i="192"/>
  <c r="G15" i="192"/>
  <c r="F15" i="192"/>
  <c r="E15" i="192"/>
  <c r="L14" i="192"/>
  <c r="G14" i="192"/>
  <c r="F14" i="192"/>
  <c r="E14" i="192"/>
  <c r="L13" i="192"/>
  <c r="G13" i="192"/>
  <c r="F13" i="192"/>
  <c r="E13" i="192"/>
  <c r="L12" i="192"/>
  <c r="G12" i="192"/>
  <c r="F12" i="192"/>
  <c r="E12" i="192"/>
  <c r="L11" i="192"/>
  <c r="G11" i="192"/>
  <c r="F11" i="192"/>
  <c r="E11" i="192"/>
  <c r="L10" i="192"/>
  <c r="G10" i="192"/>
  <c r="F10" i="192"/>
  <c r="E10" i="192"/>
  <c r="L9" i="192"/>
  <c r="G9" i="192"/>
  <c r="F9" i="192"/>
  <c r="E9" i="192"/>
  <c r="L8" i="192"/>
  <c r="G8" i="192"/>
  <c r="F8" i="192"/>
  <c r="E8" i="192"/>
  <c r="L7" i="192"/>
  <c r="G7" i="192"/>
  <c r="F7" i="192"/>
  <c r="E7" i="192"/>
  <c r="L6" i="192"/>
  <c r="K12" i="191" s="1"/>
  <c r="L12" i="191" s="1"/>
  <c r="G6" i="192"/>
  <c r="F6" i="192"/>
  <c r="E6" i="192"/>
  <c r="L5" i="192"/>
  <c r="K10" i="191" s="1"/>
  <c r="G5" i="192"/>
  <c r="F5" i="192"/>
  <c r="E5" i="192"/>
  <c r="L4" i="192"/>
  <c r="G4" i="192"/>
  <c r="F4" i="192"/>
  <c r="E4" i="192"/>
  <c r="L3" i="192"/>
  <c r="K6" i="191" s="1"/>
  <c r="G3" i="192"/>
  <c r="F3" i="192"/>
  <c r="E3" i="192"/>
  <c r="E62" i="191"/>
  <c r="D62" i="191"/>
  <c r="E60" i="191"/>
  <c r="D60" i="191"/>
  <c r="E58" i="191"/>
  <c r="D58" i="191"/>
  <c r="E56" i="191"/>
  <c r="D56" i="191"/>
  <c r="E54" i="191"/>
  <c r="D54" i="191"/>
  <c r="E52" i="191"/>
  <c r="D52" i="191"/>
  <c r="E50" i="191"/>
  <c r="D50" i="191"/>
  <c r="E48" i="191"/>
  <c r="D48" i="191"/>
  <c r="E44" i="191"/>
  <c r="D44" i="191"/>
  <c r="E42" i="191"/>
  <c r="D42" i="191"/>
  <c r="E36" i="191"/>
  <c r="D36" i="191"/>
  <c r="L36" i="191" s="1"/>
  <c r="E34" i="191"/>
  <c r="D34" i="191"/>
  <c r="L34" i="191" s="1"/>
  <c r="L35" i="191" s="1"/>
  <c r="E32" i="191"/>
  <c r="D32" i="191"/>
  <c r="L32" i="191" s="1"/>
  <c r="L33" i="191" s="1"/>
  <c r="E30" i="191"/>
  <c r="D30" i="191"/>
  <c r="E28" i="191"/>
  <c r="D28" i="191"/>
  <c r="L28" i="191" s="1"/>
  <c r="E26" i="191"/>
  <c r="D26" i="191"/>
  <c r="L26" i="191" s="1"/>
  <c r="L27" i="191" s="1"/>
  <c r="E24" i="191"/>
  <c r="D24" i="191"/>
  <c r="L24" i="191" s="1"/>
  <c r="L25" i="191" s="1"/>
  <c r="E22" i="191"/>
  <c r="D22" i="191"/>
  <c r="L22" i="191" s="1"/>
  <c r="E20" i="191"/>
  <c r="D20" i="191"/>
  <c r="L20" i="191" s="1"/>
  <c r="E18" i="191"/>
  <c r="D18" i="191"/>
  <c r="L18" i="191" s="1"/>
  <c r="L19" i="191" s="1"/>
  <c r="E16" i="191"/>
  <c r="D16" i="191"/>
  <c r="L16" i="191" s="1"/>
  <c r="L17" i="191" s="1"/>
  <c r="E12" i="191"/>
  <c r="D12" i="191"/>
  <c r="E10" i="191"/>
  <c r="D10" i="191"/>
  <c r="E8" i="191"/>
  <c r="D8" i="191"/>
  <c r="E6" i="191"/>
  <c r="D6" i="191"/>
  <c r="L52" i="191" l="1"/>
  <c r="L53" i="191" s="1"/>
  <c r="L60" i="191"/>
  <c r="L61" i="191" s="1"/>
  <c r="L50" i="191"/>
  <c r="L58" i="191"/>
  <c r="L59" i="191" s="1"/>
  <c r="L56" i="191"/>
  <c r="L57" i="191" s="1"/>
  <c r="L48" i="191"/>
  <c r="L49" i="191" s="1"/>
  <c r="L54" i="191"/>
  <c r="L55" i="191" s="1"/>
  <c r="L62" i="191"/>
  <c r="L63" i="191" s="1"/>
  <c r="E66" i="191"/>
  <c r="L44" i="191"/>
  <c r="L45" i="191" s="1"/>
  <c r="L42" i="191"/>
  <c r="L43" i="191" s="1"/>
  <c r="E38" i="191"/>
  <c r="L23" i="191"/>
  <c r="L29" i="191"/>
  <c r="L21" i="191"/>
  <c r="L31" i="191"/>
  <c r="L37" i="191"/>
  <c r="L30" i="191"/>
  <c r="L6" i="191"/>
  <c r="L7" i="191" s="1"/>
  <c r="L10" i="191"/>
  <c r="L8" i="191"/>
  <c r="L9" i="191" s="1"/>
  <c r="D66" i="191"/>
  <c r="L51" i="191"/>
  <c r="L13" i="191"/>
  <c r="L11" i="191"/>
  <c r="L3" i="190"/>
  <c r="L4" i="70"/>
  <c r="M4" i="70" s="1"/>
  <c r="L5" i="70"/>
  <c r="M5" i="70" s="1"/>
  <c r="J4" i="70"/>
  <c r="K4" i="70" s="1"/>
  <c r="J5" i="70"/>
  <c r="K5" i="70" s="1"/>
  <c r="G4" i="70"/>
  <c r="H4" i="70" s="1"/>
  <c r="G5" i="70"/>
  <c r="H5" i="70" s="1"/>
  <c r="F5" i="70"/>
  <c r="F4" i="70"/>
  <c r="D4" i="70"/>
  <c r="E4" i="70"/>
  <c r="D5" i="70"/>
  <c r="E5" i="70"/>
  <c r="B4" i="70"/>
  <c r="B5" i="70"/>
  <c r="L38" i="191" l="1"/>
  <c r="L39" i="191" s="1"/>
  <c r="I4" i="70"/>
  <c r="I5" i="70"/>
  <c r="L4" i="190"/>
  <c r="L5" i="190"/>
  <c r="L6" i="190"/>
  <c r="L7" i="190"/>
  <c r="L8" i="190"/>
  <c r="L9" i="190"/>
  <c r="L10" i="190"/>
  <c r="L11" i="190"/>
  <c r="L12" i="190"/>
  <c r="L13" i="190"/>
  <c r="L14" i="190"/>
  <c r="L15" i="190"/>
  <c r="L16" i="190"/>
  <c r="L17" i="190"/>
  <c r="L19" i="190"/>
  <c r="L20" i="190"/>
  <c r="L21" i="190"/>
  <c r="L22" i="190"/>
  <c r="L23" i="190"/>
  <c r="L24" i="190"/>
  <c r="L25" i="190"/>
  <c r="L26" i="190"/>
  <c r="L27" i="190"/>
  <c r="L28" i="190"/>
  <c r="K18" i="190"/>
  <c r="F28" i="190" l="1"/>
  <c r="E28" i="190"/>
  <c r="G28" i="190" s="1"/>
  <c r="F27" i="190"/>
  <c r="E27" i="190"/>
  <c r="G26" i="190"/>
  <c r="F26" i="190"/>
  <c r="E26" i="190"/>
  <c r="F25" i="190"/>
  <c r="E25" i="190"/>
  <c r="F24" i="190"/>
  <c r="E24" i="190"/>
  <c r="G24" i="190" s="1"/>
  <c r="F23" i="190"/>
  <c r="E23" i="190"/>
  <c r="F22" i="190"/>
  <c r="E22" i="190"/>
  <c r="G22" i="190" s="1"/>
  <c r="F21" i="190"/>
  <c r="E21" i="190"/>
  <c r="F20" i="190"/>
  <c r="E20" i="190"/>
  <c r="G20" i="190" s="1"/>
  <c r="F19" i="190"/>
  <c r="E19" i="190"/>
  <c r="I18" i="190"/>
  <c r="F18" i="190"/>
  <c r="E18" i="190"/>
  <c r="J18" i="190" s="1"/>
  <c r="F17" i="190"/>
  <c r="E17" i="190"/>
  <c r="F16" i="190"/>
  <c r="E16" i="190"/>
  <c r="G16" i="190" s="1"/>
  <c r="F15" i="190"/>
  <c r="E15" i="190"/>
  <c r="F14" i="190"/>
  <c r="G14" i="190" s="1"/>
  <c r="E14" i="190"/>
  <c r="F13" i="190"/>
  <c r="E13" i="190"/>
  <c r="G12" i="190"/>
  <c r="F12" i="190"/>
  <c r="E12" i="190"/>
  <c r="F11" i="190"/>
  <c r="E11" i="190"/>
  <c r="F10" i="190"/>
  <c r="E10" i="190"/>
  <c r="G10" i="190" s="1"/>
  <c r="F9" i="190"/>
  <c r="E9" i="190"/>
  <c r="F8" i="190"/>
  <c r="E8" i="190"/>
  <c r="G8" i="190" s="1"/>
  <c r="F7" i="190"/>
  <c r="E7" i="190"/>
  <c r="F6" i="190"/>
  <c r="G6" i="190" s="1"/>
  <c r="E6" i="190"/>
  <c r="F5" i="190"/>
  <c r="E5" i="190"/>
  <c r="G4" i="190"/>
  <c r="F4" i="190"/>
  <c r="E4" i="190"/>
  <c r="F3" i="190"/>
  <c r="E3" i="190"/>
  <c r="G18" i="190" l="1"/>
  <c r="G3" i="190"/>
  <c r="G5" i="190"/>
  <c r="G7" i="190"/>
  <c r="G9" i="190"/>
  <c r="G11" i="190"/>
  <c r="G13" i="190"/>
  <c r="G15" i="190"/>
  <c r="G17" i="190"/>
  <c r="G19" i="190"/>
  <c r="G21" i="190"/>
  <c r="G23" i="190"/>
  <c r="G25" i="190"/>
  <c r="G27" i="190"/>
  <c r="W226" i="178"/>
  <c r="AD226" i="178"/>
  <c r="AE226" i="178"/>
  <c r="AF226" i="178"/>
  <c r="AG226" i="178"/>
  <c r="AH226" i="178"/>
  <c r="AI226" i="178"/>
  <c r="AJ226" i="178"/>
  <c r="AK226" i="178"/>
  <c r="AL226" i="178"/>
  <c r="AM226" i="178"/>
  <c r="AN226" i="178"/>
  <c r="AO226" i="178"/>
  <c r="T226" i="178"/>
  <c r="U226" i="178" s="1"/>
  <c r="S226" i="178"/>
  <c r="B226" i="178"/>
  <c r="AU226" i="178" l="1"/>
  <c r="BB226" i="178"/>
  <c r="BK226" i="178"/>
  <c r="BJ226" i="178"/>
  <c r="BF226" i="178"/>
  <c r="AX226" i="178"/>
  <c r="AT226" i="178"/>
  <c r="BM226" i="178"/>
  <c r="BI226" i="178"/>
  <c r="BE226" i="178"/>
  <c r="BA226" i="178"/>
  <c r="AW226" i="178"/>
  <c r="AS226" i="178"/>
  <c r="BN226" i="178"/>
  <c r="BL226" i="178"/>
  <c r="BH226" i="178"/>
  <c r="BD226" i="178"/>
  <c r="AZ226" i="178"/>
  <c r="AV226" i="178"/>
  <c r="AR226" i="178"/>
  <c r="BG226" i="178"/>
  <c r="BC226" i="178"/>
  <c r="AY226" i="178"/>
  <c r="V226" i="178"/>
  <c r="T476" i="178"/>
  <c r="U476" i="178" s="1"/>
  <c r="W476" i="178"/>
  <c r="X476" i="178"/>
  <c r="Y476" i="178"/>
  <c r="AA476" i="178"/>
  <c r="AD476" i="178"/>
  <c r="AR476" i="178" s="1"/>
  <c r="AE476" i="178"/>
  <c r="AF476" i="178"/>
  <c r="AG476" i="178"/>
  <c r="AH476" i="178"/>
  <c r="AI476" i="178"/>
  <c r="AJ476" i="178"/>
  <c r="AK476" i="178"/>
  <c r="AL476" i="178"/>
  <c r="AM476" i="178"/>
  <c r="AN476" i="178"/>
  <c r="AO476" i="178"/>
  <c r="B476" i="178"/>
  <c r="BK476" i="178" l="1"/>
  <c r="AB476" i="178"/>
  <c r="BJ476" i="178"/>
  <c r="BF476" i="178"/>
  <c r="BB476" i="178"/>
  <c r="AX476" i="178"/>
  <c r="AT476" i="178"/>
  <c r="BM476" i="178"/>
  <c r="S476" i="178"/>
  <c r="BH476" i="178"/>
  <c r="BD476" i="178"/>
  <c r="AZ476" i="178"/>
  <c r="AV476" i="178"/>
  <c r="V476" i="178"/>
  <c r="L4" i="187"/>
  <c r="L5" i="187"/>
  <c r="L6" i="187"/>
  <c r="L7" i="187"/>
  <c r="L8" i="187"/>
  <c r="L9" i="187"/>
  <c r="L10" i="187"/>
  <c r="L11" i="187"/>
  <c r="L12" i="187"/>
  <c r="L13" i="187"/>
  <c r="L14" i="187"/>
  <c r="L15" i="187"/>
  <c r="L16" i="187"/>
  <c r="L17" i="187"/>
  <c r="L19" i="187"/>
  <c r="L20" i="187"/>
  <c r="L21" i="187"/>
  <c r="L22" i="187"/>
  <c r="L23" i="187"/>
  <c r="L24" i="187"/>
  <c r="L25" i="187"/>
  <c r="L26" i="187"/>
  <c r="L27" i="187"/>
  <c r="L28" i="187"/>
  <c r="K4" i="187"/>
  <c r="K5" i="187"/>
  <c r="K6" i="187"/>
  <c r="K7" i="187"/>
  <c r="K8" i="187"/>
  <c r="K9" i="187"/>
  <c r="K10" i="187"/>
  <c r="K11" i="187"/>
  <c r="K12" i="187"/>
  <c r="K13" i="187"/>
  <c r="K14" i="187"/>
  <c r="K15" i="187"/>
  <c r="K16" i="187"/>
  <c r="K17" i="187"/>
  <c r="K18" i="187"/>
  <c r="K19" i="187"/>
  <c r="K20" i="187"/>
  <c r="K21" i="187"/>
  <c r="K22" i="187"/>
  <c r="K23" i="187"/>
  <c r="K24" i="187"/>
  <c r="K25" i="187"/>
  <c r="K26" i="187"/>
  <c r="K27" i="187"/>
  <c r="K28" i="187"/>
  <c r="J4" i="187"/>
  <c r="J5" i="187"/>
  <c r="J6" i="187"/>
  <c r="J7" i="187"/>
  <c r="J8" i="187"/>
  <c r="J9" i="187"/>
  <c r="J10" i="187"/>
  <c r="J11" i="187"/>
  <c r="J12" i="187"/>
  <c r="J13" i="187"/>
  <c r="J14" i="187"/>
  <c r="J15" i="187"/>
  <c r="J16" i="187"/>
  <c r="J17" i="187"/>
  <c r="J18" i="187"/>
  <c r="J19" i="187"/>
  <c r="J20" i="187"/>
  <c r="J21" i="187"/>
  <c r="J22" i="187"/>
  <c r="J23" i="187"/>
  <c r="J24" i="187"/>
  <c r="J25" i="187"/>
  <c r="J26" i="187"/>
  <c r="J27" i="187"/>
  <c r="J28" i="187"/>
  <c r="I18" i="187"/>
  <c r="K3" i="187"/>
  <c r="J3" i="187"/>
  <c r="BL476" i="178" l="1"/>
  <c r="AS476" i="178"/>
  <c r="AW476" i="178"/>
  <c r="BA476" i="178"/>
  <c r="BE476" i="178"/>
  <c r="BI476" i="178"/>
  <c r="BN476" i="178"/>
  <c r="AU476" i="178"/>
  <c r="AY476" i="178"/>
  <c r="BC476" i="178"/>
  <c r="BG476" i="178"/>
  <c r="Z476" i="178"/>
  <c r="AC476" i="178" s="1"/>
  <c r="L3" i="187"/>
  <c r="F28" i="187" l="1"/>
  <c r="E28" i="187"/>
  <c r="G28" i="187" s="1"/>
  <c r="G27" i="187"/>
  <c r="F27" i="187"/>
  <c r="E27" i="187"/>
  <c r="F26" i="187"/>
  <c r="G26" i="187" s="1"/>
  <c r="E26" i="187"/>
  <c r="F25" i="187"/>
  <c r="E25" i="187"/>
  <c r="G25" i="187" s="1"/>
  <c r="F24" i="187"/>
  <c r="E24" i="187"/>
  <c r="G24" i="187" s="1"/>
  <c r="G23" i="187"/>
  <c r="F23" i="187"/>
  <c r="E23" i="187"/>
  <c r="F22" i="187"/>
  <c r="G22" i="187" s="1"/>
  <c r="E22" i="187"/>
  <c r="F21" i="187"/>
  <c r="E21" i="187"/>
  <c r="G21" i="187" s="1"/>
  <c r="F20" i="187"/>
  <c r="E20" i="187"/>
  <c r="G20" i="187" s="1"/>
  <c r="G19" i="187"/>
  <c r="F19" i="187"/>
  <c r="E19" i="187"/>
  <c r="F18" i="187"/>
  <c r="G18" i="187" s="1"/>
  <c r="E18" i="187"/>
  <c r="F17" i="187"/>
  <c r="E17" i="187"/>
  <c r="G17" i="187" s="1"/>
  <c r="F16" i="187"/>
  <c r="E16" i="187"/>
  <c r="G16" i="187" s="1"/>
  <c r="G15" i="187"/>
  <c r="F15" i="187"/>
  <c r="E15" i="187"/>
  <c r="F14" i="187"/>
  <c r="G14" i="187" s="1"/>
  <c r="E14" i="187"/>
  <c r="F13" i="187"/>
  <c r="E13" i="187"/>
  <c r="G13" i="187" s="1"/>
  <c r="F12" i="187"/>
  <c r="E12" i="187"/>
  <c r="G12" i="187" s="1"/>
  <c r="G11" i="187"/>
  <c r="F11" i="187"/>
  <c r="E11" i="187"/>
  <c r="F10" i="187"/>
  <c r="G10" i="187" s="1"/>
  <c r="E10" i="187"/>
  <c r="F9" i="187"/>
  <c r="E9" i="187"/>
  <c r="G9" i="187" s="1"/>
  <c r="F8" i="187"/>
  <c r="E8" i="187"/>
  <c r="G8" i="187" s="1"/>
  <c r="G7" i="187"/>
  <c r="F7" i="187"/>
  <c r="E7" i="187"/>
  <c r="F6" i="187"/>
  <c r="G6" i="187" s="1"/>
  <c r="E6" i="187"/>
  <c r="F5" i="187"/>
  <c r="E5" i="187"/>
  <c r="G5" i="187" s="1"/>
  <c r="F4" i="187"/>
  <c r="E4" i="187"/>
  <c r="G4" i="187" s="1"/>
  <c r="G3" i="187"/>
  <c r="F3" i="187"/>
  <c r="E3" i="187"/>
  <c r="F49" i="185" l="1"/>
  <c r="E49" i="185"/>
  <c r="G49" i="185" s="1"/>
  <c r="C49" i="185"/>
  <c r="B49" i="185"/>
  <c r="F48" i="185"/>
  <c r="H48" i="185" s="1"/>
  <c r="E48" i="185"/>
  <c r="G48" i="185" s="1"/>
  <c r="C48" i="185"/>
  <c r="B48" i="185"/>
  <c r="J47" i="185"/>
  <c r="O47" i="185" s="1"/>
  <c r="H47" i="185"/>
  <c r="G47" i="185"/>
  <c r="B47" i="185"/>
  <c r="I47" i="185" s="1"/>
  <c r="N47" i="185" s="1"/>
  <c r="F46" i="185"/>
  <c r="H46" i="185" s="1"/>
  <c r="E46" i="185"/>
  <c r="C46" i="185"/>
  <c r="B46" i="185"/>
  <c r="H45" i="185"/>
  <c r="G45" i="185"/>
  <c r="F45" i="185"/>
  <c r="E45" i="185"/>
  <c r="C45" i="185"/>
  <c r="J45" i="185" s="1"/>
  <c r="O45" i="185" s="1"/>
  <c r="B45" i="185"/>
  <c r="I45" i="185" s="1"/>
  <c r="N45" i="185" s="1"/>
  <c r="F44" i="185"/>
  <c r="H44" i="185" s="1"/>
  <c r="E44" i="185"/>
  <c r="C44" i="185"/>
  <c r="B44" i="185"/>
  <c r="F43" i="185"/>
  <c r="H43" i="185" s="1"/>
  <c r="E43" i="185"/>
  <c r="C43" i="185"/>
  <c r="B43" i="185"/>
  <c r="F42" i="185"/>
  <c r="H42" i="185" s="1"/>
  <c r="E42" i="185"/>
  <c r="C42" i="185"/>
  <c r="B42" i="185"/>
  <c r="F41" i="185"/>
  <c r="H41" i="185" s="1"/>
  <c r="E41" i="185"/>
  <c r="G41" i="185" s="1"/>
  <c r="C41" i="185"/>
  <c r="B41" i="185"/>
  <c r="F40" i="185"/>
  <c r="H40" i="185" s="1"/>
  <c r="E40" i="185"/>
  <c r="C40" i="185"/>
  <c r="B40" i="185"/>
  <c r="G39" i="185"/>
  <c r="F39" i="185"/>
  <c r="H39" i="185" s="1"/>
  <c r="E39" i="185"/>
  <c r="C39" i="185"/>
  <c r="B39" i="185"/>
  <c r="I39" i="185" s="1"/>
  <c r="N39" i="185" s="1"/>
  <c r="F38" i="185"/>
  <c r="E38" i="185"/>
  <c r="G38" i="185" s="1"/>
  <c r="C38" i="185"/>
  <c r="B38" i="185"/>
  <c r="O24" i="185"/>
  <c r="O25" i="185" s="1"/>
  <c r="N20" i="185"/>
  <c r="N21" i="185" s="1"/>
  <c r="O11" i="185"/>
  <c r="N6" i="185"/>
  <c r="F50" i="185" l="1"/>
  <c r="J48" i="185"/>
  <c r="O48" i="185" s="1"/>
  <c r="I49" i="185"/>
  <c r="N49" i="185" s="1"/>
  <c r="J41" i="185"/>
  <c r="O41" i="185" s="1"/>
  <c r="N34" i="185"/>
  <c r="I41" i="185"/>
  <c r="N41" i="185" s="1"/>
  <c r="C50" i="185"/>
  <c r="O34" i="185"/>
  <c r="B50" i="185"/>
  <c r="J40" i="185"/>
  <c r="O40" i="185" s="1"/>
  <c r="I48" i="185"/>
  <c r="N48" i="185" s="1"/>
  <c r="H38" i="185"/>
  <c r="G40" i="185"/>
  <c r="I40" i="185" s="1"/>
  <c r="N40" i="185" s="1"/>
  <c r="G42" i="185"/>
  <c r="I42" i="185" s="1"/>
  <c r="G43" i="185"/>
  <c r="I43" i="185" s="1"/>
  <c r="G44" i="185"/>
  <c r="I44" i="185" s="1"/>
  <c r="N44" i="185" s="1"/>
  <c r="G46" i="185"/>
  <c r="I46" i="185" s="1"/>
  <c r="N46" i="185" s="1"/>
  <c r="H49" i="185"/>
  <c r="J49" i="185" s="1"/>
  <c r="O49" i="185" s="1"/>
  <c r="J42" i="185"/>
  <c r="J43" i="185"/>
  <c r="J44" i="185"/>
  <c r="O44" i="185" s="1"/>
  <c r="J46" i="185"/>
  <c r="O46" i="185" s="1"/>
  <c r="E50" i="185"/>
  <c r="I38" i="185"/>
  <c r="J39" i="185"/>
  <c r="O39" i="185" s="1"/>
  <c r="T185" i="178"/>
  <c r="W185" i="178"/>
  <c r="AD185" i="178"/>
  <c r="AE185" i="178"/>
  <c r="AF185" i="178"/>
  <c r="AG185" i="178"/>
  <c r="AH185" i="178"/>
  <c r="AI185" i="178"/>
  <c r="AJ185" i="178"/>
  <c r="AK185" i="178"/>
  <c r="AL185" i="178"/>
  <c r="AM185" i="178"/>
  <c r="AN185" i="178"/>
  <c r="AO185" i="178"/>
  <c r="T186" i="178"/>
  <c r="U186" i="178" s="1"/>
  <c r="W186" i="178"/>
  <c r="AD186" i="178"/>
  <c r="AE186" i="178"/>
  <c r="AF186" i="178"/>
  <c r="AG186" i="178"/>
  <c r="AH186" i="178"/>
  <c r="AI186" i="178"/>
  <c r="AJ186" i="178"/>
  <c r="AK186" i="178"/>
  <c r="AL186" i="178"/>
  <c r="AM186" i="178"/>
  <c r="AN186" i="178"/>
  <c r="AO186" i="178"/>
  <c r="T190" i="178"/>
  <c r="V190" i="178" s="1"/>
  <c r="W190" i="178"/>
  <c r="AD190" i="178"/>
  <c r="AE190" i="178"/>
  <c r="AF190" i="178"/>
  <c r="AG190" i="178"/>
  <c r="AH190" i="178"/>
  <c r="AI190" i="178"/>
  <c r="AJ190" i="178"/>
  <c r="AK190" i="178"/>
  <c r="AL190" i="178"/>
  <c r="AM190" i="178"/>
  <c r="AN190" i="178"/>
  <c r="AO190" i="178"/>
  <c r="T191" i="178"/>
  <c r="U191" i="178" s="1"/>
  <c r="W191" i="178"/>
  <c r="AD191" i="178"/>
  <c r="AE191" i="178"/>
  <c r="AF191" i="178"/>
  <c r="AG191" i="178"/>
  <c r="AH191" i="178"/>
  <c r="AI191" i="178"/>
  <c r="AJ191" i="178"/>
  <c r="AK191" i="178"/>
  <c r="AL191" i="178"/>
  <c r="AM191" i="178"/>
  <c r="AN191" i="178"/>
  <c r="AO191" i="178"/>
  <c r="T205" i="178"/>
  <c r="U205" i="178" s="1"/>
  <c r="W205" i="178"/>
  <c r="AD205" i="178"/>
  <c r="AE205" i="178"/>
  <c r="AF205" i="178"/>
  <c r="AG205" i="178"/>
  <c r="AH205" i="178"/>
  <c r="AI205" i="178"/>
  <c r="AJ205" i="178"/>
  <c r="AK205" i="178"/>
  <c r="AL205" i="178"/>
  <c r="AM205" i="178"/>
  <c r="AN205" i="178"/>
  <c r="AO205" i="178"/>
  <c r="T35" i="178"/>
  <c r="U35" i="178" s="1"/>
  <c r="W35" i="178"/>
  <c r="AD35" i="178"/>
  <c r="AE35" i="178"/>
  <c r="AF35" i="178"/>
  <c r="AG35" i="178"/>
  <c r="AH35" i="178"/>
  <c r="AI35" i="178"/>
  <c r="AJ35" i="178"/>
  <c r="AK35" i="178"/>
  <c r="AL35" i="178"/>
  <c r="AM35" i="178"/>
  <c r="AN35" i="178"/>
  <c r="AO35" i="178"/>
  <c r="T44" i="178"/>
  <c r="V44" i="178" s="1"/>
  <c r="W44" i="178"/>
  <c r="AD44" i="178"/>
  <c r="AE44" i="178"/>
  <c r="AF44" i="178"/>
  <c r="AG44" i="178"/>
  <c r="AH44" i="178"/>
  <c r="AI44" i="178"/>
  <c r="AJ44" i="178"/>
  <c r="AK44" i="178"/>
  <c r="AL44" i="178"/>
  <c r="AM44" i="178"/>
  <c r="AN44" i="178"/>
  <c r="AO44" i="178"/>
  <c r="T67" i="178"/>
  <c r="U67" i="178" s="1"/>
  <c r="W67" i="178"/>
  <c r="AD67" i="178"/>
  <c r="AE67" i="178"/>
  <c r="AF67" i="178"/>
  <c r="AG67" i="178"/>
  <c r="AH67" i="178"/>
  <c r="AI67" i="178"/>
  <c r="AJ67" i="178"/>
  <c r="AK67" i="178"/>
  <c r="AL67" i="178"/>
  <c r="AM67" i="178"/>
  <c r="AN67" i="178"/>
  <c r="AO67" i="178"/>
  <c r="T227" i="178"/>
  <c r="W227" i="178"/>
  <c r="AD227" i="178"/>
  <c r="AE227" i="178"/>
  <c r="AF227" i="178"/>
  <c r="AG227" i="178"/>
  <c r="AH227" i="178"/>
  <c r="AI227" i="178"/>
  <c r="AJ227" i="178"/>
  <c r="AK227" i="178"/>
  <c r="AL227" i="178"/>
  <c r="AM227" i="178"/>
  <c r="AN227" i="178"/>
  <c r="AO227" i="178"/>
  <c r="T234" i="178"/>
  <c r="U234" i="178" s="1"/>
  <c r="W234" i="178"/>
  <c r="AD234" i="178"/>
  <c r="AE234" i="178"/>
  <c r="AF234" i="178"/>
  <c r="AG234" i="178"/>
  <c r="AH234" i="178"/>
  <c r="AI234" i="178"/>
  <c r="AJ234" i="178"/>
  <c r="AK234" i="178"/>
  <c r="AL234" i="178"/>
  <c r="AM234" i="178"/>
  <c r="AN234" i="178"/>
  <c r="AO234" i="178"/>
  <c r="T283" i="178"/>
  <c r="U283" i="178" s="1"/>
  <c r="W283" i="178"/>
  <c r="AD283" i="178"/>
  <c r="AE283" i="178"/>
  <c r="AF283" i="178"/>
  <c r="AG283" i="178"/>
  <c r="AH283" i="178"/>
  <c r="AI283" i="178"/>
  <c r="AJ283" i="178"/>
  <c r="AK283" i="178"/>
  <c r="AL283" i="178"/>
  <c r="AM283" i="178"/>
  <c r="AN283" i="178"/>
  <c r="AO283" i="178"/>
  <c r="T426" i="178"/>
  <c r="U426" i="178" s="1"/>
  <c r="W426" i="178"/>
  <c r="AD426" i="178"/>
  <c r="AE426" i="178"/>
  <c r="AF426" i="178"/>
  <c r="AG426" i="178"/>
  <c r="AH426" i="178"/>
  <c r="AI426" i="178"/>
  <c r="AJ426" i="178"/>
  <c r="AK426" i="178"/>
  <c r="AL426" i="178"/>
  <c r="AM426" i="178"/>
  <c r="AN426" i="178"/>
  <c r="AO426" i="178"/>
  <c r="T56" i="178"/>
  <c r="U56" i="178" s="1"/>
  <c r="W56" i="178"/>
  <c r="AD56" i="178"/>
  <c r="AE56" i="178"/>
  <c r="AF56" i="178"/>
  <c r="AG56" i="178"/>
  <c r="AH56" i="178"/>
  <c r="AI56" i="178"/>
  <c r="AJ56" i="178"/>
  <c r="AK56" i="178"/>
  <c r="AL56" i="178"/>
  <c r="AM56" i="178"/>
  <c r="AN56" i="178"/>
  <c r="AO56" i="178"/>
  <c r="T57" i="178"/>
  <c r="U57" i="178" s="1"/>
  <c r="W57" i="178"/>
  <c r="AD57" i="178"/>
  <c r="AE57" i="178"/>
  <c r="AF57" i="178"/>
  <c r="AG57" i="178"/>
  <c r="AH57" i="178"/>
  <c r="AI57" i="178"/>
  <c r="AJ57" i="178"/>
  <c r="AK57" i="178"/>
  <c r="AL57" i="178"/>
  <c r="AM57" i="178"/>
  <c r="AN57" i="178"/>
  <c r="AO57" i="178"/>
  <c r="T436" i="178"/>
  <c r="U436" i="178" s="1"/>
  <c r="W436" i="178"/>
  <c r="X436" i="178"/>
  <c r="Y436" i="178"/>
  <c r="AA436" i="178"/>
  <c r="AD436" i="178"/>
  <c r="AE436" i="178"/>
  <c r="AF436" i="178"/>
  <c r="AG436" i="178"/>
  <c r="AH436" i="178"/>
  <c r="AI436" i="178"/>
  <c r="AJ436" i="178"/>
  <c r="AK436" i="178"/>
  <c r="AL436" i="178"/>
  <c r="AM436" i="178"/>
  <c r="AN436" i="178"/>
  <c r="AO436" i="178"/>
  <c r="T58" i="178"/>
  <c r="W58" i="178"/>
  <c r="AD58" i="178"/>
  <c r="AE58" i="178"/>
  <c r="AF58" i="178"/>
  <c r="AG58" i="178"/>
  <c r="AH58" i="178"/>
  <c r="AI58" i="178"/>
  <c r="AJ58" i="178"/>
  <c r="AK58" i="178"/>
  <c r="AL58" i="178"/>
  <c r="AM58" i="178"/>
  <c r="AN58" i="178"/>
  <c r="AO58" i="178"/>
  <c r="T145" i="178"/>
  <c r="W145" i="178"/>
  <c r="AD145" i="178"/>
  <c r="AE145" i="178"/>
  <c r="AF145" i="178"/>
  <c r="AG145" i="178"/>
  <c r="AH145" i="178"/>
  <c r="AI145" i="178"/>
  <c r="AJ145" i="178"/>
  <c r="AK145" i="178"/>
  <c r="AL145" i="178"/>
  <c r="AM145" i="178"/>
  <c r="AN145" i="178"/>
  <c r="AO145" i="178"/>
  <c r="T151" i="178"/>
  <c r="V151" i="178" s="1"/>
  <c r="W151" i="178"/>
  <c r="AD151" i="178"/>
  <c r="AE151" i="178"/>
  <c r="AF151" i="178"/>
  <c r="AG151" i="178"/>
  <c r="AH151" i="178"/>
  <c r="AI151" i="178"/>
  <c r="AJ151" i="178"/>
  <c r="AK151" i="178"/>
  <c r="AL151" i="178"/>
  <c r="AM151" i="178"/>
  <c r="AN151" i="178"/>
  <c r="AO151" i="178"/>
  <c r="T249" i="178"/>
  <c r="U249" i="178" s="1"/>
  <c r="W249" i="178"/>
  <c r="AD249" i="178"/>
  <c r="AE249" i="178"/>
  <c r="AF249" i="178"/>
  <c r="AG249" i="178"/>
  <c r="AH249" i="178"/>
  <c r="AI249" i="178"/>
  <c r="AJ249" i="178"/>
  <c r="AK249" i="178"/>
  <c r="AL249" i="178"/>
  <c r="AM249" i="178"/>
  <c r="AN249" i="178"/>
  <c r="AO249" i="178"/>
  <c r="T427" i="178"/>
  <c r="V427" i="178" s="1"/>
  <c r="W427" i="178"/>
  <c r="AD427" i="178"/>
  <c r="AE427" i="178"/>
  <c r="AF427" i="178"/>
  <c r="AG427" i="178"/>
  <c r="AH427" i="178"/>
  <c r="AI427" i="178"/>
  <c r="AJ427" i="178"/>
  <c r="AK427" i="178"/>
  <c r="AL427" i="178"/>
  <c r="AM427" i="178"/>
  <c r="AN427" i="178"/>
  <c r="AO427" i="178"/>
  <c r="T12" i="178"/>
  <c r="U12" i="178" s="1"/>
  <c r="W12" i="178"/>
  <c r="AD12" i="178"/>
  <c r="AE12" i="178"/>
  <c r="AF12" i="178"/>
  <c r="AG12" i="178"/>
  <c r="AH12" i="178"/>
  <c r="AI12" i="178"/>
  <c r="AJ12" i="178"/>
  <c r="AK12" i="178"/>
  <c r="AL12" i="178"/>
  <c r="AM12" i="178"/>
  <c r="AN12" i="178"/>
  <c r="AO12" i="178"/>
  <c r="T72" i="178"/>
  <c r="V72" i="178" s="1"/>
  <c r="W72" i="178"/>
  <c r="AD72" i="178"/>
  <c r="AE72" i="178"/>
  <c r="AF72" i="178"/>
  <c r="AG72" i="178"/>
  <c r="AH72" i="178"/>
  <c r="AI72" i="178"/>
  <c r="AJ72" i="178"/>
  <c r="AK72" i="178"/>
  <c r="AL72" i="178"/>
  <c r="AM72" i="178"/>
  <c r="AN72" i="178"/>
  <c r="AO72" i="178"/>
  <c r="T77" i="178"/>
  <c r="U77" i="178" s="1"/>
  <c r="W77" i="178"/>
  <c r="AD77" i="178"/>
  <c r="AE77" i="178"/>
  <c r="AF77" i="178"/>
  <c r="AG77" i="178"/>
  <c r="AH77" i="178"/>
  <c r="AI77" i="178"/>
  <c r="AJ77" i="178"/>
  <c r="AK77" i="178"/>
  <c r="AL77" i="178"/>
  <c r="AM77" i="178"/>
  <c r="AN77" i="178"/>
  <c r="AO77" i="178"/>
  <c r="T119" i="178"/>
  <c r="V119" i="178" s="1"/>
  <c r="W119" i="178"/>
  <c r="AD119" i="178"/>
  <c r="AE119" i="178"/>
  <c r="AF119" i="178"/>
  <c r="AG119" i="178"/>
  <c r="AH119" i="178"/>
  <c r="AI119" i="178"/>
  <c r="AJ119" i="178"/>
  <c r="AK119" i="178"/>
  <c r="AL119" i="178"/>
  <c r="AM119" i="178"/>
  <c r="AN119" i="178"/>
  <c r="AO119" i="178"/>
  <c r="T146" i="178"/>
  <c r="U146" i="178" s="1"/>
  <c r="W146" i="178"/>
  <c r="AD146" i="178"/>
  <c r="AE146" i="178"/>
  <c r="AF146" i="178"/>
  <c r="AG146" i="178"/>
  <c r="AH146" i="178"/>
  <c r="AI146" i="178"/>
  <c r="AJ146" i="178"/>
  <c r="AK146" i="178"/>
  <c r="AL146" i="178"/>
  <c r="AM146" i="178"/>
  <c r="AN146" i="178"/>
  <c r="AO146" i="178"/>
  <c r="T152" i="178"/>
  <c r="V152" i="178" s="1"/>
  <c r="W152" i="178"/>
  <c r="AD152" i="178"/>
  <c r="AE152" i="178"/>
  <c r="AF152" i="178"/>
  <c r="AG152" i="178"/>
  <c r="AH152" i="178"/>
  <c r="AI152" i="178"/>
  <c r="AJ152" i="178"/>
  <c r="AK152" i="178"/>
  <c r="AL152" i="178"/>
  <c r="AM152" i="178"/>
  <c r="AN152" i="178"/>
  <c r="AO152" i="178"/>
  <c r="S185" i="178"/>
  <c r="S151" i="178"/>
  <c r="S72" i="178"/>
  <c r="S77" i="178"/>
  <c r="S119" i="178"/>
  <c r="B185" i="178"/>
  <c r="B186" i="178"/>
  <c r="B190" i="178"/>
  <c r="B191" i="178"/>
  <c r="B205" i="178"/>
  <c r="B35" i="178"/>
  <c r="B44" i="178"/>
  <c r="B67" i="178"/>
  <c r="B227" i="178"/>
  <c r="B234" i="178"/>
  <c r="B283" i="178"/>
  <c r="B426" i="178"/>
  <c r="B56" i="178"/>
  <c r="B57" i="178"/>
  <c r="B436" i="178"/>
  <c r="B58" i="178"/>
  <c r="B145" i="178"/>
  <c r="B151" i="178"/>
  <c r="B249" i="178"/>
  <c r="B427" i="178"/>
  <c r="B12" i="178"/>
  <c r="B72" i="178"/>
  <c r="B77" i="178"/>
  <c r="B119" i="178"/>
  <c r="B146" i="178"/>
  <c r="B152" i="178"/>
  <c r="AT249" i="178" l="1"/>
  <c r="K42" i="185"/>
  <c r="N42" i="185" s="1"/>
  <c r="G50" i="185"/>
  <c r="K43" i="185"/>
  <c r="N43" i="185" s="1"/>
  <c r="I50" i="185"/>
  <c r="H50" i="185"/>
  <c r="J38" i="185"/>
  <c r="L42" i="185"/>
  <c r="L43" i="185" s="1"/>
  <c r="O43" i="185" s="1"/>
  <c r="BF67" i="178"/>
  <c r="BD57" i="178"/>
  <c r="AZ283" i="178"/>
  <c r="BF58" i="178"/>
  <c r="V436" i="178"/>
  <c r="BM436" i="178"/>
  <c r="BM44" i="178"/>
  <c r="AR234" i="178"/>
  <c r="V57" i="178"/>
  <c r="V191" i="178"/>
  <c r="BM152" i="178"/>
  <c r="BA72" i="178"/>
  <c r="AS151" i="178"/>
  <c r="S436" i="178"/>
  <c r="Z436" i="178" s="1"/>
  <c r="U190" i="178"/>
  <c r="V146" i="178"/>
  <c r="AV146" i="178"/>
  <c r="V426" i="178"/>
  <c r="BC119" i="178"/>
  <c r="AU119" i="178"/>
  <c r="S57" i="178"/>
  <c r="BE57" i="178" s="1"/>
  <c r="BK146" i="178"/>
  <c r="AX436" i="178"/>
  <c r="BK119" i="178"/>
  <c r="BJ119" i="178"/>
  <c r="BB119" i="178"/>
  <c r="AT119" i="178"/>
  <c r="BH12" i="178"/>
  <c r="AZ12" i="178"/>
  <c r="AR12" i="178"/>
  <c r="BJ427" i="178"/>
  <c r="BB427" i="178"/>
  <c r="AT427" i="178"/>
  <c r="BM57" i="178"/>
  <c r="BD146" i="178"/>
  <c r="BK58" i="178"/>
  <c r="AX58" i="178"/>
  <c r="BH145" i="178"/>
  <c r="AZ145" i="178"/>
  <c r="AR145" i="178"/>
  <c r="S58" i="178"/>
  <c r="AS58" i="178" s="1"/>
  <c r="BJ426" i="178"/>
  <c r="AT426" i="178"/>
  <c r="V283" i="178"/>
  <c r="AV44" i="178"/>
  <c r="BK427" i="178"/>
  <c r="U119" i="178"/>
  <c r="U72" i="178"/>
  <c r="V67" i="178"/>
  <c r="AU77" i="178"/>
  <c r="AY77" i="178"/>
  <c r="BC77" i="178"/>
  <c r="BG77" i="178"/>
  <c r="BL77" i="178"/>
  <c r="AW77" i="178"/>
  <c r="BE77" i="178"/>
  <c r="BN77" i="178"/>
  <c r="AS77" i="178"/>
  <c r="BA77" i="178"/>
  <c r="BI77" i="178"/>
  <c r="AS185" i="178"/>
  <c r="AW185" i="178"/>
  <c r="BA185" i="178"/>
  <c r="BE185" i="178"/>
  <c r="BI185" i="178"/>
  <c r="BN185" i="178"/>
  <c r="AU185" i="178"/>
  <c r="AY185" i="178"/>
  <c r="BC185" i="178"/>
  <c r="BG185" i="178"/>
  <c r="BL185" i="178"/>
  <c r="BB77" i="178"/>
  <c r="BI72" i="178"/>
  <c r="BJ249" i="178"/>
  <c r="BK77" i="178"/>
  <c r="AR77" i="178"/>
  <c r="AV77" i="178"/>
  <c r="AZ77" i="178"/>
  <c r="BD77" i="178"/>
  <c r="BH77" i="178"/>
  <c r="BK249" i="178"/>
  <c r="AR249" i="178"/>
  <c r="AV249" i="178"/>
  <c r="AZ249" i="178"/>
  <c r="BD249" i="178"/>
  <c r="BH249" i="178"/>
  <c r="BM56" i="178"/>
  <c r="AT56" i="178"/>
  <c r="AX56" i="178"/>
  <c r="BB56" i="178"/>
  <c r="BF56" i="178"/>
  <c r="BJ56" i="178"/>
  <c r="S56" i="178"/>
  <c r="AR56" i="178"/>
  <c r="AZ56" i="178"/>
  <c r="BH56" i="178"/>
  <c r="BM234" i="178"/>
  <c r="AT234" i="178"/>
  <c r="AX234" i="178"/>
  <c r="BB234" i="178"/>
  <c r="BF234" i="178"/>
  <c r="BJ234" i="178"/>
  <c r="BK234" i="178"/>
  <c r="AV234" i="178"/>
  <c r="BD234" i="178"/>
  <c r="S234" i="178"/>
  <c r="AT35" i="178"/>
  <c r="AX35" i="178"/>
  <c r="BB35" i="178"/>
  <c r="BF35" i="178"/>
  <c r="AR35" i="178"/>
  <c r="AV35" i="178"/>
  <c r="AZ35" i="178"/>
  <c r="BD35" i="178"/>
  <c r="BH35" i="178"/>
  <c r="BM35" i="178"/>
  <c r="BJ35" i="178"/>
  <c r="AT205" i="178"/>
  <c r="AX205" i="178"/>
  <c r="BB205" i="178"/>
  <c r="BF205" i="178"/>
  <c r="BJ205" i="178"/>
  <c r="BK205" i="178"/>
  <c r="AR205" i="178"/>
  <c r="AV205" i="178"/>
  <c r="AZ205" i="178"/>
  <c r="BD205" i="178"/>
  <c r="BH205" i="178"/>
  <c r="S205" i="178"/>
  <c r="AT186" i="178"/>
  <c r="AX186" i="178"/>
  <c r="BB186" i="178"/>
  <c r="BF186" i="178"/>
  <c r="BJ186" i="178"/>
  <c r="BK186" i="178"/>
  <c r="AR186" i="178"/>
  <c r="AV186" i="178"/>
  <c r="AZ186" i="178"/>
  <c r="BD186" i="178"/>
  <c r="BH186" i="178"/>
  <c r="BM186" i="178"/>
  <c r="S186" i="178"/>
  <c r="BN72" i="178"/>
  <c r="AU72" i="178"/>
  <c r="AY72" i="178"/>
  <c r="BC72" i="178"/>
  <c r="BG72" i="178"/>
  <c r="BN151" i="178"/>
  <c r="AU151" i="178"/>
  <c r="AY151" i="178"/>
  <c r="BC151" i="178"/>
  <c r="BG151" i="178"/>
  <c r="U58" i="178"/>
  <c r="V58" i="178"/>
  <c r="BJ77" i="178"/>
  <c r="AT77" i="178"/>
  <c r="AS72" i="178"/>
  <c r="BB249" i="178"/>
  <c r="BI151" i="178"/>
  <c r="BA151" i="178"/>
  <c r="AV56" i="178"/>
  <c r="BH234" i="178"/>
  <c r="AT152" i="178"/>
  <c r="AX152" i="178"/>
  <c r="BB152" i="178"/>
  <c r="BF152" i="178"/>
  <c r="BJ152" i="178"/>
  <c r="BK152" i="178"/>
  <c r="AT72" i="178"/>
  <c r="AX72" i="178"/>
  <c r="BB72" i="178"/>
  <c r="BF72" i="178"/>
  <c r="BJ72" i="178"/>
  <c r="BK72" i="178"/>
  <c r="AT151" i="178"/>
  <c r="AX151" i="178"/>
  <c r="BB151" i="178"/>
  <c r="BF151" i="178"/>
  <c r="BJ151" i="178"/>
  <c r="BK151" i="178"/>
  <c r="AR227" i="178"/>
  <c r="AV227" i="178"/>
  <c r="AZ227" i="178"/>
  <c r="BD227" i="178"/>
  <c r="BH227" i="178"/>
  <c r="BM227" i="178"/>
  <c r="AT227" i="178"/>
  <c r="BB227" i="178"/>
  <c r="BJ227" i="178"/>
  <c r="BK227" i="178"/>
  <c r="BM185" i="178"/>
  <c r="AT185" i="178"/>
  <c r="AX185" i="178"/>
  <c r="BB185" i="178"/>
  <c r="BF185" i="178"/>
  <c r="BJ185" i="178"/>
  <c r="BK185" i="178"/>
  <c r="BD185" i="178"/>
  <c r="AR185" i="178"/>
  <c r="BH185" i="178"/>
  <c r="S152" i="178"/>
  <c r="BD152" i="178"/>
  <c r="AV152" i="178"/>
  <c r="BH72" i="178"/>
  <c r="AZ72" i="178"/>
  <c r="AR72" i="178"/>
  <c r="BH151" i="178"/>
  <c r="AZ151" i="178"/>
  <c r="AR151" i="178"/>
  <c r="BK56" i="178"/>
  <c r="AX227" i="178"/>
  <c r="BM146" i="178"/>
  <c r="AT146" i="178"/>
  <c r="AX146" i="178"/>
  <c r="BB146" i="178"/>
  <c r="BF146" i="178"/>
  <c r="BJ146" i="178"/>
  <c r="BM12" i="178"/>
  <c r="S12" i="178"/>
  <c r="AT12" i="178"/>
  <c r="AX12" i="178"/>
  <c r="BB12" i="178"/>
  <c r="BF12" i="178"/>
  <c r="BJ12" i="178"/>
  <c r="BM145" i="178"/>
  <c r="AT145" i="178"/>
  <c r="AX145" i="178"/>
  <c r="BB145" i="178"/>
  <c r="BF145" i="178"/>
  <c r="BJ145" i="178"/>
  <c r="BK436" i="178"/>
  <c r="AR436" i="178"/>
  <c r="AV436" i="178"/>
  <c r="AZ436" i="178"/>
  <c r="BD436" i="178"/>
  <c r="BH436" i="178"/>
  <c r="AT436" i="178"/>
  <c r="BB436" i="178"/>
  <c r="BJ436" i="178"/>
  <c r="BK426" i="178"/>
  <c r="AR426" i="178"/>
  <c r="AV426" i="178"/>
  <c r="AZ426" i="178"/>
  <c r="BD426" i="178"/>
  <c r="BH426" i="178"/>
  <c r="BM426" i="178"/>
  <c r="S426" i="178"/>
  <c r="AX426" i="178"/>
  <c r="BF426" i="178"/>
  <c r="BK67" i="178"/>
  <c r="AR67" i="178"/>
  <c r="AV67" i="178"/>
  <c r="AZ67" i="178"/>
  <c r="BD67" i="178"/>
  <c r="BH67" i="178"/>
  <c r="AT67" i="178"/>
  <c r="BB67" i="178"/>
  <c r="BJ67" i="178"/>
  <c r="S67" i="178"/>
  <c r="AR191" i="178"/>
  <c r="AV191" i="178"/>
  <c r="AZ191" i="178"/>
  <c r="BD191" i="178"/>
  <c r="BH191" i="178"/>
  <c r="BM191" i="178"/>
  <c r="AT191" i="178"/>
  <c r="AX191" i="178"/>
  <c r="BB191" i="178"/>
  <c r="BF191" i="178"/>
  <c r="BJ191" i="178"/>
  <c r="S191" i="178"/>
  <c r="BK191" i="178"/>
  <c r="S146" i="178"/>
  <c r="BL119" i="178"/>
  <c r="AS119" i="178"/>
  <c r="AW119" i="178"/>
  <c r="BA119" i="178"/>
  <c r="BE119" i="178"/>
  <c r="BI119" i="178"/>
  <c r="S249" i="178"/>
  <c r="U145" i="178"/>
  <c r="V145" i="178"/>
  <c r="AB436" i="178"/>
  <c r="V227" i="178"/>
  <c r="U227" i="178"/>
  <c r="S35" i="178"/>
  <c r="BH146" i="178"/>
  <c r="AZ146" i="178"/>
  <c r="AR146" i="178"/>
  <c r="BG119" i="178"/>
  <c r="AY119" i="178"/>
  <c r="BF77" i="178"/>
  <c r="AX77" i="178"/>
  <c r="BM72" i="178"/>
  <c r="BE72" i="178"/>
  <c r="AW72" i="178"/>
  <c r="BD12" i="178"/>
  <c r="AV12" i="178"/>
  <c r="BF249" i="178"/>
  <c r="AX249" i="178"/>
  <c r="BM151" i="178"/>
  <c r="BE151" i="178"/>
  <c r="AW151" i="178"/>
  <c r="BD145" i="178"/>
  <c r="AV145" i="178"/>
  <c r="BF436" i="178"/>
  <c r="BD56" i="178"/>
  <c r="BB426" i="178"/>
  <c r="AZ234" i="178"/>
  <c r="AX67" i="178"/>
  <c r="BM205" i="178"/>
  <c r="AZ185" i="178"/>
  <c r="AR119" i="178"/>
  <c r="AV119" i="178"/>
  <c r="AZ119" i="178"/>
  <c r="BD119" i="178"/>
  <c r="BH119" i="178"/>
  <c r="BM119" i="178"/>
  <c r="AR427" i="178"/>
  <c r="AV427" i="178"/>
  <c r="AZ427" i="178"/>
  <c r="BD427" i="178"/>
  <c r="BH427" i="178"/>
  <c r="BM427" i="178"/>
  <c r="S427" i="178"/>
  <c r="AR58" i="178"/>
  <c r="AV58" i="178"/>
  <c r="AZ58" i="178"/>
  <c r="BD58" i="178"/>
  <c r="BH58" i="178"/>
  <c r="BM58" i="178"/>
  <c r="AT57" i="178"/>
  <c r="AX57" i="178"/>
  <c r="BB57" i="178"/>
  <c r="BF57" i="178"/>
  <c r="BJ57" i="178"/>
  <c r="BK57" i="178"/>
  <c r="AR57" i="178"/>
  <c r="AZ57" i="178"/>
  <c r="BH57" i="178"/>
  <c r="AT283" i="178"/>
  <c r="AX283" i="178"/>
  <c r="BB283" i="178"/>
  <c r="BF283" i="178"/>
  <c r="BJ283" i="178"/>
  <c r="BK283" i="178"/>
  <c r="AV283" i="178"/>
  <c r="BD283" i="178"/>
  <c r="S283" i="178"/>
  <c r="BM283" i="178"/>
  <c r="AT44" i="178"/>
  <c r="AX44" i="178"/>
  <c r="BB44" i="178"/>
  <c r="BF44" i="178"/>
  <c r="BJ44" i="178"/>
  <c r="BK44" i="178"/>
  <c r="AR44" i="178"/>
  <c r="AZ44" i="178"/>
  <c r="BH44" i="178"/>
  <c r="S44" i="178"/>
  <c r="BK190" i="178"/>
  <c r="AR190" i="178"/>
  <c r="AV190" i="178"/>
  <c r="AZ190" i="178"/>
  <c r="BD190" i="178"/>
  <c r="BH190" i="178"/>
  <c r="BM190" i="178"/>
  <c r="BF190" i="178"/>
  <c r="AT190" i="178"/>
  <c r="BJ190" i="178"/>
  <c r="AX190" i="178"/>
  <c r="S190" i="178"/>
  <c r="BB190" i="178"/>
  <c r="U152" i="178"/>
  <c r="V12" i="178"/>
  <c r="U427" i="178"/>
  <c r="S145" i="178"/>
  <c r="S227" i="178"/>
  <c r="U44" i="178"/>
  <c r="V185" i="178"/>
  <c r="U185" i="178"/>
  <c r="BH152" i="178"/>
  <c r="AZ152" i="178"/>
  <c r="AR152" i="178"/>
  <c r="BN119" i="178"/>
  <c r="BF119" i="178"/>
  <c r="AX119" i="178"/>
  <c r="BM77" i="178"/>
  <c r="BL72" i="178"/>
  <c r="BD72" i="178"/>
  <c r="AV72" i="178"/>
  <c r="BK12" i="178"/>
  <c r="BF427" i="178"/>
  <c r="AX427" i="178"/>
  <c r="BM249" i="178"/>
  <c r="BL151" i="178"/>
  <c r="BD151" i="178"/>
  <c r="AV151" i="178"/>
  <c r="BK145" i="178"/>
  <c r="BJ58" i="178"/>
  <c r="BB58" i="178"/>
  <c r="AT58" i="178"/>
  <c r="AV57" i="178"/>
  <c r="BH283" i="178"/>
  <c r="AR283" i="178"/>
  <c r="BF227" i="178"/>
  <c r="BM67" i="178"/>
  <c r="BD44" i="178"/>
  <c r="BK35" i="178"/>
  <c r="AV185" i="178"/>
  <c r="U151" i="178"/>
  <c r="V249" i="178"/>
  <c r="V56" i="178"/>
  <c r="V234" i="178"/>
  <c r="V35" i="178"/>
  <c r="V205" i="178"/>
  <c r="V186" i="178"/>
  <c r="V77" i="178"/>
  <c r="R270" i="55"/>
  <c r="R271" i="55"/>
  <c r="O270" i="55"/>
  <c r="P270" i="55"/>
  <c r="Q270" i="55"/>
  <c r="O271" i="55"/>
  <c r="P271" i="55"/>
  <c r="Q271" i="55"/>
  <c r="C299" i="78"/>
  <c r="C300" i="78"/>
  <c r="AD347" i="178"/>
  <c r="AE347" i="178"/>
  <c r="AF347" i="178"/>
  <c r="AG347" i="178"/>
  <c r="AH347" i="178"/>
  <c r="AI347" i="178"/>
  <c r="AJ347" i="178"/>
  <c r="AK347" i="178"/>
  <c r="AL347" i="178"/>
  <c r="AM347" i="178"/>
  <c r="AN347" i="178"/>
  <c r="AO347" i="178"/>
  <c r="AD348" i="178"/>
  <c r="AE348" i="178"/>
  <c r="AF348" i="178"/>
  <c r="AG348" i="178"/>
  <c r="AH348" i="178"/>
  <c r="AI348" i="178"/>
  <c r="AJ348" i="178"/>
  <c r="AK348" i="178"/>
  <c r="AL348" i="178"/>
  <c r="AM348" i="178"/>
  <c r="AN348" i="178"/>
  <c r="AO348" i="178"/>
  <c r="T347" i="178"/>
  <c r="U347" i="178" s="1"/>
  <c r="W347" i="178"/>
  <c r="T348" i="178"/>
  <c r="U348" i="178" s="1"/>
  <c r="W348" i="178"/>
  <c r="B347" i="178"/>
  <c r="B348" i="178"/>
  <c r="C781" i="78"/>
  <c r="O418" i="55"/>
  <c r="P418" i="55"/>
  <c r="Q418" i="55"/>
  <c r="R418" i="55"/>
  <c r="C448" i="78"/>
  <c r="BE436" i="178" l="1"/>
  <c r="BA436" i="178"/>
  <c r="BN436" i="178"/>
  <c r="AY436" i="178"/>
  <c r="BC436" i="178"/>
  <c r="AS436" i="178"/>
  <c r="O42" i="185"/>
  <c r="N38" i="185"/>
  <c r="N50" i="185" s="1"/>
  <c r="O38" i="185"/>
  <c r="O50" i="185" s="1"/>
  <c r="J50" i="185"/>
  <c r="BE58" i="178"/>
  <c r="BA58" i="178"/>
  <c r="AU58" i="178"/>
  <c r="BL58" i="178"/>
  <c r="BC58" i="178"/>
  <c r="BN58" i="178"/>
  <c r="BL436" i="178"/>
  <c r="AU436" i="178"/>
  <c r="AW58" i="178"/>
  <c r="AW436" i="178"/>
  <c r="BI436" i="178"/>
  <c r="BG436" i="178"/>
  <c r="BI58" i="178"/>
  <c r="AS57" i="178"/>
  <c r="AC436" i="178"/>
  <c r="AU57" i="178"/>
  <c r="AW57" i="178"/>
  <c r="BG57" i="178"/>
  <c r="BN57" i="178"/>
  <c r="BI57" i="178"/>
  <c r="BC57" i="178"/>
  <c r="BG58" i="178"/>
  <c r="AY58" i="178"/>
  <c r="BL57" i="178"/>
  <c r="BA57" i="178"/>
  <c r="AY57" i="178"/>
  <c r="BN283" i="178"/>
  <c r="AU283" i="178"/>
  <c r="AY283" i="178"/>
  <c r="BC283" i="178"/>
  <c r="BG283" i="178"/>
  <c r="BL283" i="178"/>
  <c r="AW283" i="178"/>
  <c r="BE283" i="178"/>
  <c r="AS283" i="178"/>
  <c r="BI283" i="178"/>
  <c r="BA283" i="178"/>
  <c r="BL427" i="178"/>
  <c r="AS427" i="178"/>
  <c r="AW427" i="178"/>
  <c r="BA427" i="178"/>
  <c r="BE427" i="178"/>
  <c r="BI427" i="178"/>
  <c r="BN427" i="178"/>
  <c r="AY427" i="178"/>
  <c r="BG427" i="178"/>
  <c r="AU427" i="178"/>
  <c r="BC427" i="178"/>
  <c r="BN44" i="178"/>
  <c r="AU44" i="178"/>
  <c r="AY44" i="178"/>
  <c r="BC44" i="178"/>
  <c r="BG44" i="178"/>
  <c r="AS44" i="178"/>
  <c r="BA44" i="178"/>
  <c r="BI44" i="178"/>
  <c r="BE44" i="178"/>
  <c r="BL44" i="178"/>
  <c r="AW44" i="178"/>
  <c r="AU35" i="178"/>
  <c r="AY35" i="178"/>
  <c r="BC35" i="178"/>
  <c r="BG35" i="178"/>
  <c r="AS35" i="178"/>
  <c r="BI35" i="178"/>
  <c r="AW35" i="178"/>
  <c r="BN35" i="178"/>
  <c r="BA35" i="178"/>
  <c r="BE35" i="178"/>
  <c r="BL35" i="178"/>
  <c r="AU249" i="178"/>
  <c r="AY249" i="178"/>
  <c r="BC249" i="178"/>
  <c r="BG249" i="178"/>
  <c r="BL249" i="178"/>
  <c r="AW249" i="178"/>
  <c r="BE249" i="178"/>
  <c r="BN249" i="178"/>
  <c r="AS249" i="178"/>
  <c r="BA249" i="178"/>
  <c r="BI249" i="178"/>
  <c r="AS146" i="178"/>
  <c r="AW146" i="178"/>
  <c r="BA146" i="178"/>
  <c r="BE146" i="178"/>
  <c r="BI146" i="178"/>
  <c r="BN146" i="178"/>
  <c r="AY146" i="178"/>
  <c r="BG146" i="178"/>
  <c r="AU146" i="178"/>
  <c r="BC146" i="178"/>
  <c r="BL146" i="178"/>
  <c r="AS145" i="178"/>
  <c r="AW145" i="178"/>
  <c r="BA145" i="178"/>
  <c r="BE145" i="178"/>
  <c r="BI145" i="178"/>
  <c r="BN145" i="178"/>
  <c r="AU145" i="178"/>
  <c r="BC145" i="178"/>
  <c r="BL145" i="178"/>
  <c r="AY145" i="178"/>
  <c r="BG145" i="178"/>
  <c r="AU190" i="178"/>
  <c r="AY190" i="178"/>
  <c r="BC190" i="178"/>
  <c r="BG190" i="178"/>
  <c r="BL190" i="178"/>
  <c r="AS190" i="178"/>
  <c r="AW190" i="178"/>
  <c r="BA190" i="178"/>
  <c r="BE190" i="178"/>
  <c r="BI190" i="178"/>
  <c r="BN190" i="178"/>
  <c r="BL191" i="178"/>
  <c r="AS191" i="178"/>
  <c r="AW191" i="178"/>
  <c r="BA191" i="178"/>
  <c r="BE191" i="178"/>
  <c r="BI191" i="178"/>
  <c r="BN191" i="178"/>
  <c r="AY191" i="178"/>
  <c r="BC191" i="178"/>
  <c r="BG191" i="178"/>
  <c r="AU191" i="178"/>
  <c r="BN186" i="178"/>
  <c r="AU186" i="178"/>
  <c r="AY186" i="178"/>
  <c r="BC186" i="178"/>
  <c r="BG186" i="178"/>
  <c r="BL186" i="178"/>
  <c r="AW186" i="178"/>
  <c r="BA186" i="178"/>
  <c r="AS186" i="178"/>
  <c r="BE186" i="178"/>
  <c r="BI186" i="178"/>
  <c r="AS234" i="178"/>
  <c r="AW234" i="178"/>
  <c r="BA234" i="178"/>
  <c r="BE234" i="178"/>
  <c r="BI234" i="178"/>
  <c r="BN234" i="178"/>
  <c r="AU234" i="178"/>
  <c r="BC234" i="178"/>
  <c r="BL234" i="178"/>
  <c r="AY234" i="178"/>
  <c r="BG234" i="178"/>
  <c r="BL227" i="178"/>
  <c r="AS227" i="178"/>
  <c r="AW227" i="178"/>
  <c r="BA227" i="178"/>
  <c r="BE227" i="178"/>
  <c r="BI227" i="178"/>
  <c r="AU227" i="178"/>
  <c r="BC227" i="178"/>
  <c r="BG227" i="178"/>
  <c r="BN227" i="178"/>
  <c r="AY227" i="178"/>
  <c r="AU67" i="178"/>
  <c r="AY67" i="178"/>
  <c r="BC67" i="178"/>
  <c r="BG67" i="178"/>
  <c r="BL67" i="178"/>
  <c r="AS67" i="178"/>
  <c r="BA67" i="178"/>
  <c r="BI67" i="178"/>
  <c r="AW67" i="178"/>
  <c r="BN67" i="178"/>
  <c r="BE67" i="178"/>
  <c r="AU426" i="178"/>
  <c r="AY426" i="178"/>
  <c r="BC426" i="178"/>
  <c r="BG426" i="178"/>
  <c r="BL426" i="178"/>
  <c r="AW426" i="178"/>
  <c r="BE426" i="178"/>
  <c r="BN426" i="178"/>
  <c r="BA426" i="178"/>
  <c r="AS426" i="178"/>
  <c r="BI426" i="178"/>
  <c r="AS12" i="178"/>
  <c r="AW12" i="178"/>
  <c r="BA12" i="178"/>
  <c r="BE12" i="178"/>
  <c r="BI12" i="178"/>
  <c r="BN12" i="178"/>
  <c r="AU12" i="178"/>
  <c r="BC12" i="178"/>
  <c r="BL12" i="178"/>
  <c r="AY12" i="178"/>
  <c r="BG12" i="178"/>
  <c r="BN152" i="178"/>
  <c r="AU152" i="178"/>
  <c r="AY152" i="178"/>
  <c r="BC152" i="178"/>
  <c r="BG152" i="178"/>
  <c r="AS152" i="178"/>
  <c r="BA152" i="178"/>
  <c r="BI152" i="178"/>
  <c r="BL152" i="178"/>
  <c r="AW152" i="178"/>
  <c r="BE152" i="178"/>
  <c r="BN205" i="178"/>
  <c r="AU205" i="178"/>
  <c r="AY205" i="178"/>
  <c r="BC205" i="178"/>
  <c r="BG205" i="178"/>
  <c r="BL205" i="178"/>
  <c r="BA205" i="178"/>
  <c r="BE205" i="178"/>
  <c r="AS205" i="178"/>
  <c r="AW205" i="178"/>
  <c r="BI205" i="178"/>
  <c r="AS56" i="178"/>
  <c r="AW56" i="178"/>
  <c r="BA56" i="178"/>
  <c r="BE56" i="178"/>
  <c r="BI56" i="178"/>
  <c r="BN56" i="178"/>
  <c r="AY56" i="178"/>
  <c r="BG56" i="178"/>
  <c r="BC56" i="178"/>
  <c r="AU56" i="178"/>
  <c r="BL56" i="178"/>
  <c r="AR347" i="178"/>
  <c r="BM348" i="178"/>
  <c r="BH348" i="178"/>
  <c r="BD348" i="178"/>
  <c r="AZ348" i="178"/>
  <c r="AV348" i="178"/>
  <c r="AR348" i="178"/>
  <c r="BK347" i="178"/>
  <c r="BK348" i="178"/>
  <c r="BJ347" i="178"/>
  <c r="BF347" i="178"/>
  <c r="BB347" i="178"/>
  <c r="AX347" i="178"/>
  <c r="AT347" i="178"/>
  <c r="S347" i="178"/>
  <c r="BJ348" i="178"/>
  <c r="BF348" i="178"/>
  <c r="BB348" i="178"/>
  <c r="AX348" i="178"/>
  <c r="AT348" i="178"/>
  <c r="BM347" i="178"/>
  <c r="S348" i="178"/>
  <c r="BH347" i="178"/>
  <c r="BD347" i="178"/>
  <c r="AZ347" i="178"/>
  <c r="AV347" i="178"/>
  <c r="V348" i="178"/>
  <c r="V347" i="178"/>
  <c r="F49" i="184"/>
  <c r="E49" i="184"/>
  <c r="G49" i="184" s="1"/>
  <c r="C49" i="184"/>
  <c r="B49" i="184"/>
  <c r="F48" i="184"/>
  <c r="H48" i="184" s="1"/>
  <c r="E48" i="184"/>
  <c r="G48" i="184" s="1"/>
  <c r="C48" i="184"/>
  <c r="B48" i="184"/>
  <c r="J47" i="184"/>
  <c r="O47" i="184" s="1"/>
  <c r="H47" i="184"/>
  <c r="G47" i="184"/>
  <c r="B47" i="184"/>
  <c r="I47" i="184" s="1"/>
  <c r="N47" i="184" s="1"/>
  <c r="F46" i="184"/>
  <c r="H46" i="184" s="1"/>
  <c r="E46" i="184"/>
  <c r="C46" i="184"/>
  <c r="B46" i="184"/>
  <c r="H45" i="184"/>
  <c r="G45" i="184"/>
  <c r="F45" i="184"/>
  <c r="E45" i="184"/>
  <c r="C45" i="184"/>
  <c r="J45" i="184" s="1"/>
  <c r="O45" i="184" s="1"/>
  <c r="B45" i="184"/>
  <c r="I45" i="184" s="1"/>
  <c r="N45" i="184" s="1"/>
  <c r="F44" i="184"/>
  <c r="H44" i="184" s="1"/>
  <c r="E44" i="184"/>
  <c r="C44" i="184"/>
  <c r="B44" i="184"/>
  <c r="F43" i="184"/>
  <c r="H43" i="184" s="1"/>
  <c r="E43" i="184"/>
  <c r="C43" i="184"/>
  <c r="B43" i="184"/>
  <c r="F42" i="184"/>
  <c r="H42" i="184" s="1"/>
  <c r="E42" i="184"/>
  <c r="C42" i="184"/>
  <c r="B42" i="184"/>
  <c r="H41" i="184"/>
  <c r="F41" i="184"/>
  <c r="E41" i="184"/>
  <c r="G41" i="184" s="1"/>
  <c r="C41" i="184"/>
  <c r="J41" i="184" s="1"/>
  <c r="O41" i="184" s="1"/>
  <c r="B41" i="184"/>
  <c r="F40" i="184"/>
  <c r="H40" i="184" s="1"/>
  <c r="E40" i="184"/>
  <c r="C40" i="184"/>
  <c r="B40" i="184"/>
  <c r="G39" i="184"/>
  <c r="F39" i="184"/>
  <c r="H39" i="184" s="1"/>
  <c r="E39" i="184"/>
  <c r="C39" i="184"/>
  <c r="B39" i="184"/>
  <c r="I39" i="184" s="1"/>
  <c r="N39" i="184" s="1"/>
  <c r="F38" i="184"/>
  <c r="E38" i="184"/>
  <c r="G38" i="184" s="1"/>
  <c r="C38" i="184"/>
  <c r="C50" i="184" s="1"/>
  <c r="B38" i="184"/>
  <c r="B50" i="184" s="1"/>
  <c r="O24" i="184"/>
  <c r="O25" i="184" s="1"/>
  <c r="N20" i="184"/>
  <c r="N21" i="184" s="1"/>
  <c r="O11" i="184"/>
  <c r="N6" i="184"/>
  <c r="BL347" i="178" l="1"/>
  <c r="AS347" i="178"/>
  <c r="AW347" i="178"/>
  <c r="BA347" i="178"/>
  <c r="BE347" i="178"/>
  <c r="BI347" i="178"/>
  <c r="BN347" i="178"/>
  <c r="AU347" i="178"/>
  <c r="AY347" i="178"/>
  <c r="BC347" i="178"/>
  <c r="BG347" i="178"/>
  <c r="AS348" i="178"/>
  <c r="AW348" i="178"/>
  <c r="BA348" i="178"/>
  <c r="BE348" i="178"/>
  <c r="BI348" i="178"/>
  <c r="BN348" i="178"/>
  <c r="AU348" i="178"/>
  <c r="AY348" i="178"/>
  <c r="BC348" i="178"/>
  <c r="BG348" i="178"/>
  <c r="BL348" i="178"/>
  <c r="J48" i="184"/>
  <c r="O48" i="184" s="1"/>
  <c r="I49" i="184"/>
  <c r="N49" i="184" s="1"/>
  <c r="J39" i="184"/>
  <c r="O39" i="184" s="1"/>
  <c r="I41" i="184"/>
  <c r="N41" i="184" s="1"/>
  <c r="N34" i="184"/>
  <c r="O34" i="184"/>
  <c r="J40" i="184"/>
  <c r="O40" i="184" s="1"/>
  <c r="J42" i="184"/>
  <c r="J44" i="184"/>
  <c r="O44" i="184" s="1"/>
  <c r="J46" i="184"/>
  <c r="O46" i="184" s="1"/>
  <c r="I48" i="184"/>
  <c r="N48" i="184" s="1"/>
  <c r="H38" i="184"/>
  <c r="J38" i="184" s="1"/>
  <c r="G40" i="184"/>
  <c r="I40" i="184" s="1"/>
  <c r="N40" i="184" s="1"/>
  <c r="G42" i="184"/>
  <c r="G43" i="184"/>
  <c r="I43" i="184" s="1"/>
  <c r="G44" i="184"/>
  <c r="I44" i="184" s="1"/>
  <c r="N44" i="184" s="1"/>
  <c r="G46" i="184"/>
  <c r="I46" i="184" s="1"/>
  <c r="N46" i="184" s="1"/>
  <c r="H49" i="184"/>
  <c r="J49" i="184" s="1"/>
  <c r="O49" i="184" s="1"/>
  <c r="F50" i="184"/>
  <c r="J43" i="184"/>
  <c r="E50" i="184"/>
  <c r="I38" i="184"/>
  <c r="G50" i="184" l="1"/>
  <c r="O38" i="184"/>
  <c r="J50" i="184"/>
  <c r="I42" i="184"/>
  <c r="K38" i="184"/>
  <c r="H50" i="184"/>
  <c r="L42" i="184"/>
  <c r="L43" i="184" s="1"/>
  <c r="O43" i="184" s="1"/>
  <c r="O42" i="184"/>
  <c r="E30" i="3"/>
  <c r="L132" i="183"/>
  <c r="M132" i="183" s="1"/>
  <c r="J132" i="183"/>
  <c r="G132" i="183"/>
  <c r="H132" i="183" s="1"/>
  <c r="F132" i="183"/>
  <c r="E132" i="183"/>
  <c r="D132" i="183"/>
  <c r="B132" i="183"/>
  <c r="L131" i="183"/>
  <c r="M131" i="183" s="1"/>
  <c r="J131" i="183"/>
  <c r="K131" i="183" s="1"/>
  <c r="G131" i="183"/>
  <c r="I131" i="183" s="1"/>
  <c r="F131" i="183"/>
  <c r="E131" i="183"/>
  <c r="D131" i="183"/>
  <c r="B131" i="183"/>
  <c r="L130" i="183"/>
  <c r="M130" i="183" s="1"/>
  <c r="J130" i="183"/>
  <c r="G130" i="183"/>
  <c r="H130" i="183" s="1"/>
  <c r="F130" i="183"/>
  <c r="E130" i="183"/>
  <c r="D130" i="183"/>
  <c r="B130" i="183"/>
  <c r="L129" i="183"/>
  <c r="M129" i="183" s="1"/>
  <c r="J129" i="183"/>
  <c r="K129" i="183" s="1"/>
  <c r="G129" i="183"/>
  <c r="I129" i="183" s="1"/>
  <c r="E129" i="183"/>
  <c r="D129" i="183"/>
  <c r="B129" i="183"/>
  <c r="L128" i="183"/>
  <c r="M128" i="183" s="1"/>
  <c r="J128" i="183"/>
  <c r="K128" i="183" s="1"/>
  <c r="G128" i="183"/>
  <c r="I128" i="183" s="1"/>
  <c r="E128" i="183"/>
  <c r="D128" i="183"/>
  <c r="B128" i="183"/>
  <c r="L127" i="183"/>
  <c r="M127" i="183" s="1"/>
  <c r="J127" i="183"/>
  <c r="K127" i="183" s="1"/>
  <c r="G127" i="183"/>
  <c r="H127" i="183" s="1"/>
  <c r="E127" i="183"/>
  <c r="D127" i="183"/>
  <c r="B127" i="183"/>
  <c r="L126" i="183"/>
  <c r="M126" i="183" s="1"/>
  <c r="J126" i="183"/>
  <c r="K126" i="183" s="1"/>
  <c r="G126" i="183"/>
  <c r="I126" i="183" s="1"/>
  <c r="E126" i="183"/>
  <c r="D126" i="183"/>
  <c r="B126" i="183"/>
  <c r="L125" i="183"/>
  <c r="M125" i="183" s="1"/>
  <c r="J125" i="183"/>
  <c r="K125" i="183" s="1"/>
  <c r="G125" i="183"/>
  <c r="I125" i="183" s="1"/>
  <c r="F125" i="183"/>
  <c r="E125" i="183"/>
  <c r="D125" i="183"/>
  <c r="B125" i="183"/>
  <c r="L124" i="183"/>
  <c r="M124" i="183" s="1"/>
  <c r="J124" i="183"/>
  <c r="K124" i="183" s="1"/>
  <c r="G124" i="183"/>
  <c r="H124" i="183" s="1"/>
  <c r="F124" i="183"/>
  <c r="E124" i="183"/>
  <c r="D124" i="183"/>
  <c r="B124" i="183"/>
  <c r="L123" i="183"/>
  <c r="M123" i="183" s="1"/>
  <c r="J123" i="183"/>
  <c r="K123" i="183" s="1"/>
  <c r="G123" i="183"/>
  <c r="I123" i="183" s="1"/>
  <c r="F123" i="183"/>
  <c r="E123" i="183"/>
  <c r="D123" i="183"/>
  <c r="B123" i="183"/>
  <c r="L122" i="183"/>
  <c r="J122" i="183"/>
  <c r="G122" i="183"/>
  <c r="H122" i="183" s="1"/>
  <c r="F122" i="183"/>
  <c r="E122" i="183"/>
  <c r="D122" i="183"/>
  <c r="B122" i="183"/>
  <c r="L121" i="183"/>
  <c r="M121" i="183" s="1"/>
  <c r="J121" i="183"/>
  <c r="K121" i="183" s="1"/>
  <c r="G121" i="183"/>
  <c r="I121" i="183" s="1"/>
  <c r="F121" i="183"/>
  <c r="E121" i="183"/>
  <c r="D121" i="183"/>
  <c r="B121" i="183"/>
  <c r="L120" i="183"/>
  <c r="J120" i="183"/>
  <c r="G120" i="183"/>
  <c r="H120" i="183" s="1"/>
  <c r="F120" i="183"/>
  <c r="E120" i="183"/>
  <c r="D120" i="183"/>
  <c r="B120" i="183"/>
  <c r="L119" i="183"/>
  <c r="M119" i="183" s="1"/>
  <c r="J119" i="183"/>
  <c r="K119" i="183" s="1"/>
  <c r="G119" i="183"/>
  <c r="I119" i="183" s="1"/>
  <c r="F119" i="183"/>
  <c r="E119" i="183"/>
  <c r="D119" i="183"/>
  <c r="B119" i="183"/>
  <c r="L118" i="183"/>
  <c r="J118" i="183"/>
  <c r="G118" i="183"/>
  <c r="H118" i="183" s="1"/>
  <c r="F118" i="183"/>
  <c r="E118" i="183"/>
  <c r="D118" i="183"/>
  <c r="B118" i="183"/>
  <c r="L117" i="183"/>
  <c r="M117" i="183" s="1"/>
  <c r="J117" i="183"/>
  <c r="K117" i="183" s="1"/>
  <c r="G117" i="183"/>
  <c r="I117" i="183" s="1"/>
  <c r="F117" i="183"/>
  <c r="E117" i="183"/>
  <c r="D117" i="183"/>
  <c r="B117" i="183"/>
  <c r="L116" i="183"/>
  <c r="J116" i="183"/>
  <c r="G116" i="183"/>
  <c r="H116" i="183" s="1"/>
  <c r="F116" i="183"/>
  <c r="E116" i="183"/>
  <c r="D116" i="183"/>
  <c r="B116" i="183"/>
  <c r="L115" i="183"/>
  <c r="M115" i="183" s="1"/>
  <c r="J115" i="183"/>
  <c r="K115" i="183" s="1"/>
  <c r="G115" i="183"/>
  <c r="I115" i="183" s="1"/>
  <c r="F115" i="183"/>
  <c r="E115" i="183"/>
  <c r="D115" i="183"/>
  <c r="B115" i="183"/>
  <c r="L114" i="183"/>
  <c r="J114" i="183"/>
  <c r="G114" i="183"/>
  <c r="H114" i="183" s="1"/>
  <c r="F114" i="183"/>
  <c r="E114" i="183"/>
  <c r="D114" i="183"/>
  <c r="B114" i="183"/>
  <c r="L113" i="183"/>
  <c r="M113" i="183" s="1"/>
  <c r="J113" i="183"/>
  <c r="K113" i="183" s="1"/>
  <c r="G113" i="183"/>
  <c r="I113" i="183" s="1"/>
  <c r="F113" i="183"/>
  <c r="E113" i="183"/>
  <c r="D113" i="183"/>
  <c r="B113" i="183"/>
  <c r="L112" i="183"/>
  <c r="J112" i="183"/>
  <c r="G112" i="183"/>
  <c r="H112" i="183" s="1"/>
  <c r="F112" i="183"/>
  <c r="E112" i="183"/>
  <c r="D112" i="183"/>
  <c r="B112" i="183"/>
  <c r="L111" i="183"/>
  <c r="M111" i="183" s="1"/>
  <c r="J111" i="183"/>
  <c r="K111" i="183" s="1"/>
  <c r="G111" i="183"/>
  <c r="I111" i="183" s="1"/>
  <c r="F111" i="183"/>
  <c r="E111" i="183"/>
  <c r="D111" i="183"/>
  <c r="B111" i="183"/>
  <c r="L110" i="183"/>
  <c r="J110" i="183"/>
  <c r="G110" i="183"/>
  <c r="H110" i="183" s="1"/>
  <c r="F110" i="183"/>
  <c r="E110" i="183"/>
  <c r="D110" i="183"/>
  <c r="B110" i="183"/>
  <c r="L109" i="183"/>
  <c r="M109" i="183" s="1"/>
  <c r="J109" i="183"/>
  <c r="K109" i="183" s="1"/>
  <c r="G109" i="183"/>
  <c r="I109" i="183" s="1"/>
  <c r="F109" i="183"/>
  <c r="E109" i="183"/>
  <c r="D109" i="183"/>
  <c r="B109" i="183"/>
  <c r="L108" i="183"/>
  <c r="J108" i="183"/>
  <c r="G108" i="183"/>
  <c r="H108" i="183" s="1"/>
  <c r="F108" i="183"/>
  <c r="E108" i="183"/>
  <c r="D108" i="183"/>
  <c r="B108" i="183"/>
  <c r="L107" i="183"/>
  <c r="M107" i="183" s="1"/>
  <c r="J107" i="183"/>
  <c r="K107" i="183" s="1"/>
  <c r="G107" i="183"/>
  <c r="I107" i="183" s="1"/>
  <c r="F107" i="183"/>
  <c r="E107" i="183"/>
  <c r="D107" i="183"/>
  <c r="B107" i="183"/>
  <c r="L106" i="183"/>
  <c r="J106" i="183"/>
  <c r="G106" i="183"/>
  <c r="H106" i="183" s="1"/>
  <c r="F106" i="183"/>
  <c r="E106" i="183"/>
  <c r="D106" i="183"/>
  <c r="B106" i="183"/>
  <c r="L105" i="183"/>
  <c r="M105" i="183" s="1"/>
  <c r="J105" i="183"/>
  <c r="K105" i="183" s="1"/>
  <c r="G105" i="183"/>
  <c r="I105" i="183" s="1"/>
  <c r="F105" i="183"/>
  <c r="E105" i="183"/>
  <c r="D105" i="183"/>
  <c r="B105" i="183"/>
  <c r="L104" i="183"/>
  <c r="J104" i="183"/>
  <c r="G104" i="183"/>
  <c r="H104" i="183" s="1"/>
  <c r="F104" i="183"/>
  <c r="E104" i="183"/>
  <c r="D104" i="183"/>
  <c r="B104" i="183"/>
  <c r="L103" i="183"/>
  <c r="M103" i="183" s="1"/>
  <c r="J103" i="183"/>
  <c r="K103" i="183" s="1"/>
  <c r="G103" i="183"/>
  <c r="I103" i="183" s="1"/>
  <c r="F103" i="183"/>
  <c r="E103" i="183"/>
  <c r="D103" i="183"/>
  <c r="B103" i="183"/>
  <c r="L102" i="183"/>
  <c r="M102" i="183" s="1"/>
  <c r="J102" i="183"/>
  <c r="G102" i="183"/>
  <c r="H102" i="183" s="1"/>
  <c r="F102" i="183"/>
  <c r="E102" i="183"/>
  <c r="D102" i="183"/>
  <c r="B102" i="183"/>
  <c r="L101" i="183"/>
  <c r="M101" i="183" s="1"/>
  <c r="J101" i="183"/>
  <c r="K101" i="183" s="1"/>
  <c r="G101" i="183"/>
  <c r="I101" i="183" s="1"/>
  <c r="F101" i="183"/>
  <c r="E101" i="183"/>
  <c r="D101" i="183"/>
  <c r="B101" i="183"/>
  <c r="L100" i="183"/>
  <c r="M100" i="183" s="1"/>
  <c r="J100" i="183"/>
  <c r="G100" i="183"/>
  <c r="H100" i="183" s="1"/>
  <c r="F100" i="183"/>
  <c r="E100" i="183"/>
  <c r="D100" i="183"/>
  <c r="B100" i="183"/>
  <c r="L99" i="183"/>
  <c r="M99" i="183" s="1"/>
  <c r="J99" i="183"/>
  <c r="K99" i="183" s="1"/>
  <c r="G99" i="183"/>
  <c r="I99" i="183" s="1"/>
  <c r="F99" i="183"/>
  <c r="E99" i="183"/>
  <c r="D99" i="183"/>
  <c r="B99" i="183"/>
  <c r="L98" i="183"/>
  <c r="M98" i="183" s="1"/>
  <c r="J98" i="183"/>
  <c r="G98" i="183"/>
  <c r="H98" i="183" s="1"/>
  <c r="F98" i="183"/>
  <c r="E98" i="183"/>
  <c r="D98" i="183"/>
  <c r="B98" i="183"/>
  <c r="L97" i="183"/>
  <c r="M97" i="183" s="1"/>
  <c r="J97" i="183"/>
  <c r="K97" i="183" s="1"/>
  <c r="G97" i="183"/>
  <c r="I97" i="183" s="1"/>
  <c r="F97" i="183"/>
  <c r="E97" i="183"/>
  <c r="D97" i="183"/>
  <c r="B97" i="183"/>
  <c r="L96" i="183"/>
  <c r="M96" i="183" s="1"/>
  <c r="J96" i="183"/>
  <c r="G96" i="183"/>
  <c r="H96" i="183" s="1"/>
  <c r="F96" i="183"/>
  <c r="E96" i="183"/>
  <c r="D96" i="183"/>
  <c r="B96" i="183"/>
  <c r="L95" i="183"/>
  <c r="M95" i="183" s="1"/>
  <c r="J95" i="183"/>
  <c r="K95" i="183" s="1"/>
  <c r="G95" i="183"/>
  <c r="I95" i="183" s="1"/>
  <c r="F95" i="183"/>
  <c r="E95" i="183"/>
  <c r="D95" i="183"/>
  <c r="B95" i="183"/>
  <c r="L94" i="183"/>
  <c r="M94" i="183" s="1"/>
  <c r="J94" i="183"/>
  <c r="G94" i="183"/>
  <c r="H94" i="183" s="1"/>
  <c r="F94" i="183"/>
  <c r="E94" i="183"/>
  <c r="D94" i="183"/>
  <c r="B94" i="183"/>
  <c r="L93" i="183"/>
  <c r="M93" i="183" s="1"/>
  <c r="J93" i="183"/>
  <c r="K93" i="183" s="1"/>
  <c r="G93" i="183"/>
  <c r="H93" i="183" s="1"/>
  <c r="F93" i="183"/>
  <c r="E93" i="183"/>
  <c r="D93" i="183"/>
  <c r="B93" i="183"/>
  <c r="L92" i="183"/>
  <c r="M92" i="183" s="1"/>
  <c r="J92" i="183"/>
  <c r="G92" i="183"/>
  <c r="H92" i="183" s="1"/>
  <c r="F92" i="183"/>
  <c r="E92" i="183"/>
  <c r="D92" i="183"/>
  <c r="B92" i="183"/>
  <c r="L91" i="183"/>
  <c r="M91" i="183" s="1"/>
  <c r="J91" i="183"/>
  <c r="K91" i="183" s="1"/>
  <c r="G91" i="183"/>
  <c r="I91" i="183" s="1"/>
  <c r="F91" i="183"/>
  <c r="E91" i="183"/>
  <c r="D91" i="183"/>
  <c r="B91" i="183"/>
  <c r="L90" i="183"/>
  <c r="M90" i="183" s="1"/>
  <c r="J90" i="183"/>
  <c r="K90" i="183" s="1"/>
  <c r="G90" i="183"/>
  <c r="I90" i="183" s="1"/>
  <c r="F90" i="183"/>
  <c r="E90" i="183"/>
  <c r="D90" i="183"/>
  <c r="B90" i="183"/>
  <c r="L89" i="183"/>
  <c r="M89" i="183" s="1"/>
  <c r="J89" i="183"/>
  <c r="K89" i="183" s="1"/>
  <c r="G89" i="183"/>
  <c r="H89" i="183" s="1"/>
  <c r="F89" i="183"/>
  <c r="E89" i="183"/>
  <c r="D89" i="183"/>
  <c r="B89" i="183"/>
  <c r="L88" i="183"/>
  <c r="M88" i="183" s="1"/>
  <c r="J88" i="183"/>
  <c r="K88" i="183" s="1"/>
  <c r="G88" i="183"/>
  <c r="F88" i="183"/>
  <c r="E88" i="183"/>
  <c r="D88" i="183"/>
  <c r="B88" i="183"/>
  <c r="L87" i="183"/>
  <c r="M87" i="183" s="1"/>
  <c r="J87" i="183"/>
  <c r="K87" i="183" s="1"/>
  <c r="G87" i="183"/>
  <c r="H87" i="183" s="1"/>
  <c r="F87" i="183"/>
  <c r="E87" i="183"/>
  <c r="D87" i="183"/>
  <c r="B87" i="183"/>
  <c r="L86" i="183"/>
  <c r="M86" i="183" s="1"/>
  <c r="J86" i="183"/>
  <c r="K86" i="183" s="1"/>
  <c r="G86" i="183"/>
  <c r="F86" i="183"/>
  <c r="E86" i="183"/>
  <c r="D86" i="183"/>
  <c r="B86" i="183"/>
  <c r="L85" i="183"/>
  <c r="M85" i="183" s="1"/>
  <c r="J85" i="183"/>
  <c r="K85" i="183" s="1"/>
  <c r="G85" i="183"/>
  <c r="H85" i="183" s="1"/>
  <c r="F85" i="183"/>
  <c r="E85" i="183"/>
  <c r="D85" i="183"/>
  <c r="B85" i="183"/>
  <c r="L84" i="183"/>
  <c r="M84" i="183" s="1"/>
  <c r="J84" i="183"/>
  <c r="K84" i="183" s="1"/>
  <c r="G84" i="183"/>
  <c r="F84" i="183"/>
  <c r="E84" i="183"/>
  <c r="D84" i="183"/>
  <c r="B84" i="183"/>
  <c r="L83" i="183"/>
  <c r="M83" i="183" s="1"/>
  <c r="J83" i="183"/>
  <c r="K83" i="183" s="1"/>
  <c r="G83" i="183"/>
  <c r="H83" i="183" s="1"/>
  <c r="F83" i="183"/>
  <c r="E83" i="183"/>
  <c r="D83" i="183"/>
  <c r="B83" i="183"/>
  <c r="L82" i="183"/>
  <c r="M82" i="183" s="1"/>
  <c r="J82" i="183"/>
  <c r="K82" i="183" s="1"/>
  <c r="G82" i="183"/>
  <c r="F82" i="183"/>
  <c r="E82" i="183"/>
  <c r="D82" i="183"/>
  <c r="B82" i="183"/>
  <c r="L81" i="183"/>
  <c r="M81" i="183" s="1"/>
  <c r="J81" i="183"/>
  <c r="K81" i="183" s="1"/>
  <c r="G81" i="183"/>
  <c r="H81" i="183" s="1"/>
  <c r="F81" i="183"/>
  <c r="E81" i="183"/>
  <c r="D81" i="183"/>
  <c r="B81" i="183"/>
  <c r="L80" i="183"/>
  <c r="M80" i="183" s="1"/>
  <c r="J80" i="183"/>
  <c r="K80" i="183" s="1"/>
  <c r="G80" i="183"/>
  <c r="F80" i="183"/>
  <c r="E80" i="183"/>
  <c r="D80" i="183"/>
  <c r="B80" i="183"/>
  <c r="L79" i="183"/>
  <c r="M79" i="183" s="1"/>
  <c r="J79" i="183"/>
  <c r="K79" i="183" s="1"/>
  <c r="G79" i="183"/>
  <c r="H79" i="183" s="1"/>
  <c r="F79" i="183"/>
  <c r="E79" i="183"/>
  <c r="D79" i="183"/>
  <c r="B79" i="183"/>
  <c r="L78" i="183"/>
  <c r="M78" i="183" s="1"/>
  <c r="J78" i="183"/>
  <c r="K78" i="183" s="1"/>
  <c r="G78" i="183"/>
  <c r="F78" i="183"/>
  <c r="E78" i="183"/>
  <c r="D78" i="183"/>
  <c r="B78" i="183"/>
  <c r="L77" i="183"/>
  <c r="M77" i="183" s="1"/>
  <c r="J77" i="183"/>
  <c r="K77" i="183" s="1"/>
  <c r="G77" i="183"/>
  <c r="H77" i="183" s="1"/>
  <c r="F77" i="183"/>
  <c r="E77" i="183"/>
  <c r="D77" i="183"/>
  <c r="B77" i="183"/>
  <c r="L76" i="183"/>
  <c r="M76" i="183" s="1"/>
  <c r="J76" i="183"/>
  <c r="K76" i="183" s="1"/>
  <c r="G76" i="183"/>
  <c r="F76" i="183"/>
  <c r="E76" i="183"/>
  <c r="D76" i="183"/>
  <c r="B76" i="183"/>
  <c r="L75" i="183"/>
  <c r="M75" i="183" s="1"/>
  <c r="J75" i="183"/>
  <c r="K75" i="183" s="1"/>
  <c r="G75" i="183"/>
  <c r="H75" i="183" s="1"/>
  <c r="F75" i="183"/>
  <c r="E75" i="183"/>
  <c r="D75" i="183"/>
  <c r="B75" i="183"/>
  <c r="L74" i="183"/>
  <c r="M74" i="183" s="1"/>
  <c r="J74" i="183"/>
  <c r="K74" i="183" s="1"/>
  <c r="G74" i="183"/>
  <c r="F74" i="183"/>
  <c r="E74" i="183"/>
  <c r="D74" i="183"/>
  <c r="B74" i="183"/>
  <c r="L73" i="183"/>
  <c r="M73" i="183" s="1"/>
  <c r="J73" i="183"/>
  <c r="K73" i="183" s="1"/>
  <c r="G73" i="183"/>
  <c r="H73" i="183" s="1"/>
  <c r="F73" i="183"/>
  <c r="E73" i="183"/>
  <c r="D73" i="183"/>
  <c r="B73" i="183"/>
  <c r="L72" i="183"/>
  <c r="M72" i="183" s="1"/>
  <c r="J72" i="183"/>
  <c r="K72" i="183" s="1"/>
  <c r="G72" i="183"/>
  <c r="F72" i="183"/>
  <c r="E72" i="183"/>
  <c r="D72" i="183"/>
  <c r="B72" i="183"/>
  <c r="L71" i="183"/>
  <c r="M71" i="183" s="1"/>
  <c r="J71" i="183"/>
  <c r="K71" i="183" s="1"/>
  <c r="G71" i="183"/>
  <c r="H71" i="183" s="1"/>
  <c r="F71" i="183"/>
  <c r="E71" i="183"/>
  <c r="D71" i="183"/>
  <c r="B71" i="183"/>
  <c r="L70" i="183"/>
  <c r="M70" i="183" s="1"/>
  <c r="J70" i="183"/>
  <c r="K70" i="183" s="1"/>
  <c r="G70" i="183"/>
  <c r="F70" i="183"/>
  <c r="E70" i="183"/>
  <c r="D70" i="183"/>
  <c r="B70" i="183"/>
  <c r="L69" i="183"/>
  <c r="M69" i="183" s="1"/>
  <c r="J69" i="183"/>
  <c r="K69" i="183" s="1"/>
  <c r="G69" i="183"/>
  <c r="H69" i="183" s="1"/>
  <c r="F69" i="183"/>
  <c r="E69" i="183"/>
  <c r="D69" i="183"/>
  <c r="B69" i="183"/>
  <c r="L68" i="183"/>
  <c r="M68" i="183" s="1"/>
  <c r="J68" i="183"/>
  <c r="K68" i="183" s="1"/>
  <c r="G68" i="183"/>
  <c r="F68" i="183"/>
  <c r="E68" i="183"/>
  <c r="D68" i="183"/>
  <c r="B68" i="183"/>
  <c r="L67" i="183"/>
  <c r="M67" i="183" s="1"/>
  <c r="J67" i="183"/>
  <c r="K67" i="183" s="1"/>
  <c r="G67" i="183"/>
  <c r="H67" i="183" s="1"/>
  <c r="F67" i="183"/>
  <c r="E67" i="183"/>
  <c r="D67" i="183"/>
  <c r="B67" i="183"/>
  <c r="L66" i="183"/>
  <c r="M66" i="183" s="1"/>
  <c r="J66" i="183"/>
  <c r="K66" i="183" s="1"/>
  <c r="G66" i="183"/>
  <c r="F66" i="183"/>
  <c r="E66" i="183"/>
  <c r="D66" i="183"/>
  <c r="B66" i="183"/>
  <c r="L65" i="183"/>
  <c r="M65" i="183" s="1"/>
  <c r="J65" i="183"/>
  <c r="K65" i="183" s="1"/>
  <c r="G65" i="183"/>
  <c r="H65" i="183" s="1"/>
  <c r="F65" i="183"/>
  <c r="E65" i="183"/>
  <c r="D65" i="183"/>
  <c r="B65" i="183"/>
  <c r="L64" i="183"/>
  <c r="M64" i="183" s="1"/>
  <c r="J64" i="183"/>
  <c r="K64" i="183" s="1"/>
  <c r="G64" i="183"/>
  <c r="F64" i="183"/>
  <c r="E64" i="183"/>
  <c r="D64" i="183"/>
  <c r="B64" i="183"/>
  <c r="L63" i="183"/>
  <c r="M63" i="183" s="1"/>
  <c r="J63" i="183"/>
  <c r="K63" i="183" s="1"/>
  <c r="G63" i="183"/>
  <c r="H63" i="183" s="1"/>
  <c r="F63" i="183"/>
  <c r="E63" i="183"/>
  <c r="D63" i="183"/>
  <c r="B63" i="183"/>
  <c r="L62" i="183"/>
  <c r="M62" i="183" s="1"/>
  <c r="J62" i="183"/>
  <c r="K62" i="183" s="1"/>
  <c r="G62" i="183"/>
  <c r="F62" i="183"/>
  <c r="E62" i="183"/>
  <c r="D62" i="183"/>
  <c r="B62" i="183"/>
  <c r="L61" i="183"/>
  <c r="M61" i="183" s="1"/>
  <c r="J61" i="183"/>
  <c r="K61" i="183" s="1"/>
  <c r="G61" i="183"/>
  <c r="H61" i="183" s="1"/>
  <c r="F61" i="183"/>
  <c r="E61" i="183"/>
  <c r="D61" i="183"/>
  <c r="B61" i="183"/>
  <c r="L60" i="183"/>
  <c r="M60" i="183" s="1"/>
  <c r="J60" i="183"/>
  <c r="K60" i="183" s="1"/>
  <c r="G60" i="183"/>
  <c r="F60" i="183"/>
  <c r="E60" i="183"/>
  <c r="D60" i="183"/>
  <c r="B60" i="183"/>
  <c r="L59" i="183"/>
  <c r="M59" i="183" s="1"/>
  <c r="J59" i="183"/>
  <c r="K59" i="183" s="1"/>
  <c r="G59" i="183"/>
  <c r="H59" i="183" s="1"/>
  <c r="F59" i="183"/>
  <c r="E59" i="183"/>
  <c r="D59" i="183"/>
  <c r="B59" i="183"/>
  <c r="L58" i="183"/>
  <c r="M58" i="183" s="1"/>
  <c r="J58" i="183"/>
  <c r="K58" i="183" s="1"/>
  <c r="G58" i="183"/>
  <c r="H58" i="183" s="1"/>
  <c r="F58" i="183"/>
  <c r="E58" i="183"/>
  <c r="D58" i="183"/>
  <c r="B58" i="183"/>
  <c r="L57" i="183"/>
  <c r="M57" i="183" s="1"/>
  <c r="J57" i="183"/>
  <c r="K57" i="183" s="1"/>
  <c r="G57" i="183"/>
  <c r="H57" i="183" s="1"/>
  <c r="F57" i="183"/>
  <c r="E57" i="183"/>
  <c r="D57" i="183"/>
  <c r="B57" i="183"/>
  <c r="L56" i="183"/>
  <c r="M56" i="183" s="1"/>
  <c r="J56" i="183"/>
  <c r="K56" i="183" s="1"/>
  <c r="G56" i="183"/>
  <c r="H56" i="183" s="1"/>
  <c r="F56" i="183"/>
  <c r="E56" i="183"/>
  <c r="D56" i="183"/>
  <c r="B56" i="183"/>
  <c r="L55" i="183"/>
  <c r="M55" i="183" s="1"/>
  <c r="J55" i="183"/>
  <c r="K55" i="183" s="1"/>
  <c r="G55" i="183"/>
  <c r="H55" i="183" s="1"/>
  <c r="F55" i="183"/>
  <c r="E55" i="183"/>
  <c r="D55" i="183"/>
  <c r="B55" i="183"/>
  <c r="L54" i="183"/>
  <c r="J54" i="183"/>
  <c r="G54" i="183"/>
  <c r="H54" i="183" s="1"/>
  <c r="F54" i="183"/>
  <c r="E54" i="183"/>
  <c r="D54" i="183"/>
  <c r="B54" i="183"/>
  <c r="L53" i="183"/>
  <c r="M53" i="183" s="1"/>
  <c r="J53" i="183"/>
  <c r="K53" i="183" s="1"/>
  <c r="G53" i="183"/>
  <c r="I53" i="183" s="1"/>
  <c r="F53" i="183"/>
  <c r="E53" i="183"/>
  <c r="D53" i="183"/>
  <c r="B53" i="183"/>
  <c r="L52" i="183"/>
  <c r="M52" i="183" s="1"/>
  <c r="J52" i="183"/>
  <c r="G52" i="183"/>
  <c r="H52" i="183" s="1"/>
  <c r="F52" i="183"/>
  <c r="E52" i="183"/>
  <c r="D52" i="183"/>
  <c r="B52" i="183"/>
  <c r="L51" i="183"/>
  <c r="J51" i="183"/>
  <c r="G51" i="183"/>
  <c r="H51" i="183" s="1"/>
  <c r="F51" i="183"/>
  <c r="E51" i="183"/>
  <c r="D51" i="183"/>
  <c r="B51" i="183"/>
  <c r="L50" i="183"/>
  <c r="M50" i="183" s="1"/>
  <c r="J50" i="183"/>
  <c r="G50" i="183"/>
  <c r="H50" i="183" s="1"/>
  <c r="F50" i="183"/>
  <c r="E50" i="183"/>
  <c r="D50" i="183"/>
  <c r="B50" i="183"/>
  <c r="L49" i="183"/>
  <c r="J49" i="183"/>
  <c r="G49" i="183"/>
  <c r="H49" i="183" s="1"/>
  <c r="F49" i="183"/>
  <c r="E49" i="183"/>
  <c r="D49" i="183"/>
  <c r="B49" i="183"/>
  <c r="L48" i="183"/>
  <c r="M48" i="183" s="1"/>
  <c r="J48" i="183"/>
  <c r="G48" i="183"/>
  <c r="H48" i="183" s="1"/>
  <c r="F48" i="183"/>
  <c r="E48" i="183"/>
  <c r="D48" i="183"/>
  <c r="B48" i="183"/>
  <c r="L47" i="183"/>
  <c r="J47" i="183"/>
  <c r="G47" i="183"/>
  <c r="H47" i="183" s="1"/>
  <c r="F47" i="183"/>
  <c r="E47" i="183"/>
  <c r="D47" i="183"/>
  <c r="B47" i="183"/>
  <c r="L46" i="183"/>
  <c r="M46" i="183" s="1"/>
  <c r="J46" i="183"/>
  <c r="G46" i="183"/>
  <c r="I46" i="183" s="1"/>
  <c r="F46" i="183"/>
  <c r="E46" i="183"/>
  <c r="D46" i="183"/>
  <c r="B46" i="183"/>
  <c r="L45" i="183"/>
  <c r="M45" i="183" s="1"/>
  <c r="J45" i="183"/>
  <c r="K45" i="183" s="1"/>
  <c r="G45" i="183"/>
  <c r="H45" i="183" s="1"/>
  <c r="E45" i="183"/>
  <c r="D45" i="183"/>
  <c r="B45" i="183"/>
  <c r="L44" i="183"/>
  <c r="M44" i="183" s="1"/>
  <c r="J44" i="183"/>
  <c r="K44" i="183" s="1"/>
  <c r="G44" i="183"/>
  <c r="I44" i="183" s="1"/>
  <c r="F44" i="183"/>
  <c r="E44" i="183"/>
  <c r="D44" i="183"/>
  <c r="B44" i="183"/>
  <c r="L43" i="183"/>
  <c r="M43" i="183" s="1"/>
  <c r="J43" i="183"/>
  <c r="G43" i="183"/>
  <c r="H43" i="183" s="1"/>
  <c r="F43" i="183"/>
  <c r="E43" i="183"/>
  <c r="D43" i="183"/>
  <c r="B43" i="183"/>
  <c r="L42" i="183"/>
  <c r="M42" i="183" s="1"/>
  <c r="J42" i="183"/>
  <c r="K42" i="183" s="1"/>
  <c r="G42" i="183"/>
  <c r="I42" i="183" s="1"/>
  <c r="E42" i="183"/>
  <c r="D42" i="183"/>
  <c r="B42" i="183"/>
  <c r="L41" i="183"/>
  <c r="M41" i="183" s="1"/>
  <c r="J41" i="183"/>
  <c r="K41" i="183" s="1"/>
  <c r="G41" i="183"/>
  <c r="I41" i="183" s="1"/>
  <c r="E41" i="183"/>
  <c r="D41" i="183"/>
  <c r="B41" i="183"/>
  <c r="L40" i="183"/>
  <c r="M40" i="183" s="1"/>
  <c r="J40" i="183"/>
  <c r="G40" i="183"/>
  <c r="H40" i="183" s="1"/>
  <c r="F40" i="183"/>
  <c r="E40" i="183"/>
  <c r="D40" i="183"/>
  <c r="B40" i="183"/>
  <c r="L39" i="183"/>
  <c r="M39" i="183" s="1"/>
  <c r="J39" i="183"/>
  <c r="K39" i="183" s="1"/>
  <c r="G39" i="183"/>
  <c r="I39" i="183" s="1"/>
  <c r="F39" i="183"/>
  <c r="E39" i="183"/>
  <c r="D39" i="183"/>
  <c r="B39" i="183"/>
  <c r="L38" i="183"/>
  <c r="M38" i="183" s="1"/>
  <c r="J38" i="183"/>
  <c r="K38" i="183" s="1"/>
  <c r="G38" i="183"/>
  <c r="H38" i="183" s="1"/>
  <c r="E38" i="183"/>
  <c r="D38" i="183"/>
  <c r="B38" i="183"/>
  <c r="L37" i="183"/>
  <c r="J37" i="183"/>
  <c r="G37" i="183"/>
  <c r="H37" i="183" s="1"/>
  <c r="F37" i="183"/>
  <c r="E37" i="183"/>
  <c r="D37" i="183"/>
  <c r="B37" i="183"/>
  <c r="L36" i="183"/>
  <c r="M36" i="183" s="1"/>
  <c r="J36" i="183"/>
  <c r="G36" i="183"/>
  <c r="I36" i="183" s="1"/>
  <c r="F36" i="183"/>
  <c r="E36" i="183"/>
  <c r="D36" i="183"/>
  <c r="B36" i="183"/>
  <c r="L35" i="183"/>
  <c r="J35" i="183"/>
  <c r="G35" i="183"/>
  <c r="H35" i="183" s="1"/>
  <c r="F35" i="183"/>
  <c r="E35" i="183"/>
  <c r="D35" i="183"/>
  <c r="B35" i="183"/>
  <c r="L34" i="183"/>
  <c r="M34" i="183" s="1"/>
  <c r="J34" i="183"/>
  <c r="G34" i="183"/>
  <c r="I34" i="183" s="1"/>
  <c r="F34" i="183"/>
  <c r="E34" i="183"/>
  <c r="D34" i="183"/>
  <c r="B34" i="183"/>
  <c r="L33" i="183"/>
  <c r="M33" i="183" s="1"/>
  <c r="J33" i="183"/>
  <c r="K33" i="183" s="1"/>
  <c r="G33" i="183"/>
  <c r="H33" i="183" s="1"/>
  <c r="E33" i="183"/>
  <c r="D33" i="183"/>
  <c r="B33" i="183"/>
  <c r="L32" i="183"/>
  <c r="M32" i="183" s="1"/>
  <c r="J32" i="183"/>
  <c r="K32" i="183" s="1"/>
  <c r="G32" i="183"/>
  <c r="I32" i="183" s="1"/>
  <c r="F32" i="183"/>
  <c r="E32" i="183"/>
  <c r="D32" i="183"/>
  <c r="B32" i="183"/>
  <c r="L31" i="183"/>
  <c r="M31" i="183" s="1"/>
  <c r="J31" i="183"/>
  <c r="G31" i="183"/>
  <c r="H31" i="183" s="1"/>
  <c r="F31" i="183"/>
  <c r="E31" i="183"/>
  <c r="D31" i="183"/>
  <c r="B31" i="183"/>
  <c r="L30" i="183"/>
  <c r="M30" i="183" s="1"/>
  <c r="J30" i="183"/>
  <c r="K30" i="183" s="1"/>
  <c r="G30" i="183"/>
  <c r="I30" i="183" s="1"/>
  <c r="F30" i="183"/>
  <c r="E30" i="183"/>
  <c r="D30" i="183"/>
  <c r="B30" i="183"/>
  <c r="L29" i="183"/>
  <c r="M29" i="183" s="1"/>
  <c r="J29" i="183"/>
  <c r="G29" i="183"/>
  <c r="H29" i="183" s="1"/>
  <c r="F29" i="183"/>
  <c r="E29" i="183"/>
  <c r="D29" i="183"/>
  <c r="B29" i="183"/>
  <c r="L28" i="183"/>
  <c r="M28" i="183" s="1"/>
  <c r="J28" i="183"/>
  <c r="K28" i="183" s="1"/>
  <c r="G28" i="183"/>
  <c r="I28" i="183" s="1"/>
  <c r="F28" i="183"/>
  <c r="E28" i="183"/>
  <c r="D28" i="183"/>
  <c r="B28" i="183"/>
  <c r="L27" i="183"/>
  <c r="M27" i="183" s="1"/>
  <c r="J27" i="183"/>
  <c r="G27" i="183"/>
  <c r="H27" i="183" s="1"/>
  <c r="F27" i="183"/>
  <c r="E27" i="183"/>
  <c r="D27" i="183"/>
  <c r="B27" i="183"/>
  <c r="L26" i="183"/>
  <c r="M26" i="183" s="1"/>
  <c r="J26" i="183"/>
  <c r="K26" i="183" s="1"/>
  <c r="G26" i="183"/>
  <c r="F26" i="183"/>
  <c r="E26" i="183"/>
  <c r="D26" i="183"/>
  <c r="B26" i="183"/>
  <c r="L25" i="183"/>
  <c r="M25" i="183" s="1"/>
  <c r="J25" i="183"/>
  <c r="G25" i="183"/>
  <c r="H25" i="183" s="1"/>
  <c r="F25" i="183"/>
  <c r="E25" i="183"/>
  <c r="D25" i="183"/>
  <c r="B25" i="183"/>
  <c r="L24" i="183"/>
  <c r="M24" i="183" s="1"/>
  <c r="J24" i="183"/>
  <c r="K24" i="183" s="1"/>
  <c r="G24" i="183"/>
  <c r="I24" i="183" s="1"/>
  <c r="F24" i="183"/>
  <c r="E24" i="183"/>
  <c r="D24" i="183"/>
  <c r="B24" i="183"/>
  <c r="L23" i="183"/>
  <c r="M23" i="183" s="1"/>
  <c r="J23" i="183"/>
  <c r="G23" i="183"/>
  <c r="H23" i="183" s="1"/>
  <c r="F23" i="183"/>
  <c r="E23" i="183"/>
  <c r="D23" i="183"/>
  <c r="B23" i="183"/>
  <c r="L22" i="183"/>
  <c r="M22" i="183" s="1"/>
  <c r="J22" i="183"/>
  <c r="K22" i="183" s="1"/>
  <c r="G22" i="183"/>
  <c r="I22" i="183" s="1"/>
  <c r="F22" i="183"/>
  <c r="E22" i="183"/>
  <c r="D22" i="183"/>
  <c r="B22" i="183"/>
  <c r="L21" i="183"/>
  <c r="J21" i="183"/>
  <c r="K21" i="183" s="1"/>
  <c r="G21" i="183"/>
  <c r="H21" i="183" s="1"/>
  <c r="F21" i="183"/>
  <c r="E21" i="183"/>
  <c r="D21" i="183"/>
  <c r="B21" i="183"/>
  <c r="L20" i="183"/>
  <c r="M20" i="183" s="1"/>
  <c r="J20" i="183"/>
  <c r="K20" i="183" s="1"/>
  <c r="G20" i="183"/>
  <c r="I20" i="183" s="1"/>
  <c r="E20" i="183"/>
  <c r="D20" i="183"/>
  <c r="B20" i="183"/>
  <c r="L19" i="183"/>
  <c r="J19" i="183"/>
  <c r="G19" i="183"/>
  <c r="I19" i="183" s="1"/>
  <c r="F19" i="183"/>
  <c r="E19" i="183"/>
  <c r="D19" i="183"/>
  <c r="B19" i="183"/>
  <c r="L18" i="183"/>
  <c r="M18" i="183" s="1"/>
  <c r="J18" i="183"/>
  <c r="K18" i="183" s="1"/>
  <c r="G18" i="183"/>
  <c r="I18" i="183" s="1"/>
  <c r="E18" i="183"/>
  <c r="D18" i="183"/>
  <c r="B18" i="183"/>
  <c r="L17" i="183"/>
  <c r="M17" i="183" s="1"/>
  <c r="J17" i="183"/>
  <c r="K17" i="183" s="1"/>
  <c r="G17" i="183"/>
  <c r="I17" i="183" s="1"/>
  <c r="E17" i="183"/>
  <c r="D17" i="183"/>
  <c r="B17" i="183"/>
  <c r="L16" i="183"/>
  <c r="M16" i="183" s="1"/>
  <c r="J16" i="183"/>
  <c r="K16" i="183" s="1"/>
  <c r="G16" i="183"/>
  <c r="I16" i="183" s="1"/>
  <c r="E16" i="183"/>
  <c r="D16" i="183"/>
  <c r="B16" i="183"/>
  <c r="L15" i="183"/>
  <c r="M15" i="183" s="1"/>
  <c r="J15" i="183"/>
  <c r="K15" i="183" s="1"/>
  <c r="G15" i="183"/>
  <c r="H15" i="183" s="1"/>
  <c r="E15" i="183"/>
  <c r="D15" i="183"/>
  <c r="B15" i="183"/>
  <c r="L14" i="183"/>
  <c r="M14" i="183" s="1"/>
  <c r="J14" i="183"/>
  <c r="K14" i="183" s="1"/>
  <c r="G14" i="183"/>
  <c r="I14" i="183" s="1"/>
  <c r="E14" i="183"/>
  <c r="D14" i="183"/>
  <c r="B14" i="183"/>
  <c r="L13" i="183"/>
  <c r="M13" i="183" s="1"/>
  <c r="J13" i="183"/>
  <c r="K13" i="183" s="1"/>
  <c r="G13" i="183"/>
  <c r="I13" i="183" s="1"/>
  <c r="E13" i="183"/>
  <c r="D13" i="183"/>
  <c r="B13" i="183"/>
  <c r="L12" i="183"/>
  <c r="M12" i="183" s="1"/>
  <c r="J12" i="183"/>
  <c r="K12" i="183" s="1"/>
  <c r="G12" i="183"/>
  <c r="H12" i="183" s="1"/>
  <c r="E12" i="183"/>
  <c r="D12" i="183"/>
  <c r="B12" i="183"/>
  <c r="L11" i="183"/>
  <c r="M11" i="183" s="1"/>
  <c r="J11" i="183"/>
  <c r="K11" i="183" s="1"/>
  <c r="G11" i="183"/>
  <c r="H11" i="183" s="1"/>
  <c r="E11" i="183"/>
  <c r="D11" i="183"/>
  <c r="B11" i="183"/>
  <c r="L10" i="183"/>
  <c r="M10" i="183" s="1"/>
  <c r="J10" i="183"/>
  <c r="K10" i="183" s="1"/>
  <c r="G10" i="183"/>
  <c r="I10" i="183" s="1"/>
  <c r="E10" i="183"/>
  <c r="D10" i="183"/>
  <c r="B10" i="183"/>
  <c r="L9" i="183"/>
  <c r="M9" i="183" s="1"/>
  <c r="J9" i="183"/>
  <c r="G9" i="183"/>
  <c r="I9" i="183" s="1"/>
  <c r="F9" i="183"/>
  <c r="E9" i="183"/>
  <c r="D9" i="183"/>
  <c r="B9" i="183"/>
  <c r="L8" i="183"/>
  <c r="J8" i="183"/>
  <c r="K8" i="183" s="1"/>
  <c r="G8" i="183"/>
  <c r="H8" i="183" s="1"/>
  <c r="F8" i="183"/>
  <c r="E8" i="183"/>
  <c r="D8" i="183"/>
  <c r="B8" i="183"/>
  <c r="L7" i="183"/>
  <c r="M7" i="183" s="1"/>
  <c r="J7" i="183"/>
  <c r="K7" i="183" s="1"/>
  <c r="G7" i="183"/>
  <c r="I7" i="183" s="1"/>
  <c r="E7" i="183"/>
  <c r="D7" i="183"/>
  <c r="B7" i="183"/>
  <c r="L6" i="183"/>
  <c r="M6" i="183" s="1"/>
  <c r="J6" i="183"/>
  <c r="K6" i="183" s="1"/>
  <c r="G6" i="183"/>
  <c r="I6" i="183" s="1"/>
  <c r="E6" i="183"/>
  <c r="D6" i="183"/>
  <c r="B6" i="183"/>
  <c r="L5" i="183"/>
  <c r="J5" i="183"/>
  <c r="K5" i="183" s="1"/>
  <c r="G5" i="183"/>
  <c r="H5" i="183" s="1"/>
  <c r="F5" i="183"/>
  <c r="E5" i="183"/>
  <c r="D5" i="183"/>
  <c r="L4" i="183"/>
  <c r="J4" i="183"/>
  <c r="K4" i="183" s="1"/>
  <c r="G4" i="183"/>
  <c r="I4" i="183" s="1"/>
  <c r="F4" i="183"/>
  <c r="E4" i="183"/>
  <c r="D4" i="183"/>
  <c r="B4" i="183"/>
  <c r="L3" i="183"/>
  <c r="J3" i="183"/>
  <c r="G3" i="183"/>
  <c r="I3" i="183" s="1"/>
  <c r="F3" i="183"/>
  <c r="E3" i="183"/>
  <c r="D3" i="183"/>
  <c r="B3" i="183"/>
  <c r="L2" i="183"/>
  <c r="J2" i="183"/>
  <c r="K2" i="183" s="1"/>
  <c r="G2" i="183"/>
  <c r="I2" i="183" s="1"/>
  <c r="F2" i="183"/>
  <c r="E2" i="183"/>
  <c r="D2" i="183"/>
  <c r="B2" i="183"/>
  <c r="T197" i="178"/>
  <c r="U197" i="178" s="1"/>
  <c r="W197" i="178"/>
  <c r="AD197" i="178"/>
  <c r="AE197" i="178"/>
  <c r="AF197" i="178"/>
  <c r="AG197" i="178"/>
  <c r="AH197" i="178"/>
  <c r="AI197" i="178"/>
  <c r="AJ197" i="178"/>
  <c r="AK197" i="178"/>
  <c r="AL197" i="178"/>
  <c r="AM197" i="178"/>
  <c r="AN197" i="178"/>
  <c r="AO197" i="178"/>
  <c r="T170" i="178"/>
  <c r="W170" i="178"/>
  <c r="AD170" i="178"/>
  <c r="AE170" i="178"/>
  <c r="AF170" i="178"/>
  <c r="AG170" i="178"/>
  <c r="AH170" i="178"/>
  <c r="AI170" i="178"/>
  <c r="AJ170" i="178"/>
  <c r="AK170" i="178"/>
  <c r="AL170" i="178"/>
  <c r="AM170" i="178"/>
  <c r="AN170" i="178"/>
  <c r="AO170" i="178"/>
  <c r="T431" i="178"/>
  <c r="U431" i="178" s="1"/>
  <c r="W431" i="178"/>
  <c r="AD431" i="178"/>
  <c r="AE431" i="178"/>
  <c r="AF431" i="178"/>
  <c r="AG431" i="178"/>
  <c r="AH431" i="178"/>
  <c r="AI431" i="178"/>
  <c r="AJ431" i="178"/>
  <c r="AK431" i="178"/>
  <c r="AL431" i="178"/>
  <c r="AM431" i="178"/>
  <c r="AN431" i="178"/>
  <c r="AO431" i="178"/>
  <c r="T391" i="178"/>
  <c r="V391" i="178" s="1"/>
  <c r="W391" i="178"/>
  <c r="AD391" i="178"/>
  <c r="AE391" i="178"/>
  <c r="AF391" i="178"/>
  <c r="AG391" i="178"/>
  <c r="AH391" i="178"/>
  <c r="AI391" i="178"/>
  <c r="AJ391" i="178"/>
  <c r="AK391" i="178"/>
  <c r="AL391" i="178"/>
  <c r="AM391" i="178"/>
  <c r="AN391" i="178"/>
  <c r="AO391" i="178"/>
  <c r="T416" i="178"/>
  <c r="U416" i="178" s="1"/>
  <c r="W416" i="178"/>
  <c r="AD416" i="178"/>
  <c r="AE416" i="178"/>
  <c r="AF416" i="178"/>
  <c r="AG416" i="178"/>
  <c r="AH416" i="178"/>
  <c r="AI416" i="178"/>
  <c r="AJ416" i="178"/>
  <c r="AK416" i="178"/>
  <c r="AL416" i="178"/>
  <c r="AM416" i="178"/>
  <c r="AN416" i="178"/>
  <c r="AO416" i="178"/>
  <c r="T200" i="178"/>
  <c r="W200" i="178"/>
  <c r="AD200" i="178"/>
  <c r="AE200" i="178"/>
  <c r="AF200" i="178"/>
  <c r="AG200" i="178"/>
  <c r="AH200" i="178"/>
  <c r="AI200" i="178"/>
  <c r="AJ200" i="178"/>
  <c r="AK200" i="178"/>
  <c r="AL200" i="178"/>
  <c r="AM200" i="178"/>
  <c r="AN200" i="178"/>
  <c r="AO200" i="178"/>
  <c r="T201" i="178"/>
  <c r="U201" i="178" s="1"/>
  <c r="W201" i="178"/>
  <c r="AD201" i="178"/>
  <c r="AE201" i="178"/>
  <c r="AF201" i="178"/>
  <c r="AG201" i="178"/>
  <c r="AH201" i="178"/>
  <c r="AI201" i="178"/>
  <c r="AJ201" i="178"/>
  <c r="AK201" i="178"/>
  <c r="AL201" i="178"/>
  <c r="AM201" i="178"/>
  <c r="AN201" i="178"/>
  <c r="AO201" i="178"/>
  <c r="T175" i="178"/>
  <c r="W175" i="178"/>
  <c r="AD175" i="178"/>
  <c r="AE175" i="178"/>
  <c r="AF175" i="178"/>
  <c r="AG175" i="178"/>
  <c r="AH175" i="178"/>
  <c r="AI175" i="178"/>
  <c r="AJ175" i="178"/>
  <c r="AK175" i="178"/>
  <c r="AL175" i="178"/>
  <c r="AM175" i="178"/>
  <c r="AN175" i="178"/>
  <c r="AO175" i="178"/>
  <c r="T177" i="178"/>
  <c r="V177" i="178" s="1"/>
  <c r="W177" i="178"/>
  <c r="AD177" i="178"/>
  <c r="AE177" i="178"/>
  <c r="AF177" i="178"/>
  <c r="AG177" i="178"/>
  <c r="AH177" i="178"/>
  <c r="AI177" i="178"/>
  <c r="AJ177" i="178"/>
  <c r="AK177" i="178"/>
  <c r="AL177" i="178"/>
  <c r="AM177" i="178"/>
  <c r="AN177" i="178"/>
  <c r="AO177" i="178"/>
  <c r="T293" i="178"/>
  <c r="W293" i="178"/>
  <c r="AD293" i="178"/>
  <c r="AE293" i="178"/>
  <c r="AF293" i="178"/>
  <c r="AG293" i="178"/>
  <c r="AH293" i="178"/>
  <c r="AI293" i="178"/>
  <c r="AJ293" i="178"/>
  <c r="AK293" i="178"/>
  <c r="AL293" i="178"/>
  <c r="AM293" i="178"/>
  <c r="AN293" i="178"/>
  <c r="AO293" i="178"/>
  <c r="T174" i="178"/>
  <c r="W174" i="178"/>
  <c r="AD174" i="178"/>
  <c r="AE174" i="178"/>
  <c r="AF174" i="178"/>
  <c r="AG174" i="178"/>
  <c r="AH174" i="178"/>
  <c r="AI174" i="178"/>
  <c r="AJ174" i="178"/>
  <c r="AK174" i="178"/>
  <c r="AL174" i="178"/>
  <c r="AM174" i="178"/>
  <c r="AN174" i="178"/>
  <c r="AO174" i="178"/>
  <c r="T294" i="178"/>
  <c r="V294" i="178" s="1"/>
  <c r="W294" i="178"/>
  <c r="AD294" i="178"/>
  <c r="AE294" i="178"/>
  <c r="AF294" i="178"/>
  <c r="AG294" i="178"/>
  <c r="AH294" i="178"/>
  <c r="AI294" i="178"/>
  <c r="AJ294" i="178"/>
  <c r="AK294" i="178"/>
  <c r="AL294" i="178"/>
  <c r="AM294" i="178"/>
  <c r="AN294" i="178"/>
  <c r="AO294" i="178"/>
  <c r="T296" i="178"/>
  <c r="W296" i="178"/>
  <c r="AD296" i="178"/>
  <c r="AE296" i="178"/>
  <c r="AF296" i="178"/>
  <c r="AG296" i="178"/>
  <c r="AH296" i="178"/>
  <c r="AI296" i="178"/>
  <c r="AJ296" i="178"/>
  <c r="AK296" i="178"/>
  <c r="AL296" i="178"/>
  <c r="AM296" i="178"/>
  <c r="AN296" i="178"/>
  <c r="AO296" i="178"/>
  <c r="T393" i="178"/>
  <c r="U393" i="178" s="1"/>
  <c r="W393" i="178"/>
  <c r="AD393" i="178"/>
  <c r="AE393" i="178"/>
  <c r="AF393" i="178"/>
  <c r="AG393" i="178"/>
  <c r="AH393" i="178"/>
  <c r="AI393" i="178"/>
  <c r="AJ393" i="178"/>
  <c r="AK393" i="178"/>
  <c r="AL393" i="178"/>
  <c r="AM393" i="178"/>
  <c r="AN393" i="178"/>
  <c r="AO393" i="178"/>
  <c r="T418" i="178"/>
  <c r="W418" i="178"/>
  <c r="AD418" i="178"/>
  <c r="AE418" i="178"/>
  <c r="AF418" i="178"/>
  <c r="AG418" i="178"/>
  <c r="AH418" i="178"/>
  <c r="AI418" i="178"/>
  <c r="AJ418" i="178"/>
  <c r="AK418" i="178"/>
  <c r="AL418" i="178"/>
  <c r="AM418" i="178"/>
  <c r="AN418" i="178"/>
  <c r="AO418" i="178"/>
  <c r="T394" i="178"/>
  <c r="W394" i="178"/>
  <c r="AD394" i="178"/>
  <c r="AE394" i="178"/>
  <c r="AF394" i="178"/>
  <c r="AG394" i="178"/>
  <c r="AH394" i="178"/>
  <c r="AI394" i="178"/>
  <c r="AJ394" i="178"/>
  <c r="AK394" i="178"/>
  <c r="AL394" i="178"/>
  <c r="AM394" i="178"/>
  <c r="AN394" i="178"/>
  <c r="AO394" i="178"/>
  <c r="T419" i="178"/>
  <c r="V419" i="178" s="1"/>
  <c r="W419" i="178"/>
  <c r="AD419" i="178"/>
  <c r="AE419" i="178"/>
  <c r="AF419" i="178"/>
  <c r="AG419" i="178"/>
  <c r="AH419" i="178"/>
  <c r="AI419" i="178"/>
  <c r="AJ419" i="178"/>
  <c r="AK419" i="178"/>
  <c r="AL419" i="178"/>
  <c r="AM419" i="178"/>
  <c r="AN419" i="178"/>
  <c r="AO419" i="178"/>
  <c r="T356" i="178"/>
  <c r="U356" i="178" s="1"/>
  <c r="W356" i="178"/>
  <c r="AD356" i="178"/>
  <c r="AE356" i="178"/>
  <c r="AF356" i="178"/>
  <c r="AG356" i="178"/>
  <c r="AH356" i="178"/>
  <c r="AI356" i="178"/>
  <c r="AJ356" i="178"/>
  <c r="AK356" i="178"/>
  <c r="AL356" i="178"/>
  <c r="AM356" i="178"/>
  <c r="AN356" i="178"/>
  <c r="AO356" i="178"/>
  <c r="T357" i="178"/>
  <c r="V357" i="178" s="1"/>
  <c r="W357" i="178"/>
  <c r="AD357" i="178"/>
  <c r="AE357" i="178"/>
  <c r="AF357" i="178"/>
  <c r="AG357" i="178"/>
  <c r="AH357" i="178"/>
  <c r="AI357" i="178"/>
  <c r="AJ357" i="178"/>
  <c r="AK357" i="178"/>
  <c r="AL357" i="178"/>
  <c r="AM357" i="178"/>
  <c r="AN357" i="178"/>
  <c r="AO357" i="178"/>
  <c r="T136" i="178"/>
  <c r="W136" i="178"/>
  <c r="AD136" i="178"/>
  <c r="AE136" i="178"/>
  <c r="AF136" i="178"/>
  <c r="AG136" i="178"/>
  <c r="AH136" i="178"/>
  <c r="AI136" i="178"/>
  <c r="AJ136" i="178"/>
  <c r="AK136" i="178"/>
  <c r="AL136" i="178"/>
  <c r="AM136" i="178"/>
  <c r="AN136" i="178"/>
  <c r="AO136" i="178"/>
  <c r="T420" i="178"/>
  <c r="U420" i="178" s="1"/>
  <c r="W420" i="178"/>
  <c r="AD420" i="178"/>
  <c r="AE420" i="178"/>
  <c r="AF420" i="178"/>
  <c r="AG420" i="178"/>
  <c r="AH420" i="178"/>
  <c r="AI420" i="178"/>
  <c r="AJ420" i="178"/>
  <c r="AK420" i="178"/>
  <c r="AL420" i="178"/>
  <c r="AM420" i="178"/>
  <c r="AN420" i="178"/>
  <c r="AO420" i="178"/>
  <c r="T443" i="178"/>
  <c r="W443" i="178"/>
  <c r="AD443" i="178"/>
  <c r="AE443" i="178"/>
  <c r="AF443" i="178"/>
  <c r="AG443" i="178"/>
  <c r="AH443" i="178"/>
  <c r="AI443" i="178"/>
  <c r="AJ443" i="178"/>
  <c r="AK443" i="178"/>
  <c r="AL443" i="178"/>
  <c r="AM443" i="178"/>
  <c r="AN443" i="178"/>
  <c r="AO443" i="178"/>
  <c r="T396" i="178"/>
  <c r="V396" i="178" s="1"/>
  <c r="W396" i="178"/>
  <c r="AD396" i="178"/>
  <c r="AE396" i="178"/>
  <c r="AF396" i="178"/>
  <c r="AG396" i="178"/>
  <c r="AH396" i="178"/>
  <c r="AI396" i="178"/>
  <c r="AJ396" i="178"/>
  <c r="AK396" i="178"/>
  <c r="AL396" i="178"/>
  <c r="AM396" i="178"/>
  <c r="AN396" i="178"/>
  <c r="AO396" i="178"/>
  <c r="T138" i="178"/>
  <c r="U138" i="178" s="1"/>
  <c r="W138" i="178"/>
  <c r="AD138" i="178"/>
  <c r="AE138" i="178"/>
  <c r="AF138" i="178"/>
  <c r="AG138" i="178"/>
  <c r="AH138" i="178"/>
  <c r="AI138" i="178"/>
  <c r="AJ138" i="178"/>
  <c r="AK138" i="178"/>
  <c r="AL138" i="178"/>
  <c r="AM138" i="178"/>
  <c r="AN138" i="178"/>
  <c r="AO138" i="178"/>
  <c r="T157" i="178"/>
  <c r="U157" i="178" s="1"/>
  <c r="W157" i="178"/>
  <c r="AD157" i="178"/>
  <c r="AE157" i="178"/>
  <c r="AF157" i="178"/>
  <c r="AG157" i="178"/>
  <c r="AH157" i="178"/>
  <c r="AI157" i="178"/>
  <c r="AJ157" i="178"/>
  <c r="AK157" i="178"/>
  <c r="AL157" i="178"/>
  <c r="AM157" i="178"/>
  <c r="AN157" i="178"/>
  <c r="AO157" i="178"/>
  <c r="T137" i="178"/>
  <c r="V137" i="178" s="1"/>
  <c r="W137" i="178"/>
  <c r="AD137" i="178"/>
  <c r="AE137" i="178"/>
  <c r="AF137" i="178"/>
  <c r="AG137" i="178"/>
  <c r="AH137" i="178"/>
  <c r="AI137" i="178"/>
  <c r="AJ137" i="178"/>
  <c r="AK137" i="178"/>
  <c r="AL137" i="178"/>
  <c r="AM137" i="178"/>
  <c r="AN137" i="178"/>
  <c r="AO137" i="178"/>
  <c r="T398" i="178"/>
  <c r="V398" i="178" s="1"/>
  <c r="W398" i="178"/>
  <c r="AD398" i="178"/>
  <c r="AE398" i="178"/>
  <c r="AF398" i="178"/>
  <c r="AG398" i="178"/>
  <c r="AH398" i="178"/>
  <c r="AI398" i="178"/>
  <c r="AJ398" i="178"/>
  <c r="AK398" i="178"/>
  <c r="AL398" i="178"/>
  <c r="AM398" i="178"/>
  <c r="AN398" i="178"/>
  <c r="AO398" i="178"/>
  <c r="T423" i="178"/>
  <c r="U423" i="178" s="1"/>
  <c r="W423" i="178"/>
  <c r="AD423" i="178"/>
  <c r="AE423" i="178"/>
  <c r="AF423" i="178"/>
  <c r="AG423" i="178"/>
  <c r="AH423" i="178"/>
  <c r="AI423" i="178"/>
  <c r="AJ423" i="178"/>
  <c r="AK423" i="178"/>
  <c r="AL423" i="178"/>
  <c r="AM423" i="178"/>
  <c r="AN423" i="178"/>
  <c r="AO423" i="178"/>
  <c r="T159" i="178"/>
  <c r="U159" i="178" s="1"/>
  <c r="W159" i="178"/>
  <c r="AD159" i="178"/>
  <c r="AE159" i="178"/>
  <c r="AF159" i="178"/>
  <c r="AG159" i="178"/>
  <c r="AH159" i="178"/>
  <c r="AI159" i="178"/>
  <c r="AJ159" i="178"/>
  <c r="AK159" i="178"/>
  <c r="AL159" i="178"/>
  <c r="AM159" i="178"/>
  <c r="AN159" i="178"/>
  <c r="AO159" i="178"/>
  <c r="T360" i="178"/>
  <c r="U360" i="178" s="1"/>
  <c r="W360" i="178"/>
  <c r="AD360" i="178"/>
  <c r="AE360" i="178"/>
  <c r="AF360" i="178"/>
  <c r="AG360" i="178"/>
  <c r="AH360" i="178"/>
  <c r="AI360" i="178"/>
  <c r="AJ360" i="178"/>
  <c r="AK360" i="178"/>
  <c r="AL360" i="178"/>
  <c r="AM360" i="178"/>
  <c r="AN360" i="178"/>
  <c r="AO360" i="178"/>
  <c r="T368" i="178"/>
  <c r="U368" i="178" s="1"/>
  <c r="W368" i="178"/>
  <c r="AD368" i="178"/>
  <c r="AE368" i="178"/>
  <c r="AF368" i="178"/>
  <c r="AG368" i="178"/>
  <c r="AH368" i="178"/>
  <c r="AI368" i="178"/>
  <c r="AJ368" i="178"/>
  <c r="AK368" i="178"/>
  <c r="AL368" i="178"/>
  <c r="AM368" i="178"/>
  <c r="AN368" i="178"/>
  <c r="AO368" i="178"/>
  <c r="T144" i="178"/>
  <c r="U144" i="178" s="1"/>
  <c r="W144" i="178"/>
  <c r="AD144" i="178"/>
  <c r="AE144" i="178"/>
  <c r="AF144" i="178"/>
  <c r="AG144" i="178"/>
  <c r="AH144" i="178"/>
  <c r="AI144" i="178"/>
  <c r="AJ144" i="178"/>
  <c r="AK144" i="178"/>
  <c r="AL144" i="178"/>
  <c r="AM144" i="178"/>
  <c r="AN144" i="178"/>
  <c r="AO144" i="178"/>
  <c r="T148" i="178"/>
  <c r="U148" i="178" s="1"/>
  <c r="W148" i="178"/>
  <c r="AD148" i="178"/>
  <c r="AE148" i="178"/>
  <c r="AF148" i="178"/>
  <c r="AG148" i="178"/>
  <c r="AH148" i="178"/>
  <c r="AI148" i="178"/>
  <c r="AJ148" i="178"/>
  <c r="AK148" i="178"/>
  <c r="AL148" i="178"/>
  <c r="AM148" i="178"/>
  <c r="AN148" i="178"/>
  <c r="AO148" i="178"/>
  <c r="T281" i="178"/>
  <c r="U281" i="178" s="1"/>
  <c r="W281" i="178"/>
  <c r="AD281" i="178"/>
  <c r="AE281" i="178"/>
  <c r="AF281" i="178"/>
  <c r="AG281" i="178"/>
  <c r="AH281" i="178"/>
  <c r="AI281" i="178"/>
  <c r="AJ281" i="178"/>
  <c r="AK281" i="178"/>
  <c r="AL281" i="178"/>
  <c r="AM281" i="178"/>
  <c r="AN281" i="178"/>
  <c r="AO281" i="178"/>
  <c r="T202" i="178"/>
  <c r="U202" i="178" s="1"/>
  <c r="W202" i="178"/>
  <c r="AD202" i="178"/>
  <c r="AE202" i="178"/>
  <c r="AF202" i="178"/>
  <c r="AG202" i="178"/>
  <c r="AH202" i="178"/>
  <c r="AI202" i="178"/>
  <c r="AJ202" i="178"/>
  <c r="AK202" i="178"/>
  <c r="AL202" i="178"/>
  <c r="AM202" i="178"/>
  <c r="AN202" i="178"/>
  <c r="AO202" i="178"/>
  <c r="T229" i="178"/>
  <c r="U229" i="178" s="1"/>
  <c r="W229" i="178"/>
  <c r="AD229" i="178"/>
  <c r="AE229" i="178"/>
  <c r="AF229" i="178"/>
  <c r="AG229" i="178"/>
  <c r="AH229" i="178"/>
  <c r="AI229" i="178"/>
  <c r="AJ229" i="178"/>
  <c r="AK229" i="178"/>
  <c r="AL229" i="178"/>
  <c r="AM229" i="178"/>
  <c r="AN229" i="178"/>
  <c r="AO229" i="178"/>
  <c r="T290" i="178"/>
  <c r="U290" i="178" s="1"/>
  <c r="W290" i="178"/>
  <c r="AD290" i="178"/>
  <c r="AE290" i="178"/>
  <c r="AF290" i="178"/>
  <c r="AG290" i="178"/>
  <c r="AH290" i="178"/>
  <c r="AI290" i="178"/>
  <c r="AJ290" i="178"/>
  <c r="AK290" i="178"/>
  <c r="AL290" i="178"/>
  <c r="AM290" i="178"/>
  <c r="AN290" i="178"/>
  <c r="AO290" i="178"/>
  <c r="T310" i="178"/>
  <c r="U310" i="178" s="1"/>
  <c r="W310" i="178"/>
  <c r="AD310" i="178"/>
  <c r="AE310" i="178"/>
  <c r="AF310" i="178"/>
  <c r="AG310" i="178"/>
  <c r="AH310" i="178"/>
  <c r="AI310" i="178"/>
  <c r="AJ310" i="178"/>
  <c r="AK310" i="178"/>
  <c r="AL310" i="178"/>
  <c r="AM310" i="178"/>
  <c r="AN310" i="178"/>
  <c r="AO310" i="178"/>
  <c r="T428" i="178"/>
  <c r="W428" i="178"/>
  <c r="AD428" i="178"/>
  <c r="AE428" i="178"/>
  <c r="AF428" i="178"/>
  <c r="AG428" i="178"/>
  <c r="AH428" i="178"/>
  <c r="AI428" i="178"/>
  <c r="AJ428" i="178"/>
  <c r="AK428" i="178"/>
  <c r="AL428" i="178"/>
  <c r="AM428" i="178"/>
  <c r="AN428" i="178"/>
  <c r="AO428" i="178"/>
  <c r="T429" i="178"/>
  <c r="W429" i="178"/>
  <c r="AD429" i="178"/>
  <c r="AE429" i="178"/>
  <c r="AF429" i="178"/>
  <c r="AG429" i="178"/>
  <c r="AH429" i="178"/>
  <c r="AI429" i="178"/>
  <c r="AJ429" i="178"/>
  <c r="AK429" i="178"/>
  <c r="AL429" i="178"/>
  <c r="AM429" i="178"/>
  <c r="AN429" i="178"/>
  <c r="AO429" i="178"/>
  <c r="T437" i="178"/>
  <c r="U437" i="178" s="1"/>
  <c r="W437" i="178"/>
  <c r="AD437" i="178"/>
  <c r="AE437" i="178"/>
  <c r="AF437" i="178"/>
  <c r="AG437" i="178"/>
  <c r="AH437" i="178"/>
  <c r="AI437" i="178"/>
  <c r="AJ437" i="178"/>
  <c r="AK437" i="178"/>
  <c r="AL437" i="178"/>
  <c r="AM437" i="178"/>
  <c r="AN437" i="178"/>
  <c r="AO437" i="178"/>
  <c r="T477" i="178"/>
  <c r="U477" i="178" s="1"/>
  <c r="W477" i="178"/>
  <c r="AD477" i="178"/>
  <c r="AE477" i="178"/>
  <c r="AF477" i="178"/>
  <c r="AG477" i="178"/>
  <c r="AH477" i="178"/>
  <c r="AI477" i="178"/>
  <c r="AJ477" i="178"/>
  <c r="AK477" i="178"/>
  <c r="AL477" i="178"/>
  <c r="AM477" i="178"/>
  <c r="AN477" i="178"/>
  <c r="AO477" i="178"/>
  <c r="T13" i="178"/>
  <c r="U13" i="178" s="1"/>
  <c r="W13" i="178"/>
  <c r="AD13" i="178"/>
  <c r="AE13" i="178"/>
  <c r="AF13" i="178"/>
  <c r="AG13" i="178"/>
  <c r="AH13" i="178"/>
  <c r="AI13" i="178"/>
  <c r="AJ13" i="178"/>
  <c r="AK13" i="178"/>
  <c r="AL13" i="178"/>
  <c r="AM13" i="178"/>
  <c r="AN13" i="178"/>
  <c r="AO13" i="178"/>
  <c r="T14" i="178"/>
  <c r="U14" i="178" s="1"/>
  <c r="W14" i="178"/>
  <c r="AD14" i="178"/>
  <c r="AE14" i="178"/>
  <c r="AF14" i="178"/>
  <c r="AG14" i="178"/>
  <c r="AH14" i="178"/>
  <c r="AI14" i="178"/>
  <c r="AJ14" i="178"/>
  <c r="AK14" i="178"/>
  <c r="AL14" i="178"/>
  <c r="AM14" i="178"/>
  <c r="AN14" i="178"/>
  <c r="AO14" i="178"/>
  <c r="T15" i="178"/>
  <c r="U15" i="178" s="1"/>
  <c r="W15" i="178"/>
  <c r="AD15" i="178"/>
  <c r="AE15" i="178"/>
  <c r="AF15" i="178"/>
  <c r="AG15" i="178"/>
  <c r="AH15" i="178"/>
  <c r="AI15" i="178"/>
  <c r="AJ15" i="178"/>
  <c r="AK15" i="178"/>
  <c r="AL15" i="178"/>
  <c r="AM15" i="178"/>
  <c r="AN15" i="178"/>
  <c r="AO15" i="178"/>
  <c r="T49" i="178"/>
  <c r="U49" i="178" s="1"/>
  <c r="W49" i="178"/>
  <c r="AD49" i="178"/>
  <c r="AE49" i="178"/>
  <c r="AF49" i="178"/>
  <c r="AG49" i="178"/>
  <c r="AH49" i="178"/>
  <c r="AI49" i="178"/>
  <c r="AJ49" i="178"/>
  <c r="AK49" i="178"/>
  <c r="AL49" i="178"/>
  <c r="AM49" i="178"/>
  <c r="AN49" i="178"/>
  <c r="AO49" i="178"/>
  <c r="T54" i="178"/>
  <c r="U54" i="178" s="1"/>
  <c r="W54" i="178"/>
  <c r="AD54" i="178"/>
  <c r="AE54" i="178"/>
  <c r="AF54" i="178"/>
  <c r="AG54" i="178"/>
  <c r="AH54" i="178"/>
  <c r="AI54" i="178"/>
  <c r="AJ54" i="178"/>
  <c r="AK54" i="178"/>
  <c r="AL54" i="178"/>
  <c r="AM54" i="178"/>
  <c r="AN54" i="178"/>
  <c r="AO54" i="178"/>
  <c r="T55" i="178"/>
  <c r="U55" i="178" s="1"/>
  <c r="W55" i="178"/>
  <c r="AD55" i="178"/>
  <c r="AE55" i="178"/>
  <c r="AF55" i="178"/>
  <c r="AG55" i="178"/>
  <c r="AH55" i="178"/>
  <c r="AI55" i="178"/>
  <c r="AJ55" i="178"/>
  <c r="AK55" i="178"/>
  <c r="AL55" i="178"/>
  <c r="AM55" i="178"/>
  <c r="AN55" i="178"/>
  <c r="AO55" i="178"/>
  <c r="T59" i="178"/>
  <c r="U59" i="178" s="1"/>
  <c r="W59" i="178"/>
  <c r="AD59" i="178"/>
  <c r="AE59" i="178"/>
  <c r="AF59" i="178"/>
  <c r="AG59" i="178"/>
  <c r="AH59" i="178"/>
  <c r="AI59" i="178"/>
  <c r="AJ59" i="178"/>
  <c r="AK59" i="178"/>
  <c r="AL59" i="178"/>
  <c r="AM59" i="178"/>
  <c r="AN59" i="178"/>
  <c r="AO59" i="178"/>
  <c r="T73" i="178"/>
  <c r="U73" i="178" s="1"/>
  <c r="W73" i="178"/>
  <c r="AD73" i="178"/>
  <c r="AE73" i="178"/>
  <c r="AF73" i="178"/>
  <c r="AG73" i="178"/>
  <c r="AH73" i="178"/>
  <c r="AI73" i="178"/>
  <c r="AJ73" i="178"/>
  <c r="AK73" i="178"/>
  <c r="AL73" i="178"/>
  <c r="AM73" i="178"/>
  <c r="AN73" i="178"/>
  <c r="AO73" i="178"/>
  <c r="T75" i="178"/>
  <c r="U75" i="178" s="1"/>
  <c r="W75" i="178"/>
  <c r="AD75" i="178"/>
  <c r="AE75" i="178"/>
  <c r="AF75" i="178"/>
  <c r="AG75" i="178"/>
  <c r="AH75" i="178"/>
  <c r="AI75" i="178"/>
  <c r="AJ75" i="178"/>
  <c r="AK75" i="178"/>
  <c r="AL75" i="178"/>
  <c r="AM75" i="178"/>
  <c r="AN75" i="178"/>
  <c r="AO75" i="178"/>
  <c r="T78" i="178"/>
  <c r="V78" i="178" s="1"/>
  <c r="W78" i="178"/>
  <c r="AD78" i="178"/>
  <c r="AE78" i="178"/>
  <c r="AF78" i="178"/>
  <c r="AG78" i="178"/>
  <c r="AH78" i="178"/>
  <c r="AI78" i="178"/>
  <c r="AJ78" i="178"/>
  <c r="AK78" i="178"/>
  <c r="AL78" i="178"/>
  <c r="AM78" i="178"/>
  <c r="AN78" i="178"/>
  <c r="AO78" i="178"/>
  <c r="T80" i="178"/>
  <c r="U80" i="178" s="1"/>
  <c r="W80" i="178"/>
  <c r="AD80" i="178"/>
  <c r="AE80" i="178"/>
  <c r="AF80" i="178"/>
  <c r="AG80" i="178"/>
  <c r="AH80" i="178"/>
  <c r="AI80" i="178"/>
  <c r="AJ80" i="178"/>
  <c r="AK80" i="178"/>
  <c r="AL80" i="178"/>
  <c r="AM80" i="178"/>
  <c r="AN80" i="178"/>
  <c r="AO80" i="178"/>
  <c r="T81" i="178"/>
  <c r="U81" i="178" s="1"/>
  <c r="W81" i="178"/>
  <c r="AD81" i="178"/>
  <c r="AE81" i="178"/>
  <c r="AF81" i="178"/>
  <c r="AG81" i="178"/>
  <c r="AH81" i="178"/>
  <c r="AI81" i="178"/>
  <c r="AJ81" i="178"/>
  <c r="AK81" i="178"/>
  <c r="AL81" i="178"/>
  <c r="AM81" i="178"/>
  <c r="AN81" i="178"/>
  <c r="AO81" i="178"/>
  <c r="T82" i="178"/>
  <c r="U82" i="178" s="1"/>
  <c r="W82" i="178"/>
  <c r="AD82" i="178"/>
  <c r="AE82" i="178"/>
  <c r="AF82" i="178"/>
  <c r="AG82" i="178"/>
  <c r="AH82" i="178"/>
  <c r="AI82" i="178"/>
  <c r="AJ82" i="178"/>
  <c r="AK82" i="178"/>
  <c r="AL82" i="178"/>
  <c r="AM82" i="178"/>
  <c r="AN82" i="178"/>
  <c r="AO82" i="178"/>
  <c r="T120" i="178"/>
  <c r="V120" i="178" s="1"/>
  <c r="W120" i="178"/>
  <c r="AD120" i="178"/>
  <c r="AE120" i="178"/>
  <c r="AF120" i="178"/>
  <c r="AG120" i="178"/>
  <c r="AH120" i="178"/>
  <c r="AI120" i="178"/>
  <c r="AJ120" i="178"/>
  <c r="AK120" i="178"/>
  <c r="AL120" i="178"/>
  <c r="AM120" i="178"/>
  <c r="AN120" i="178"/>
  <c r="AO120" i="178"/>
  <c r="T121" i="178"/>
  <c r="U121" i="178" s="1"/>
  <c r="W121" i="178"/>
  <c r="AD121" i="178"/>
  <c r="AE121" i="178"/>
  <c r="AF121" i="178"/>
  <c r="AG121" i="178"/>
  <c r="AH121" i="178"/>
  <c r="AI121" i="178"/>
  <c r="AJ121" i="178"/>
  <c r="AK121" i="178"/>
  <c r="AL121" i="178"/>
  <c r="AM121" i="178"/>
  <c r="AN121" i="178"/>
  <c r="AO121" i="178"/>
  <c r="T122" i="178"/>
  <c r="U122" i="178" s="1"/>
  <c r="W122" i="178"/>
  <c r="AD122" i="178"/>
  <c r="AE122" i="178"/>
  <c r="AF122" i="178"/>
  <c r="AG122" i="178"/>
  <c r="AH122" i="178"/>
  <c r="AI122" i="178"/>
  <c r="AJ122" i="178"/>
  <c r="AK122" i="178"/>
  <c r="AL122" i="178"/>
  <c r="AM122" i="178"/>
  <c r="AN122" i="178"/>
  <c r="AO122" i="178"/>
  <c r="T123" i="178"/>
  <c r="U123" i="178" s="1"/>
  <c r="W123" i="178"/>
  <c r="AD123" i="178"/>
  <c r="AE123" i="178"/>
  <c r="AF123" i="178"/>
  <c r="AG123" i="178"/>
  <c r="AH123" i="178"/>
  <c r="AI123" i="178"/>
  <c r="AJ123" i="178"/>
  <c r="AK123" i="178"/>
  <c r="AL123" i="178"/>
  <c r="AM123" i="178"/>
  <c r="AN123" i="178"/>
  <c r="AO123" i="178"/>
  <c r="T124" i="178"/>
  <c r="V124" i="178" s="1"/>
  <c r="W124" i="178"/>
  <c r="AD124" i="178"/>
  <c r="AE124" i="178"/>
  <c r="AF124" i="178"/>
  <c r="AG124" i="178"/>
  <c r="AH124" i="178"/>
  <c r="AI124" i="178"/>
  <c r="AJ124" i="178"/>
  <c r="AK124" i="178"/>
  <c r="AL124" i="178"/>
  <c r="AM124" i="178"/>
  <c r="AN124" i="178"/>
  <c r="AO124" i="178"/>
  <c r="T125" i="178"/>
  <c r="U125" i="178" s="1"/>
  <c r="W125" i="178"/>
  <c r="AD125" i="178"/>
  <c r="AE125" i="178"/>
  <c r="AF125" i="178"/>
  <c r="AG125" i="178"/>
  <c r="AH125" i="178"/>
  <c r="AI125" i="178"/>
  <c r="AJ125" i="178"/>
  <c r="AK125" i="178"/>
  <c r="AL125" i="178"/>
  <c r="AM125" i="178"/>
  <c r="AN125" i="178"/>
  <c r="AO125" i="178"/>
  <c r="T126" i="178"/>
  <c r="U126" i="178" s="1"/>
  <c r="W126" i="178"/>
  <c r="AD126" i="178"/>
  <c r="AE126" i="178"/>
  <c r="AF126" i="178"/>
  <c r="AG126" i="178"/>
  <c r="AH126" i="178"/>
  <c r="AI126" i="178"/>
  <c r="AJ126" i="178"/>
  <c r="AK126" i="178"/>
  <c r="AL126" i="178"/>
  <c r="AM126" i="178"/>
  <c r="AN126" i="178"/>
  <c r="AO126" i="178"/>
  <c r="T130" i="178"/>
  <c r="V130" i="178" s="1"/>
  <c r="W130" i="178"/>
  <c r="AD130" i="178"/>
  <c r="AE130" i="178"/>
  <c r="AF130" i="178"/>
  <c r="AG130" i="178"/>
  <c r="AH130" i="178"/>
  <c r="AI130" i="178"/>
  <c r="AJ130" i="178"/>
  <c r="AK130" i="178"/>
  <c r="AL130" i="178"/>
  <c r="AM130" i="178"/>
  <c r="AN130" i="178"/>
  <c r="AO130" i="178"/>
  <c r="T187" i="178"/>
  <c r="V187" i="178" s="1"/>
  <c r="W187" i="178"/>
  <c r="AD187" i="178"/>
  <c r="AE187" i="178"/>
  <c r="AF187" i="178"/>
  <c r="AG187" i="178"/>
  <c r="AH187" i="178"/>
  <c r="AI187" i="178"/>
  <c r="AJ187" i="178"/>
  <c r="AK187" i="178"/>
  <c r="AL187" i="178"/>
  <c r="AM187" i="178"/>
  <c r="AN187" i="178"/>
  <c r="AO187" i="178"/>
  <c r="T188" i="178"/>
  <c r="V188" i="178" s="1"/>
  <c r="W188" i="178"/>
  <c r="AD188" i="178"/>
  <c r="AE188" i="178"/>
  <c r="AF188" i="178"/>
  <c r="AG188" i="178"/>
  <c r="AH188" i="178"/>
  <c r="AI188" i="178"/>
  <c r="AJ188" i="178"/>
  <c r="AK188" i="178"/>
  <c r="AL188" i="178"/>
  <c r="AM188" i="178"/>
  <c r="AN188" i="178"/>
  <c r="AO188" i="178"/>
  <c r="T192" i="178"/>
  <c r="U192" i="178" s="1"/>
  <c r="W192" i="178"/>
  <c r="AD192" i="178"/>
  <c r="AE192" i="178"/>
  <c r="AF192" i="178"/>
  <c r="AG192" i="178"/>
  <c r="AH192" i="178"/>
  <c r="AI192" i="178"/>
  <c r="AJ192" i="178"/>
  <c r="AK192" i="178"/>
  <c r="AL192" i="178"/>
  <c r="AM192" i="178"/>
  <c r="AN192" i="178"/>
  <c r="AO192" i="178"/>
  <c r="T193" i="178"/>
  <c r="V193" i="178" s="1"/>
  <c r="W193" i="178"/>
  <c r="AD193" i="178"/>
  <c r="AE193" i="178"/>
  <c r="AF193" i="178"/>
  <c r="AG193" i="178"/>
  <c r="AH193" i="178"/>
  <c r="AI193" i="178"/>
  <c r="AJ193" i="178"/>
  <c r="AK193" i="178"/>
  <c r="AL193" i="178"/>
  <c r="AM193" i="178"/>
  <c r="AN193" i="178"/>
  <c r="AO193" i="178"/>
  <c r="T203" i="178"/>
  <c r="V203" i="178" s="1"/>
  <c r="W203" i="178"/>
  <c r="AD203" i="178"/>
  <c r="AE203" i="178"/>
  <c r="AF203" i="178"/>
  <c r="AG203" i="178"/>
  <c r="AH203" i="178"/>
  <c r="AI203" i="178"/>
  <c r="AJ203" i="178"/>
  <c r="AK203" i="178"/>
  <c r="AL203" i="178"/>
  <c r="AM203" i="178"/>
  <c r="AN203" i="178"/>
  <c r="AO203" i="178"/>
  <c r="T230" i="178"/>
  <c r="V230" i="178" s="1"/>
  <c r="W230" i="178"/>
  <c r="AD230" i="178"/>
  <c r="AE230" i="178"/>
  <c r="AF230" i="178"/>
  <c r="AG230" i="178"/>
  <c r="AH230" i="178"/>
  <c r="AI230" i="178"/>
  <c r="AJ230" i="178"/>
  <c r="AK230" i="178"/>
  <c r="AL230" i="178"/>
  <c r="AM230" i="178"/>
  <c r="AN230" i="178"/>
  <c r="AO230" i="178"/>
  <c r="T242" i="178"/>
  <c r="U242" i="178" s="1"/>
  <c r="W242" i="178"/>
  <c r="AD242" i="178"/>
  <c r="AE242" i="178"/>
  <c r="AF242" i="178"/>
  <c r="AG242" i="178"/>
  <c r="AH242" i="178"/>
  <c r="AI242" i="178"/>
  <c r="AJ242" i="178"/>
  <c r="AK242" i="178"/>
  <c r="AL242" i="178"/>
  <c r="AM242" i="178"/>
  <c r="AN242" i="178"/>
  <c r="AO242" i="178"/>
  <c r="T243" i="178"/>
  <c r="V243" i="178" s="1"/>
  <c r="W243" i="178"/>
  <c r="AD243" i="178"/>
  <c r="AE243" i="178"/>
  <c r="AF243" i="178"/>
  <c r="AG243" i="178"/>
  <c r="AH243" i="178"/>
  <c r="AI243" i="178"/>
  <c r="AJ243" i="178"/>
  <c r="AK243" i="178"/>
  <c r="AL243" i="178"/>
  <c r="AM243" i="178"/>
  <c r="AN243" i="178"/>
  <c r="AO243" i="178"/>
  <c r="T250" i="178"/>
  <c r="V250" i="178" s="1"/>
  <c r="W250" i="178"/>
  <c r="AD250" i="178"/>
  <c r="AE250" i="178"/>
  <c r="AF250" i="178"/>
  <c r="AG250" i="178"/>
  <c r="AH250" i="178"/>
  <c r="AI250" i="178"/>
  <c r="AJ250" i="178"/>
  <c r="AK250" i="178"/>
  <c r="AL250" i="178"/>
  <c r="AM250" i="178"/>
  <c r="AN250" i="178"/>
  <c r="AO250" i="178"/>
  <c r="T251" i="178"/>
  <c r="V251" i="178" s="1"/>
  <c r="W251" i="178"/>
  <c r="AD251" i="178"/>
  <c r="AE251" i="178"/>
  <c r="AF251" i="178"/>
  <c r="AG251" i="178"/>
  <c r="AH251" i="178"/>
  <c r="AI251" i="178"/>
  <c r="AJ251" i="178"/>
  <c r="AK251" i="178"/>
  <c r="AL251" i="178"/>
  <c r="AM251" i="178"/>
  <c r="AN251" i="178"/>
  <c r="AO251" i="178"/>
  <c r="T256" i="178"/>
  <c r="U256" i="178" s="1"/>
  <c r="W256" i="178"/>
  <c r="AD256" i="178"/>
  <c r="AE256" i="178"/>
  <c r="AF256" i="178"/>
  <c r="AG256" i="178"/>
  <c r="AH256" i="178"/>
  <c r="AI256" i="178"/>
  <c r="AJ256" i="178"/>
  <c r="AK256" i="178"/>
  <c r="AL256" i="178"/>
  <c r="AM256" i="178"/>
  <c r="AN256" i="178"/>
  <c r="AO256" i="178"/>
  <c r="T257" i="178"/>
  <c r="V257" i="178" s="1"/>
  <c r="W257" i="178"/>
  <c r="AD257" i="178"/>
  <c r="AE257" i="178"/>
  <c r="AF257" i="178"/>
  <c r="AG257" i="178"/>
  <c r="AH257" i="178"/>
  <c r="AI257" i="178"/>
  <c r="AJ257" i="178"/>
  <c r="AK257" i="178"/>
  <c r="AL257" i="178"/>
  <c r="AM257" i="178"/>
  <c r="AN257" i="178"/>
  <c r="AO257" i="178"/>
  <c r="T265" i="178"/>
  <c r="V265" i="178" s="1"/>
  <c r="W265" i="178"/>
  <c r="AD265" i="178"/>
  <c r="AE265" i="178"/>
  <c r="AF265" i="178"/>
  <c r="AG265" i="178"/>
  <c r="AH265" i="178"/>
  <c r="AI265" i="178"/>
  <c r="AJ265" i="178"/>
  <c r="AK265" i="178"/>
  <c r="AL265" i="178"/>
  <c r="AM265" i="178"/>
  <c r="AN265" i="178"/>
  <c r="AO265" i="178"/>
  <c r="T266" i="178"/>
  <c r="V266" i="178" s="1"/>
  <c r="W266" i="178"/>
  <c r="AD266" i="178"/>
  <c r="AE266" i="178"/>
  <c r="AF266" i="178"/>
  <c r="AG266" i="178"/>
  <c r="AH266" i="178"/>
  <c r="AI266" i="178"/>
  <c r="AJ266" i="178"/>
  <c r="AK266" i="178"/>
  <c r="AL266" i="178"/>
  <c r="AM266" i="178"/>
  <c r="AN266" i="178"/>
  <c r="AO266" i="178"/>
  <c r="T311" i="178"/>
  <c r="V311" i="178" s="1"/>
  <c r="W311" i="178"/>
  <c r="AD311" i="178"/>
  <c r="AE311" i="178"/>
  <c r="AF311" i="178"/>
  <c r="AG311" i="178"/>
  <c r="AH311" i="178"/>
  <c r="AI311" i="178"/>
  <c r="AJ311" i="178"/>
  <c r="AK311" i="178"/>
  <c r="AL311" i="178"/>
  <c r="AM311" i="178"/>
  <c r="AN311" i="178"/>
  <c r="AO311" i="178"/>
  <c r="T312" i="178"/>
  <c r="V312" i="178" s="1"/>
  <c r="W312" i="178"/>
  <c r="AD312" i="178"/>
  <c r="AE312" i="178"/>
  <c r="AF312" i="178"/>
  <c r="AG312" i="178"/>
  <c r="AH312" i="178"/>
  <c r="AI312" i="178"/>
  <c r="AJ312" i="178"/>
  <c r="AK312" i="178"/>
  <c r="AL312" i="178"/>
  <c r="AM312" i="178"/>
  <c r="AN312" i="178"/>
  <c r="AO312" i="178"/>
  <c r="T332" i="178"/>
  <c r="V332" i="178" s="1"/>
  <c r="W332" i="178"/>
  <c r="AD332" i="178"/>
  <c r="AE332" i="178"/>
  <c r="AF332" i="178"/>
  <c r="AG332" i="178"/>
  <c r="AH332" i="178"/>
  <c r="AI332" i="178"/>
  <c r="AJ332" i="178"/>
  <c r="AK332" i="178"/>
  <c r="AL332" i="178"/>
  <c r="AM332" i="178"/>
  <c r="AN332" i="178"/>
  <c r="AO332" i="178"/>
  <c r="T333" i="178"/>
  <c r="W333" i="178"/>
  <c r="AD333" i="178"/>
  <c r="AE333" i="178"/>
  <c r="AF333" i="178"/>
  <c r="AG333" i="178"/>
  <c r="AH333" i="178"/>
  <c r="AI333" i="178"/>
  <c r="AJ333" i="178"/>
  <c r="AK333" i="178"/>
  <c r="AL333" i="178"/>
  <c r="AM333" i="178"/>
  <c r="AN333" i="178"/>
  <c r="AO333" i="178"/>
  <c r="T335" i="178"/>
  <c r="V335" i="178" s="1"/>
  <c r="W335" i="178"/>
  <c r="AD335" i="178"/>
  <c r="AE335" i="178"/>
  <c r="AF335" i="178"/>
  <c r="AG335" i="178"/>
  <c r="AH335" i="178"/>
  <c r="AI335" i="178"/>
  <c r="AJ335" i="178"/>
  <c r="AK335" i="178"/>
  <c r="AL335" i="178"/>
  <c r="AM335" i="178"/>
  <c r="AN335" i="178"/>
  <c r="AO335" i="178"/>
  <c r="T336" i="178"/>
  <c r="W336" i="178"/>
  <c r="AD336" i="178"/>
  <c r="AE336" i="178"/>
  <c r="AF336" i="178"/>
  <c r="AG336" i="178"/>
  <c r="AH336" i="178"/>
  <c r="AI336" i="178"/>
  <c r="AJ336" i="178"/>
  <c r="AK336" i="178"/>
  <c r="AL336" i="178"/>
  <c r="AM336" i="178"/>
  <c r="AN336" i="178"/>
  <c r="AO336" i="178"/>
  <c r="T430" i="178"/>
  <c r="U430" i="178" s="1"/>
  <c r="W430" i="178"/>
  <c r="AD430" i="178"/>
  <c r="AE430" i="178"/>
  <c r="AF430" i="178"/>
  <c r="AG430" i="178"/>
  <c r="AH430" i="178"/>
  <c r="AI430" i="178"/>
  <c r="AJ430" i="178"/>
  <c r="AK430" i="178"/>
  <c r="AL430" i="178"/>
  <c r="AM430" i="178"/>
  <c r="AN430" i="178"/>
  <c r="AO430" i="178"/>
  <c r="T438" i="178"/>
  <c r="V438" i="178" s="1"/>
  <c r="W438" i="178"/>
  <c r="AD438" i="178"/>
  <c r="AE438" i="178"/>
  <c r="AF438" i="178"/>
  <c r="AG438" i="178"/>
  <c r="AH438" i="178"/>
  <c r="AI438" i="178"/>
  <c r="AJ438" i="178"/>
  <c r="AK438" i="178"/>
  <c r="AL438" i="178"/>
  <c r="AM438" i="178"/>
  <c r="AN438" i="178"/>
  <c r="AO438" i="178"/>
  <c r="T465" i="178"/>
  <c r="U465" i="178" s="1"/>
  <c r="W465" i="178"/>
  <c r="AD465" i="178"/>
  <c r="AE465" i="178"/>
  <c r="AF465" i="178"/>
  <c r="AG465" i="178"/>
  <c r="AH465" i="178"/>
  <c r="AI465" i="178"/>
  <c r="AJ465" i="178"/>
  <c r="AK465" i="178"/>
  <c r="AL465" i="178"/>
  <c r="AM465" i="178"/>
  <c r="AN465" i="178"/>
  <c r="AO465" i="178"/>
  <c r="T473" i="178"/>
  <c r="V473" i="178" s="1"/>
  <c r="W473" i="178"/>
  <c r="AD473" i="178"/>
  <c r="AE473" i="178"/>
  <c r="AF473" i="178"/>
  <c r="AG473" i="178"/>
  <c r="AH473" i="178"/>
  <c r="AI473" i="178"/>
  <c r="AJ473" i="178"/>
  <c r="AK473" i="178"/>
  <c r="AL473" i="178"/>
  <c r="AM473" i="178"/>
  <c r="AN473" i="178"/>
  <c r="AO473" i="178"/>
  <c r="T478" i="178"/>
  <c r="U478" i="178" s="1"/>
  <c r="W478" i="178"/>
  <c r="AD478" i="178"/>
  <c r="AE478" i="178"/>
  <c r="AF478" i="178"/>
  <c r="AG478" i="178"/>
  <c r="AH478" i="178"/>
  <c r="AI478" i="178"/>
  <c r="AJ478" i="178"/>
  <c r="AK478" i="178"/>
  <c r="AL478" i="178"/>
  <c r="AM478" i="178"/>
  <c r="AN478" i="178"/>
  <c r="AO478" i="178"/>
  <c r="T16" i="178"/>
  <c r="V16" i="178" s="1"/>
  <c r="W16" i="178"/>
  <c r="AD16" i="178"/>
  <c r="AE16" i="178"/>
  <c r="AF16" i="178"/>
  <c r="AG16" i="178"/>
  <c r="AH16" i="178"/>
  <c r="AI16" i="178"/>
  <c r="AJ16" i="178"/>
  <c r="AK16" i="178"/>
  <c r="AL16" i="178"/>
  <c r="AM16" i="178"/>
  <c r="AN16" i="178"/>
  <c r="AO16" i="178"/>
  <c r="T74" i="178"/>
  <c r="U74" i="178" s="1"/>
  <c r="W74" i="178"/>
  <c r="AD74" i="178"/>
  <c r="AE74" i="178"/>
  <c r="AF74" i="178"/>
  <c r="AG74" i="178"/>
  <c r="AH74" i="178"/>
  <c r="AI74" i="178"/>
  <c r="AJ74" i="178"/>
  <c r="AK74" i="178"/>
  <c r="AL74" i="178"/>
  <c r="AM74" i="178"/>
  <c r="AN74" i="178"/>
  <c r="AO74" i="178"/>
  <c r="T76" i="178"/>
  <c r="V76" i="178" s="1"/>
  <c r="W76" i="178"/>
  <c r="AD76" i="178"/>
  <c r="AE76" i="178"/>
  <c r="AF76" i="178"/>
  <c r="AG76" i="178"/>
  <c r="AH76" i="178"/>
  <c r="AI76" i="178"/>
  <c r="AJ76" i="178"/>
  <c r="AK76" i="178"/>
  <c r="AL76" i="178"/>
  <c r="AM76" i="178"/>
  <c r="AN76" i="178"/>
  <c r="AO76" i="178"/>
  <c r="T127" i="178"/>
  <c r="U127" i="178" s="1"/>
  <c r="W127" i="178"/>
  <c r="AD127" i="178"/>
  <c r="AE127" i="178"/>
  <c r="AF127" i="178"/>
  <c r="AG127" i="178"/>
  <c r="AH127" i="178"/>
  <c r="AI127" i="178"/>
  <c r="AJ127" i="178"/>
  <c r="AK127" i="178"/>
  <c r="AL127" i="178"/>
  <c r="AM127" i="178"/>
  <c r="AN127" i="178"/>
  <c r="AO127" i="178"/>
  <c r="T131" i="178"/>
  <c r="V131" i="178" s="1"/>
  <c r="W131" i="178"/>
  <c r="AD131" i="178"/>
  <c r="AE131" i="178"/>
  <c r="AF131" i="178"/>
  <c r="AG131" i="178"/>
  <c r="AH131" i="178"/>
  <c r="AI131" i="178"/>
  <c r="AJ131" i="178"/>
  <c r="AK131" i="178"/>
  <c r="AL131" i="178"/>
  <c r="AM131" i="178"/>
  <c r="AN131" i="178"/>
  <c r="AO131" i="178"/>
  <c r="T132" i="178"/>
  <c r="U132" i="178" s="1"/>
  <c r="W132" i="178"/>
  <c r="AD132" i="178"/>
  <c r="AE132" i="178"/>
  <c r="AF132" i="178"/>
  <c r="AG132" i="178"/>
  <c r="AH132" i="178"/>
  <c r="AI132" i="178"/>
  <c r="AJ132" i="178"/>
  <c r="AK132" i="178"/>
  <c r="AL132" i="178"/>
  <c r="AM132" i="178"/>
  <c r="AN132" i="178"/>
  <c r="AO132" i="178"/>
  <c r="T204" i="178"/>
  <c r="V204" i="178" s="1"/>
  <c r="W204" i="178"/>
  <c r="AD204" i="178"/>
  <c r="AE204" i="178"/>
  <c r="AF204" i="178"/>
  <c r="AG204" i="178"/>
  <c r="AH204" i="178"/>
  <c r="AI204" i="178"/>
  <c r="AJ204" i="178"/>
  <c r="AK204" i="178"/>
  <c r="AL204" i="178"/>
  <c r="AM204" i="178"/>
  <c r="AN204" i="178"/>
  <c r="AO204" i="178"/>
  <c r="T231" i="178"/>
  <c r="U231" i="178" s="1"/>
  <c r="W231" i="178"/>
  <c r="AD231" i="178"/>
  <c r="AE231" i="178"/>
  <c r="AF231" i="178"/>
  <c r="AG231" i="178"/>
  <c r="AH231" i="178"/>
  <c r="AI231" i="178"/>
  <c r="AJ231" i="178"/>
  <c r="AK231" i="178"/>
  <c r="AL231" i="178"/>
  <c r="AM231" i="178"/>
  <c r="AN231" i="178"/>
  <c r="AO231" i="178"/>
  <c r="T235" i="178"/>
  <c r="V235" i="178" s="1"/>
  <c r="W235" i="178"/>
  <c r="AD235" i="178"/>
  <c r="AE235" i="178"/>
  <c r="AF235" i="178"/>
  <c r="AG235" i="178"/>
  <c r="AH235" i="178"/>
  <c r="AI235" i="178"/>
  <c r="AJ235" i="178"/>
  <c r="AK235" i="178"/>
  <c r="AL235" i="178"/>
  <c r="AM235" i="178"/>
  <c r="AN235" i="178"/>
  <c r="AO235" i="178"/>
  <c r="T262" i="178"/>
  <c r="U262" i="178" s="1"/>
  <c r="W262" i="178"/>
  <c r="AD262" i="178"/>
  <c r="AE262" i="178"/>
  <c r="AF262" i="178"/>
  <c r="AG262" i="178"/>
  <c r="AH262" i="178"/>
  <c r="AI262" i="178"/>
  <c r="AJ262" i="178"/>
  <c r="AK262" i="178"/>
  <c r="AL262" i="178"/>
  <c r="AM262" i="178"/>
  <c r="AN262" i="178"/>
  <c r="AO262" i="178"/>
  <c r="T291" i="178"/>
  <c r="V291" i="178" s="1"/>
  <c r="W291" i="178"/>
  <c r="AD291" i="178"/>
  <c r="AE291" i="178"/>
  <c r="AF291" i="178"/>
  <c r="AG291" i="178"/>
  <c r="AH291" i="178"/>
  <c r="AI291" i="178"/>
  <c r="AJ291" i="178"/>
  <c r="AK291" i="178"/>
  <c r="AL291" i="178"/>
  <c r="AM291" i="178"/>
  <c r="AN291" i="178"/>
  <c r="AO291" i="178"/>
  <c r="T313" i="178"/>
  <c r="U313" i="178" s="1"/>
  <c r="W313" i="178"/>
  <c r="AD313" i="178"/>
  <c r="AE313" i="178"/>
  <c r="AF313" i="178"/>
  <c r="AG313" i="178"/>
  <c r="AH313" i="178"/>
  <c r="AI313" i="178"/>
  <c r="AJ313" i="178"/>
  <c r="AK313" i="178"/>
  <c r="AL313" i="178"/>
  <c r="AM313" i="178"/>
  <c r="AN313" i="178"/>
  <c r="AO313" i="178"/>
  <c r="T317" i="178"/>
  <c r="V317" i="178" s="1"/>
  <c r="W317" i="178"/>
  <c r="AD317" i="178"/>
  <c r="AE317" i="178"/>
  <c r="AF317" i="178"/>
  <c r="AG317" i="178"/>
  <c r="AH317" i="178"/>
  <c r="AI317" i="178"/>
  <c r="AJ317" i="178"/>
  <c r="AK317" i="178"/>
  <c r="AL317" i="178"/>
  <c r="AM317" i="178"/>
  <c r="AN317" i="178"/>
  <c r="AO317" i="178"/>
  <c r="T374" i="178"/>
  <c r="U374" i="178" s="1"/>
  <c r="W374" i="178"/>
  <c r="AD374" i="178"/>
  <c r="AE374" i="178"/>
  <c r="AF374" i="178"/>
  <c r="AG374" i="178"/>
  <c r="AH374" i="178"/>
  <c r="AI374" i="178"/>
  <c r="AJ374" i="178"/>
  <c r="AK374" i="178"/>
  <c r="AL374" i="178"/>
  <c r="AM374" i="178"/>
  <c r="AN374" i="178"/>
  <c r="AO374" i="178"/>
  <c r="T399" i="178"/>
  <c r="V399" i="178" s="1"/>
  <c r="W399" i="178"/>
  <c r="AD399" i="178"/>
  <c r="AE399" i="178"/>
  <c r="AF399" i="178"/>
  <c r="AG399" i="178"/>
  <c r="AH399" i="178"/>
  <c r="AI399" i="178"/>
  <c r="AJ399" i="178"/>
  <c r="AK399" i="178"/>
  <c r="AL399" i="178"/>
  <c r="AM399" i="178"/>
  <c r="AN399" i="178"/>
  <c r="AO399" i="178"/>
  <c r="T466" i="178"/>
  <c r="U466" i="178" s="1"/>
  <c r="W466" i="178"/>
  <c r="AD466" i="178"/>
  <c r="AE466" i="178"/>
  <c r="AF466" i="178"/>
  <c r="AG466" i="178"/>
  <c r="AH466" i="178"/>
  <c r="AI466" i="178"/>
  <c r="AJ466" i="178"/>
  <c r="AK466" i="178"/>
  <c r="AL466" i="178"/>
  <c r="AM466" i="178"/>
  <c r="AN466" i="178"/>
  <c r="AO466" i="178"/>
  <c r="T474" i="178"/>
  <c r="V474" i="178" s="1"/>
  <c r="W474" i="178"/>
  <c r="AD474" i="178"/>
  <c r="AE474" i="178"/>
  <c r="AF474" i="178"/>
  <c r="AG474" i="178"/>
  <c r="AH474" i="178"/>
  <c r="AI474" i="178"/>
  <c r="AJ474" i="178"/>
  <c r="AK474" i="178"/>
  <c r="AL474" i="178"/>
  <c r="AM474" i="178"/>
  <c r="AN474" i="178"/>
  <c r="AO474" i="178"/>
  <c r="T479" i="178"/>
  <c r="U479" i="178" s="1"/>
  <c r="W479" i="178"/>
  <c r="AD479" i="178"/>
  <c r="AE479" i="178"/>
  <c r="AF479" i="178"/>
  <c r="AG479" i="178"/>
  <c r="AH479" i="178"/>
  <c r="AI479" i="178"/>
  <c r="AJ479" i="178"/>
  <c r="AK479" i="178"/>
  <c r="AL479" i="178"/>
  <c r="AM479" i="178"/>
  <c r="AN479" i="178"/>
  <c r="AO479" i="178"/>
  <c r="T17" i="178"/>
  <c r="U17" i="178" s="1"/>
  <c r="W17" i="178"/>
  <c r="AD17" i="178"/>
  <c r="AE17" i="178"/>
  <c r="AF17" i="178"/>
  <c r="AG17" i="178"/>
  <c r="AH17" i="178"/>
  <c r="AI17" i="178"/>
  <c r="AJ17" i="178"/>
  <c r="AK17" i="178"/>
  <c r="AL17" i="178"/>
  <c r="AM17" i="178"/>
  <c r="AN17" i="178"/>
  <c r="AO17" i="178"/>
  <c r="T29" i="178"/>
  <c r="U29" i="178" s="1"/>
  <c r="W29" i="178"/>
  <c r="AD29" i="178"/>
  <c r="AE29" i="178"/>
  <c r="AF29" i="178"/>
  <c r="AG29" i="178"/>
  <c r="AH29" i="178"/>
  <c r="AI29" i="178"/>
  <c r="AJ29" i="178"/>
  <c r="AK29" i="178"/>
  <c r="AL29" i="178"/>
  <c r="AM29" i="178"/>
  <c r="AN29" i="178"/>
  <c r="AO29" i="178"/>
  <c r="T37" i="178"/>
  <c r="U37" i="178" s="1"/>
  <c r="W37" i="178"/>
  <c r="AD37" i="178"/>
  <c r="AE37" i="178"/>
  <c r="AF37" i="178"/>
  <c r="AG37" i="178"/>
  <c r="AH37" i="178"/>
  <c r="AI37" i="178"/>
  <c r="AJ37" i="178"/>
  <c r="AK37" i="178"/>
  <c r="AL37" i="178"/>
  <c r="AM37" i="178"/>
  <c r="AN37" i="178"/>
  <c r="AO37" i="178"/>
  <c r="T79" i="178"/>
  <c r="U79" i="178" s="1"/>
  <c r="W79" i="178"/>
  <c r="AD79" i="178"/>
  <c r="AE79" i="178"/>
  <c r="AF79" i="178"/>
  <c r="AG79" i="178"/>
  <c r="AH79" i="178"/>
  <c r="AI79" i="178"/>
  <c r="AJ79" i="178"/>
  <c r="AK79" i="178"/>
  <c r="AL79" i="178"/>
  <c r="AM79" i="178"/>
  <c r="AN79" i="178"/>
  <c r="AO79" i="178"/>
  <c r="T83" i="178"/>
  <c r="U83" i="178" s="1"/>
  <c r="W83" i="178"/>
  <c r="AD83" i="178"/>
  <c r="AE83" i="178"/>
  <c r="AF83" i="178"/>
  <c r="AG83" i="178"/>
  <c r="AH83" i="178"/>
  <c r="AI83" i="178"/>
  <c r="AJ83" i="178"/>
  <c r="AK83" i="178"/>
  <c r="AL83" i="178"/>
  <c r="AM83" i="178"/>
  <c r="AN83" i="178"/>
  <c r="AO83" i="178"/>
  <c r="T128" i="178"/>
  <c r="U128" i="178" s="1"/>
  <c r="W128" i="178"/>
  <c r="AD128" i="178"/>
  <c r="AE128" i="178"/>
  <c r="AF128" i="178"/>
  <c r="AG128" i="178"/>
  <c r="AH128" i="178"/>
  <c r="AI128" i="178"/>
  <c r="AJ128" i="178"/>
  <c r="AK128" i="178"/>
  <c r="AL128" i="178"/>
  <c r="AM128" i="178"/>
  <c r="AN128" i="178"/>
  <c r="AO128" i="178"/>
  <c r="T129" i="178"/>
  <c r="U129" i="178" s="1"/>
  <c r="W129" i="178"/>
  <c r="AD129" i="178"/>
  <c r="AE129" i="178"/>
  <c r="AF129" i="178"/>
  <c r="AG129" i="178"/>
  <c r="AH129" i="178"/>
  <c r="AI129" i="178"/>
  <c r="AJ129" i="178"/>
  <c r="AK129" i="178"/>
  <c r="AL129" i="178"/>
  <c r="AM129" i="178"/>
  <c r="AN129" i="178"/>
  <c r="AO129" i="178"/>
  <c r="T133" i="178"/>
  <c r="V133" i="178" s="1"/>
  <c r="W133" i="178"/>
  <c r="AD133" i="178"/>
  <c r="AE133" i="178"/>
  <c r="AF133" i="178"/>
  <c r="AG133" i="178"/>
  <c r="AH133" i="178"/>
  <c r="AI133" i="178"/>
  <c r="AJ133" i="178"/>
  <c r="AK133" i="178"/>
  <c r="AL133" i="178"/>
  <c r="AM133" i="178"/>
  <c r="AN133" i="178"/>
  <c r="AO133" i="178"/>
  <c r="T189" i="178"/>
  <c r="U189" i="178" s="1"/>
  <c r="W189" i="178"/>
  <c r="AD189" i="178"/>
  <c r="AE189" i="178"/>
  <c r="AF189" i="178"/>
  <c r="AG189" i="178"/>
  <c r="AH189" i="178"/>
  <c r="AI189" i="178"/>
  <c r="AJ189" i="178"/>
  <c r="AK189" i="178"/>
  <c r="AL189" i="178"/>
  <c r="AM189" i="178"/>
  <c r="AN189" i="178"/>
  <c r="AO189" i="178"/>
  <c r="T194" i="178"/>
  <c r="V194" i="178" s="1"/>
  <c r="W194" i="178"/>
  <c r="AD194" i="178"/>
  <c r="AE194" i="178"/>
  <c r="AF194" i="178"/>
  <c r="AG194" i="178"/>
  <c r="AH194" i="178"/>
  <c r="AI194" i="178"/>
  <c r="AJ194" i="178"/>
  <c r="AK194" i="178"/>
  <c r="AL194" i="178"/>
  <c r="AM194" i="178"/>
  <c r="AN194" i="178"/>
  <c r="AO194" i="178"/>
  <c r="T232" i="178"/>
  <c r="U232" i="178" s="1"/>
  <c r="W232" i="178"/>
  <c r="AD232" i="178"/>
  <c r="AE232" i="178"/>
  <c r="AF232" i="178"/>
  <c r="AG232" i="178"/>
  <c r="AH232" i="178"/>
  <c r="AI232" i="178"/>
  <c r="AJ232" i="178"/>
  <c r="AK232" i="178"/>
  <c r="AL232" i="178"/>
  <c r="AM232" i="178"/>
  <c r="AN232" i="178"/>
  <c r="AO232" i="178"/>
  <c r="T233" i="178"/>
  <c r="V233" i="178" s="1"/>
  <c r="W233" i="178"/>
  <c r="AD233" i="178"/>
  <c r="AE233" i="178"/>
  <c r="AF233" i="178"/>
  <c r="AG233" i="178"/>
  <c r="AH233" i="178"/>
  <c r="AI233" i="178"/>
  <c r="AJ233" i="178"/>
  <c r="AK233" i="178"/>
  <c r="AL233" i="178"/>
  <c r="AM233" i="178"/>
  <c r="AN233" i="178"/>
  <c r="AO233" i="178"/>
  <c r="T244" i="178"/>
  <c r="U244" i="178" s="1"/>
  <c r="W244" i="178"/>
  <c r="AD244" i="178"/>
  <c r="AE244" i="178"/>
  <c r="AF244" i="178"/>
  <c r="AG244" i="178"/>
  <c r="AH244" i="178"/>
  <c r="AI244" i="178"/>
  <c r="AJ244" i="178"/>
  <c r="AK244" i="178"/>
  <c r="AL244" i="178"/>
  <c r="AM244" i="178"/>
  <c r="AN244" i="178"/>
  <c r="AO244" i="178"/>
  <c r="T252" i="178"/>
  <c r="V252" i="178" s="1"/>
  <c r="W252" i="178"/>
  <c r="AD252" i="178"/>
  <c r="AE252" i="178"/>
  <c r="AF252" i="178"/>
  <c r="AG252" i="178"/>
  <c r="AH252" i="178"/>
  <c r="AI252" i="178"/>
  <c r="AJ252" i="178"/>
  <c r="AK252" i="178"/>
  <c r="AL252" i="178"/>
  <c r="AM252" i="178"/>
  <c r="AN252" i="178"/>
  <c r="AO252" i="178"/>
  <c r="T267" i="178"/>
  <c r="U267" i="178" s="1"/>
  <c r="W267" i="178"/>
  <c r="AD267" i="178"/>
  <c r="AE267" i="178"/>
  <c r="AF267" i="178"/>
  <c r="AG267" i="178"/>
  <c r="AH267" i="178"/>
  <c r="AI267" i="178"/>
  <c r="AJ267" i="178"/>
  <c r="AK267" i="178"/>
  <c r="AL267" i="178"/>
  <c r="AM267" i="178"/>
  <c r="AN267" i="178"/>
  <c r="AO267" i="178"/>
  <c r="T480" i="178"/>
  <c r="V480" i="178" s="1"/>
  <c r="W480" i="178"/>
  <c r="AD480" i="178"/>
  <c r="AE480" i="178"/>
  <c r="AF480" i="178"/>
  <c r="AG480" i="178"/>
  <c r="AH480" i="178"/>
  <c r="AI480" i="178"/>
  <c r="AJ480" i="178"/>
  <c r="AK480" i="178"/>
  <c r="AL480" i="178"/>
  <c r="AM480" i="178"/>
  <c r="AN480" i="178"/>
  <c r="AO480" i="178"/>
  <c r="T263" i="178"/>
  <c r="U263" i="178" s="1"/>
  <c r="W263" i="178"/>
  <c r="AD263" i="178"/>
  <c r="AE263" i="178"/>
  <c r="AF263" i="178"/>
  <c r="AG263" i="178"/>
  <c r="AH263" i="178"/>
  <c r="AI263" i="178"/>
  <c r="AJ263" i="178"/>
  <c r="AK263" i="178"/>
  <c r="AL263" i="178"/>
  <c r="AM263" i="178"/>
  <c r="AN263" i="178"/>
  <c r="AO263" i="178"/>
  <c r="T314" i="178"/>
  <c r="V314" i="178" s="1"/>
  <c r="W314" i="178"/>
  <c r="AD314" i="178"/>
  <c r="AE314" i="178"/>
  <c r="AF314" i="178"/>
  <c r="AG314" i="178"/>
  <c r="AH314" i="178"/>
  <c r="AI314" i="178"/>
  <c r="AJ314" i="178"/>
  <c r="AK314" i="178"/>
  <c r="AL314" i="178"/>
  <c r="AM314" i="178"/>
  <c r="AN314" i="178"/>
  <c r="AO314" i="178"/>
  <c r="T334" i="178"/>
  <c r="U334" i="178" s="1"/>
  <c r="W334" i="178"/>
  <c r="AD334" i="178"/>
  <c r="AE334" i="178"/>
  <c r="AF334" i="178"/>
  <c r="AG334" i="178"/>
  <c r="AH334" i="178"/>
  <c r="AI334" i="178"/>
  <c r="AJ334" i="178"/>
  <c r="AK334" i="178"/>
  <c r="AL334" i="178"/>
  <c r="AM334" i="178"/>
  <c r="AN334" i="178"/>
  <c r="AO334" i="178"/>
  <c r="T337" i="178"/>
  <c r="V337" i="178" s="1"/>
  <c r="W337" i="178"/>
  <c r="AD337" i="178"/>
  <c r="AE337" i="178"/>
  <c r="AF337" i="178"/>
  <c r="AG337" i="178"/>
  <c r="AH337" i="178"/>
  <c r="AI337" i="178"/>
  <c r="AJ337" i="178"/>
  <c r="AK337" i="178"/>
  <c r="AL337" i="178"/>
  <c r="AM337" i="178"/>
  <c r="AN337" i="178"/>
  <c r="AO337" i="178"/>
  <c r="T375" i="178"/>
  <c r="U375" i="178" s="1"/>
  <c r="W375" i="178"/>
  <c r="AD375" i="178"/>
  <c r="AE375" i="178"/>
  <c r="AF375" i="178"/>
  <c r="AG375" i="178"/>
  <c r="AH375" i="178"/>
  <c r="AI375" i="178"/>
  <c r="AJ375" i="178"/>
  <c r="AK375" i="178"/>
  <c r="AL375" i="178"/>
  <c r="AM375" i="178"/>
  <c r="AN375" i="178"/>
  <c r="AO375" i="178"/>
  <c r="T376" i="178"/>
  <c r="V376" i="178" s="1"/>
  <c r="W376" i="178"/>
  <c r="AD376" i="178"/>
  <c r="AE376" i="178"/>
  <c r="AF376" i="178"/>
  <c r="AG376" i="178"/>
  <c r="AH376" i="178"/>
  <c r="AI376" i="178"/>
  <c r="AJ376" i="178"/>
  <c r="AK376" i="178"/>
  <c r="AL376" i="178"/>
  <c r="AM376" i="178"/>
  <c r="AN376" i="178"/>
  <c r="AO376" i="178"/>
  <c r="T400" i="178"/>
  <c r="U400" i="178" s="1"/>
  <c r="W400" i="178"/>
  <c r="AD400" i="178"/>
  <c r="AE400" i="178"/>
  <c r="AF400" i="178"/>
  <c r="AG400" i="178"/>
  <c r="AH400" i="178"/>
  <c r="AI400" i="178"/>
  <c r="AJ400" i="178"/>
  <c r="AK400" i="178"/>
  <c r="AL400" i="178"/>
  <c r="AM400" i="178"/>
  <c r="AN400" i="178"/>
  <c r="AO400" i="178"/>
  <c r="T401" i="178"/>
  <c r="V401" i="178" s="1"/>
  <c r="W401" i="178"/>
  <c r="AD401" i="178"/>
  <c r="AE401" i="178"/>
  <c r="AF401" i="178"/>
  <c r="AG401" i="178"/>
  <c r="AH401" i="178"/>
  <c r="AI401" i="178"/>
  <c r="AJ401" i="178"/>
  <c r="AK401" i="178"/>
  <c r="AL401" i="178"/>
  <c r="AM401" i="178"/>
  <c r="AN401" i="178"/>
  <c r="AO401" i="178"/>
  <c r="T467" i="178"/>
  <c r="U467" i="178" s="1"/>
  <c r="W467" i="178"/>
  <c r="AD467" i="178"/>
  <c r="AE467" i="178"/>
  <c r="AF467" i="178"/>
  <c r="AG467" i="178"/>
  <c r="AH467" i="178"/>
  <c r="AI467" i="178"/>
  <c r="AJ467" i="178"/>
  <c r="AK467" i="178"/>
  <c r="AL467" i="178"/>
  <c r="AM467" i="178"/>
  <c r="AN467" i="178"/>
  <c r="AO467" i="178"/>
  <c r="T475" i="178"/>
  <c r="V475" i="178" s="1"/>
  <c r="W475" i="178"/>
  <c r="AD475" i="178"/>
  <c r="AE475" i="178"/>
  <c r="AF475" i="178"/>
  <c r="AG475" i="178"/>
  <c r="AH475" i="178"/>
  <c r="AI475" i="178"/>
  <c r="AJ475" i="178"/>
  <c r="AK475" i="178"/>
  <c r="AL475" i="178"/>
  <c r="AM475" i="178"/>
  <c r="AN475" i="178"/>
  <c r="AO475" i="178"/>
  <c r="T268" i="178"/>
  <c r="U268" i="178" s="1"/>
  <c r="W268" i="178"/>
  <c r="AD268" i="178"/>
  <c r="AE268" i="178"/>
  <c r="AF268" i="178"/>
  <c r="AG268" i="178"/>
  <c r="AH268" i="178"/>
  <c r="AI268" i="178"/>
  <c r="AJ268" i="178"/>
  <c r="AK268" i="178"/>
  <c r="AL268" i="178"/>
  <c r="AM268" i="178"/>
  <c r="AN268" i="178"/>
  <c r="AO268" i="178"/>
  <c r="T377" i="178"/>
  <c r="V377" i="178" s="1"/>
  <c r="W377" i="178"/>
  <c r="AD377" i="178"/>
  <c r="AE377" i="178"/>
  <c r="AF377" i="178"/>
  <c r="AG377" i="178"/>
  <c r="AH377" i="178"/>
  <c r="AI377" i="178"/>
  <c r="AJ377" i="178"/>
  <c r="AK377" i="178"/>
  <c r="AL377" i="178"/>
  <c r="AM377" i="178"/>
  <c r="AN377" i="178"/>
  <c r="AO377" i="178"/>
  <c r="T378" i="178"/>
  <c r="U378" i="178" s="1"/>
  <c r="W378" i="178"/>
  <c r="AD378" i="178"/>
  <c r="AE378" i="178"/>
  <c r="AF378" i="178"/>
  <c r="AG378" i="178"/>
  <c r="AH378" i="178"/>
  <c r="AI378" i="178"/>
  <c r="AJ378" i="178"/>
  <c r="AK378" i="178"/>
  <c r="AL378" i="178"/>
  <c r="AM378" i="178"/>
  <c r="AN378" i="178"/>
  <c r="AO378" i="178"/>
  <c r="T379" i="178"/>
  <c r="V379" i="178" s="1"/>
  <c r="W379" i="178"/>
  <c r="AD379" i="178"/>
  <c r="AE379" i="178"/>
  <c r="AF379" i="178"/>
  <c r="AG379" i="178"/>
  <c r="AH379" i="178"/>
  <c r="AI379" i="178"/>
  <c r="AJ379" i="178"/>
  <c r="AK379" i="178"/>
  <c r="AL379" i="178"/>
  <c r="AM379" i="178"/>
  <c r="AN379" i="178"/>
  <c r="AO379" i="178"/>
  <c r="T380" i="178"/>
  <c r="U380" i="178" s="1"/>
  <c r="W380" i="178"/>
  <c r="AD380" i="178"/>
  <c r="AE380" i="178"/>
  <c r="AF380" i="178"/>
  <c r="AG380" i="178"/>
  <c r="AH380" i="178"/>
  <c r="AI380" i="178"/>
  <c r="AJ380" i="178"/>
  <c r="AK380" i="178"/>
  <c r="AL380" i="178"/>
  <c r="AM380" i="178"/>
  <c r="AN380" i="178"/>
  <c r="AO380" i="178"/>
  <c r="T381" i="178"/>
  <c r="V381" i="178" s="1"/>
  <c r="W381" i="178"/>
  <c r="AD381" i="178"/>
  <c r="AE381" i="178"/>
  <c r="AF381" i="178"/>
  <c r="AG381" i="178"/>
  <c r="AH381" i="178"/>
  <c r="AI381" i="178"/>
  <c r="AJ381" i="178"/>
  <c r="AK381" i="178"/>
  <c r="AL381" i="178"/>
  <c r="AM381" i="178"/>
  <c r="AN381" i="178"/>
  <c r="AO381" i="178"/>
  <c r="T382" i="178"/>
  <c r="U382" i="178" s="1"/>
  <c r="W382" i="178"/>
  <c r="AD382" i="178"/>
  <c r="AE382" i="178"/>
  <c r="AF382" i="178"/>
  <c r="AG382" i="178"/>
  <c r="AH382" i="178"/>
  <c r="AI382" i="178"/>
  <c r="AJ382" i="178"/>
  <c r="AK382" i="178"/>
  <c r="AL382" i="178"/>
  <c r="AM382" i="178"/>
  <c r="AN382" i="178"/>
  <c r="AO382" i="178"/>
  <c r="T383" i="178"/>
  <c r="V383" i="178" s="1"/>
  <c r="W383" i="178"/>
  <c r="AD383" i="178"/>
  <c r="AE383" i="178"/>
  <c r="AF383" i="178"/>
  <c r="AG383" i="178"/>
  <c r="AH383" i="178"/>
  <c r="AI383" i="178"/>
  <c r="AJ383" i="178"/>
  <c r="AK383" i="178"/>
  <c r="AL383" i="178"/>
  <c r="AM383" i="178"/>
  <c r="AN383" i="178"/>
  <c r="AO383" i="178"/>
  <c r="T384" i="178"/>
  <c r="U384" i="178" s="1"/>
  <c r="W384" i="178"/>
  <c r="AD384" i="178"/>
  <c r="AE384" i="178"/>
  <c r="AF384" i="178"/>
  <c r="AG384" i="178"/>
  <c r="AH384" i="178"/>
  <c r="AI384" i="178"/>
  <c r="AJ384" i="178"/>
  <c r="AK384" i="178"/>
  <c r="AL384" i="178"/>
  <c r="AM384" i="178"/>
  <c r="AN384" i="178"/>
  <c r="AO384" i="178"/>
  <c r="T385" i="178"/>
  <c r="V385" i="178" s="1"/>
  <c r="W385" i="178"/>
  <c r="AD385" i="178"/>
  <c r="AE385" i="178"/>
  <c r="AF385" i="178"/>
  <c r="AG385" i="178"/>
  <c r="AH385" i="178"/>
  <c r="AI385" i="178"/>
  <c r="AJ385" i="178"/>
  <c r="AK385" i="178"/>
  <c r="AL385" i="178"/>
  <c r="AM385" i="178"/>
  <c r="AN385" i="178"/>
  <c r="AO385" i="178"/>
  <c r="T386" i="178"/>
  <c r="U386" i="178" s="1"/>
  <c r="W386" i="178"/>
  <c r="AD386" i="178"/>
  <c r="AE386" i="178"/>
  <c r="AF386" i="178"/>
  <c r="AG386" i="178"/>
  <c r="AH386" i="178"/>
  <c r="AI386" i="178"/>
  <c r="AJ386" i="178"/>
  <c r="AK386" i="178"/>
  <c r="AL386" i="178"/>
  <c r="AM386" i="178"/>
  <c r="AN386" i="178"/>
  <c r="AO386" i="178"/>
  <c r="T387" i="178"/>
  <c r="V387" i="178" s="1"/>
  <c r="W387" i="178"/>
  <c r="AD387" i="178"/>
  <c r="AE387" i="178"/>
  <c r="AF387" i="178"/>
  <c r="AG387" i="178"/>
  <c r="AH387" i="178"/>
  <c r="AI387" i="178"/>
  <c r="AJ387" i="178"/>
  <c r="AK387" i="178"/>
  <c r="AL387" i="178"/>
  <c r="AM387" i="178"/>
  <c r="AN387" i="178"/>
  <c r="AO387" i="178"/>
  <c r="T388" i="178"/>
  <c r="U388" i="178" s="1"/>
  <c r="W388" i="178"/>
  <c r="AD388" i="178"/>
  <c r="AE388" i="178"/>
  <c r="AF388" i="178"/>
  <c r="AG388" i="178"/>
  <c r="AH388" i="178"/>
  <c r="AI388" i="178"/>
  <c r="AJ388" i="178"/>
  <c r="AK388" i="178"/>
  <c r="AL388" i="178"/>
  <c r="AM388" i="178"/>
  <c r="AN388" i="178"/>
  <c r="AO388" i="178"/>
  <c r="T389" i="178"/>
  <c r="V389" i="178" s="1"/>
  <c r="W389" i="178"/>
  <c r="AD389" i="178"/>
  <c r="AE389" i="178"/>
  <c r="AF389" i="178"/>
  <c r="AG389" i="178"/>
  <c r="AH389" i="178"/>
  <c r="AI389" i="178"/>
  <c r="AJ389" i="178"/>
  <c r="AK389" i="178"/>
  <c r="AL389" i="178"/>
  <c r="AM389" i="178"/>
  <c r="AN389" i="178"/>
  <c r="AO389" i="178"/>
  <c r="T390" i="178"/>
  <c r="U390" i="178" s="1"/>
  <c r="W390" i="178"/>
  <c r="AD390" i="178"/>
  <c r="AE390" i="178"/>
  <c r="AF390" i="178"/>
  <c r="AG390" i="178"/>
  <c r="AH390" i="178"/>
  <c r="AI390" i="178"/>
  <c r="AJ390" i="178"/>
  <c r="AK390" i="178"/>
  <c r="AL390" i="178"/>
  <c r="AM390" i="178"/>
  <c r="AN390" i="178"/>
  <c r="AO390" i="178"/>
  <c r="T402" i="178"/>
  <c r="V402" i="178" s="1"/>
  <c r="W402" i="178"/>
  <c r="AD402" i="178"/>
  <c r="AE402" i="178"/>
  <c r="AF402" i="178"/>
  <c r="AG402" i="178"/>
  <c r="AH402" i="178"/>
  <c r="AI402" i="178"/>
  <c r="AJ402" i="178"/>
  <c r="AK402" i="178"/>
  <c r="AL402" i="178"/>
  <c r="AM402" i="178"/>
  <c r="AN402" i="178"/>
  <c r="AO402" i="178"/>
  <c r="T403" i="178"/>
  <c r="U403" i="178" s="1"/>
  <c r="W403" i="178"/>
  <c r="AD403" i="178"/>
  <c r="AE403" i="178"/>
  <c r="AF403" i="178"/>
  <c r="AG403" i="178"/>
  <c r="AH403" i="178"/>
  <c r="AI403" i="178"/>
  <c r="AJ403" i="178"/>
  <c r="AK403" i="178"/>
  <c r="AL403" i="178"/>
  <c r="AM403" i="178"/>
  <c r="AN403" i="178"/>
  <c r="AO403" i="178"/>
  <c r="T404" i="178"/>
  <c r="V404" i="178" s="1"/>
  <c r="W404" i="178"/>
  <c r="AD404" i="178"/>
  <c r="AE404" i="178"/>
  <c r="AF404" i="178"/>
  <c r="AG404" i="178"/>
  <c r="AH404" i="178"/>
  <c r="AI404" i="178"/>
  <c r="AJ404" i="178"/>
  <c r="AK404" i="178"/>
  <c r="AL404" i="178"/>
  <c r="AM404" i="178"/>
  <c r="AN404" i="178"/>
  <c r="AO404" i="178"/>
  <c r="T405" i="178"/>
  <c r="U405" i="178" s="1"/>
  <c r="W405" i="178"/>
  <c r="AD405" i="178"/>
  <c r="AE405" i="178"/>
  <c r="AF405" i="178"/>
  <c r="AG405" i="178"/>
  <c r="AH405" i="178"/>
  <c r="AI405" i="178"/>
  <c r="AJ405" i="178"/>
  <c r="AK405" i="178"/>
  <c r="AL405" i="178"/>
  <c r="AM405" i="178"/>
  <c r="AN405" i="178"/>
  <c r="AO405" i="178"/>
  <c r="T407" i="178"/>
  <c r="V407" i="178" s="1"/>
  <c r="W407" i="178"/>
  <c r="AD407" i="178"/>
  <c r="AE407" i="178"/>
  <c r="AF407" i="178"/>
  <c r="AG407" i="178"/>
  <c r="AH407" i="178"/>
  <c r="AI407" i="178"/>
  <c r="AJ407" i="178"/>
  <c r="AK407" i="178"/>
  <c r="AL407" i="178"/>
  <c r="AM407" i="178"/>
  <c r="AN407" i="178"/>
  <c r="AO407" i="178"/>
  <c r="T406" i="178"/>
  <c r="U406" i="178" s="1"/>
  <c r="W406" i="178"/>
  <c r="AD406" i="178"/>
  <c r="AE406" i="178"/>
  <c r="AF406" i="178"/>
  <c r="AG406" i="178"/>
  <c r="AH406" i="178"/>
  <c r="AI406" i="178"/>
  <c r="AJ406" i="178"/>
  <c r="AK406" i="178"/>
  <c r="AL406" i="178"/>
  <c r="AM406" i="178"/>
  <c r="AN406" i="178"/>
  <c r="AO406" i="178"/>
  <c r="T408" i="178"/>
  <c r="V408" i="178" s="1"/>
  <c r="W408" i="178"/>
  <c r="AD408" i="178"/>
  <c r="AE408" i="178"/>
  <c r="AF408" i="178"/>
  <c r="AG408" i="178"/>
  <c r="AH408" i="178"/>
  <c r="AI408" i="178"/>
  <c r="AJ408" i="178"/>
  <c r="AK408" i="178"/>
  <c r="AL408" i="178"/>
  <c r="AM408" i="178"/>
  <c r="AN408" i="178"/>
  <c r="AO408" i="178"/>
  <c r="T409" i="178"/>
  <c r="U409" i="178" s="1"/>
  <c r="W409" i="178"/>
  <c r="AD409" i="178"/>
  <c r="AE409" i="178"/>
  <c r="AF409" i="178"/>
  <c r="AG409" i="178"/>
  <c r="AH409" i="178"/>
  <c r="AI409" i="178"/>
  <c r="AJ409" i="178"/>
  <c r="AK409" i="178"/>
  <c r="AL409" i="178"/>
  <c r="AM409" i="178"/>
  <c r="AN409" i="178"/>
  <c r="AO409" i="178"/>
  <c r="T410" i="178"/>
  <c r="V410" i="178" s="1"/>
  <c r="W410" i="178"/>
  <c r="AD410" i="178"/>
  <c r="AE410" i="178"/>
  <c r="AF410" i="178"/>
  <c r="AG410" i="178"/>
  <c r="AH410" i="178"/>
  <c r="AI410" i="178"/>
  <c r="AJ410" i="178"/>
  <c r="AK410" i="178"/>
  <c r="AL410" i="178"/>
  <c r="AM410" i="178"/>
  <c r="AN410" i="178"/>
  <c r="AO410" i="178"/>
  <c r="T411" i="178"/>
  <c r="U411" i="178" s="1"/>
  <c r="W411" i="178"/>
  <c r="AD411" i="178"/>
  <c r="AE411" i="178"/>
  <c r="AF411" i="178"/>
  <c r="AG411" i="178"/>
  <c r="AH411" i="178"/>
  <c r="AI411" i="178"/>
  <c r="AJ411" i="178"/>
  <c r="AK411" i="178"/>
  <c r="AL411" i="178"/>
  <c r="AM411" i="178"/>
  <c r="AN411" i="178"/>
  <c r="AO411" i="178"/>
  <c r="T412" i="178"/>
  <c r="V412" i="178" s="1"/>
  <c r="W412" i="178"/>
  <c r="AD412" i="178"/>
  <c r="AE412" i="178"/>
  <c r="AF412" i="178"/>
  <c r="AG412" i="178"/>
  <c r="AH412" i="178"/>
  <c r="AI412" i="178"/>
  <c r="AJ412" i="178"/>
  <c r="AK412" i="178"/>
  <c r="AL412" i="178"/>
  <c r="AM412" i="178"/>
  <c r="AN412" i="178"/>
  <c r="AO412" i="178"/>
  <c r="T413" i="178"/>
  <c r="U413" i="178" s="1"/>
  <c r="W413" i="178"/>
  <c r="AD413" i="178"/>
  <c r="AE413" i="178"/>
  <c r="AF413" i="178"/>
  <c r="AG413" i="178"/>
  <c r="AH413" i="178"/>
  <c r="AI413" i="178"/>
  <c r="AJ413" i="178"/>
  <c r="AK413" i="178"/>
  <c r="AL413" i="178"/>
  <c r="AM413" i="178"/>
  <c r="AN413" i="178"/>
  <c r="AO413" i="178"/>
  <c r="T414" i="178"/>
  <c r="V414" i="178" s="1"/>
  <c r="W414" i="178"/>
  <c r="AD414" i="178"/>
  <c r="AE414" i="178"/>
  <c r="AF414" i="178"/>
  <c r="AG414" i="178"/>
  <c r="AH414" i="178"/>
  <c r="AI414" i="178"/>
  <c r="AJ414" i="178"/>
  <c r="AK414" i="178"/>
  <c r="AL414" i="178"/>
  <c r="AM414" i="178"/>
  <c r="AN414" i="178"/>
  <c r="AO414" i="178"/>
  <c r="T415" i="178"/>
  <c r="U415" i="178" s="1"/>
  <c r="W415" i="178"/>
  <c r="AD415" i="178"/>
  <c r="AE415" i="178"/>
  <c r="AF415" i="178"/>
  <c r="AG415" i="178"/>
  <c r="AH415" i="178"/>
  <c r="AI415" i="178"/>
  <c r="AJ415" i="178"/>
  <c r="AK415" i="178"/>
  <c r="AL415" i="178"/>
  <c r="AM415" i="178"/>
  <c r="AN415" i="178"/>
  <c r="AO415" i="178"/>
  <c r="T367" i="178"/>
  <c r="U367" i="178" s="1"/>
  <c r="W367" i="178"/>
  <c r="AD367" i="178"/>
  <c r="AE367" i="178"/>
  <c r="AF367" i="178"/>
  <c r="AG367" i="178"/>
  <c r="AH367" i="178"/>
  <c r="AI367" i="178"/>
  <c r="AJ367" i="178"/>
  <c r="AK367" i="178"/>
  <c r="AL367" i="178"/>
  <c r="AM367" i="178"/>
  <c r="AN367" i="178"/>
  <c r="AO367" i="178"/>
  <c r="T371" i="178"/>
  <c r="U371" i="178" s="1"/>
  <c r="W371" i="178"/>
  <c r="AD371" i="178"/>
  <c r="AE371" i="178"/>
  <c r="AF371" i="178"/>
  <c r="AG371" i="178"/>
  <c r="AH371" i="178"/>
  <c r="AI371" i="178"/>
  <c r="AJ371" i="178"/>
  <c r="AK371" i="178"/>
  <c r="AL371" i="178"/>
  <c r="AM371" i="178"/>
  <c r="AN371" i="178"/>
  <c r="AO371" i="178"/>
  <c r="T225" i="178"/>
  <c r="U225" i="178" s="1"/>
  <c r="W225" i="178"/>
  <c r="AD225" i="178"/>
  <c r="AE225" i="178"/>
  <c r="AF225" i="178"/>
  <c r="AG225" i="178"/>
  <c r="AH225" i="178"/>
  <c r="AI225" i="178"/>
  <c r="AJ225" i="178"/>
  <c r="AK225" i="178"/>
  <c r="AL225" i="178"/>
  <c r="AM225" i="178"/>
  <c r="AN225" i="178"/>
  <c r="AO225" i="178"/>
  <c r="T228" i="178"/>
  <c r="U228" i="178" s="1"/>
  <c r="W228" i="178"/>
  <c r="AD228" i="178"/>
  <c r="AE228" i="178"/>
  <c r="AF228" i="178"/>
  <c r="AG228" i="178"/>
  <c r="AH228" i="178"/>
  <c r="AI228" i="178"/>
  <c r="AJ228" i="178"/>
  <c r="AK228" i="178"/>
  <c r="AL228" i="178"/>
  <c r="AM228" i="178"/>
  <c r="AN228" i="178"/>
  <c r="AO228" i="178"/>
  <c r="T258" i="178"/>
  <c r="U258" i="178" s="1"/>
  <c r="W258" i="178"/>
  <c r="AD258" i="178"/>
  <c r="AE258" i="178"/>
  <c r="AF258" i="178"/>
  <c r="AG258" i="178"/>
  <c r="AH258" i="178"/>
  <c r="AI258" i="178"/>
  <c r="AJ258" i="178"/>
  <c r="AK258" i="178"/>
  <c r="AL258" i="178"/>
  <c r="AM258" i="178"/>
  <c r="AN258" i="178"/>
  <c r="AO258" i="178"/>
  <c r="T261" i="178"/>
  <c r="U261" i="178" s="1"/>
  <c r="W261" i="178"/>
  <c r="AD261" i="178"/>
  <c r="AE261" i="178"/>
  <c r="AF261" i="178"/>
  <c r="AG261" i="178"/>
  <c r="AH261" i="178"/>
  <c r="AI261" i="178"/>
  <c r="AJ261" i="178"/>
  <c r="AK261" i="178"/>
  <c r="AL261" i="178"/>
  <c r="AM261" i="178"/>
  <c r="AN261" i="178"/>
  <c r="AO261" i="178"/>
  <c r="T264" i="178"/>
  <c r="U264" i="178" s="1"/>
  <c r="W264" i="178"/>
  <c r="AD264" i="178"/>
  <c r="AE264" i="178"/>
  <c r="AF264" i="178"/>
  <c r="AG264" i="178"/>
  <c r="AH264" i="178"/>
  <c r="AI264" i="178"/>
  <c r="AJ264" i="178"/>
  <c r="AK264" i="178"/>
  <c r="AL264" i="178"/>
  <c r="AM264" i="178"/>
  <c r="AN264" i="178"/>
  <c r="AO264" i="178"/>
  <c r="T36" i="178"/>
  <c r="U36" i="178" s="1"/>
  <c r="W36" i="178"/>
  <c r="AD36" i="178"/>
  <c r="AE36" i="178"/>
  <c r="AF36" i="178"/>
  <c r="AG36" i="178"/>
  <c r="AH36" i="178"/>
  <c r="AI36" i="178"/>
  <c r="AJ36" i="178"/>
  <c r="AK36" i="178"/>
  <c r="AL36" i="178"/>
  <c r="AM36" i="178"/>
  <c r="AN36" i="178"/>
  <c r="AO36" i="178"/>
  <c r="T45" i="178"/>
  <c r="U45" i="178" s="1"/>
  <c r="W45" i="178"/>
  <c r="AD45" i="178"/>
  <c r="AE45" i="178"/>
  <c r="AF45" i="178"/>
  <c r="AG45" i="178"/>
  <c r="AH45" i="178"/>
  <c r="AI45" i="178"/>
  <c r="AJ45" i="178"/>
  <c r="AK45" i="178"/>
  <c r="AL45" i="178"/>
  <c r="AM45" i="178"/>
  <c r="AN45" i="178"/>
  <c r="AO45" i="178"/>
  <c r="T171" i="178"/>
  <c r="U171" i="178" s="1"/>
  <c r="W171" i="178"/>
  <c r="AD171" i="178"/>
  <c r="AE171" i="178"/>
  <c r="AF171" i="178"/>
  <c r="AG171" i="178"/>
  <c r="AH171" i="178"/>
  <c r="AI171" i="178"/>
  <c r="AJ171" i="178"/>
  <c r="AK171" i="178"/>
  <c r="AL171" i="178"/>
  <c r="AM171" i="178"/>
  <c r="AN171" i="178"/>
  <c r="AO171" i="178"/>
  <c r="T358" i="178"/>
  <c r="U358" i="178" s="1"/>
  <c r="W358" i="178"/>
  <c r="AD358" i="178"/>
  <c r="AE358" i="178"/>
  <c r="AF358" i="178"/>
  <c r="AG358" i="178"/>
  <c r="AH358" i="178"/>
  <c r="AI358" i="178"/>
  <c r="AJ358" i="178"/>
  <c r="AK358" i="178"/>
  <c r="AL358" i="178"/>
  <c r="AM358" i="178"/>
  <c r="AN358" i="178"/>
  <c r="AO358" i="178"/>
  <c r="T395" i="178"/>
  <c r="U395" i="178" s="1"/>
  <c r="W395" i="178"/>
  <c r="AD395" i="178"/>
  <c r="AE395" i="178"/>
  <c r="AF395" i="178"/>
  <c r="AG395" i="178"/>
  <c r="AH395" i="178"/>
  <c r="AI395" i="178"/>
  <c r="AJ395" i="178"/>
  <c r="AK395" i="178"/>
  <c r="AL395" i="178"/>
  <c r="AM395" i="178"/>
  <c r="AN395" i="178"/>
  <c r="AO395" i="178"/>
  <c r="T421" i="178"/>
  <c r="U421" i="178" s="1"/>
  <c r="W421" i="178"/>
  <c r="AD421" i="178"/>
  <c r="AE421" i="178"/>
  <c r="AF421" i="178"/>
  <c r="AG421" i="178"/>
  <c r="AH421" i="178"/>
  <c r="AI421" i="178"/>
  <c r="AJ421" i="178"/>
  <c r="AK421" i="178"/>
  <c r="AL421" i="178"/>
  <c r="AM421" i="178"/>
  <c r="AN421" i="178"/>
  <c r="AO421" i="178"/>
  <c r="T397" i="178"/>
  <c r="V397" i="178" s="1"/>
  <c r="W397" i="178"/>
  <c r="AD397" i="178"/>
  <c r="AE397" i="178"/>
  <c r="AF397" i="178"/>
  <c r="AG397" i="178"/>
  <c r="AH397" i="178"/>
  <c r="AI397" i="178"/>
  <c r="AJ397" i="178"/>
  <c r="AK397" i="178"/>
  <c r="AL397" i="178"/>
  <c r="AM397" i="178"/>
  <c r="AN397" i="178"/>
  <c r="AO397" i="178"/>
  <c r="T422" i="178"/>
  <c r="V422" i="178" s="1"/>
  <c r="W422" i="178"/>
  <c r="AD422" i="178"/>
  <c r="AE422" i="178"/>
  <c r="AF422" i="178"/>
  <c r="AG422" i="178"/>
  <c r="AH422" i="178"/>
  <c r="AI422" i="178"/>
  <c r="AJ422" i="178"/>
  <c r="AK422" i="178"/>
  <c r="AL422" i="178"/>
  <c r="AM422" i="178"/>
  <c r="AN422" i="178"/>
  <c r="AO422" i="178"/>
  <c r="T158" i="178"/>
  <c r="U158" i="178" s="1"/>
  <c r="W158" i="178"/>
  <c r="AD158" i="178"/>
  <c r="AE158" i="178"/>
  <c r="AF158" i="178"/>
  <c r="AG158" i="178"/>
  <c r="AH158" i="178"/>
  <c r="AI158" i="178"/>
  <c r="AJ158" i="178"/>
  <c r="AK158" i="178"/>
  <c r="AL158" i="178"/>
  <c r="AM158" i="178"/>
  <c r="AN158" i="178"/>
  <c r="AO158" i="178"/>
  <c r="S177" i="178"/>
  <c r="S293" i="178"/>
  <c r="S394" i="178"/>
  <c r="S159" i="178"/>
  <c r="S148" i="178"/>
  <c r="S229" i="178"/>
  <c r="S290" i="178"/>
  <c r="S437" i="178"/>
  <c r="S15" i="178"/>
  <c r="S49" i="178"/>
  <c r="S59" i="178"/>
  <c r="S73" i="178"/>
  <c r="S80" i="178"/>
  <c r="S81" i="178"/>
  <c r="S121" i="178"/>
  <c r="S122" i="178"/>
  <c r="S125" i="178"/>
  <c r="S126" i="178"/>
  <c r="S188" i="178"/>
  <c r="S192" i="178"/>
  <c r="S230" i="178"/>
  <c r="S242" i="178"/>
  <c r="S251" i="178"/>
  <c r="S256" i="178"/>
  <c r="S266" i="178"/>
  <c r="S311" i="178"/>
  <c r="S333" i="178"/>
  <c r="S335" i="178"/>
  <c r="S438" i="178"/>
  <c r="S465" i="178"/>
  <c r="S16" i="178"/>
  <c r="S127" i="178"/>
  <c r="S131" i="178"/>
  <c r="S231" i="178"/>
  <c r="S235" i="178"/>
  <c r="S313" i="178"/>
  <c r="S317" i="178"/>
  <c r="S466" i="178"/>
  <c r="S474" i="178"/>
  <c r="S17" i="178"/>
  <c r="S83" i="178"/>
  <c r="S133" i="178"/>
  <c r="S189" i="178"/>
  <c r="S233" i="178"/>
  <c r="S244" i="178"/>
  <c r="S480" i="178"/>
  <c r="S263" i="178"/>
  <c r="S337" i="178"/>
  <c r="S375" i="178"/>
  <c r="S401" i="178"/>
  <c r="S467" i="178"/>
  <c r="S268" i="178"/>
  <c r="S379" i="178"/>
  <c r="S380" i="178"/>
  <c r="S383" i="178"/>
  <c r="S384" i="178"/>
  <c r="S387" i="178"/>
  <c r="S388" i="178"/>
  <c r="S402" i="178"/>
  <c r="S403" i="178"/>
  <c r="S407" i="178"/>
  <c r="S410" i="178"/>
  <c r="S411" i="178"/>
  <c r="S414" i="178"/>
  <c r="S415" i="178"/>
  <c r="S367" i="178"/>
  <c r="S371" i="178"/>
  <c r="K25" i="183" l="1"/>
  <c r="K36" i="183"/>
  <c r="M4" i="183"/>
  <c r="M8" i="183"/>
  <c r="K31" i="183"/>
  <c r="M2" i="183"/>
  <c r="K29" i="183"/>
  <c r="K47" i="183"/>
  <c r="K51" i="183"/>
  <c r="K27" i="183"/>
  <c r="K37" i="183"/>
  <c r="K46" i="183"/>
  <c r="K50" i="183"/>
  <c r="K92" i="183"/>
  <c r="K122" i="183"/>
  <c r="K130" i="183"/>
  <c r="M5" i="183"/>
  <c r="M21" i="183"/>
  <c r="K19" i="183"/>
  <c r="K35" i="183"/>
  <c r="K40" i="183"/>
  <c r="K49" i="183"/>
  <c r="M54" i="183"/>
  <c r="K120" i="183"/>
  <c r="K132" i="183"/>
  <c r="K3" i="183"/>
  <c r="K9" i="183"/>
  <c r="K34" i="183"/>
  <c r="K43" i="183"/>
  <c r="K48" i="183"/>
  <c r="K52" i="183"/>
  <c r="K118" i="183"/>
  <c r="H3" i="183"/>
  <c r="I98" i="183"/>
  <c r="I27" i="183"/>
  <c r="I12" i="183"/>
  <c r="H13" i="183"/>
  <c r="H6" i="183"/>
  <c r="H34" i="183"/>
  <c r="I38" i="183"/>
  <c r="I77" i="183"/>
  <c r="H4" i="183"/>
  <c r="H7" i="183"/>
  <c r="H14" i="183"/>
  <c r="H16" i="183"/>
  <c r="H19" i="183"/>
  <c r="H20" i="183"/>
  <c r="I29" i="183"/>
  <c r="H46" i="183"/>
  <c r="I48" i="183"/>
  <c r="I81" i="183"/>
  <c r="I94" i="183"/>
  <c r="I108" i="183"/>
  <c r="H109" i="183"/>
  <c r="I43" i="183"/>
  <c r="I61" i="183"/>
  <c r="H117" i="183"/>
  <c r="I65" i="183"/>
  <c r="H128" i="183"/>
  <c r="H9" i="183"/>
  <c r="H17" i="183"/>
  <c r="I40" i="183"/>
  <c r="H41" i="183"/>
  <c r="I52" i="183"/>
  <c r="H53" i="183"/>
  <c r="I69" i="183"/>
  <c r="I85" i="183"/>
  <c r="I93" i="183"/>
  <c r="I102" i="183"/>
  <c r="I110" i="183"/>
  <c r="H111" i="183"/>
  <c r="H119" i="183"/>
  <c r="I124" i="183"/>
  <c r="I127" i="183"/>
  <c r="H2" i="183"/>
  <c r="H10" i="183"/>
  <c r="I25" i="183"/>
  <c r="H36" i="183"/>
  <c r="I50" i="183"/>
  <c r="I73" i="183"/>
  <c r="I89" i="183"/>
  <c r="H18" i="183"/>
  <c r="I23" i="183"/>
  <c r="I31" i="183"/>
  <c r="I56" i="183"/>
  <c r="I59" i="183"/>
  <c r="I67" i="183"/>
  <c r="I75" i="183"/>
  <c r="I83" i="183"/>
  <c r="H91" i="183"/>
  <c r="I100" i="183"/>
  <c r="H113" i="183"/>
  <c r="H121" i="183"/>
  <c r="H126" i="183"/>
  <c r="I130" i="183"/>
  <c r="H115" i="183"/>
  <c r="H123" i="183"/>
  <c r="I63" i="183"/>
  <c r="I71" i="183"/>
  <c r="I79" i="183"/>
  <c r="I87" i="183"/>
  <c r="I96" i="183"/>
  <c r="I104" i="183"/>
  <c r="I106" i="183"/>
  <c r="I132" i="183"/>
  <c r="K42" i="184"/>
  <c r="N42" i="184" s="1"/>
  <c r="I50" i="184"/>
  <c r="N38" i="184"/>
  <c r="O50" i="184"/>
  <c r="I5" i="183"/>
  <c r="I8" i="183"/>
  <c r="I11" i="183"/>
  <c r="I15" i="183"/>
  <c r="I21" i="183"/>
  <c r="M3" i="183"/>
  <c r="M19" i="183"/>
  <c r="I26" i="183"/>
  <c r="H26" i="183"/>
  <c r="H22" i="183"/>
  <c r="K23" i="183"/>
  <c r="H24" i="183"/>
  <c r="I33" i="183"/>
  <c r="I35" i="183"/>
  <c r="M35" i="183"/>
  <c r="I37" i="183"/>
  <c r="M37" i="183"/>
  <c r="I45" i="183"/>
  <c r="I47" i="183"/>
  <c r="M47" i="183"/>
  <c r="I49" i="183"/>
  <c r="M49" i="183"/>
  <c r="I51" i="183"/>
  <c r="M51" i="183"/>
  <c r="I57" i="183"/>
  <c r="I66" i="183"/>
  <c r="H66" i="183"/>
  <c r="I74" i="183"/>
  <c r="H74" i="183"/>
  <c r="I82" i="183"/>
  <c r="H82" i="183"/>
  <c r="K54" i="183"/>
  <c r="I64" i="183"/>
  <c r="H64" i="183"/>
  <c r="I72" i="183"/>
  <c r="H72" i="183"/>
  <c r="I80" i="183"/>
  <c r="H80" i="183"/>
  <c r="I88" i="183"/>
  <c r="H88" i="183"/>
  <c r="H28" i="183"/>
  <c r="H30" i="183"/>
  <c r="H32" i="183"/>
  <c r="H39" i="183"/>
  <c r="H42" i="183"/>
  <c r="H44" i="183"/>
  <c r="I55" i="183"/>
  <c r="I62" i="183"/>
  <c r="H62" i="183"/>
  <c r="I70" i="183"/>
  <c r="H70" i="183"/>
  <c r="I78" i="183"/>
  <c r="H78" i="183"/>
  <c r="I86" i="183"/>
  <c r="H86" i="183"/>
  <c r="I54" i="183"/>
  <c r="I58" i="183"/>
  <c r="I60" i="183"/>
  <c r="H60" i="183"/>
  <c r="I68" i="183"/>
  <c r="H68" i="183"/>
  <c r="I76" i="183"/>
  <c r="H76" i="183"/>
  <c r="I84" i="183"/>
  <c r="H84" i="183"/>
  <c r="K110" i="183"/>
  <c r="M110" i="183"/>
  <c r="K116" i="183"/>
  <c r="M116" i="183"/>
  <c r="H90" i="183"/>
  <c r="K94" i="183"/>
  <c r="H95" i="183"/>
  <c r="K96" i="183"/>
  <c r="H97" i="183"/>
  <c r="K98" i="183"/>
  <c r="H99" i="183"/>
  <c r="K100" i="183"/>
  <c r="H101" i="183"/>
  <c r="K102" i="183"/>
  <c r="H103" i="183"/>
  <c r="K104" i="183"/>
  <c r="H105" i="183"/>
  <c r="K106" i="183"/>
  <c r="H107" i="183"/>
  <c r="K108" i="183"/>
  <c r="M104" i="183"/>
  <c r="M106" i="183"/>
  <c r="M108" i="183"/>
  <c r="K112" i="183"/>
  <c r="M112" i="183"/>
  <c r="I92" i="183"/>
  <c r="K114" i="183"/>
  <c r="M114" i="183"/>
  <c r="I112" i="183"/>
  <c r="I114" i="183"/>
  <c r="I116" i="183"/>
  <c r="I118" i="183"/>
  <c r="M118" i="183"/>
  <c r="I120" i="183"/>
  <c r="M120" i="183"/>
  <c r="I122" i="183"/>
  <c r="M122" i="183"/>
  <c r="H125" i="183"/>
  <c r="H129" i="183"/>
  <c r="H131" i="183"/>
  <c r="V420" i="178"/>
  <c r="U16" i="178"/>
  <c r="V192" i="178"/>
  <c r="U332" i="178"/>
  <c r="V158" i="178"/>
  <c r="U291" i="178"/>
  <c r="U78" i="178"/>
  <c r="V242" i="178"/>
  <c r="U124" i="178"/>
  <c r="V423" i="178"/>
  <c r="U474" i="178"/>
  <c r="U204" i="178"/>
  <c r="U335" i="178"/>
  <c r="V360" i="178"/>
  <c r="V201" i="178"/>
  <c r="S443" i="178"/>
  <c r="BA443" i="178" s="1"/>
  <c r="U399" i="178"/>
  <c r="U235" i="178"/>
  <c r="U76" i="178"/>
  <c r="S398" i="178"/>
  <c r="AS398" i="178" s="1"/>
  <c r="V37" i="178"/>
  <c r="V256" i="178"/>
  <c r="V393" i="178"/>
  <c r="U177" i="178"/>
  <c r="U391" i="178"/>
  <c r="S406" i="178"/>
  <c r="S144" i="178"/>
  <c r="AU144" i="178" s="1"/>
  <c r="S79" i="178"/>
  <c r="AW79" i="178" s="1"/>
  <c r="S429" i="178"/>
  <c r="AU429" i="178" s="1"/>
  <c r="S420" i="178"/>
  <c r="BA420" i="178" s="1"/>
  <c r="S393" i="178"/>
  <c r="BA393" i="178" s="1"/>
  <c r="S157" i="178"/>
  <c r="BA157" i="178" s="1"/>
  <c r="U422" i="178"/>
  <c r="S418" i="178"/>
  <c r="AU418" i="178" s="1"/>
  <c r="S174" i="178"/>
  <c r="AS174" i="178" s="1"/>
  <c r="V415" i="178"/>
  <c r="U412" i="178"/>
  <c r="V406" i="178"/>
  <c r="U404" i="178"/>
  <c r="V388" i="178"/>
  <c r="U385" i="178"/>
  <c r="V380" i="178"/>
  <c r="U377" i="178"/>
  <c r="U475" i="178"/>
  <c r="V375" i="178"/>
  <c r="U314" i="178"/>
  <c r="V244" i="178"/>
  <c r="U194" i="178"/>
  <c r="V17" i="178"/>
  <c r="V138" i="178"/>
  <c r="V356" i="178"/>
  <c r="U294" i="178"/>
  <c r="V478" i="178"/>
  <c r="V465" i="178"/>
  <c r="V430" i="178"/>
  <c r="V411" i="178"/>
  <c r="U408" i="178"/>
  <c r="V403" i="178"/>
  <c r="U389" i="178"/>
  <c r="V384" i="178"/>
  <c r="U381" i="178"/>
  <c r="V268" i="178"/>
  <c r="V467" i="178"/>
  <c r="U376" i="178"/>
  <c r="V263" i="178"/>
  <c r="U252" i="178"/>
  <c r="V189" i="178"/>
  <c r="U317" i="178"/>
  <c r="U131" i="178"/>
  <c r="V126" i="178"/>
  <c r="U120" i="178"/>
  <c r="V159" i="178"/>
  <c r="U311" i="178"/>
  <c r="U265" i="178"/>
  <c r="U250" i="178"/>
  <c r="U203" i="178"/>
  <c r="U187" i="178"/>
  <c r="U357" i="178"/>
  <c r="U419" i="178"/>
  <c r="BK409" i="178"/>
  <c r="AR409" i="178"/>
  <c r="AV409" i="178"/>
  <c r="AZ409" i="178"/>
  <c r="BD409" i="178"/>
  <c r="BH409" i="178"/>
  <c r="BM409" i="178"/>
  <c r="BB409" i="178"/>
  <c r="BF409" i="178"/>
  <c r="AT409" i="178"/>
  <c r="BJ409" i="178"/>
  <c r="AX409" i="178"/>
  <c r="BK405" i="178"/>
  <c r="AR405" i="178"/>
  <c r="AV405" i="178"/>
  <c r="AZ405" i="178"/>
  <c r="BD405" i="178"/>
  <c r="BH405" i="178"/>
  <c r="BM405" i="178"/>
  <c r="AX405" i="178"/>
  <c r="BB405" i="178"/>
  <c r="BF405" i="178"/>
  <c r="AT405" i="178"/>
  <c r="BJ405" i="178"/>
  <c r="BK386" i="178"/>
  <c r="AR386" i="178"/>
  <c r="AV386" i="178"/>
  <c r="AZ386" i="178"/>
  <c r="BD386" i="178"/>
  <c r="BH386" i="178"/>
  <c r="BM386" i="178"/>
  <c r="AX386" i="178"/>
  <c r="BB386" i="178"/>
  <c r="BF386" i="178"/>
  <c r="AT386" i="178"/>
  <c r="BJ386" i="178"/>
  <c r="BK378" i="178"/>
  <c r="AR378" i="178"/>
  <c r="AV378" i="178"/>
  <c r="AZ378" i="178"/>
  <c r="BD378" i="178"/>
  <c r="BH378" i="178"/>
  <c r="BM378" i="178"/>
  <c r="BF378" i="178"/>
  <c r="AT378" i="178"/>
  <c r="BJ378" i="178"/>
  <c r="AX378" i="178"/>
  <c r="BB378" i="178"/>
  <c r="BK334" i="178"/>
  <c r="AR334" i="178"/>
  <c r="AV334" i="178"/>
  <c r="AZ334" i="178"/>
  <c r="BD334" i="178"/>
  <c r="BH334" i="178"/>
  <c r="BM334" i="178"/>
  <c r="AX334" i="178"/>
  <c r="BB334" i="178"/>
  <c r="BF334" i="178"/>
  <c r="BJ334" i="178"/>
  <c r="AT334" i="178"/>
  <c r="BK232" i="178"/>
  <c r="AR232" i="178"/>
  <c r="AV232" i="178"/>
  <c r="AZ232" i="178"/>
  <c r="BD232" i="178"/>
  <c r="BH232" i="178"/>
  <c r="BM232" i="178"/>
  <c r="BF232" i="178"/>
  <c r="AT232" i="178"/>
  <c r="BJ232" i="178"/>
  <c r="AX232" i="178"/>
  <c r="BB232" i="178"/>
  <c r="BK37" i="178"/>
  <c r="AR37" i="178"/>
  <c r="AV37" i="178"/>
  <c r="AZ37" i="178"/>
  <c r="BD37" i="178"/>
  <c r="BH37" i="178"/>
  <c r="BM37" i="178"/>
  <c r="AX37" i="178"/>
  <c r="BB37" i="178"/>
  <c r="BF37" i="178"/>
  <c r="AT37" i="178"/>
  <c r="BJ37" i="178"/>
  <c r="BM291" i="178"/>
  <c r="AT291" i="178"/>
  <c r="AX291" i="178"/>
  <c r="BB291" i="178"/>
  <c r="BF291" i="178"/>
  <c r="BJ291" i="178"/>
  <c r="BK291" i="178"/>
  <c r="BD291" i="178"/>
  <c r="AR291" i="178"/>
  <c r="BH291" i="178"/>
  <c r="AV291" i="178"/>
  <c r="AZ291" i="178"/>
  <c r="BM76" i="178"/>
  <c r="AT76" i="178"/>
  <c r="AX76" i="178"/>
  <c r="BB76" i="178"/>
  <c r="BF76" i="178"/>
  <c r="BJ76" i="178"/>
  <c r="BK76" i="178"/>
  <c r="AV76" i="178"/>
  <c r="AZ76" i="178"/>
  <c r="BD76" i="178"/>
  <c r="BH76" i="178"/>
  <c r="AR76" i="178"/>
  <c r="BM430" i="178"/>
  <c r="AT430" i="178"/>
  <c r="AX430" i="178"/>
  <c r="BB430" i="178"/>
  <c r="BF430" i="178"/>
  <c r="BJ430" i="178"/>
  <c r="BK430" i="178"/>
  <c r="AR430" i="178"/>
  <c r="BH430" i="178"/>
  <c r="AV430" i="178"/>
  <c r="AZ430" i="178"/>
  <c r="BD430" i="178"/>
  <c r="AT265" i="178"/>
  <c r="AX265" i="178"/>
  <c r="BB265" i="178"/>
  <c r="BF265" i="178"/>
  <c r="BJ265" i="178"/>
  <c r="BK265" i="178"/>
  <c r="AR265" i="178"/>
  <c r="AV265" i="178"/>
  <c r="AZ265" i="178"/>
  <c r="BD265" i="178"/>
  <c r="BH265" i="178"/>
  <c r="BM265" i="178"/>
  <c r="AT203" i="178"/>
  <c r="AX203" i="178"/>
  <c r="BB203" i="178"/>
  <c r="BF203" i="178"/>
  <c r="BJ203" i="178"/>
  <c r="BK203" i="178"/>
  <c r="AR203" i="178"/>
  <c r="AV203" i="178"/>
  <c r="AZ203" i="178"/>
  <c r="BD203" i="178"/>
  <c r="BH203" i="178"/>
  <c r="BM203" i="178"/>
  <c r="AT124" i="178"/>
  <c r="AX124" i="178"/>
  <c r="BB124" i="178"/>
  <c r="BF124" i="178"/>
  <c r="BJ124" i="178"/>
  <c r="BK124" i="178"/>
  <c r="AR124" i="178"/>
  <c r="AV124" i="178"/>
  <c r="AZ124" i="178"/>
  <c r="BD124" i="178"/>
  <c r="BH124" i="178"/>
  <c r="BM124" i="178"/>
  <c r="AT78" i="178"/>
  <c r="AX78" i="178"/>
  <c r="BB78" i="178"/>
  <c r="BF78" i="178"/>
  <c r="BJ78" i="178"/>
  <c r="BK78" i="178"/>
  <c r="AR78" i="178"/>
  <c r="AV78" i="178"/>
  <c r="AZ78" i="178"/>
  <c r="BD78" i="178"/>
  <c r="BH78" i="178"/>
  <c r="BM78" i="178"/>
  <c r="AT14" i="178"/>
  <c r="AX14" i="178"/>
  <c r="BB14" i="178"/>
  <c r="BF14" i="178"/>
  <c r="BJ14" i="178"/>
  <c r="BK14" i="178"/>
  <c r="AR14" i="178"/>
  <c r="AV14" i="178"/>
  <c r="AZ14" i="178"/>
  <c r="BD14" i="178"/>
  <c r="BH14" i="178"/>
  <c r="BM14" i="178"/>
  <c r="AT202" i="178"/>
  <c r="AX202" i="178"/>
  <c r="BB202" i="178"/>
  <c r="BF202" i="178"/>
  <c r="BJ202" i="178"/>
  <c r="BK202" i="178"/>
  <c r="AR202" i="178"/>
  <c r="AV202" i="178"/>
  <c r="AZ202" i="178"/>
  <c r="BD202" i="178"/>
  <c r="BH202" i="178"/>
  <c r="BM202" i="178"/>
  <c r="BK138" i="178"/>
  <c r="AR138" i="178"/>
  <c r="AV138" i="178"/>
  <c r="AZ138" i="178"/>
  <c r="BD138" i="178"/>
  <c r="BH138" i="178"/>
  <c r="BM138" i="178"/>
  <c r="AT138" i="178"/>
  <c r="BJ138" i="178"/>
  <c r="AX138" i="178"/>
  <c r="BB138" i="178"/>
  <c r="BF138" i="178"/>
  <c r="BK296" i="178"/>
  <c r="AR296" i="178"/>
  <c r="AV296" i="178"/>
  <c r="AZ296" i="178"/>
  <c r="BD296" i="178"/>
  <c r="BH296" i="178"/>
  <c r="BM296" i="178"/>
  <c r="AX296" i="178"/>
  <c r="BB296" i="178"/>
  <c r="BF296" i="178"/>
  <c r="AT296" i="178"/>
  <c r="BJ296" i="178"/>
  <c r="BL414" i="178"/>
  <c r="AS414" i="178"/>
  <c r="AW414" i="178"/>
  <c r="BA414" i="178"/>
  <c r="BE414" i="178"/>
  <c r="BI414" i="178"/>
  <c r="BN414" i="178"/>
  <c r="AY414" i="178"/>
  <c r="BC414" i="178"/>
  <c r="BG414" i="178"/>
  <c r="AU414" i="178"/>
  <c r="BL407" i="178"/>
  <c r="AS407" i="178"/>
  <c r="AW407" i="178"/>
  <c r="BA407" i="178"/>
  <c r="BE407" i="178"/>
  <c r="BI407" i="178"/>
  <c r="BN407" i="178"/>
  <c r="BG407" i="178"/>
  <c r="AU407" i="178"/>
  <c r="AY407" i="178"/>
  <c r="BC407" i="178"/>
  <c r="BL387" i="178"/>
  <c r="AS387" i="178"/>
  <c r="AW387" i="178"/>
  <c r="BA387" i="178"/>
  <c r="BE387" i="178"/>
  <c r="BI387" i="178"/>
  <c r="BN387" i="178"/>
  <c r="BG387" i="178"/>
  <c r="AU387" i="178"/>
  <c r="AY387" i="178"/>
  <c r="BC387" i="178"/>
  <c r="BL379" i="178"/>
  <c r="AS379" i="178"/>
  <c r="AW379" i="178"/>
  <c r="BA379" i="178"/>
  <c r="BE379" i="178"/>
  <c r="BI379" i="178"/>
  <c r="BN379" i="178"/>
  <c r="AY379" i="178"/>
  <c r="BC379" i="178"/>
  <c r="BG379" i="178"/>
  <c r="AU379" i="178"/>
  <c r="BL401" i="178"/>
  <c r="AS401" i="178"/>
  <c r="AW401" i="178"/>
  <c r="BA401" i="178"/>
  <c r="BE401" i="178"/>
  <c r="BI401" i="178"/>
  <c r="BN401" i="178"/>
  <c r="AU401" i="178"/>
  <c r="AY401" i="178"/>
  <c r="BC401" i="178"/>
  <c r="BG401" i="178"/>
  <c r="BL480" i="178"/>
  <c r="AS480" i="178"/>
  <c r="AW480" i="178"/>
  <c r="BA480" i="178"/>
  <c r="BE480" i="178"/>
  <c r="BI480" i="178"/>
  <c r="BN480" i="178"/>
  <c r="BC480" i="178"/>
  <c r="BG480" i="178"/>
  <c r="AU480" i="178"/>
  <c r="AY480" i="178"/>
  <c r="BL133" i="178"/>
  <c r="AS133" i="178"/>
  <c r="AW133" i="178"/>
  <c r="BA133" i="178"/>
  <c r="BE133" i="178"/>
  <c r="BI133" i="178"/>
  <c r="BN133" i="178"/>
  <c r="AU133" i="178"/>
  <c r="AY133" i="178"/>
  <c r="BC133" i="178"/>
  <c r="BG133" i="178"/>
  <c r="BN466" i="178"/>
  <c r="AU466" i="178"/>
  <c r="AY466" i="178"/>
  <c r="BC466" i="178"/>
  <c r="BG466" i="178"/>
  <c r="BL466" i="178"/>
  <c r="BA466" i="178"/>
  <c r="BE466" i="178"/>
  <c r="AS466" i="178"/>
  <c r="BI466" i="178"/>
  <c r="AW466" i="178"/>
  <c r="BN231" i="178"/>
  <c r="AU231" i="178"/>
  <c r="AY231" i="178"/>
  <c r="BC231" i="178"/>
  <c r="BG231" i="178"/>
  <c r="BL231" i="178"/>
  <c r="AS231" i="178"/>
  <c r="BI231" i="178"/>
  <c r="AW231" i="178"/>
  <c r="BA231" i="178"/>
  <c r="BE231" i="178"/>
  <c r="BL333" i="178"/>
  <c r="AS333" i="178"/>
  <c r="AW333" i="178"/>
  <c r="BA333" i="178"/>
  <c r="BE333" i="178"/>
  <c r="BI333" i="178"/>
  <c r="AY333" i="178"/>
  <c r="BG333" i="178"/>
  <c r="BN333" i="178"/>
  <c r="AU333" i="178"/>
  <c r="BC333" i="178"/>
  <c r="AU251" i="178"/>
  <c r="AY251" i="178"/>
  <c r="BC251" i="178"/>
  <c r="BG251" i="178"/>
  <c r="BL251" i="178"/>
  <c r="AS251" i="178"/>
  <c r="AW251" i="178"/>
  <c r="BA251" i="178"/>
  <c r="BE251" i="178"/>
  <c r="BI251" i="178"/>
  <c r="BN251" i="178"/>
  <c r="AU125" i="178"/>
  <c r="AY125" i="178"/>
  <c r="BC125" i="178"/>
  <c r="BG125" i="178"/>
  <c r="BL125" i="178"/>
  <c r="AS125" i="178"/>
  <c r="AW125" i="178"/>
  <c r="BA125" i="178"/>
  <c r="BE125" i="178"/>
  <c r="BI125" i="178"/>
  <c r="BN125" i="178"/>
  <c r="AU80" i="178"/>
  <c r="AY80" i="178"/>
  <c r="BC80" i="178"/>
  <c r="BG80" i="178"/>
  <c r="BL80" i="178"/>
  <c r="AS80" i="178"/>
  <c r="AW80" i="178"/>
  <c r="BA80" i="178"/>
  <c r="BE80" i="178"/>
  <c r="BI80" i="178"/>
  <c r="BN80" i="178"/>
  <c r="AU59" i="178"/>
  <c r="AY59" i="178"/>
  <c r="BC59" i="178"/>
  <c r="BG59" i="178"/>
  <c r="BL59" i="178"/>
  <c r="AS59" i="178"/>
  <c r="AW59" i="178"/>
  <c r="BA59" i="178"/>
  <c r="BE59" i="178"/>
  <c r="BI59" i="178"/>
  <c r="BN59" i="178"/>
  <c r="AT200" i="178"/>
  <c r="AX200" i="178"/>
  <c r="BB200" i="178"/>
  <c r="BF200" i="178"/>
  <c r="BJ200" i="178"/>
  <c r="BK200" i="178"/>
  <c r="AR200" i="178"/>
  <c r="AV200" i="178"/>
  <c r="AZ200" i="178"/>
  <c r="BD200" i="178"/>
  <c r="BH200" i="178"/>
  <c r="BM200" i="178"/>
  <c r="BK413" i="178"/>
  <c r="AR413" i="178"/>
  <c r="AV413" i="178"/>
  <c r="AZ413" i="178"/>
  <c r="BD413" i="178"/>
  <c r="BH413" i="178"/>
  <c r="BM413" i="178"/>
  <c r="BF413" i="178"/>
  <c r="AT413" i="178"/>
  <c r="BJ413" i="178"/>
  <c r="AX413" i="178"/>
  <c r="BB413" i="178"/>
  <c r="AR390" i="178"/>
  <c r="AV390" i="178"/>
  <c r="AZ390" i="178"/>
  <c r="BD390" i="178"/>
  <c r="BH390" i="178"/>
  <c r="BM390" i="178"/>
  <c r="BK390" i="178"/>
  <c r="AX390" i="178"/>
  <c r="BF390" i="178"/>
  <c r="BJ390" i="178"/>
  <c r="AT390" i="178"/>
  <c r="BB390" i="178"/>
  <c r="BK382" i="178"/>
  <c r="AR382" i="178"/>
  <c r="AV382" i="178"/>
  <c r="AZ382" i="178"/>
  <c r="BD382" i="178"/>
  <c r="BH382" i="178"/>
  <c r="BM382" i="178"/>
  <c r="AT382" i="178"/>
  <c r="BJ382" i="178"/>
  <c r="AX382" i="178"/>
  <c r="BB382" i="178"/>
  <c r="BF382" i="178"/>
  <c r="BK400" i="178"/>
  <c r="AR400" i="178"/>
  <c r="AV400" i="178"/>
  <c r="AZ400" i="178"/>
  <c r="BD400" i="178"/>
  <c r="BH400" i="178"/>
  <c r="BM400" i="178"/>
  <c r="BB400" i="178"/>
  <c r="BF400" i="178"/>
  <c r="AT400" i="178"/>
  <c r="BJ400" i="178"/>
  <c r="AX400" i="178"/>
  <c r="BK267" i="178"/>
  <c r="AR267" i="178"/>
  <c r="AV267" i="178"/>
  <c r="AZ267" i="178"/>
  <c r="BD267" i="178"/>
  <c r="BH267" i="178"/>
  <c r="BM267" i="178"/>
  <c r="AT267" i="178"/>
  <c r="BJ267" i="178"/>
  <c r="AX267" i="178"/>
  <c r="BB267" i="178"/>
  <c r="BF267" i="178"/>
  <c r="BK129" i="178"/>
  <c r="AR129" i="178"/>
  <c r="AV129" i="178"/>
  <c r="AZ129" i="178"/>
  <c r="BD129" i="178"/>
  <c r="BH129" i="178"/>
  <c r="BM129" i="178"/>
  <c r="BB129" i="178"/>
  <c r="BF129" i="178"/>
  <c r="AT129" i="178"/>
  <c r="BJ129" i="178"/>
  <c r="AX129" i="178"/>
  <c r="BM399" i="178"/>
  <c r="AT399" i="178"/>
  <c r="AX399" i="178"/>
  <c r="BB399" i="178"/>
  <c r="BF399" i="178"/>
  <c r="BJ399" i="178"/>
  <c r="BK399" i="178"/>
  <c r="AR399" i="178"/>
  <c r="BH399" i="178"/>
  <c r="AV399" i="178"/>
  <c r="AZ399" i="178"/>
  <c r="BD399" i="178"/>
  <c r="BM204" i="178"/>
  <c r="AT204" i="178"/>
  <c r="AX204" i="178"/>
  <c r="BB204" i="178"/>
  <c r="BF204" i="178"/>
  <c r="BJ204" i="178"/>
  <c r="BK204" i="178"/>
  <c r="AZ204" i="178"/>
  <c r="BD204" i="178"/>
  <c r="AR204" i="178"/>
  <c r="BH204" i="178"/>
  <c r="AV204" i="178"/>
  <c r="BM478" i="178"/>
  <c r="AT478" i="178"/>
  <c r="AX478" i="178"/>
  <c r="BB478" i="178"/>
  <c r="BF478" i="178"/>
  <c r="BJ478" i="178"/>
  <c r="BK478" i="178"/>
  <c r="AV478" i="178"/>
  <c r="AZ478" i="178"/>
  <c r="BD478" i="178"/>
  <c r="AR478" i="178"/>
  <c r="BH478" i="178"/>
  <c r="BK332" i="178"/>
  <c r="AR332" i="178"/>
  <c r="AV332" i="178"/>
  <c r="AZ332" i="178"/>
  <c r="BD332" i="178"/>
  <c r="BH332" i="178"/>
  <c r="BM332" i="178"/>
  <c r="AX332" i="178"/>
  <c r="BF332" i="178"/>
  <c r="BB332" i="178"/>
  <c r="BJ332" i="178"/>
  <c r="AT332" i="178"/>
  <c r="AT250" i="178"/>
  <c r="AX250" i="178"/>
  <c r="BB250" i="178"/>
  <c r="BF250" i="178"/>
  <c r="BJ250" i="178"/>
  <c r="BK250" i="178"/>
  <c r="AR250" i="178"/>
  <c r="AV250" i="178"/>
  <c r="AZ250" i="178"/>
  <c r="BD250" i="178"/>
  <c r="BH250" i="178"/>
  <c r="BM250" i="178"/>
  <c r="AT187" i="178"/>
  <c r="AX187" i="178"/>
  <c r="BB187" i="178"/>
  <c r="BF187" i="178"/>
  <c r="BJ187" i="178"/>
  <c r="BK187" i="178"/>
  <c r="AR187" i="178"/>
  <c r="AV187" i="178"/>
  <c r="AZ187" i="178"/>
  <c r="BD187" i="178"/>
  <c r="BH187" i="178"/>
  <c r="BM187" i="178"/>
  <c r="AT120" i="178"/>
  <c r="AX120" i="178"/>
  <c r="BB120" i="178"/>
  <c r="BF120" i="178"/>
  <c r="BJ120" i="178"/>
  <c r="BK120" i="178"/>
  <c r="AR120" i="178"/>
  <c r="AV120" i="178"/>
  <c r="AZ120" i="178"/>
  <c r="BD120" i="178"/>
  <c r="BH120" i="178"/>
  <c r="BM120" i="178"/>
  <c r="AT55" i="178"/>
  <c r="AX55" i="178"/>
  <c r="BB55" i="178"/>
  <c r="BF55" i="178"/>
  <c r="BJ55" i="178"/>
  <c r="BK55" i="178"/>
  <c r="AR55" i="178"/>
  <c r="AV55" i="178"/>
  <c r="AZ55" i="178"/>
  <c r="BD55" i="178"/>
  <c r="BH55" i="178"/>
  <c r="BM55" i="178"/>
  <c r="AT428" i="178"/>
  <c r="AX428" i="178"/>
  <c r="BB428" i="178"/>
  <c r="BF428" i="178"/>
  <c r="BJ428" i="178"/>
  <c r="BK428" i="178"/>
  <c r="AR428" i="178"/>
  <c r="AV428" i="178"/>
  <c r="AZ428" i="178"/>
  <c r="BD428" i="178"/>
  <c r="BH428" i="178"/>
  <c r="BM428" i="178"/>
  <c r="AT368" i="178"/>
  <c r="AX368" i="178"/>
  <c r="BB368" i="178"/>
  <c r="BF368" i="178"/>
  <c r="BJ368" i="178"/>
  <c r="BK368" i="178"/>
  <c r="AR368" i="178"/>
  <c r="AV368" i="178"/>
  <c r="AZ368" i="178"/>
  <c r="BD368" i="178"/>
  <c r="BH368" i="178"/>
  <c r="BM368" i="178"/>
  <c r="BK137" i="178"/>
  <c r="AR137" i="178"/>
  <c r="AV137" i="178"/>
  <c r="AZ137" i="178"/>
  <c r="BD137" i="178"/>
  <c r="BH137" i="178"/>
  <c r="BM137" i="178"/>
  <c r="AX137" i="178"/>
  <c r="BB137" i="178"/>
  <c r="BF137" i="178"/>
  <c r="AT137" i="178"/>
  <c r="BJ137" i="178"/>
  <c r="BK396" i="178"/>
  <c r="AR396" i="178"/>
  <c r="AV396" i="178"/>
  <c r="AZ396" i="178"/>
  <c r="BD396" i="178"/>
  <c r="BH396" i="178"/>
  <c r="BM396" i="178"/>
  <c r="AX396" i="178"/>
  <c r="BB396" i="178"/>
  <c r="BF396" i="178"/>
  <c r="BJ396" i="178"/>
  <c r="AT396" i="178"/>
  <c r="BK136" i="178"/>
  <c r="AR136" i="178"/>
  <c r="AV136" i="178"/>
  <c r="AZ136" i="178"/>
  <c r="BD136" i="178"/>
  <c r="BH136" i="178"/>
  <c r="BM136" i="178"/>
  <c r="BF136" i="178"/>
  <c r="AT136" i="178"/>
  <c r="BJ136" i="178"/>
  <c r="AX136" i="178"/>
  <c r="BB136" i="178"/>
  <c r="BK175" i="178"/>
  <c r="AR175" i="178"/>
  <c r="AV175" i="178"/>
  <c r="AZ175" i="178"/>
  <c r="BD175" i="178"/>
  <c r="BH175" i="178"/>
  <c r="BM175" i="178"/>
  <c r="BF175" i="178"/>
  <c r="AT175" i="178"/>
  <c r="BJ175" i="178"/>
  <c r="AX175" i="178"/>
  <c r="BB175" i="178"/>
  <c r="BL367" i="178"/>
  <c r="AS367" i="178"/>
  <c r="AW367" i="178"/>
  <c r="BA367" i="178"/>
  <c r="BE367" i="178"/>
  <c r="BI367" i="178"/>
  <c r="BN367" i="178"/>
  <c r="AU367" i="178"/>
  <c r="AY367" i="178"/>
  <c r="BC367" i="178"/>
  <c r="BG367" i="178"/>
  <c r="BL410" i="178"/>
  <c r="AS410" i="178"/>
  <c r="AW410" i="178"/>
  <c r="BA410" i="178"/>
  <c r="BE410" i="178"/>
  <c r="BI410" i="178"/>
  <c r="BN410" i="178"/>
  <c r="AU410" i="178"/>
  <c r="AY410" i="178"/>
  <c r="BC410" i="178"/>
  <c r="BG410" i="178"/>
  <c r="AS402" i="178"/>
  <c r="AW402" i="178"/>
  <c r="BA402" i="178"/>
  <c r="BE402" i="178"/>
  <c r="BI402" i="178"/>
  <c r="BN402" i="178"/>
  <c r="BL402" i="178"/>
  <c r="AY402" i="178"/>
  <c r="BG402" i="178"/>
  <c r="AU402" i="178"/>
  <c r="BC402" i="178"/>
  <c r="BL383" i="178"/>
  <c r="AS383" i="178"/>
  <c r="AW383" i="178"/>
  <c r="BA383" i="178"/>
  <c r="BE383" i="178"/>
  <c r="BI383" i="178"/>
  <c r="BN383" i="178"/>
  <c r="BC383" i="178"/>
  <c r="BG383" i="178"/>
  <c r="AU383" i="178"/>
  <c r="AY383" i="178"/>
  <c r="BL337" i="178"/>
  <c r="AS337" i="178"/>
  <c r="AW337" i="178"/>
  <c r="BA337" i="178"/>
  <c r="BE337" i="178"/>
  <c r="BI337" i="178"/>
  <c r="BN337" i="178"/>
  <c r="BG337" i="178"/>
  <c r="AU337" i="178"/>
  <c r="AY337" i="178"/>
  <c r="BC337" i="178"/>
  <c r="BL233" i="178"/>
  <c r="AS233" i="178"/>
  <c r="AW233" i="178"/>
  <c r="BA233" i="178"/>
  <c r="BE233" i="178"/>
  <c r="BI233" i="178"/>
  <c r="BN233" i="178"/>
  <c r="AY233" i="178"/>
  <c r="BC233" i="178"/>
  <c r="BG233" i="178"/>
  <c r="AU233" i="178"/>
  <c r="BN313" i="178"/>
  <c r="AU313" i="178"/>
  <c r="AY313" i="178"/>
  <c r="BC313" i="178"/>
  <c r="BG313" i="178"/>
  <c r="BL313" i="178"/>
  <c r="AW313" i="178"/>
  <c r="BA313" i="178"/>
  <c r="BE313" i="178"/>
  <c r="AS313" i="178"/>
  <c r="BI313" i="178"/>
  <c r="BN127" i="178"/>
  <c r="AU127" i="178"/>
  <c r="AY127" i="178"/>
  <c r="BC127" i="178"/>
  <c r="BG127" i="178"/>
  <c r="BL127" i="178"/>
  <c r="BE127" i="178"/>
  <c r="AS127" i="178"/>
  <c r="BI127" i="178"/>
  <c r="AW127" i="178"/>
  <c r="BA127" i="178"/>
  <c r="BN438" i="178"/>
  <c r="AU438" i="178"/>
  <c r="AY438" i="178"/>
  <c r="BC438" i="178"/>
  <c r="BG438" i="178"/>
  <c r="BL438" i="178"/>
  <c r="BA438" i="178"/>
  <c r="BE438" i="178"/>
  <c r="AS438" i="178"/>
  <c r="BI438" i="178"/>
  <c r="AW438" i="178"/>
  <c r="AU266" i="178"/>
  <c r="AY266" i="178"/>
  <c r="BC266" i="178"/>
  <c r="BG266" i="178"/>
  <c r="BL266" i="178"/>
  <c r="AS266" i="178"/>
  <c r="AW266" i="178"/>
  <c r="BA266" i="178"/>
  <c r="BE266" i="178"/>
  <c r="BI266" i="178"/>
  <c r="BN266" i="178"/>
  <c r="AU230" i="178"/>
  <c r="AY230" i="178"/>
  <c r="BC230" i="178"/>
  <c r="BG230" i="178"/>
  <c r="BL230" i="178"/>
  <c r="AS230" i="178"/>
  <c r="AW230" i="178"/>
  <c r="BA230" i="178"/>
  <c r="BE230" i="178"/>
  <c r="BI230" i="178"/>
  <c r="BN230" i="178"/>
  <c r="AU188" i="178"/>
  <c r="AY188" i="178"/>
  <c r="BC188" i="178"/>
  <c r="BG188" i="178"/>
  <c r="BL188" i="178"/>
  <c r="AS188" i="178"/>
  <c r="AW188" i="178"/>
  <c r="BA188" i="178"/>
  <c r="BE188" i="178"/>
  <c r="BI188" i="178"/>
  <c r="BN188" i="178"/>
  <c r="AU121" i="178"/>
  <c r="AY121" i="178"/>
  <c r="BC121" i="178"/>
  <c r="BG121" i="178"/>
  <c r="BL121" i="178"/>
  <c r="AS121" i="178"/>
  <c r="AW121" i="178"/>
  <c r="BA121" i="178"/>
  <c r="BE121" i="178"/>
  <c r="BI121" i="178"/>
  <c r="BN121" i="178"/>
  <c r="AU15" i="178"/>
  <c r="AY15" i="178"/>
  <c r="BC15" i="178"/>
  <c r="BG15" i="178"/>
  <c r="BL15" i="178"/>
  <c r="AS15" i="178"/>
  <c r="AW15" i="178"/>
  <c r="BA15" i="178"/>
  <c r="BE15" i="178"/>
  <c r="BI15" i="178"/>
  <c r="BN15" i="178"/>
  <c r="AU229" i="178"/>
  <c r="AY229" i="178"/>
  <c r="BC229" i="178"/>
  <c r="BG229" i="178"/>
  <c r="BL229" i="178"/>
  <c r="AS229" i="178"/>
  <c r="AW229" i="178"/>
  <c r="BA229" i="178"/>
  <c r="BE229" i="178"/>
  <c r="BI229" i="178"/>
  <c r="BN229" i="178"/>
  <c r="AU159" i="178"/>
  <c r="AY159" i="178"/>
  <c r="BC159" i="178"/>
  <c r="BG159" i="178"/>
  <c r="BL159" i="178"/>
  <c r="AS159" i="178"/>
  <c r="AW159" i="178"/>
  <c r="BA159" i="178"/>
  <c r="BE159" i="178"/>
  <c r="BI159" i="178"/>
  <c r="BN159" i="178"/>
  <c r="BL177" i="178"/>
  <c r="AS177" i="178"/>
  <c r="AW177" i="178"/>
  <c r="BA177" i="178"/>
  <c r="BE177" i="178"/>
  <c r="BI177" i="178"/>
  <c r="BN177" i="178"/>
  <c r="AY177" i="178"/>
  <c r="BC177" i="178"/>
  <c r="BG177" i="178"/>
  <c r="AU177" i="178"/>
  <c r="S200" i="178"/>
  <c r="BM416" i="178"/>
  <c r="AT416" i="178"/>
  <c r="AX416" i="178"/>
  <c r="BB416" i="178"/>
  <c r="BF416" i="178"/>
  <c r="BJ416" i="178"/>
  <c r="BK416" i="178"/>
  <c r="AV416" i="178"/>
  <c r="AZ416" i="178"/>
  <c r="BD416" i="178"/>
  <c r="AR416" i="178"/>
  <c r="BH416" i="178"/>
  <c r="AT431" i="178"/>
  <c r="AX431" i="178"/>
  <c r="BB431" i="178"/>
  <c r="BF431" i="178"/>
  <c r="AR431" i="178"/>
  <c r="AV431" i="178"/>
  <c r="AZ431" i="178"/>
  <c r="BD431" i="178"/>
  <c r="BH431" i="178"/>
  <c r="BM431" i="178"/>
  <c r="BJ431" i="178"/>
  <c r="BK431" i="178"/>
  <c r="AT197" i="178"/>
  <c r="AX197" i="178"/>
  <c r="BB197" i="178"/>
  <c r="BF197" i="178"/>
  <c r="BJ197" i="178"/>
  <c r="BK197" i="178"/>
  <c r="AR197" i="178"/>
  <c r="AV197" i="178"/>
  <c r="AZ197" i="178"/>
  <c r="BD197" i="178"/>
  <c r="BH197" i="178"/>
  <c r="BM197" i="178"/>
  <c r="AT412" i="178"/>
  <c r="AX412" i="178"/>
  <c r="BB412" i="178"/>
  <c r="BF412" i="178"/>
  <c r="BJ412" i="178"/>
  <c r="BK412" i="178"/>
  <c r="AR412" i="178"/>
  <c r="AV412" i="178"/>
  <c r="AZ412" i="178"/>
  <c r="BD412" i="178"/>
  <c r="BH412" i="178"/>
  <c r="BM412" i="178"/>
  <c r="AT408" i="178"/>
  <c r="AX408" i="178"/>
  <c r="BB408" i="178"/>
  <c r="BF408" i="178"/>
  <c r="BJ408" i="178"/>
  <c r="BK408" i="178"/>
  <c r="AR408" i="178"/>
  <c r="AV408" i="178"/>
  <c r="AZ408" i="178"/>
  <c r="BD408" i="178"/>
  <c r="BH408" i="178"/>
  <c r="BM408" i="178"/>
  <c r="AT404" i="178"/>
  <c r="AX404" i="178"/>
  <c r="BB404" i="178"/>
  <c r="BF404" i="178"/>
  <c r="BJ404" i="178"/>
  <c r="BK404" i="178"/>
  <c r="AR404" i="178"/>
  <c r="AV404" i="178"/>
  <c r="AZ404" i="178"/>
  <c r="BD404" i="178"/>
  <c r="BH404" i="178"/>
  <c r="BM404" i="178"/>
  <c r="AT389" i="178"/>
  <c r="AX389" i="178"/>
  <c r="BB389" i="178"/>
  <c r="BF389" i="178"/>
  <c r="BJ389" i="178"/>
  <c r="BK389" i="178"/>
  <c r="AR389" i="178"/>
  <c r="AV389" i="178"/>
  <c r="AZ389" i="178"/>
  <c r="BD389" i="178"/>
  <c r="BH389" i="178"/>
  <c r="BM389" i="178"/>
  <c r="AT385" i="178"/>
  <c r="AX385" i="178"/>
  <c r="BB385" i="178"/>
  <c r="BF385" i="178"/>
  <c r="BJ385" i="178"/>
  <c r="BK385" i="178"/>
  <c r="AR385" i="178"/>
  <c r="AV385" i="178"/>
  <c r="AZ385" i="178"/>
  <c r="BD385" i="178"/>
  <c r="BH385" i="178"/>
  <c r="BM385" i="178"/>
  <c r="AT381" i="178"/>
  <c r="AX381" i="178"/>
  <c r="BB381" i="178"/>
  <c r="BF381" i="178"/>
  <c r="BJ381" i="178"/>
  <c r="BK381" i="178"/>
  <c r="AR381" i="178"/>
  <c r="AV381" i="178"/>
  <c r="AZ381" i="178"/>
  <c r="BD381" i="178"/>
  <c r="BH381" i="178"/>
  <c r="BM381" i="178"/>
  <c r="AT377" i="178"/>
  <c r="AX377" i="178"/>
  <c r="BB377" i="178"/>
  <c r="BF377" i="178"/>
  <c r="BJ377" i="178"/>
  <c r="BK377" i="178"/>
  <c r="AR377" i="178"/>
  <c r="AV377" i="178"/>
  <c r="AZ377" i="178"/>
  <c r="BD377" i="178"/>
  <c r="BH377" i="178"/>
  <c r="BM377" i="178"/>
  <c r="AT475" i="178"/>
  <c r="AX475" i="178"/>
  <c r="BB475" i="178"/>
  <c r="BF475" i="178"/>
  <c r="BJ475" i="178"/>
  <c r="BK475" i="178"/>
  <c r="AR475" i="178"/>
  <c r="AV475" i="178"/>
  <c r="AZ475" i="178"/>
  <c r="BD475" i="178"/>
  <c r="BH475" i="178"/>
  <c r="BM475" i="178"/>
  <c r="AT376" i="178"/>
  <c r="AX376" i="178"/>
  <c r="BB376" i="178"/>
  <c r="BF376" i="178"/>
  <c r="BJ376" i="178"/>
  <c r="BK376" i="178"/>
  <c r="AR376" i="178"/>
  <c r="AV376" i="178"/>
  <c r="AZ376" i="178"/>
  <c r="BD376" i="178"/>
  <c r="BH376" i="178"/>
  <c r="BM376" i="178"/>
  <c r="AT314" i="178"/>
  <c r="AX314" i="178"/>
  <c r="BB314" i="178"/>
  <c r="BF314" i="178"/>
  <c r="BJ314" i="178"/>
  <c r="BK314" i="178"/>
  <c r="AR314" i="178"/>
  <c r="AV314" i="178"/>
  <c r="AZ314" i="178"/>
  <c r="BD314" i="178"/>
  <c r="BH314" i="178"/>
  <c r="BM314" i="178"/>
  <c r="AT252" i="178"/>
  <c r="AX252" i="178"/>
  <c r="BB252" i="178"/>
  <c r="BF252" i="178"/>
  <c r="BJ252" i="178"/>
  <c r="BK252" i="178"/>
  <c r="AR252" i="178"/>
  <c r="AV252" i="178"/>
  <c r="AZ252" i="178"/>
  <c r="BD252" i="178"/>
  <c r="BH252" i="178"/>
  <c r="BM252" i="178"/>
  <c r="AT194" i="178"/>
  <c r="AX194" i="178"/>
  <c r="BB194" i="178"/>
  <c r="BF194" i="178"/>
  <c r="BJ194" i="178"/>
  <c r="BK194" i="178"/>
  <c r="AR194" i="178"/>
  <c r="AV194" i="178"/>
  <c r="AZ194" i="178"/>
  <c r="BD194" i="178"/>
  <c r="BH194" i="178"/>
  <c r="BM194" i="178"/>
  <c r="AT128" i="178"/>
  <c r="AX128" i="178"/>
  <c r="BB128" i="178"/>
  <c r="BF128" i="178"/>
  <c r="BJ128" i="178"/>
  <c r="BK128" i="178"/>
  <c r="AR128" i="178"/>
  <c r="AV128" i="178"/>
  <c r="AZ128" i="178"/>
  <c r="BD128" i="178"/>
  <c r="BH128" i="178"/>
  <c r="BM128" i="178"/>
  <c r="AT29" i="178"/>
  <c r="AX29" i="178"/>
  <c r="BB29" i="178"/>
  <c r="BF29" i="178"/>
  <c r="BJ29" i="178"/>
  <c r="BK29" i="178"/>
  <c r="AR29" i="178"/>
  <c r="AV29" i="178"/>
  <c r="AZ29" i="178"/>
  <c r="BD29" i="178"/>
  <c r="BH29" i="178"/>
  <c r="BM29" i="178"/>
  <c r="AR479" i="178"/>
  <c r="AV479" i="178"/>
  <c r="AZ479" i="178"/>
  <c r="BD479" i="178"/>
  <c r="BH479" i="178"/>
  <c r="BM479" i="178"/>
  <c r="AT479" i="178"/>
  <c r="AX479" i="178"/>
  <c r="BB479" i="178"/>
  <c r="BF479" i="178"/>
  <c r="BJ479" i="178"/>
  <c r="BK479" i="178"/>
  <c r="AR374" i="178"/>
  <c r="AV374" i="178"/>
  <c r="AZ374" i="178"/>
  <c r="BD374" i="178"/>
  <c r="BH374" i="178"/>
  <c r="BM374" i="178"/>
  <c r="AT374" i="178"/>
  <c r="AX374" i="178"/>
  <c r="BB374" i="178"/>
  <c r="BF374" i="178"/>
  <c r="BJ374" i="178"/>
  <c r="BK374" i="178"/>
  <c r="AR262" i="178"/>
  <c r="AV262" i="178"/>
  <c r="AZ262" i="178"/>
  <c r="BD262" i="178"/>
  <c r="BH262" i="178"/>
  <c r="BM262" i="178"/>
  <c r="AT262" i="178"/>
  <c r="AX262" i="178"/>
  <c r="BB262" i="178"/>
  <c r="BF262" i="178"/>
  <c r="BJ262" i="178"/>
  <c r="BK262" i="178"/>
  <c r="AR132" i="178"/>
  <c r="AV132" i="178"/>
  <c r="AZ132" i="178"/>
  <c r="BD132" i="178"/>
  <c r="BH132" i="178"/>
  <c r="BM132" i="178"/>
  <c r="AT132" i="178"/>
  <c r="AX132" i="178"/>
  <c r="BB132" i="178"/>
  <c r="BF132" i="178"/>
  <c r="BJ132" i="178"/>
  <c r="BK132" i="178"/>
  <c r="AR74" i="178"/>
  <c r="AV74" i="178"/>
  <c r="AZ74" i="178"/>
  <c r="BD74" i="178"/>
  <c r="BH74" i="178"/>
  <c r="BM74" i="178"/>
  <c r="AT74" i="178"/>
  <c r="AX74" i="178"/>
  <c r="BB74" i="178"/>
  <c r="BF74" i="178"/>
  <c r="BJ74" i="178"/>
  <c r="BK74" i="178"/>
  <c r="AR473" i="178"/>
  <c r="AV473" i="178"/>
  <c r="AZ473" i="178"/>
  <c r="BD473" i="178"/>
  <c r="BH473" i="178"/>
  <c r="BM473" i="178"/>
  <c r="AT473" i="178"/>
  <c r="AX473" i="178"/>
  <c r="BB473" i="178"/>
  <c r="BF473" i="178"/>
  <c r="BJ473" i="178"/>
  <c r="BK473" i="178"/>
  <c r="AR336" i="178"/>
  <c r="AV336" i="178"/>
  <c r="AZ336" i="178"/>
  <c r="BD336" i="178"/>
  <c r="BH336" i="178"/>
  <c r="BM336" i="178"/>
  <c r="AT336" i="178"/>
  <c r="AX336" i="178"/>
  <c r="BB336" i="178"/>
  <c r="BF336" i="178"/>
  <c r="BJ336" i="178"/>
  <c r="BK336" i="178"/>
  <c r="AT312" i="178"/>
  <c r="AX312" i="178"/>
  <c r="BB312" i="178"/>
  <c r="BF312" i="178"/>
  <c r="BJ312" i="178"/>
  <c r="BK312" i="178"/>
  <c r="AR312" i="178"/>
  <c r="BD312" i="178"/>
  <c r="AV312" i="178"/>
  <c r="BM312" i="178"/>
  <c r="AZ312" i="178"/>
  <c r="BH312" i="178"/>
  <c r="BM257" i="178"/>
  <c r="AT257" i="178"/>
  <c r="AX257" i="178"/>
  <c r="BB257" i="178"/>
  <c r="BF257" i="178"/>
  <c r="BJ257" i="178"/>
  <c r="BK257" i="178"/>
  <c r="BD257" i="178"/>
  <c r="AR257" i="178"/>
  <c r="BH257" i="178"/>
  <c r="AV257" i="178"/>
  <c r="AZ257" i="178"/>
  <c r="BM243" i="178"/>
  <c r="AT243" i="178"/>
  <c r="AX243" i="178"/>
  <c r="BB243" i="178"/>
  <c r="BF243" i="178"/>
  <c r="BJ243" i="178"/>
  <c r="BK243" i="178"/>
  <c r="AZ243" i="178"/>
  <c r="BD243" i="178"/>
  <c r="AR243" i="178"/>
  <c r="BH243" i="178"/>
  <c r="AV243" i="178"/>
  <c r="BM193" i="178"/>
  <c r="AT193" i="178"/>
  <c r="AX193" i="178"/>
  <c r="BB193" i="178"/>
  <c r="BF193" i="178"/>
  <c r="BJ193" i="178"/>
  <c r="BK193" i="178"/>
  <c r="AV193" i="178"/>
  <c r="AZ193" i="178"/>
  <c r="BD193" i="178"/>
  <c r="BH193" i="178"/>
  <c r="AR193" i="178"/>
  <c r="BM130" i="178"/>
  <c r="AT130" i="178"/>
  <c r="AX130" i="178"/>
  <c r="BB130" i="178"/>
  <c r="BF130" i="178"/>
  <c r="BJ130" i="178"/>
  <c r="BK130" i="178"/>
  <c r="AR130" i="178"/>
  <c r="BH130" i="178"/>
  <c r="AV130" i="178"/>
  <c r="AZ130" i="178"/>
  <c r="BD130" i="178"/>
  <c r="BM123" i="178"/>
  <c r="AT123" i="178"/>
  <c r="AX123" i="178"/>
  <c r="BB123" i="178"/>
  <c r="BF123" i="178"/>
  <c r="BJ123" i="178"/>
  <c r="BK123" i="178"/>
  <c r="BD123" i="178"/>
  <c r="AR123" i="178"/>
  <c r="BH123" i="178"/>
  <c r="AV123" i="178"/>
  <c r="AZ123" i="178"/>
  <c r="BM82" i="178"/>
  <c r="AT82" i="178"/>
  <c r="AX82" i="178"/>
  <c r="BB82" i="178"/>
  <c r="BF82" i="178"/>
  <c r="BJ82" i="178"/>
  <c r="BK82" i="178"/>
  <c r="AZ82" i="178"/>
  <c r="BD82" i="178"/>
  <c r="AR82" i="178"/>
  <c r="BH82" i="178"/>
  <c r="AV82" i="178"/>
  <c r="BM75" i="178"/>
  <c r="AT75" i="178"/>
  <c r="AX75" i="178"/>
  <c r="BB75" i="178"/>
  <c r="BF75" i="178"/>
  <c r="BJ75" i="178"/>
  <c r="BK75" i="178"/>
  <c r="AV75" i="178"/>
  <c r="AZ75" i="178"/>
  <c r="BD75" i="178"/>
  <c r="AR75" i="178"/>
  <c r="BH75" i="178"/>
  <c r="BM54" i="178"/>
  <c r="AT54" i="178"/>
  <c r="AX54" i="178"/>
  <c r="BB54" i="178"/>
  <c r="BF54" i="178"/>
  <c r="BJ54" i="178"/>
  <c r="BK54" i="178"/>
  <c r="AR54" i="178"/>
  <c r="BH54" i="178"/>
  <c r="AV54" i="178"/>
  <c r="AZ54" i="178"/>
  <c r="BD54" i="178"/>
  <c r="BM13" i="178"/>
  <c r="AT13" i="178"/>
  <c r="AX13" i="178"/>
  <c r="BB13" i="178"/>
  <c r="BF13" i="178"/>
  <c r="BJ13" i="178"/>
  <c r="BK13" i="178"/>
  <c r="BD13" i="178"/>
  <c r="AR13" i="178"/>
  <c r="BH13" i="178"/>
  <c r="AV13" i="178"/>
  <c r="AZ13" i="178"/>
  <c r="BM477" i="178"/>
  <c r="AT477" i="178"/>
  <c r="AX477" i="178"/>
  <c r="BB477" i="178"/>
  <c r="BF477" i="178"/>
  <c r="BJ477" i="178"/>
  <c r="BK477" i="178"/>
  <c r="AR477" i="178"/>
  <c r="BH477" i="178"/>
  <c r="AV477" i="178"/>
  <c r="AZ477" i="178"/>
  <c r="BD477" i="178"/>
  <c r="BM310" i="178"/>
  <c r="AT310" i="178"/>
  <c r="AX310" i="178"/>
  <c r="BB310" i="178"/>
  <c r="BF310" i="178"/>
  <c r="BJ310" i="178"/>
  <c r="BK310" i="178"/>
  <c r="BD310" i="178"/>
  <c r="AR310" i="178"/>
  <c r="BH310" i="178"/>
  <c r="AV310" i="178"/>
  <c r="AZ310" i="178"/>
  <c r="BM281" i="178"/>
  <c r="AT281" i="178"/>
  <c r="AX281" i="178"/>
  <c r="BB281" i="178"/>
  <c r="BF281" i="178"/>
  <c r="BJ281" i="178"/>
  <c r="BK281" i="178"/>
  <c r="AZ281" i="178"/>
  <c r="BD281" i="178"/>
  <c r="AR281" i="178"/>
  <c r="BH281" i="178"/>
  <c r="AV281" i="178"/>
  <c r="BM360" i="178"/>
  <c r="AT360" i="178"/>
  <c r="AX360" i="178"/>
  <c r="BB360" i="178"/>
  <c r="BF360" i="178"/>
  <c r="BJ360" i="178"/>
  <c r="BK360" i="178"/>
  <c r="BD360" i="178"/>
  <c r="AR360" i="178"/>
  <c r="BH360" i="178"/>
  <c r="AV360" i="178"/>
  <c r="AZ360" i="178"/>
  <c r="AT423" i="178"/>
  <c r="AX423" i="178"/>
  <c r="BB423" i="178"/>
  <c r="BF423" i="178"/>
  <c r="BJ423" i="178"/>
  <c r="BK423" i="178"/>
  <c r="AR423" i="178"/>
  <c r="AV423" i="178"/>
  <c r="AZ423" i="178"/>
  <c r="BD423" i="178"/>
  <c r="BH423" i="178"/>
  <c r="BM423" i="178"/>
  <c r="AT357" i="178"/>
  <c r="AX357" i="178"/>
  <c r="BB357" i="178"/>
  <c r="BF357" i="178"/>
  <c r="BJ357" i="178"/>
  <c r="BK357" i="178"/>
  <c r="AR357" i="178"/>
  <c r="AV357" i="178"/>
  <c r="AZ357" i="178"/>
  <c r="BD357" i="178"/>
  <c r="BH357" i="178"/>
  <c r="BM357" i="178"/>
  <c r="AT356" i="178"/>
  <c r="AX356" i="178"/>
  <c r="BB356" i="178"/>
  <c r="BF356" i="178"/>
  <c r="BJ356" i="178"/>
  <c r="BK356" i="178"/>
  <c r="AR356" i="178"/>
  <c r="AV356" i="178"/>
  <c r="AZ356" i="178"/>
  <c r="BD356" i="178"/>
  <c r="BH356" i="178"/>
  <c r="BM356" i="178"/>
  <c r="AT419" i="178"/>
  <c r="AX419" i="178"/>
  <c r="BB419" i="178"/>
  <c r="BF419" i="178"/>
  <c r="BJ419" i="178"/>
  <c r="BK419" i="178"/>
  <c r="AR419" i="178"/>
  <c r="AV419" i="178"/>
  <c r="AZ419" i="178"/>
  <c r="BD419" i="178"/>
  <c r="BH419" i="178"/>
  <c r="BM419" i="178"/>
  <c r="AT294" i="178"/>
  <c r="AX294" i="178"/>
  <c r="BB294" i="178"/>
  <c r="BF294" i="178"/>
  <c r="BJ294" i="178"/>
  <c r="BK294" i="178"/>
  <c r="AR294" i="178"/>
  <c r="AV294" i="178"/>
  <c r="AZ294" i="178"/>
  <c r="BD294" i="178"/>
  <c r="BH294" i="178"/>
  <c r="BM294" i="178"/>
  <c r="S413" i="178"/>
  <c r="S409" i="178"/>
  <c r="S405" i="178"/>
  <c r="S390" i="178"/>
  <c r="S386" i="178"/>
  <c r="S382" i="178"/>
  <c r="S378" i="178"/>
  <c r="S400" i="178"/>
  <c r="S334" i="178"/>
  <c r="S267" i="178"/>
  <c r="S232" i="178"/>
  <c r="S129" i="178"/>
  <c r="S37" i="178"/>
  <c r="S399" i="178"/>
  <c r="S291" i="178"/>
  <c r="S204" i="178"/>
  <c r="S76" i="178"/>
  <c r="S478" i="178"/>
  <c r="S430" i="178"/>
  <c r="S332" i="178"/>
  <c r="S265" i="178"/>
  <c r="S250" i="178"/>
  <c r="S203" i="178"/>
  <c r="S187" i="178"/>
  <c r="S124" i="178"/>
  <c r="S120" i="178"/>
  <c r="S78" i="178"/>
  <c r="S55" i="178"/>
  <c r="S14" i="178"/>
  <c r="S428" i="178"/>
  <c r="S202" i="178"/>
  <c r="S368" i="178"/>
  <c r="S137" i="178"/>
  <c r="S138" i="178"/>
  <c r="S396" i="178"/>
  <c r="S136" i="178"/>
  <c r="S296" i="178"/>
  <c r="S175" i="178"/>
  <c r="S416" i="178"/>
  <c r="S431" i="178"/>
  <c r="S197" i="178"/>
  <c r="AR391" i="178"/>
  <c r="AV391" i="178"/>
  <c r="AZ391" i="178"/>
  <c r="BD391" i="178"/>
  <c r="BH391" i="178"/>
  <c r="BM391" i="178"/>
  <c r="AT391" i="178"/>
  <c r="AX391" i="178"/>
  <c r="BB391" i="178"/>
  <c r="BF391" i="178"/>
  <c r="BJ391" i="178"/>
  <c r="BK391" i="178"/>
  <c r="BM371" i="178"/>
  <c r="AT371" i="178"/>
  <c r="AX371" i="178"/>
  <c r="BB371" i="178"/>
  <c r="BF371" i="178"/>
  <c r="BJ371" i="178"/>
  <c r="BK371" i="178"/>
  <c r="BD371" i="178"/>
  <c r="AR371" i="178"/>
  <c r="BH371" i="178"/>
  <c r="AV371" i="178"/>
  <c r="AZ371" i="178"/>
  <c r="BM415" i="178"/>
  <c r="AT415" i="178"/>
  <c r="AX415" i="178"/>
  <c r="BB415" i="178"/>
  <c r="BF415" i="178"/>
  <c r="BJ415" i="178"/>
  <c r="BK415" i="178"/>
  <c r="AR415" i="178"/>
  <c r="BH415" i="178"/>
  <c r="AV415" i="178"/>
  <c r="AZ415" i="178"/>
  <c r="BD415" i="178"/>
  <c r="BM411" i="178"/>
  <c r="AT411" i="178"/>
  <c r="AX411" i="178"/>
  <c r="BB411" i="178"/>
  <c r="BF411" i="178"/>
  <c r="BJ411" i="178"/>
  <c r="BK411" i="178"/>
  <c r="BD411" i="178"/>
  <c r="AR411" i="178"/>
  <c r="BH411" i="178"/>
  <c r="AV411" i="178"/>
  <c r="AZ411" i="178"/>
  <c r="BM406" i="178"/>
  <c r="AT406" i="178"/>
  <c r="AX406" i="178"/>
  <c r="BB406" i="178"/>
  <c r="BF406" i="178"/>
  <c r="BJ406" i="178"/>
  <c r="BK406" i="178"/>
  <c r="AZ406" i="178"/>
  <c r="BD406" i="178"/>
  <c r="AR406" i="178"/>
  <c r="BH406" i="178"/>
  <c r="AV406" i="178"/>
  <c r="AT403" i="178"/>
  <c r="AX403" i="178"/>
  <c r="AV403" i="178"/>
  <c r="BM403" i="178"/>
  <c r="AR403" i="178"/>
  <c r="BB403" i="178"/>
  <c r="BF403" i="178"/>
  <c r="BJ403" i="178"/>
  <c r="BK403" i="178"/>
  <c r="AZ403" i="178"/>
  <c r="BD403" i="178"/>
  <c r="BH403" i="178"/>
  <c r="BM388" i="178"/>
  <c r="AT388" i="178"/>
  <c r="AX388" i="178"/>
  <c r="BB388" i="178"/>
  <c r="BF388" i="178"/>
  <c r="BJ388" i="178"/>
  <c r="BK388" i="178"/>
  <c r="AZ388" i="178"/>
  <c r="BD388" i="178"/>
  <c r="AR388" i="178"/>
  <c r="BH388" i="178"/>
  <c r="AV388" i="178"/>
  <c r="BM384" i="178"/>
  <c r="AT384" i="178"/>
  <c r="AX384" i="178"/>
  <c r="BB384" i="178"/>
  <c r="BF384" i="178"/>
  <c r="BJ384" i="178"/>
  <c r="BK384" i="178"/>
  <c r="AV384" i="178"/>
  <c r="AZ384" i="178"/>
  <c r="BD384" i="178"/>
  <c r="AR384" i="178"/>
  <c r="BH384" i="178"/>
  <c r="BM380" i="178"/>
  <c r="AT380" i="178"/>
  <c r="AX380" i="178"/>
  <c r="BB380" i="178"/>
  <c r="BF380" i="178"/>
  <c r="BJ380" i="178"/>
  <c r="BK380" i="178"/>
  <c r="AR380" i="178"/>
  <c r="BH380" i="178"/>
  <c r="AV380" i="178"/>
  <c r="AZ380" i="178"/>
  <c r="BD380" i="178"/>
  <c r="BM268" i="178"/>
  <c r="AT268" i="178"/>
  <c r="AX268" i="178"/>
  <c r="BB268" i="178"/>
  <c r="BF268" i="178"/>
  <c r="BJ268" i="178"/>
  <c r="BK268" i="178"/>
  <c r="BD268" i="178"/>
  <c r="AR268" i="178"/>
  <c r="BH268" i="178"/>
  <c r="AV268" i="178"/>
  <c r="AZ268" i="178"/>
  <c r="BM467" i="178"/>
  <c r="AT467" i="178"/>
  <c r="AX467" i="178"/>
  <c r="BB467" i="178"/>
  <c r="BF467" i="178"/>
  <c r="BJ467" i="178"/>
  <c r="BK467" i="178"/>
  <c r="BD467" i="178"/>
  <c r="AR467" i="178"/>
  <c r="BH467" i="178"/>
  <c r="AV467" i="178"/>
  <c r="AZ467" i="178"/>
  <c r="BM375" i="178"/>
  <c r="AT375" i="178"/>
  <c r="AX375" i="178"/>
  <c r="BB375" i="178"/>
  <c r="BF375" i="178"/>
  <c r="BJ375" i="178"/>
  <c r="BK375" i="178"/>
  <c r="AZ375" i="178"/>
  <c r="BD375" i="178"/>
  <c r="AR375" i="178"/>
  <c r="BH375" i="178"/>
  <c r="AV375" i="178"/>
  <c r="BM263" i="178"/>
  <c r="AT263" i="178"/>
  <c r="AX263" i="178"/>
  <c r="BB263" i="178"/>
  <c r="BF263" i="178"/>
  <c r="BJ263" i="178"/>
  <c r="BK263" i="178"/>
  <c r="AV263" i="178"/>
  <c r="AZ263" i="178"/>
  <c r="BD263" i="178"/>
  <c r="AR263" i="178"/>
  <c r="BH263" i="178"/>
  <c r="BM244" i="178"/>
  <c r="AT244" i="178"/>
  <c r="AX244" i="178"/>
  <c r="BB244" i="178"/>
  <c r="BF244" i="178"/>
  <c r="BJ244" i="178"/>
  <c r="BK244" i="178"/>
  <c r="AR244" i="178"/>
  <c r="BH244" i="178"/>
  <c r="AV244" i="178"/>
  <c r="AZ244" i="178"/>
  <c r="BD244" i="178"/>
  <c r="BM189" i="178"/>
  <c r="AT189" i="178"/>
  <c r="AX189" i="178"/>
  <c r="BB189" i="178"/>
  <c r="BF189" i="178"/>
  <c r="BJ189" i="178"/>
  <c r="BK189" i="178"/>
  <c r="BD189" i="178"/>
  <c r="AR189" i="178"/>
  <c r="BH189" i="178"/>
  <c r="AV189" i="178"/>
  <c r="AZ189" i="178"/>
  <c r="BM83" i="178"/>
  <c r="AT83" i="178"/>
  <c r="AX83" i="178"/>
  <c r="BB83" i="178"/>
  <c r="BF83" i="178"/>
  <c r="BJ83" i="178"/>
  <c r="BK83" i="178"/>
  <c r="AZ83" i="178"/>
  <c r="BD83" i="178"/>
  <c r="AR83" i="178"/>
  <c r="BH83" i="178"/>
  <c r="AV83" i="178"/>
  <c r="BM17" i="178"/>
  <c r="AT17" i="178"/>
  <c r="AX17" i="178"/>
  <c r="BB17" i="178"/>
  <c r="BF17" i="178"/>
  <c r="BJ17" i="178"/>
  <c r="BK17" i="178"/>
  <c r="AV17" i="178"/>
  <c r="AZ17" i="178"/>
  <c r="BD17" i="178"/>
  <c r="AR17" i="178"/>
  <c r="BH17" i="178"/>
  <c r="BK474" i="178"/>
  <c r="AR474" i="178"/>
  <c r="AV474" i="178"/>
  <c r="AZ474" i="178"/>
  <c r="BD474" i="178"/>
  <c r="BH474" i="178"/>
  <c r="BM474" i="178"/>
  <c r="AT474" i="178"/>
  <c r="BJ474" i="178"/>
  <c r="AX474" i="178"/>
  <c r="BB474" i="178"/>
  <c r="BF474" i="178"/>
  <c r="BK317" i="178"/>
  <c r="AR317" i="178"/>
  <c r="AV317" i="178"/>
  <c r="AZ317" i="178"/>
  <c r="BD317" i="178"/>
  <c r="BH317" i="178"/>
  <c r="BM317" i="178"/>
  <c r="BF317" i="178"/>
  <c r="AT317" i="178"/>
  <c r="BJ317" i="178"/>
  <c r="AX317" i="178"/>
  <c r="BB317" i="178"/>
  <c r="BK235" i="178"/>
  <c r="AR235" i="178"/>
  <c r="AV235" i="178"/>
  <c r="AZ235" i="178"/>
  <c r="BD235" i="178"/>
  <c r="BH235" i="178"/>
  <c r="BM235" i="178"/>
  <c r="BB235" i="178"/>
  <c r="BF235" i="178"/>
  <c r="AT235" i="178"/>
  <c r="BJ235" i="178"/>
  <c r="AX235" i="178"/>
  <c r="BK131" i="178"/>
  <c r="AR131" i="178"/>
  <c r="AV131" i="178"/>
  <c r="AZ131" i="178"/>
  <c r="BD131" i="178"/>
  <c r="BH131" i="178"/>
  <c r="BM131" i="178"/>
  <c r="AX131" i="178"/>
  <c r="BB131" i="178"/>
  <c r="BF131" i="178"/>
  <c r="AT131" i="178"/>
  <c r="BJ131" i="178"/>
  <c r="BK16" i="178"/>
  <c r="AR16" i="178"/>
  <c r="AV16" i="178"/>
  <c r="AZ16" i="178"/>
  <c r="BD16" i="178"/>
  <c r="BH16" i="178"/>
  <c r="BM16" i="178"/>
  <c r="AT16" i="178"/>
  <c r="BJ16" i="178"/>
  <c r="AX16" i="178"/>
  <c r="BB16" i="178"/>
  <c r="BF16" i="178"/>
  <c r="BK465" i="178"/>
  <c r="AR465" i="178"/>
  <c r="AV465" i="178"/>
  <c r="AZ465" i="178"/>
  <c r="BD465" i="178"/>
  <c r="BH465" i="178"/>
  <c r="BM465" i="178"/>
  <c r="AT465" i="178"/>
  <c r="BJ465" i="178"/>
  <c r="AX465" i="178"/>
  <c r="BB465" i="178"/>
  <c r="BF465" i="178"/>
  <c r="BK335" i="178"/>
  <c r="AV335" i="178"/>
  <c r="AZ335" i="178"/>
  <c r="BD335" i="178"/>
  <c r="BH335" i="178"/>
  <c r="AR335" i="178"/>
  <c r="BM335" i="178"/>
  <c r="BF335" i="178"/>
  <c r="AT335" i="178"/>
  <c r="BJ335" i="178"/>
  <c r="AX335" i="178"/>
  <c r="BB335" i="178"/>
  <c r="AR311" i="178"/>
  <c r="AV311" i="178"/>
  <c r="AZ311" i="178"/>
  <c r="BD311" i="178"/>
  <c r="BH311" i="178"/>
  <c r="BM311" i="178"/>
  <c r="AT311" i="178"/>
  <c r="AX311" i="178"/>
  <c r="BB311" i="178"/>
  <c r="BF311" i="178"/>
  <c r="BJ311" i="178"/>
  <c r="BK311" i="178"/>
  <c r="AR256" i="178"/>
  <c r="AV256" i="178"/>
  <c r="AZ256" i="178"/>
  <c r="BD256" i="178"/>
  <c r="BH256" i="178"/>
  <c r="BM256" i="178"/>
  <c r="AT256" i="178"/>
  <c r="AX256" i="178"/>
  <c r="BB256" i="178"/>
  <c r="BF256" i="178"/>
  <c r="BJ256" i="178"/>
  <c r="BK256" i="178"/>
  <c r="AR242" i="178"/>
  <c r="AV242" i="178"/>
  <c r="AZ242" i="178"/>
  <c r="BD242" i="178"/>
  <c r="BH242" i="178"/>
  <c r="BM242" i="178"/>
  <c r="AT242" i="178"/>
  <c r="AX242" i="178"/>
  <c r="BB242" i="178"/>
  <c r="BF242" i="178"/>
  <c r="BJ242" i="178"/>
  <c r="BK242" i="178"/>
  <c r="AR192" i="178"/>
  <c r="AV192" i="178"/>
  <c r="AZ192" i="178"/>
  <c r="BD192" i="178"/>
  <c r="BH192" i="178"/>
  <c r="BM192" i="178"/>
  <c r="AT192" i="178"/>
  <c r="AX192" i="178"/>
  <c r="BB192" i="178"/>
  <c r="BF192" i="178"/>
  <c r="BJ192" i="178"/>
  <c r="BK192" i="178"/>
  <c r="AR126" i="178"/>
  <c r="AV126" i="178"/>
  <c r="AZ126" i="178"/>
  <c r="BD126" i="178"/>
  <c r="BH126" i="178"/>
  <c r="BM126" i="178"/>
  <c r="AT126" i="178"/>
  <c r="AX126" i="178"/>
  <c r="BB126" i="178"/>
  <c r="BF126" i="178"/>
  <c r="BJ126" i="178"/>
  <c r="BK126" i="178"/>
  <c r="AR122" i="178"/>
  <c r="AV122" i="178"/>
  <c r="AZ122" i="178"/>
  <c r="BD122" i="178"/>
  <c r="BH122" i="178"/>
  <c r="BM122" i="178"/>
  <c r="AT122" i="178"/>
  <c r="AX122" i="178"/>
  <c r="BB122" i="178"/>
  <c r="BF122" i="178"/>
  <c r="BJ122" i="178"/>
  <c r="BK122" i="178"/>
  <c r="AR81" i="178"/>
  <c r="AV81" i="178"/>
  <c r="AZ81" i="178"/>
  <c r="BD81" i="178"/>
  <c r="BH81" i="178"/>
  <c r="BM81" i="178"/>
  <c r="AT81" i="178"/>
  <c r="AX81" i="178"/>
  <c r="BB81" i="178"/>
  <c r="BF81" i="178"/>
  <c r="BJ81" i="178"/>
  <c r="BK81" i="178"/>
  <c r="AR73" i="178"/>
  <c r="AV73" i="178"/>
  <c r="AZ73" i="178"/>
  <c r="BD73" i="178"/>
  <c r="BH73" i="178"/>
  <c r="BM73" i="178"/>
  <c r="AT73" i="178"/>
  <c r="AX73" i="178"/>
  <c r="BB73" i="178"/>
  <c r="BF73" i="178"/>
  <c r="BJ73" i="178"/>
  <c r="BK73" i="178"/>
  <c r="AR49" i="178"/>
  <c r="AV49" i="178"/>
  <c r="AZ49" i="178"/>
  <c r="BD49" i="178"/>
  <c r="BH49" i="178"/>
  <c r="BM49" i="178"/>
  <c r="AT49" i="178"/>
  <c r="AX49" i="178"/>
  <c r="BB49" i="178"/>
  <c r="BF49" i="178"/>
  <c r="BJ49" i="178"/>
  <c r="BK49" i="178"/>
  <c r="AR437" i="178"/>
  <c r="AV437" i="178"/>
  <c r="AZ437" i="178"/>
  <c r="BD437" i="178"/>
  <c r="BH437" i="178"/>
  <c r="BM437" i="178"/>
  <c r="AT437" i="178"/>
  <c r="AX437" i="178"/>
  <c r="BB437" i="178"/>
  <c r="BF437" i="178"/>
  <c r="BJ437" i="178"/>
  <c r="BK437" i="178"/>
  <c r="AR290" i="178"/>
  <c r="AV290" i="178"/>
  <c r="AZ290" i="178"/>
  <c r="BD290" i="178"/>
  <c r="BH290" i="178"/>
  <c r="BM290" i="178"/>
  <c r="AT290" i="178"/>
  <c r="AX290" i="178"/>
  <c r="BB290" i="178"/>
  <c r="BF290" i="178"/>
  <c r="BJ290" i="178"/>
  <c r="BK290" i="178"/>
  <c r="AR148" i="178"/>
  <c r="AV148" i="178"/>
  <c r="AZ148" i="178"/>
  <c r="BD148" i="178"/>
  <c r="BH148" i="178"/>
  <c r="BM148" i="178"/>
  <c r="AT148" i="178"/>
  <c r="AX148" i="178"/>
  <c r="BB148" i="178"/>
  <c r="BF148" i="178"/>
  <c r="BJ148" i="178"/>
  <c r="BK148" i="178"/>
  <c r="BM398" i="178"/>
  <c r="AT398" i="178"/>
  <c r="AX398" i="178"/>
  <c r="BB398" i="178"/>
  <c r="BF398" i="178"/>
  <c r="BJ398" i="178"/>
  <c r="BK398" i="178"/>
  <c r="AZ398" i="178"/>
  <c r="BD398" i="178"/>
  <c r="AR398" i="178"/>
  <c r="BH398" i="178"/>
  <c r="AV398" i="178"/>
  <c r="BM443" i="178"/>
  <c r="AT443" i="178"/>
  <c r="AX443" i="178"/>
  <c r="BB443" i="178"/>
  <c r="BF443" i="178"/>
  <c r="BJ443" i="178"/>
  <c r="BK443" i="178"/>
  <c r="AR443" i="178"/>
  <c r="BH443" i="178"/>
  <c r="AV443" i="178"/>
  <c r="AZ443" i="178"/>
  <c r="BD443" i="178"/>
  <c r="BM394" i="178"/>
  <c r="AT394" i="178"/>
  <c r="AX394" i="178"/>
  <c r="BB394" i="178"/>
  <c r="BF394" i="178"/>
  <c r="BJ394" i="178"/>
  <c r="BK394" i="178"/>
  <c r="AR394" i="178"/>
  <c r="BH394" i="178"/>
  <c r="AV394" i="178"/>
  <c r="AZ394" i="178"/>
  <c r="BD394" i="178"/>
  <c r="BM418" i="178"/>
  <c r="AT418" i="178"/>
  <c r="AX418" i="178"/>
  <c r="BB418" i="178"/>
  <c r="BF418" i="178"/>
  <c r="BJ418" i="178"/>
  <c r="BK418" i="178"/>
  <c r="BD418" i="178"/>
  <c r="AR418" i="178"/>
  <c r="BH418" i="178"/>
  <c r="AV418" i="178"/>
  <c r="AZ418" i="178"/>
  <c r="BM174" i="178"/>
  <c r="AT174" i="178"/>
  <c r="AX174" i="178"/>
  <c r="BB174" i="178"/>
  <c r="BF174" i="178"/>
  <c r="BJ174" i="178"/>
  <c r="BK174" i="178"/>
  <c r="AV174" i="178"/>
  <c r="AZ174" i="178"/>
  <c r="BD174" i="178"/>
  <c r="AR174" i="178"/>
  <c r="BH174" i="178"/>
  <c r="BM293" i="178"/>
  <c r="AT293" i="178"/>
  <c r="AX293" i="178"/>
  <c r="BB293" i="178"/>
  <c r="BF293" i="178"/>
  <c r="BJ293" i="178"/>
  <c r="BK293" i="178"/>
  <c r="AR293" i="178"/>
  <c r="BH293" i="178"/>
  <c r="AV293" i="178"/>
  <c r="AZ293" i="178"/>
  <c r="BD293" i="178"/>
  <c r="S412" i="178"/>
  <c r="S408" i="178"/>
  <c r="S404" i="178"/>
  <c r="S389" i="178"/>
  <c r="S385" i="178"/>
  <c r="S381" i="178"/>
  <c r="S377" i="178"/>
  <c r="S475" i="178"/>
  <c r="S376" i="178"/>
  <c r="S314" i="178"/>
  <c r="S252" i="178"/>
  <c r="S194" i="178"/>
  <c r="S128" i="178"/>
  <c r="S29" i="178"/>
  <c r="S479" i="178"/>
  <c r="S374" i="178"/>
  <c r="S262" i="178"/>
  <c r="S132" i="178"/>
  <c r="S74" i="178"/>
  <c r="S473" i="178"/>
  <c r="S336" i="178"/>
  <c r="S312" i="178"/>
  <c r="S257" i="178"/>
  <c r="S243" i="178"/>
  <c r="S193" i="178"/>
  <c r="S130" i="178"/>
  <c r="S123" i="178"/>
  <c r="S82" i="178"/>
  <c r="S75" i="178"/>
  <c r="S54" i="178"/>
  <c r="S13" i="178"/>
  <c r="S477" i="178"/>
  <c r="S310" i="178"/>
  <c r="S281" i="178"/>
  <c r="S360" i="178"/>
  <c r="S423" i="178"/>
  <c r="S357" i="178"/>
  <c r="S356" i="178"/>
  <c r="S419" i="178"/>
  <c r="S294" i="178"/>
  <c r="S391" i="178"/>
  <c r="U397" i="178"/>
  <c r="V395" i="178"/>
  <c r="V358" i="178"/>
  <c r="V45" i="178"/>
  <c r="V264" i="178"/>
  <c r="V258" i="178"/>
  <c r="V225" i="178"/>
  <c r="V367" i="178"/>
  <c r="V413" i="178"/>
  <c r="V409" i="178"/>
  <c r="V405" i="178"/>
  <c r="V390" i="178"/>
  <c r="V386" i="178"/>
  <c r="V382" i="178"/>
  <c r="V378" i="178"/>
  <c r="V400" i="178"/>
  <c r="V334" i="178"/>
  <c r="V267" i="178"/>
  <c r="V232" i="178"/>
  <c r="V129" i="178"/>
  <c r="V123" i="178"/>
  <c r="V122" i="178"/>
  <c r="V82" i="178"/>
  <c r="V81" i="178"/>
  <c r="V75" i="178"/>
  <c r="V73" i="178"/>
  <c r="V310" i="178"/>
  <c r="BK201" i="178"/>
  <c r="AR201" i="178"/>
  <c r="AV201" i="178"/>
  <c r="AZ201" i="178"/>
  <c r="BD201" i="178"/>
  <c r="BH201" i="178"/>
  <c r="BM201" i="178"/>
  <c r="BF201" i="178"/>
  <c r="AT201" i="178"/>
  <c r="BJ201" i="178"/>
  <c r="AX201" i="178"/>
  <c r="BB201" i="178"/>
  <c r="AR170" i="178"/>
  <c r="AV170" i="178"/>
  <c r="AZ170" i="178"/>
  <c r="BD170" i="178"/>
  <c r="BH170" i="178"/>
  <c r="BM170" i="178"/>
  <c r="AT170" i="178"/>
  <c r="AX170" i="178"/>
  <c r="BB170" i="178"/>
  <c r="BF170" i="178"/>
  <c r="BJ170" i="178"/>
  <c r="BK170" i="178"/>
  <c r="AR367" i="178"/>
  <c r="AV367" i="178"/>
  <c r="AZ367" i="178"/>
  <c r="BD367" i="178"/>
  <c r="BH367" i="178"/>
  <c r="BM367" i="178"/>
  <c r="AT367" i="178"/>
  <c r="AX367" i="178"/>
  <c r="BB367" i="178"/>
  <c r="BF367" i="178"/>
  <c r="BJ367" i="178"/>
  <c r="BK367" i="178"/>
  <c r="AR414" i="178"/>
  <c r="AV414" i="178"/>
  <c r="AZ414" i="178"/>
  <c r="BD414" i="178"/>
  <c r="BH414" i="178"/>
  <c r="BM414" i="178"/>
  <c r="AT414" i="178"/>
  <c r="AX414" i="178"/>
  <c r="BB414" i="178"/>
  <c r="BF414" i="178"/>
  <c r="BJ414" i="178"/>
  <c r="BK414" i="178"/>
  <c r="AR410" i="178"/>
  <c r="AV410" i="178"/>
  <c r="AZ410" i="178"/>
  <c r="BD410" i="178"/>
  <c r="BH410" i="178"/>
  <c r="BM410" i="178"/>
  <c r="AT410" i="178"/>
  <c r="AX410" i="178"/>
  <c r="BB410" i="178"/>
  <c r="BF410" i="178"/>
  <c r="BJ410" i="178"/>
  <c r="BK410" i="178"/>
  <c r="AR407" i="178"/>
  <c r="AV407" i="178"/>
  <c r="AZ407" i="178"/>
  <c r="BD407" i="178"/>
  <c r="BH407" i="178"/>
  <c r="BM407" i="178"/>
  <c r="AT407" i="178"/>
  <c r="AX407" i="178"/>
  <c r="BB407" i="178"/>
  <c r="BF407" i="178"/>
  <c r="BJ407" i="178"/>
  <c r="BK407" i="178"/>
  <c r="BM402" i="178"/>
  <c r="AT402" i="178"/>
  <c r="AX402" i="178"/>
  <c r="BB402" i="178"/>
  <c r="BF402" i="178"/>
  <c r="BJ402" i="178"/>
  <c r="AV402" i="178"/>
  <c r="BD402" i="178"/>
  <c r="AR402" i="178"/>
  <c r="AZ402" i="178"/>
  <c r="BH402" i="178"/>
  <c r="BK402" i="178"/>
  <c r="AR387" i="178"/>
  <c r="AV387" i="178"/>
  <c r="AZ387" i="178"/>
  <c r="BD387" i="178"/>
  <c r="BH387" i="178"/>
  <c r="BM387" i="178"/>
  <c r="AT387" i="178"/>
  <c r="AX387" i="178"/>
  <c r="BB387" i="178"/>
  <c r="BF387" i="178"/>
  <c r="BJ387" i="178"/>
  <c r="BK387" i="178"/>
  <c r="AR383" i="178"/>
  <c r="AV383" i="178"/>
  <c r="AZ383" i="178"/>
  <c r="BD383" i="178"/>
  <c r="BH383" i="178"/>
  <c r="BM383" i="178"/>
  <c r="AT383" i="178"/>
  <c r="AX383" i="178"/>
  <c r="BB383" i="178"/>
  <c r="BF383" i="178"/>
  <c r="BJ383" i="178"/>
  <c r="BK383" i="178"/>
  <c r="AR379" i="178"/>
  <c r="AV379" i="178"/>
  <c r="AZ379" i="178"/>
  <c r="BD379" i="178"/>
  <c r="BH379" i="178"/>
  <c r="BM379" i="178"/>
  <c r="AT379" i="178"/>
  <c r="AX379" i="178"/>
  <c r="BB379" i="178"/>
  <c r="BF379" i="178"/>
  <c r="BJ379" i="178"/>
  <c r="BK379" i="178"/>
  <c r="AR401" i="178"/>
  <c r="AV401" i="178"/>
  <c r="AZ401" i="178"/>
  <c r="BD401" i="178"/>
  <c r="BH401" i="178"/>
  <c r="BM401" i="178"/>
  <c r="AT401" i="178"/>
  <c r="AX401" i="178"/>
  <c r="BB401" i="178"/>
  <c r="BF401" i="178"/>
  <c r="BJ401" i="178"/>
  <c r="BK401" i="178"/>
  <c r="AR337" i="178"/>
  <c r="AV337" i="178"/>
  <c r="AZ337" i="178"/>
  <c r="BD337" i="178"/>
  <c r="BH337" i="178"/>
  <c r="BM337" i="178"/>
  <c r="AT337" i="178"/>
  <c r="AX337" i="178"/>
  <c r="BB337" i="178"/>
  <c r="BF337" i="178"/>
  <c r="BJ337" i="178"/>
  <c r="BK337" i="178"/>
  <c r="AR480" i="178"/>
  <c r="AV480" i="178"/>
  <c r="AZ480" i="178"/>
  <c r="BD480" i="178"/>
  <c r="BH480" i="178"/>
  <c r="BM480" i="178"/>
  <c r="AT480" i="178"/>
  <c r="AX480" i="178"/>
  <c r="BB480" i="178"/>
  <c r="BF480" i="178"/>
  <c r="BJ480" i="178"/>
  <c r="BK480" i="178"/>
  <c r="AR233" i="178"/>
  <c r="AV233" i="178"/>
  <c r="AZ233" i="178"/>
  <c r="BD233" i="178"/>
  <c r="BH233" i="178"/>
  <c r="BM233" i="178"/>
  <c r="AT233" i="178"/>
  <c r="AX233" i="178"/>
  <c r="BB233" i="178"/>
  <c r="BF233" i="178"/>
  <c r="BJ233" i="178"/>
  <c r="BK233" i="178"/>
  <c r="AR133" i="178"/>
  <c r="AV133" i="178"/>
  <c r="AZ133" i="178"/>
  <c r="BD133" i="178"/>
  <c r="BH133" i="178"/>
  <c r="BM133" i="178"/>
  <c r="AT133" i="178"/>
  <c r="AX133" i="178"/>
  <c r="BB133" i="178"/>
  <c r="BF133" i="178"/>
  <c r="BJ133" i="178"/>
  <c r="BK133" i="178"/>
  <c r="AR79" i="178"/>
  <c r="AV79" i="178"/>
  <c r="AZ79" i="178"/>
  <c r="BD79" i="178"/>
  <c r="BH79" i="178"/>
  <c r="BM79" i="178"/>
  <c r="AT79" i="178"/>
  <c r="AX79" i="178"/>
  <c r="BB79" i="178"/>
  <c r="BF79" i="178"/>
  <c r="BJ79" i="178"/>
  <c r="BK79" i="178"/>
  <c r="AT466" i="178"/>
  <c r="AX466" i="178"/>
  <c r="BB466" i="178"/>
  <c r="BF466" i="178"/>
  <c r="BJ466" i="178"/>
  <c r="BK466" i="178"/>
  <c r="AR466" i="178"/>
  <c r="AV466" i="178"/>
  <c r="AZ466" i="178"/>
  <c r="BD466" i="178"/>
  <c r="BH466" i="178"/>
  <c r="BM466" i="178"/>
  <c r="AT313" i="178"/>
  <c r="AX313" i="178"/>
  <c r="BB313" i="178"/>
  <c r="BF313" i="178"/>
  <c r="BJ313" i="178"/>
  <c r="BK313" i="178"/>
  <c r="AR313" i="178"/>
  <c r="AV313" i="178"/>
  <c r="AZ313" i="178"/>
  <c r="BD313" i="178"/>
  <c r="BH313" i="178"/>
  <c r="BM313" i="178"/>
  <c r="AT231" i="178"/>
  <c r="AX231" i="178"/>
  <c r="BB231" i="178"/>
  <c r="BF231" i="178"/>
  <c r="BJ231" i="178"/>
  <c r="BK231" i="178"/>
  <c r="AR231" i="178"/>
  <c r="AV231" i="178"/>
  <c r="AZ231" i="178"/>
  <c r="BD231" i="178"/>
  <c r="BH231" i="178"/>
  <c r="BM231" i="178"/>
  <c r="AT127" i="178"/>
  <c r="AX127" i="178"/>
  <c r="BB127" i="178"/>
  <c r="BF127" i="178"/>
  <c r="BJ127" i="178"/>
  <c r="BK127" i="178"/>
  <c r="AR127" i="178"/>
  <c r="AV127" i="178"/>
  <c r="AZ127" i="178"/>
  <c r="BD127" i="178"/>
  <c r="BH127" i="178"/>
  <c r="BM127" i="178"/>
  <c r="AT438" i="178"/>
  <c r="AX438" i="178"/>
  <c r="BB438" i="178"/>
  <c r="BF438" i="178"/>
  <c r="BJ438" i="178"/>
  <c r="BK438" i="178"/>
  <c r="AR438" i="178"/>
  <c r="AV438" i="178"/>
  <c r="AZ438" i="178"/>
  <c r="BD438" i="178"/>
  <c r="BH438" i="178"/>
  <c r="BM438" i="178"/>
  <c r="AR333" i="178"/>
  <c r="AV333" i="178"/>
  <c r="AZ333" i="178"/>
  <c r="BD333" i="178"/>
  <c r="BH333" i="178"/>
  <c r="AX333" i="178"/>
  <c r="BF333" i="178"/>
  <c r="BM333" i="178"/>
  <c r="AT333" i="178"/>
  <c r="BB333" i="178"/>
  <c r="BJ333" i="178"/>
  <c r="BK333" i="178"/>
  <c r="BK266" i="178"/>
  <c r="AR266" i="178"/>
  <c r="AV266" i="178"/>
  <c r="AZ266" i="178"/>
  <c r="BD266" i="178"/>
  <c r="BH266" i="178"/>
  <c r="BM266" i="178"/>
  <c r="BF266" i="178"/>
  <c r="AT266" i="178"/>
  <c r="BJ266" i="178"/>
  <c r="AX266" i="178"/>
  <c r="BB266" i="178"/>
  <c r="BK251" i="178"/>
  <c r="AR251" i="178"/>
  <c r="AV251" i="178"/>
  <c r="AZ251" i="178"/>
  <c r="BD251" i="178"/>
  <c r="BH251" i="178"/>
  <c r="BM251" i="178"/>
  <c r="BB251" i="178"/>
  <c r="BF251" i="178"/>
  <c r="AT251" i="178"/>
  <c r="BJ251" i="178"/>
  <c r="AX251" i="178"/>
  <c r="BK230" i="178"/>
  <c r="AR230" i="178"/>
  <c r="AV230" i="178"/>
  <c r="AZ230" i="178"/>
  <c r="BD230" i="178"/>
  <c r="BH230" i="178"/>
  <c r="BM230" i="178"/>
  <c r="AX230" i="178"/>
  <c r="BB230" i="178"/>
  <c r="BF230" i="178"/>
  <c r="AT230" i="178"/>
  <c r="BJ230" i="178"/>
  <c r="BK188" i="178"/>
  <c r="AR188" i="178"/>
  <c r="AV188" i="178"/>
  <c r="AZ188" i="178"/>
  <c r="BD188" i="178"/>
  <c r="BH188" i="178"/>
  <c r="BM188" i="178"/>
  <c r="AT188" i="178"/>
  <c r="BJ188" i="178"/>
  <c r="AX188" i="178"/>
  <c r="BB188" i="178"/>
  <c r="BF188" i="178"/>
  <c r="BK125" i="178"/>
  <c r="AR125" i="178"/>
  <c r="AV125" i="178"/>
  <c r="AZ125" i="178"/>
  <c r="BD125" i="178"/>
  <c r="BH125" i="178"/>
  <c r="BM125" i="178"/>
  <c r="BF125" i="178"/>
  <c r="AT125" i="178"/>
  <c r="BJ125" i="178"/>
  <c r="AX125" i="178"/>
  <c r="BB125" i="178"/>
  <c r="BK121" i="178"/>
  <c r="AR121" i="178"/>
  <c r="AV121" i="178"/>
  <c r="AZ121" i="178"/>
  <c r="BD121" i="178"/>
  <c r="BH121" i="178"/>
  <c r="BM121" i="178"/>
  <c r="BB121" i="178"/>
  <c r="BF121" i="178"/>
  <c r="AT121" i="178"/>
  <c r="BJ121" i="178"/>
  <c r="AX121" i="178"/>
  <c r="BK80" i="178"/>
  <c r="AR80" i="178"/>
  <c r="AV80" i="178"/>
  <c r="AZ80" i="178"/>
  <c r="BD80" i="178"/>
  <c r="BH80" i="178"/>
  <c r="BM80" i="178"/>
  <c r="AX80" i="178"/>
  <c r="BB80" i="178"/>
  <c r="BF80" i="178"/>
  <c r="BJ80" i="178"/>
  <c r="AT80" i="178"/>
  <c r="BK59" i="178"/>
  <c r="AR59" i="178"/>
  <c r="AV59" i="178"/>
  <c r="AZ59" i="178"/>
  <c r="BD59" i="178"/>
  <c r="BH59" i="178"/>
  <c r="BM59" i="178"/>
  <c r="AT59" i="178"/>
  <c r="BJ59" i="178"/>
  <c r="AX59" i="178"/>
  <c r="BB59" i="178"/>
  <c r="BF59" i="178"/>
  <c r="BK15" i="178"/>
  <c r="AR15" i="178"/>
  <c r="AV15" i="178"/>
  <c r="AZ15" i="178"/>
  <c r="BD15" i="178"/>
  <c r="BH15" i="178"/>
  <c r="BM15" i="178"/>
  <c r="BF15" i="178"/>
  <c r="AT15" i="178"/>
  <c r="BJ15" i="178"/>
  <c r="AX15" i="178"/>
  <c r="BB15" i="178"/>
  <c r="BK429" i="178"/>
  <c r="AR429" i="178"/>
  <c r="AV429" i="178"/>
  <c r="AZ429" i="178"/>
  <c r="BD429" i="178"/>
  <c r="BH429" i="178"/>
  <c r="BM429" i="178"/>
  <c r="BF429" i="178"/>
  <c r="AT429" i="178"/>
  <c r="BJ429" i="178"/>
  <c r="AX429" i="178"/>
  <c r="BB429" i="178"/>
  <c r="BK229" i="178"/>
  <c r="AR229" i="178"/>
  <c r="AV229" i="178"/>
  <c r="AZ229" i="178"/>
  <c r="BD229" i="178"/>
  <c r="BH229" i="178"/>
  <c r="BM229" i="178"/>
  <c r="BB229" i="178"/>
  <c r="BF229" i="178"/>
  <c r="AT229" i="178"/>
  <c r="BJ229" i="178"/>
  <c r="AX229" i="178"/>
  <c r="BK144" i="178"/>
  <c r="AR144" i="178"/>
  <c r="AV144" i="178"/>
  <c r="AZ144" i="178"/>
  <c r="BD144" i="178"/>
  <c r="BH144" i="178"/>
  <c r="BM144" i="178"/>
  <c r="AT144" i="178"/>
  <c r="BJ144" i="178"/>
  <c r="AX144" i="178"/>
  <c r="BB144" i="178"/>
  <c r="BF144" i="178"/>
  <c r="BK159" i="178"/>
  <c r="AR159" i="178"/>
  <c r="AV159" i="178"/>
  <c r="AZ159" i="178"/>
  <c r="BD159" i="178"/>
  <c r="BH159" i="178"/>
  <c r="BM159" i="178"/>
  <c r="BB159" i="178"/>
  <c r="BF159" i="178"/>
  <c r="AT159" i="178"/>
  <c r="BJ159" i="178"/>
  <c r="AX159" i="178"/>
  <c r="AR157" i="178"/>
  <c r="AV157" i="178"/>
  <c r="AZ157" i="178"/>
  <c r="BD157" i="178"/>
  <c r="BH157" i="178"/>
  <c r="BM157" i="178"/>
  <c r="AT157" i="178"/>
  <c r="AX157" i="178"/>
  <c r="BB157" i="178"/>
  <c r="BF157" i="178"/>
  <c r="BJ157" i="178"/>
  <c r="BK157" i="178"/>
  <c r="AR420" i="178"/>
  <c r="AV420" i="178"/>
  <c r="AZ420" i="178"/>
  <c r="BD420" i="178"/>
  <c r="BH420" i="178"/>
  <c r="BM420" i="178"/>
  <c r="AT420" i="178"/>
  <c r="AX420" i="178"/>
  <c r="BB420" i="178"/>
  <c r="BF420" i="178"/>
  <c r="BJ420" i="178"/>
  <c r="BK420" i="178"/>
  <c r="AR393" i="178"/>
  <c r="AV393" i="178"/>
  <c r="AZ393" i="178"/>
  <c r="BD393" i="178"/>
  <c r="BH393" i="178"/>
  <c r="BM393" i="178"/>
  <c r="AT393" i="178"/>
  <c r="AX393" i="178"/>
  <c r="BB393" i="178"/>
  <c r="BF393" i="178"/>
  <c r="BJ393" i="178"/>
  <c r="BK393" i="178"/>
  <c r="AR177" i="178"/>
  <c r="AV177" i="178"/>
  <c r="AZ177" i="178"/>
  <c r="BD177" i="178"/>
  <c r="BH177" i="178"/>
  <c r="BM177" i="178"/>
  <c r="AT177" i="178"/>
  <c r="AX177" i="178"/>
  <c r="BB177" i="178"/>
  <c r="BF177" i="178"/>
  <c r="BJ177" i="178"/>
  <c r="BK177" i="178"/>
  <c r="AS371" i="178"/>
  <c r="AW371" i="178"/>
  <c r="BA371" i="178"/>
  <c r="BE371" i="178"/>
  <c r="BI371" i="178"/>
  <c r="BN371" i="178"/>
  <c r="AU371" i="178"/>
  <c r="AY371" i="178"/>
  <c r="BC371" i="178"/>
  <c r="BG371" i="178"/>
  <c r="BL371" i="178"/>
  <c r="AS415" i="178"/>
  <c r="AW415" i="178"/>
  <c r="BA415" i="178"/>
  <c r="BE415" i="178"/>
  <c r="BI415" i="178"/>
  <c r="BN415" i="178"/>
  <c r="AU415" i="178"/>
  <c r="AY415" i="178"/>
  <c r="BC415" i="178"/>
  <c r="BG415" i="178"/>
  <c r="BL415" i="178"/>
  <c r="AS411" i="178"/>
  <c r="AW411" i="178"/>
  <c r="BA411" i="178"/>
  <c r="BE411" i="178"/>
  <c r="BI411" i="178"/>
  <c r="BN411" i="178"/>
  <c r="AU411" i="178"/>
  <c r="AY411" i="178"/>
  <c r="BC411" i="178"/>
  <c r="BG411" i="178"/>
  <c r="BL411" i="178"/>
  <c r="BA403" i="178"/>
  <c r="BE403" i="178"/>
  <c r="BI403" i="178"/>
  <c r="AW403" i="178"/>
  <c r="BN403" i="178"/>
  <c r="AS403" i="178"/>
  <c r="AY403" i="178"/>
  <c r="BC403" i="178"/>
  <c r="BG403" i="178"/>
  <c r="AU403" i="178"/>
  <c r="BL403" i="178"/>
  <c r="AS388" i="178"/>
  <c r="AW388" i="178"/>
  <c r="BA388" i="178"/>
  <c r="BE388" i="178"/>
  <c r="BI388" i="178"/>
  <c r="BN388" i="178"/>
  <c r="AU388" i="178"/>
  <c r="AY388" i="178"/>
  <c r="BC388" i="178"/>
  <c r="BG388" i="178"/>
  <c r="BL388" i="178"/>
  <c r="AS384" i="178"/>
  <c r="AW384" i="178"/>
  <c r="BA384" i="178"/>
  <c r="BE384" i="178"/>
  <c r="BI384" i="178"/>
  <c r="BN384" i="178"/>
  <c r="AU384" i="178"/>
  <c r="AY384" i="178"/>
  <c r="BC384" i="178"/>
  <c r="BG384" i="178"/>
  <c r="BL384" i="178"/>
  <c r="AS380" i="178"/>
  <c r="AW380" i="178"/>
  <c r="BA380" i="178"/>
  <c r="BE380" i="178"/>
  <c r="BI380" i="178"/>
  <c r="BN380" i="178"/>
  <c r="AU380" i="178"/>
  <c r="AY380" i="178"/>
  <c r="BC380" i="178"/>
  <c r="BG380" i="178"/>
  <c r="BL380" i="178"/>
  <c r="AS268" i="178"/>
  <c r="AW268" i="178"/>
  <c r="BA268" i="178"/>
  <c r="BE268" i="178"/>
  <c r="BI268" i="178"/>
  <c r="BN268" i="178"/>
  <c r="AU268" i="178"/>
  <c r="AY268" i="178"/>
  <c r="BC268" i="178"/>
  <c r="BG268" i="178"/>
  <c r="BL268" i="178"/>
  <c r="AS467" i="178"/>
  <c r="AW467" i="178"/>
  <c r="BA467" i="178"/>
  <c r="BE467" i="178"/>
  <c r="BI467" i="178"/>
  <c r="BN467" i="178"/>
  <c r="AU467" i="178"/>
  <c r="AY467" i="178"/>
  <c r="BC467" i="178"/>
  <c r="BG467" i="178"/>
  <c r="BL467" i="178"/>
  <c r="AS375" i="178"/>
  <c r="AW375" i="178"/>
  <c r="BA375" i="178"/>
  <c r="BE375" i="178"/>
  <c r="BI375" i="178"/>
  <c r="BN375" i="178"/>
  <c r="AU375" i="178"/>
  <c r="AY375" i="178"/>
  <c r="BC375" i="178"/>
  <c r="BG375" i="178"/>
  <c r="BL375" i="178"/>
  <c r="AS263" i="178"/>
  <c r="AW263" i="178"/>
  <c r="BA263" i="178"/>
  <c r="BE263" i="178"/>
  <c r="BI263" i="178"/>
  <c r="BN263" i="178"/>
  <c r="AU263" i="178"/>
  <c r="AY263" i="178"/>
  <c r="BC263" i="178"/>
  <c r="BG263" i="178"/>
  <c r="BL263" i="178"/>
  <c r="AS244" i="178"/>
  <c r="AW244" i="178"/>
  <c r="BA244" i="178"/>
  <c r="BE244" i="178"/>
  <c r="BI244" i="178"/>
  <c r="BN244" i="178"/>
  <c r="AU244" i="178"/>
  <c r="AY244" i="178"/>
  <c r="BC244" i="178"/>
  <c r="BG244" i="178"/>
  <c r="BL244" i="178"/>
  <c r="AS189" i="178"/>
  <c r="AW189" i="178"/>
  <c r="BA189" i="178"/>
  <c r="BE189" i="178"/>
  <c r="BI189" i="178"/>
  <c r="BN189" i="178"/>
  <c r="AU189" i="178"/>
  <c r="AY189" i="178"/>
  <c r="BC189" i="178"/>
  <c r="BG189" i="178"/>
  <c r="BL189" i="178"/>
  <c r="AS83" i="178"/>
  <c r="AW83" i="178"/>
  <c r="BA83" i="178"/>
  <c r="BE83" i="178"/>
  <c r="BI83" i="178"/>
  <c r="BN83" i="178"/>
  <c r="AU83" i="178"/>
  <c r="AY83" i="178"/>
  <c r="BC83" i="178"/>
  <c r="BG83" i="178"/>
  <c r="BL83" i="178"/>
  <c r="AS17" i="178"/>
  <c r="AW17" i="178"/>
  <c r="BA17" i="178"/>
  <c r="BE17" i="178"/>
  <c r="BI17" i="178"/>
  <c r="BN17" i="178"/>
  <c r="AU17" i="178"/>
  <c r="AY17" i="178"/>
  <c r="BC17" i="178"/>
  <c r="BG17" i="178"/>
  <c r="BL17" i="178"/>
  <c r="AU474" i="178"/>
  <c r="AY474" i="178"/>
  <c r="BC474" i="178"/>
  <c r="BG474" i="178"/>
  <c r="BL474" i="178"/>
  <c r="AS474" i="178"/>
  <c r="AW474" i="178"/>
  <c r="BA474" i="178"/>
  <c r="BE474" i="178"/>
  <c r="BI474" i="178"/>
  <c r="BN474" i="178"/>
  <c r="AU317" i="178"/>
  <c r="AY317" i="178"/>
  <c r="BC317" i="178"/>
  <c r="BG317" i="178"/>
  <c r="BL317" i="178"/>
  <c r="AS317" i="178"/>
  <c r="AW317" i="178"/>
  <c r="BA317" i="178"/>
  <c r="BE317" i="178"/>
  <c r="BI317" i="178"/>
  <c r="BN317" i="178"/>
  <c r="AU235" i="178"/>
  <c r="AY235" i="178"/>
  <c r="BC235" i="178"/>
  <c r="BG235" i="178"/>
  <c r="BL235" i="178"/>
  <c r="AS235" i="178"/>
  <c r="AW235" i="178"/>
  <c r="BA235" i="178"/>
  <c r="BE235" i="178"/>
  <c r="BI235" i="178"/>
  <c r="BN235" i="178"/>
  <c r="AU131" i="178"/>
  <c r="AY131" i="178"/>
  <c r="BC131" i="178"/>
  <c r="BG131" i="178"/>
  <c r="BL131" i="178"/>
  <c r="AS131" i="178"/>
  <c r="AW131" i="178"/>
  <c r="BA131" i="178"/>
  <c r="BE131" i="178"/>
  <c r="BI131" i="178"/>
  <c r="BN131" i="178"/>
  <c r="AU16" i="178"/>
  <c r="AY16" i="178"/>
  <c r="BC16" i="178"/>
  <c r="BG16" i="178"/>
  <c r="BL16" i="178"/>
  <c r="AS16" i="178"/>
  <c r="AW16" i="178"/>
  <c r="BA16" i="178"/>
  <c r="BE16" i="178"/>
  <c r="BI16" i="178"/>
  <c r="BN16" i="178"/>
  <c r="AU465" i="178"/>
  <c r="AY465" i="178"/>
  <c r="BC465" i="178"/>
  <c r="BG465" i="178"/>
  <c r="BL465" i="178"/>
  <c r="AS465" i="178"/>
  <c r="AW465" i="178"/>
  <c r="BA465" i="178"/>
  <c r="BE465" i="178"/>
  <c r="BI465" i="178"/>
  <c r="BN465" i="178"/>
  <c r="AS335" i="178"/>
  <c r="AU335" i="178"/>
  <c r="AY335" i="178"/>
  <c r="BC335" i="178"/>
  <c r="BG335" i="178"/>
  <c r="BL335" i="178"/>
  <c r="AW335" i="178"/>
  <c r="BA335" i="178"/>
  <c r="BE335" i="178"/>
  <c r="BI335" i="178"/>
  <c r="BN335" i="178"/>
  <c r="BL311" i="178"/>
  <c r="AS311" i="178"/>
  <c r="AW311" i="178"/>
  <c r="BA311" i="178"/>
  <c r="BE311" i="178"/>
  <c r="BI311" i="178"/>
  <c r="BN311" i="178"/>
  <c r="AY311" i="178"/>
  <c r="BC311" i="178"/>
  <c r="BG311" i="178"/>
  <c r="AU311" i="178"/>
  <c r="BL256" i="178"/>
  <c r="AS256" i="178"/>
  <c r="AW256" i="178"/>
  <c r="BA256" i="178"/>
  <c r="BE256" i="178"/>
  <c r="BI256" i="178"/>
  <c r="BN256" i="178"/>
  <c r="AU256" i="178"/>
  <c r="AY256" i="178"/>
  <c r="BC256" i="178"/>
  <c r="BG256" i="178"/>
  <c r="BL242" i="178"/>
  <c r="AS242" i="178"/>
  <c r="AW242" i="178"/>
  <c r="BA242" i="178"/>
  <c r="BE242" i="178"/>
  <c r="BI242" i="178"/>
  <c r="BN242" i="178"/>
  <c r="BG242" i="178"/>
  <c r="AU242" i="178"/>
  <c r="AY242" i="178"/>
  <c r="BC242" i="178"/>
  <c r="BL192" i="178"/>
  <c r="AS192" i="178"/>
  <c r="AW192" i="178"/>
  <c r="BA192" i="178"/>
  <c r="BE192" i="178"/>
  <c r="BI192" i="178"/>
  <c r="BN192" i="178"/>
  <c r="BC192" i="178"/>
  <c r="BG192" i="178"/>
  <c r="AU192" i="178"/>
  <c r="AY192" i="178"/>
  <c r="BL126" i="178"/>
  <c r="AS126" i="178"/>
  <c r="AW126" i="178"/>
  <c r="BA126" i="178"/>
  <c r="BE126" i="178"/>
  <c r="BI126" i="178"/>
  <c r="BN126" i="178"/>
  <c r="AY126" i="178"/>
  <c r="BC126" i="178"/>
  <c r="BG126" i="178"/>
  <c r="AU126" i="178"/>
  <c r="BL122" i="178"/>
  <c r="AS122" i="178"/>
  <c r="AW122" i="178"/>
  <c r="BA122" i="178"/>
  <c r="BE122" i="178"/>
  <c r="BI122" i="178"/>
  <c r="BN122" i="178"/>
  <c r="AU122" i="178"/>
  <c r="AY122" i="178"/>
  <c r="BC122" i="178"/>
  <c r="BG122" i="178"/>
  <c r="BL81" i="178"/>
  <c r="AS81" i="178"/>
  <c r="AW81" i="178"/>
  <c r="BA81" i="178"/>
  <c r="BE81" i="178"/>
  <c r="BI81" i="178"/>
  <c r="BN81" i="178"/>
  <c r="BG81" i="178"/>
  <c r="AU81" i="178"/>
  <c r="AY81" i="178"/>
  <c r="BC81" i="178"/>
  <c r="BL73" i="178"/>
  <c r="AS73" i="178"/>
  <c r="AW73" i="178"/>
  <c r="BA73" i="178"/>
  <c r="BE73" i="178"/>
  <c r="BI73" i="178"/>
  <c r="BN73" i="178"/>
  <c r="BC73" i="178"/>
  <c r="BG73" i="178"/>
  <c r="AU73" i="178"/>
  <c r="AY73" i="178"/>
  <c r="BL49" i="178"/>
  <c r="AS49" i="178"/>
  <c r="AW49" i="178"/>
  <c r="BA49" i="178"/>
  <c r="BE49" i="178"/>
  <c r="BI49" i="178"/>
  <c r="BN49" i="178"/>
  <c r="AY49" i="178"/>
  <c r="BC49" i="178"/>
  <c r="BG49" i="178"/>
  <c r="AU49" i="178"/>
  <c r="BL437" i="178"/>
  <c r="AS437" i="178"/>
  <c r="AW437" i="178"/>
  <c r="BA437" i="178"/>
  <c r="BE437" i="178"/>
  <c r="BI437" i="178"/>
  <c r="BN437" i="178"/>
  <c r="AY437" i="178"/>
  <c r="BC437" i="178"/>
  <c r="BG437" i="178"/>
  <c r="AU437" i="178"/>
  <c r="BL290" i="178"/>
  <c r="AS290" i="178"/>
  <c r="AW290" i="178"/>
  <c r="BA290" i="178"/>
  <c r="BE290" i="178"/>
  <c r="BI290" i="178"/>
  <c r="BN290" i="178"/>
  <c r="AU290" i="178"/>
  <c r="AY290" i="178"/>
  <c r="BC290" i="178"/>
  <c r="BG290" i="178"/>
  <c r="BL148" i="178"/>
  <c r="AS148" i="178"/>
  <c r="AW148" i="178"/>
  <c r="BA148" i="178"/>
  <c r="BE148" i="178"/>
  <c r="BI148" i="178"/>
  <c r="BN148" i="178"/>
  <c r="BC148" i="178"/>
  <c r="BG148" i="178"/>
  <c r="AU148" i="178"/>
  <c r="AY148" i="178"/>
  <c r="AW443" i="178"/>
  <c r="BN443" i="178"/>
  <c r="BG443" i="178"/>
  <c r="AS394" i="178"/>
  <c r="AW394" i="178"/>
  <c r="BA394" i="178"/>
  <c r="BE394" i="178"/>
  <c r="BI394" i="178"/>
  <c r="BN394" i="178"/>
  <c r="AU394" i="178"/>
  <c r="AY394" i="178"/>
  <c r="BC394" i="178"/>
  <c r="BG394" i="178"/>
  <c r="BL394" i="178"/>
  <c r="AS293" i="178"/>
  <c r="AW293" i="178"/>
  <c r="BA293" i="178"/>
  <c r="BE293" i="178"/>
  <c r="BI293" i="178"/>
  <c r="BN293" i="178"/>
  <c r="AU293" i="178"/>
  <c r="AY293" i="178"/>
  <c r="BC293" i="178"/>
  <c r="BG293" i="178"/>
  <c r="BL293" i="178"/>
  <c r="S201" i="178"/>
  <c r="S170" i="178"/>
  <c r="U414" i="178"/>
  <c r="U410" i="178"/>
  <c r="U407" i="178"/>
  <c r="U402" i="178"/>
  <c r="U387" i="178"/>
  <c r="U383" i="178"/>
  <c r="U379" i="178"/>
  <c r="U401" i="178"/>
  <c r="U337" i="178"/>
  <c r="U480" i="178"/>
  <c r="U233" i="178"/>
  <c r="U133" i="178"/>
  <c r="V83" i="178"/>
  <c r="V200" i="178"/>
  <c r="U200" i="178"/>
  <c r="U170" i="178"/>
  <c r="V170" i="178"/>
  <c r="V416" i="178"/>
  <c r="V431" i="178"/>
  <c r="V421" i="178"/>
  <c r="V171" i="178"/>
  <c r="V36" i="178"/>
  <c r="V261" i="178"/>
  <c r="V228" i="178"/>
  <c r="V371" i="178"/>
  <c r="V128" i="178"/>
  <c r="V79" i="178"/>
  <c r="V29" i="178"/>
  <c r="V479" i="178"/>
  <c r="V466" i="178"/>
  <c r="V374" i="178"/>
  <c r="V313" i="178"/>
  <c r="V262" i="178"/>
  <c r="V231" i="178"/>
  <c r="V132" i="178"/>
  <c r="V127" i="178"/>
  <c r="V74" i="178"/>
  <c r="U473" i="178"/>
  <c r="V333" i="178"/>
  <c r="U333" i="178"/>
  <c r="U438" i="178"/>
  <c r="V336" i="178"/>
  <c r="U336" i="178"/>
  <c r="U312" i="178"/>
  <c r="U266" i="178"/>
  <c r="U257" i="178"/>
  <c r="U251" i="178"/>
  <c r="U243" i="178"/>
  <c r="U230" i="178"/>
  <c r="U193" i="178"/>
  <c r="U188" i="178"/>
  <c r="U130" i="178"/>
  <c r="V477" i="178"/>
  <c r="U429" i="178"/>
  <c r="V429" i="178"/>
  <c r="U428" i="178"/>
  <c r="V428" i="178"/>
  <c r="V125" i="178"/>
  <c r="V121" i="178"/>
  <c r="V80" i="178"/>
  <c r="V59" i="178"/>
  <c r="V55" i="178"/>
  <c r="V54" i="178"/>
  <c r="V49" i="178"/>
  <c r="V15" i="178"/>
  <c r="V14" i="178"/>
  <c r="V13" i="178"/>
  <c r="V437" i="178"/>
  <c r="V290" i="178"/>
  <c r="V229" i="178"/>
  <c r="V202" i="178"/>
  <c r="V281" i="178"/>
  <c r="V148" i="178"/>
  <c r="V144" i="178"/>
  <c r="V368" i="178"/>
  <c r="U398" i="178"/>
  <c r="U137" i="178"/>
  <c r="U443" i="178"/>
  <c r="V443" i="178"/>
  <c r="U394" i="178"/>
  <c r="V394" i="178"/>
  <c r="V157" i="178"/>
  <c r="U418" i="178"/>
  <c r="V418" i="178"/>
  <c r="U174" i="178"/>
  <c r="V174" i="178"/>
  <c r="U175" i="178"/>
  <c r="V175" i="178"/>
  <c r="U396" i="178"/>
  <c r="U293" i="178"/>
  <c r="V293" i="178"/>
  <c r="U136" i="178"/>
  <c r="V136" i="178"/>
  <c r="U296" i="178"/>
  <c r="V296" i="178"/>
  <c r="V197" i="178"/>
  <c r="BA144" i="178" l="1"/>
  <c r="BG174" i="178"/>
  <c r="AS144" i="178"/>
  <c r="AY174" i="178"/>
  <c r="BG144" i="178"/>
  <c r="AW174" i="178"/>
  <c r="BI144" i="178"/>
  <c r="AY144" i="178"/>
  <c r="AY157" i="178"/>
  <c r="AW157" i="178"/>
  <c r="BG157" i="178"/>
  <c r="BL157" i="178"/>
  <c r="BN157" i="178"/>
  <c r="BE157" i="178"/>
  <c r="AU393" i="178"/>
  <c r="BC443" i="178"/>
  <c r="BI443" i="178"/>
  <c r="AS443" i="178"/>
  <c r="AY443" i="178"/>
  <c r="BE443" i="178"/>
  <c r="BL443" i="178"/>
  <c r="AU443" i="178"/>
  <c r="BI79" i="178"/>
  <c r="AS79" i="178"/>
  <c r="AY398" i="178"/>
  <c r="AY79" i="178"/>
  <c r="AU420" i="178"/>
  <c r="AW420" i="178"/>
  <c r="BG420" i="178"/>
  <c r="AS420" i="178"/>
  <c r="AU79" i="178"/>
  <c r="BL79" i="178"/>
  <c r="BN174" i="178"/>
  <c r="BC420" i="178"/>
  <c r="BE420" i="178"/>
  <c r="BL420" i="178"/>
  <c r="BG79" i="178"/>
  <c r="BA79" i="178"/>
  <c r="BN420" i="178"/>
  <c r="BI420" i="178"/>
  <c r="BE79" i="178"/>
  <c r="BE174" i="178"/>
  <c r="AY420" i="178"/>
  <c r="BC79" i="178"/>
  <c r="BN79" i="178"/>
  <c r="BG429" i="178"/>
  <c r="BA429" i="178"/>
  <c r="BL174" i="178"/>
  <c r="AU174" i="178"/>
  <c r="BA174" i="178"/>
  <c r="AU157" i="178"/>
  <c r="BI157" i="178"/>
  <c r="AS157" i="178"/>
  <c r="BN144" i="178"/>
  <c r="AW144" i="178"/>
  <c r="BC144" i="178"/>
  <c r="BC174" i="178"/>
  <c r="BI174" i="178"/>
  <c r="BC157" i="178"/>
  <c r="BE144" i="178"/>
  <c r="BL144" i="178"/>
  <c r="K43" i="184"/>
  <c r="N43" i="184" s="1"/>
  <c r="N50" i="184" s="1"/>
  <c r="BG393" i="178"/>
  <c r="BN393" i="178"/>
  <c r="AW393" i="178"/>
  <c r="BC393" i="178"/>
  <c r="BI393" i="178"/>
  <c r="AS393" i="178"/>
  <c r="AY393" i="178"/>
  <c r="BE393" i="178"/>
  <c r="BL393" i="178"/>
  <c r="BN429" i="178"/>
  <c r="AW429" i="178"/>
  <c r="BC429" i="178"/>
  <c r="BI429" i="178"/>
  <c r="AS429" i="178"/>
  <c r="AY429" i="178"/>
  <c r="BE429" i="178"/>
  <c r="BL429" i="178"/>
  <c r="BA418" i="178"/>
  <c r="BE398" i="178"/>
  <c r="BG406" i="178"/>
  <c r="BN406" i="178"/>
  <c r="BL418" i="178"/>
  <c r="AW406" i="178"/>
  <c r="BG418" i="178"/>
  <c r="BN418" i="178"/>
  <c r="AW418" i="178"/>
  <c r="BL398" i="178"/>
  <c r="AU398" i="178"/>
  <c r="BA398" i="178"/>
  <c r="BC406" i="178"/>
  <c r="BI406" i="178"/>
  <c r="AS406" i="178"/>
  <c r="BC418" i="178"/>
  <c r="BI418" i="178"/>
  <c r="AS418" i="178"/>
  <c r="BG398" i="178"/>
  <c r="BN398" i="178"/>
  <c r="AW398" i="178"/>
  <c r="AY406" i="178"/>
  <c r="BE406" i="178"/>
  <c r="AY418" i="178"/>
  <c r="BE418" i="178"/>
  <c r="BC398" i="178"/>
  <c r="BI398" i="178"/>
  <c r="BL406" i="178"/>
  <c r="AU406" i="178"/>
  <c r="BA406" i="178"/>
  <c r="BL391" i="178"/>
  <c r="AS391" i="178"/>
  <c r="AW391" i="178"/>
  <c r="BA391" i="178"/>
  <c r="BE391" i="178"/>
  <c r="BI391" i="178"/>
  <c r="BN391" i="178"/>
  <c r="BC391" i="178"/>
  <c r="BG391" i="178"/>
  <c r="AU391" i="178"/>
  <c r="AY391" i="178"/>
  <c r="BN419" i="178"/>
  <c r="AU419" i="178"/>
  <c r="AY419" i="178"/>
  <c r="BC419" i="178"/>
  <c r="BG419" i="178"/>
  <c r="BL419" i="178"/>
  <c r="BA419" i="178"/>
  <c r="BE419" i="178"/>
  <c r="AS419" i="178"/>
  <c r="BI419" i="178"/>
  <c r="AW419" i="178"/>
  <c r="AS281" i="178"/>
  <c r="AW281" i="178"/>
  <c r="BA281" i="178"/>
  <c r="BE281" i="178"/>
  <c r="BI281" i="178"/>
  <c r="BN281" i="178"/>
  <c r="AU281" i="178"/>
  <c r="AY281" i="178"/>
  <c r="BC281" i="178"/>
  <c r="BG281" i="178"/>
  <c r="BL281" i="178"/>
  <c r="AS82" i="178"/>
  <c r="AW82" i="178"/>
  <c r="BA82" i="178"/>
  <c r="BE82" i="178"/>
  <c r="BI82" i="178"/>
  <c r="BN82" i="178"/>
  <c r="AU82" i="178"/>
  <c r="AY82" i="178"/>
  <c r="BC82" i="178"/>
  <c r="BG82" i="178"/>
  <c r="BL82" i="178"/>
  <c r="AS243" i="178"/>
  <c r="AW243" i="178"/>
  <c r="BA243" i="178"/>
  <c r="BE243" i="178"/>
  <c r="BI243" i="178"/>
  <c r="BN243" i="178"/>
  <c r="AU243" i="178"/>
  <c r="AY243" i="178"/>
  <c r="BC243" i="178"/>
  <c r="BG243" i="178"/>
  <c r="BL243" i="178"/>
  <c r="BL473" i="178"/>
  <c r="AS473" i="178"/>
  <c r="AW473" i="178"/>
  <c r="BA473" i="178"/>
  <c r="BE473" i="178"/>
  <c r="BI473" i="178"/>
  <c r="BN473" i="178"/>
  <c r="BC473" i="178"/>
  <c r="BG473" i="178"/>
  <c r="AU473" i="178"/>
  <c r="AY473" i="178"/>
  <c r="BL74" i="178"/>
  <c r="AS74" i="178"/>
  <c r="AW74" i="178"/>
  <c r="BA74" i="178"/>
  <c r="BE74" i="178"/>
  <c r="BI74" i="178"/>
  <c r="BN74" i="178"/>
  <c r="BC74" i="178"/>
  <c r="BG74" i="178"/>
  <c r="AU74" i="178"/>
  <c r="AY74" i="178"/>
  <c r="BL479" i="178"/>
  <c r="AS479" i="178"/>
  <c r="AW479" i="178"/>
  <c r="BA479" i="178"/>
  <c r="BE479" i="178"/>
  <c r="BI479" i="178"/>
  <c r="BN479" i="178"/>
  <c r="BC479" i="178"/>
  <c r="BG479" i="178"/>
  <c r="AU479" i="178"/>
  <c r="AY479" i="178"/>
  <c r="BN252" i="178"/>
  <c r="AU252" i="178"/>
  <c r="AY252" i="178"/>
  <c r="BC252" i="178"/>
  <c r="BG252" i="178"/>
  <c r="BL252" i="178"/>
  <c r="BA252" i="178"/>
  <c r="BE252" i="178"/>
  <c r="AS252" i="178"/>
  <c r="BI252" i="178"/>
  <c r="AW252" i="178"/>
  <c r="BN381" i="178"/>
  <c r="AU381" i="178"/>
  <c r="AY381" i="178"/>
  <c r="BC381" i="178"/>
  <c r="BG381" i="178"/>
  <c r="BL381" i="178"/>
  <c r="BA381" i="178"/>
  <c r="BE381" i="178"/>
  <c r="AS381" i="178"/>
  <c r="BI381" i="178"/>
  <c r="AW381" i="178"/>
  <c r="BN408" i="178"/>
  <c r="AU408" i="178"/>
  <c r="AY408" i="178"/>
  <c r="BC408" i="178"/>
  <c r="BG408" i="178"/>
  <c r="BL408" i="178"/>
  <c r="AS408" i="178"/>
  <c r="BI408" i="178"/>
  <c r="AW408" i="178"/>
  <c r="BA408" i="178"/>
  <c r="BE408" i="178"/>
  <c r="AU431" i="178"/>
  <c r="AY431" i="178"/>
  <c r="BC431" i="178"/>
  <c r="BG431" i="178"/>
  <c r="AS431" i="178"/>
  <c r="BI431" i="178"/>
  <c r="AW431" i="178"/>
  <c r="BN431" i="178"/>
  <c r="BA431" i="178"/>
  <c r="BE431" i="178"/>
  <c r="BL431" i="178"/>
  <c r="AU175" i="178"/>
  <c r="AY175" i="178"/>
  <c r="BC175" i="178"/>
  <c r="BG175" i="178"/>
  <c r="BL175" i="178"/>
  <c r="AS175" i="178"/>
  <c r="AW175" i="178"/>
  <c r="BA175" i="178"/>
  <c r="BE175" i="178"/>
  <c r="BI175" i="178"/>
  <c r="BN175" i="178"/>
  <c r="AU136" i="178"/>
  <c r="AY136" i="178"/>
  <c r="BC136" i="178"/>
  <c r="BG136" i="178"/>
  <c r="BL136" i="178"/>
  <c r="AS136" i="178"/>
  <c r="AW136" i="178"/>
  <c r="BA136" i="178"/>
  <c r="BE136" i="178"/>
  <c r="BI136" i="178"/>
  <c r="BN136" i="178"/>
  <c r="BN78" i="178"/>
  <c r="AU78" i="178"/>
  <c r="AY78" i="178"/>
  <c r="BC78" i="178"/>
  <c r="BG78" i="178"/>
  <c r="BL78" i="178"/>
  <c r="BE78" i="178"/>
  <c r="AS78" i="178"/>
  <c r="BI78" i="178"/>
  <c r="AW78" i="178"/>
  <c r="BA78" i="178"/>
  <c r="BN203" i="178"/>
  <c r="AU203" i="178"/>
  <c r="AY203" i="178"/>
  <c r="BC203" i="178"/>
  <c r="BG203" i="178"/>
  <c r="BL203" i="178"/>
  <c r="BE203" i="178"/>
  <c r="AS203" i="178"/>
  <c r="BI203" i="178"/>
  <c r="AW203" i="178"/>
  <c r="BA203" i="178"/>
  <c r="AS430" i="178"/>
  <c r="AW430" i="178"/>
  <c r="BA430" i="178"/>
  <c r="BE430" i="178"/>
  <c r="BI430" i="178"/>
  <c r="BN430" i="178"/>
  <c r="AU430" i="178"/>
  <c r="AY430" i="178"/>
  <c r="BC430" i="178"/>
  <c r="BG430" i="178"/>
  <c r="BL430" i="178"/>
  <c r="AS399" i="178"/>
  <c r="AW399" i="178"/>
  <c r="BA399" i="178"/>
  <c r="BE399" i="178"/>
  <c r="BI399" i="178"/>
  <c r="BN399" i="178"/>
  <c r="AU399" i="178"/>
  <c r="AY399" i="178"/>
  <c r="BC399" i="178"/>
  <c r="BG399" i="178"/>
  <c r="BL399" i="178"/>
  <c r="AU232" i="178"/>
  <c r="AY232" i="178"/>
  <c r="BC232" i="178"/>
  <c r="BG232" i="178"/>
  <c r="BL232" i="178"/>
  <c r="AS232" i="178"/>
  <c r="AW232" i="178"/>
  <c r="BA232" i="178"/>
  <c r="BE232" i="178"/>
  <c r="BI232" i="178"/>
  <c r="BN232" i="178"/>
  <c r="AU378" i="178"/>
  <c r="AY378" i="178"/>
  <c r="BC378" i="178"/>
  <c r="BG378" i="178"/>
  <c r="BL378" i="178"/>
  <c r="AS378" i="178"/>
  <c r="AW378" i="178"/>
  <c r="BA378" i="178"/>
  <c r="BE378" i="178"/>
  <c r="BI378" i="178"/>
  <c r="BN378" i="178"/>
  <c r="AU405" i="178"/>
  <c r="AY405" i="178"/>
  <c r="BC405" i="178"/>
  <c r="BG405" i="178"/>
  <c r="BL405" i="178"/>
  <c r="AS405" i="178"/>
  <c r="AW405" i="178"/>
  <c r="BA405" i="178"/>
  <c r="BE405" i="178"/>
  <c r="BI405" i="178"/>
  <c r="BN405" i="178"/>
  <c r="BN294" i="178"/>
  <c r="AU294" i="178"/>
  <c r="AY294" i="178"/>
  <c r="BC294" i="178"/>
  <c r="BG294" i="178"/>
  <c r="BL294" i="178"/>
  <c r="BE294" i="178"/>
  <c r="AS294" i="178"/>
  <c r="BI294" i="178"/>
  <c r="AW294" i="178"/>
  <c r="BA294" i="178"/>
  <c r="BN356" i="178"/>
  <c r="AU356" i="178"/>
  <c r="AY356" i="178"/>
  <c r="BC356" i="178"/>
  <c r="BG356" i="178"/>
  <c r="BL356" i="178"/>
  <c r="BE356" i="178"/>
  <c r="AS356" i="178"/>
  <c r="BI356" i="178"/>
  <c r="AW356" i="178"/>
  <c r="BA356" i="178"/>
  <c r="AS360" i="178"/>
  <c r="AW360" i="178"/>
  <c r="BA360" i="178"/>
  <c r="BE360" i="178"/>
  <c r="BI360" i="178"/>
  <c r="BN360" i="178"/>
  <c r="AU360" i="178"/>
  <c r="AY360" i="178"/>
  <c r="BC360" i="178"/>
  <c r="BG360" i="178"/>
  <c r="BL360" i="178"/>
  <c r="AS310" i="178"/>
  <c r="AW310" i="178"/>
  <c r="BA310" i="178"/>
  <c r="BE310" i="178"/>
  <c r="BI310" i="178"/>
  <c r="BN310" i="178"/>
  <c r="AU310" i="178"/>
  <c r="AY310" i="178"/>
  <c r="BC310" i="178"/>
  <c r="BG310" i="178"/>
  <c r="BL310" i="178"/>
  <c r="AS13" i="178"/>
  <c r="AW13" i="178"/>
  <c r="BA13" i="178"/>
  <c r="BE13" i="178"/>
  <c r="BI13" i="178"/>
  <c r="BN13" i="178"/>
  <c r="AU13" i="178"/>
  <c r="AY13" i="178"/>
  <c r="BC13" i="178"/>
  <c r="BG13" i="178"/>
  <c r="BL13" i="178"/>
  <c r="AS123" i="178"/>
  <c r="AW123" i="178"/>
  <c r="BA123" i="178"/>
  <c r="BE123" i="178"/>
  <c r="BI123" i="178"/>
  <c r="BN123" i="178"/>
  <c r="AU123" i="178"/>
  <c r="AY123" i="178"/>
  <c r="BC123" i="178"/>
  <c r="BG123" i="178"/>
  <c r="BL123" i="178"/>
  <c r="AS257" i="178"/>
  <c r="AW257" i="178"/>
  <c r="BA257" i="178"/>
  <c r="BE257" i="178"/>
  <c r="BI257" i="178"/>
  <c r="BN257" i="178"/>
  <c r="AU257" i="178"/>
  <c r="AY257" i="178"/>
  <c r="BC257" i="178"/>
  <c r="BG257" i="178"/>
  <c r="BL257" i="178"/>
  <c r="BL132" i="178"/>
  <c r="AS132" i="178"/>
  <c r="AW132" i="178"/>
  <c r="BA132" i="178"/>
  <c r="BE132" i="178"/>
  <c r="BI132" i="178"/>
  <c r="BN132" i="178"/>
  <c r="BG132" i="178"/>
  <c r="AU132" i="178"/>
  <c r="AY132" i="178"/>
  <c r="BC132" i="178"/>
  <c r="BN29" i="178"/>
  <c r="AU29" i="178"/>
  <c r="AY29" i="178"/>
  <c r="BC29" i="178"/>
  <c r="BG29" i="178"/>
  <c r="BL29" i="178"/>
  <c r="BE29" i="178"/>
  <c r="AS29" i="178"/>
  <c r="BI29" i="178"/>
  <c r="AW29" i="178"/>
  <c r="BA29" i="178"/>
  <c r="BN314" i="178"/>
  <c r="AU314" i="178"/>
  <c r="AY314" i="178"/>
  <c r="BC314" i="178"/>
  <c r="BG314" i="178"/>
  <c r="BL314" i="178"/>
  <c r="BE314" i="178"/>
  <c r="AS314" i="178"/>
  <c r="BI314" i="178"/>
  <c r="AW314" i="178"/>
  <c r="BA314" i="178"/>
  <c r="BN385" i="178"/>
  <c r="AU385" i="178"/>
  <c r="AY385" i="178"/>
  <c r="BC385" i="178"/>
  <c r="BG385" i="178"/>
  <c r="BL385" i="178"/>
  <c r="BE385" i="178"/>
  <c r="AS385" i="178"/>
  <c r="BI385" i="178"/>
  <c r="AW385" i="178"/>
  <c r="BA385" i="178"/>
  <c r="BN412" i="178"/>
  <c r="AU412" i="178"/>
  <c r="AY412" i="178"/>
  <c r="BC412" i="178"/>
  <c r="BG412" i="178"/>
  <c r="BL412" i="178"/>
  <c r="AW412" i="178"/>
  <c r="BA412" i="178"/>
  <c r="BE412" i="178"/>
  <c r="AS412" i="178"/>
  <c r="BI412" i="178"/>
  <c r="BN197" i="178"/>
  <c r="AU197" i="178"/>
  <c r="AY197" i="178"/>
  <c r="BC197" i="178"/>
  <c r="BG197" i="178"/>
  <c r="BL197" i="178"/>
  <c r="AW197" i="178"/>
  <c r="BA197" i="178"/>
  <c r="BE197" i="178"/>
  <c r="AS197" i="178"/>
  <c r="BI197" i="178"/>
  <c r="AS416" i="178"/>
  <c r="AW416" i="178"/>
  <c r="BA416" i="178"/>
  <c r="BE416" i="178"/>
  <c r="BI416" i="178"/>
  <c r="BN416" i="178"/>
  <c r="AU416" i="178"/>
  <c r="AY416" i="178"/>
  <c r="BC416" i="178"/>
  <c r="BG416" i="178"/>
  <c r="BL416" i="178"/>
  <c r="AU138" i="178"/>
  <c r="AY138" i="178"/>
  <c r="BC138" i="178"/>
  <c r="BG138" i="178"/>
  <c r="BL138" i="178"/>
  <c r="AS138" i="178"/>
  <c r="AW138" i="178"/>
  <c r="BA138" i="178"/>
  <c r="BE138" i="178"/>
  <c r="BI138" i="178"/>
  <c r="BN138" i="178"/>
  <c r="BN202" i="178"/>
  <c r="AU202" i="178"/>
  <c r="AY202" i="178"/>
  <c r="BC202" i="178"/>
  <c r="BG202" i="178"/>
  <c r="BL202" i="178"/>
  <c r="AS202" i="178"/>
  <c r="BI202" i="178"/>
  <c r="AW202" i="178"/>
  <c r="BA202" i="178"/>
  <c r="BE202" i="178"/>
  <c r="BN120" i="178"/>
  <c r="AU120" i="178"/>
  <c r="AY120" i="178"/>
  <c r="BC120" i="178"/>
  <c r="BG120" i="178"/>
  <c r="BL120" i="178"/>
  <c r="AS120" i="178"/>
  <c r="BI120" i="178"/>
  <c r="AW120" i="178"/>
  <c r="BA120" i="178"/>
  <c r="BE120" i="178"/>
  <c r="BN250" i="178"/>
  <c r="AU250" i="178"/>
  <c r="AY250" i="178"/>
  <c r="BC250" i="178"/>
  <c r="BG250" i="178"/>
  <c r="BL250" i="178"/>
  <c r="AS250" i="178"/>
  <c r="BI250" i="178"/>
  <c r="AW250" i="178"/>
  <c r="BA250" i="178"/>
  <c r="BE250" i="178"/>
  <c r="AS478" i="178"/>
  <c r="AW478" i="178"/>
  <c r="BA478" i="178"/>
  <c r="BE478" i="178"/>
  <c r="BI478" i="178"/>
  <c r="BN478" i="178"/>
  <c r="AU478" i="178"/>
  <c r="AY478" i="178"/>
  <c r="BC478" i="178"/>
  <c r="BG478" i="178"/>
  <c r="BL478" i="178"/>
  <c r="AS76" i="178"/>
  <c r="AW76" i="178"/>
  <c r="BA76" i="178"/>
  <c r="BE76" i="178"/>
  <c r="BI76" i="178"/>
  <c r="BN76" i="178"/>
  <c r="AU76" i="178"/>
  <c r="AY76" i="178"/>
  <c r="BC76" i="178"/>
  <c r="BG76" i="178"/>
  <c r="BL76" i="178"/>
  <c r="AU267" i="178"/>
  <c r="AY267" i="178"/>
  <c r="BC267" i="178"/>
  <c r="BG267" i="178"/>
  <c r="BL267" i="178"/>
  <c r="AS267" i="178"/>
  <c r="AW267" i="178"/>
  <c r="BA267" i="178"/>
  <c r="BE267" i="178"/>
  <c r="BI267" i="178"/>
  <c r="BN267" i="178"/>
  <c r="AU382" i="178"/>
  <c r="AY382" i="178"/>
  <c r="BC382" i="178"/>
  <c r="BG382" i="178"/>
  <c r="BL382" i="178"/>
  <c r="AS382" i="178"/>
  <c r="AW382" i="178"/>
  <c r="BA382" i="178"/>
  <c r="BE382" i="178"/>
  <c r="BI382" i="178"/>
  <c r="BN382" i="178"/>
  <c r="AU409" i="178"/>
  <c r="AY409" i="178"/>
  <c r="BC409" i="178"/>
  <c r="BG409" i="178"/>
  <c r="BL409" i="178"/>
  <c r="AS409" i="178"/>
  <c r="AW409" i="178"/>
  <c r="BA409" i="178"/>
  <c r="BE409" i="178"/>
  <c r="BI409" i="178"/>
  <c r="BN409" i="178"/>
  <c r="BL170" i="178"/>
  <c r="AS170" i="178"/>
  <c r="AW170" i="178"/>
  <c r="BA170" i="178"/>
  <c r="BE170" i="178"/>
  <c r="BI170" i="178"/>
  <c r="BN170" i="178"/>
  <c r="BC170" i="178"/>
  <c r="BG170" i="178"/>
  <c r="AU170" i="178"/>
  <c r="AY170" i="178"/>
  <c r="BN357" i="178"/>
  <c r="AU357" i="178"/>
  <c r="AY357" i="178"/>
  <c r="BC357" i="178"/>
  <c r="BG357" i="178"/>
  <c r="BL357" i="178"/>
  <c r="AS357" i="178"/>
  <c r="BI357" i="178"/>
  <c r="AW357" i="178"/>
  <c r="BA357" i="178"/>
  <c r="BE357" i="178"/>
  <c r="BN423" i="178"/>
  <c r="AU423" i="178"/>
  <c r="AY423" i="178"/>
  <c r="BC423" i="178"/>
  <c r="BG423" i="178"/>
  <c r="BL423" i="178"/>
  <c r="AS423" i="178"/>
  <c r="BI423" i="178"/>
  <c r="AW423" i="178"/>
  <c r="BA423" i="178"/>
  <c r="BE423" i="178"/>
  <c r="AS477" i="178"/>
  <c r="AW477" i="178"/>
  <c r="BA477" i="178"/>
  <c r="BE477" i="178"/>
  <c r="BI477" i="178"/>
  <c r="BN477" i="178"/>
  <c r="AU477" i="178"/>
  <c r="AY477" i="178"/>
  <c r="BC477" i="178"/>
  <c r="BG477" i="178"/>
  <c r="BL477" i="178"/>
  <c r="AS54" i="178"/>
  <c r="AW54" i="178"/>
  <c r="BA54" i="178"/>
  <c r="BE54" i="178"/>
  <c r="BI54" i="178"/>
  <c r="BN54" i="178"/>
  <c r="AU54" i="178"/>
  <c r="AY54" i="178"/>
  <c r="BC54" i="178"/>
  <c r="BG54" i="178"/>
  <c r="BL54" i="178"/>
  <c r="AS130" i="178"/>
  <c r="AW130" i="178"/>
  <c r="BA130" i="178"/>
  <c r="BE130" i="178"/>
  <c r="BI130" i="178"/>
  <c r="BN130" i="178"/>
  <c r="AU130" i="178"/>
  <c r="AY130" i="178"/>
  <c r="BC130" i="178"/>
  <c r="BG130" i="178"/>
  <c r="BL130" i="178"/>
  <c r="AS312" i="178"/>
  <c r="AW312" i="178"/>
  <c r="BN312" i="178"/>
  <c r="AU312" i="178"/>
  <c r="AY312" i="178"/>
  <c r="BC312" i="178"/>
  <c r="BG312" i="178"/>
  <c r="BL312" i="178"/>
  <c r="BE312" i="178"/>
  <c r="BA312" i="178"/>
  <c r="BI312" i="178"/>
  <c r="BL262" i="178"/>
  <c r="AS262" i="178"/>
  <c r="AW262" i="178"/>
  <c r="BA262" i="178"/>
  <c r="BE262" i="178"/>
  <c r="BI262" i="178"/>
  <c r="BN262" i="178"/>
  <c r="AU262" i="178"/>
  <c r="AY262" i="178"/>
  <c r="BC262" i="178"/>
  <c r="BG262" i="178"/>
  <c r="BN128" i="178"/>
  <c r="AU128" i="178"/>
  <c r="AY128" i="178"/>
  <c r="BC128" i="178"/>
  <c r="BG128" i="178"/>
  <c r="BL128" i="178"/>
  <c r="AS128" i="178"/>
  <c r="BI128" i="178"/>
  <c r="AW128" i="178"/>
  <c r="BA128" i="178"/>
  <c r="BE128" i="178"/>
  <c r="BN376" i="178"/>
  <c r="AU376" i="178"/>
  <c r="AY376" i="178"/>
  <c r="BC376" i="178"/>
  <c r="BG376" i="178"/>
  <c r="BL376" i="178"/>
  <c r="AS376" i="178"/>
  <c r="BI376" i="178"/>
  <c r="AW376" i="178"/>
  <c r="BA376" i="178"/>
  <c r="BE376" i="178"/>
  <c r="AU389" i="178"/>
  <c r="AY389" i="178"/>
  <c r="BC389" i="178"/>
  <c r="BG389" i="178"/>
  <c r="BL389" i="178"/>
  <c r="AS389" i="178"/>
  <c r="BI389" i="178"/>
  <c r="AW389" i="178"/>
  <c r="BA389" i="178"/>
  <c r="BN389" i="178"/>
  <c r="BE389" i="178"/>
  <c r="AU296" i="178"/>
  <c r="AY296" i="178"/>
  <c r="BC296" i="178"/>
  <c r="BG296" i="178"/>
  <c r="BL296" i="178"/>
  <c r="AS296" i="178"/>
  <c r="AW296" i="178"/>
  <c r="BA296" i="178"/>
  <c r="BE296" i="178"/>
  <c r="BI296" i="178"/>
  <c r="BN296" i="178"/>
  <c r="AU396" i="178"/>
  <c r="AY396" i="178"/>
  <c r="BC396" i="178"/>
  <c r="BG396" i="178"/>
  <c r="BL396" i="178"/>
  <c r="AS396" i="178"/>
  <c r="AW396" i="178"/>
  <c r="BA396" i="178"/>
  <c r="BE396" i="178"/>
  <c r="BI396" i="178"/>
  <c r="BN396" i="178"/>
  <c r="AU137" i="178"/>
  <c r="AY137" i="178"/>
  <c r="BC137" i="178"/>
  <c r="BG137" i="178"/>
  <c r="BL137" i="178"/>
  <c r="AS137" i="178"/>
  <c r="AW137" i="178"/>
  <c r="BA137" i="178"/>
  <c r="BE137" i="178"/>
  <c r="BI137" i="178"/>
  <c r="BN137" i="178"/>
  <c r="BN368" i="178"/>
  <c r="AU368" i="178"/>
  <c r="AY368" i="178"/>
  <c r="BC368" i="178"/>
  <c r="BG368" i="178"/>
  <c r="BL368" i="178"/>
  <c r="AW368" i="178"/>
  <c r="BA368" i="178"/>
  <c r="BE368" i="178"/>
  <c r="AS368" i="178"/>
  <c r="BI368" i="178"/>
  <c r="BN428" i="178"/>
  <c r="AU428" i="178"/>
  <c r="AY428" i="178"/>
  <c r="BC428" i="178"/>
  <c r="BG428" i="178"/>
  <c r="BL428" i="178"/>
  <c r="AW428" i="178"/>
  <c r="BA428" i="178"/>
  <c r="BE428" i="178"/>
  <c r="AS428" i="178"/>
  <c r="BI428" i="178"/>
  <c r="BN14" i="178"/>
  <c r="AU14" i="178"/>
  <c r="AY14" i="178"/>
  <c r="BC14" i="178"/>
  <c r="BG14" i="178"/>
  <c r="BL14" i="178"/>
  <c r="AW14" i="178"/>
  <c r="BA14" i="178"/>
  <c r="BE14" i="178"/>
  <c r="AS14" i="178"/>
  <c r="BI14" i="178"/>
  <c r="BN124" i="178"/>
  <c r="AU124" i="178"/>
  <c r="AY124" i="178"/>
  <c r="BC124" i="178"/>
  <c r="BG124" i="178"/>
  <c r="BL124" i="178"/>
  <c r="AW124" i="178"/>
  <c r="BA124" i="178"/>
  <c r="BE124" i="178"/>
  <c r="AS124" i="178"/>
  <c r="BI124" i="178"/>
  <c r="BN265" i="178"/>
  <c r="AU265" i="178"/>
  <c r="AY265" i="178"/>
  <c r="BC265" i="178"/>
  <c r="BG265" i="178"/>
  <c r="BL265" i="178"/>
  <c r="AW265" i="178"/>
  <c r="BA265" i="178"/>
  <c r="BE265" i="178"/>
  <c r="AS265" i="178"/>
  <c r="BI265" i="178"/>
  <c r="AS204" i="178"/>
  <c r="AW204" i="178"/>
  <c r="BA204" i="178"/>
  <c r="BE204" i="178"/>
  <c r="BI204" i="178"/>
  <c r="BN204" i="178"/>
  <c r="AU204" i="178"/>
  <c r="AY204" i="178"/>
  <c r="BC204" i="178"/>
  <c r="BG204" i="178"/>
  <c r="BL204" i="178"/>
  <c r="AU37" i="178"/>
  <c r="AY37" i="178"/>
  <c r="BC37" i="178"/>
  <c r="BG37" i="178"/>
  <c r="BL37" i="178"/>
  <c r="AS37" i="178"/>
  <c r="AW37" i="178"/>
  <c r="BA37" i="178"/>
  <c r="BE37" i="178"/>
  <c r="BI37" i="178"/>
  <c r="BN37" i="178"/>
  <c r="AU334" i="178"/>
  <c r="AY334" i="178"/>
  <c r="BC334" i="178"/>
  <c r="BG334" i="178"/>
  <c r="BL334" i="178"/>
  <c r="AS334" i="178"/>
  <c r="AW334" i="178"/>
  <c r="BA334" i="178"/>
  <c r="BE334" i="178"/>
  <c r="BI334" i="178"/>
  <c r="BN334" i="178"/>
  <c r="AU386" i="178"/>
  <c r="AY386" i="178"/>
  <c r="BC386" i="178"/>
  <c r="BG386" i="178"/>
  <c r="BL386" i="178"/>
  <c r="AS386" i="178"/>
  <c r="AW386" i="178"/>
  <c r="BA386" i="178"/>
  <c r="BE386" i="178"/>
  <c r="BI386" i="178"/>
  <c r="BN386" i="178"/>
  <c r="AU413" i="178"/>
  <c r="AY413" i="178"/>
  <c r="BC413" i="178"/>
  <c r="BG413" i="178"/>
  <c r="BL413" i="178"/>
  <c r="AS413" i="178"/>
  <c r="AW413" i="178"/>
  <c r="BA413" i="178"/>
  <c r="BE413" i="178"/>
  <c r="BI413" i="178"/>
  <c r="BN413" i="178"/>
  <c r="AU201" i="178"/>
  <c r="AY201" i="178"/>
  <c r="BC201" i="178"/>
  <c r="BG201" i="178"/>
  <c r="BL201" i="178"/>
  <c r="AS201" i="178"/>
  <c r="AW201" i="178"/>
  <c r="BA201" i="178"/>
  <c r="BE201" i="178"/>
  <c r="BI201" i="178"/>
  <c r="BN201" i="178"/>
  <c r="AS75" i="178"/>
  <c r="AW75" i="178"/>
  <c r="BA75" i="178"/>
  <c r="BE75" i="178"/>
  <c r="BI75" i="178"/>
  <c r="BN75" i="178"/>
  <c r="AU75" i="178"/>
  <c r="AY75" i="178"/>
  <c r="BC75" i="178"/>
  <c r="BG75" i="178"/>
  <c r="BL75" i="178"/>
  <c r="AS193" i="178"/>
  <c r="AW193" i="178"/>
  <c r="BA193" i="178"/>
  <c r="BE193" i="178"/>
  <c r="BI193" i="178"/>
  <c r="BN193" i="178"/>
  <c r="AU193" i="178"/>
  <c r="AY193" i="178"/>
  <c r="BC193" i="178"/>
  <c r="BG193" i="178"/>
  <c r="BL193" i="178"/>
  <c r="BL336" i="178"/>
  <c r="AS336" i="178"/>
  <c r="AW336" i="178"/>
  <c r="BA336" i="178"/>
  <c r="BE336" i="178"/>
  <c r="BI336" i="178"/>
  <c r="BN336" i="178"/>
  <c r="AY336" i="178"/>
  <c r="BC336" i="178"/>
  <c r="BG336" i="178"/>
  <c r="AU336" i="178"/>
  <c r="BL374" i="178"/>
  <c r="AS374" i="178"/>
  <c r="AW374" i="178"/>
  <c r="BA374" i="178"/>
  <c r="BE374" i="178"/>
  <c r="BI374" i="178"/>
  <c r="BN374" i="178"/>
  <c r="AY374" i="178"/>
  <c r="BC374" i="178"/>
  <c r="BG374" i="178"/>
  <c r="AU374" i="178"/>
  <c r="BN194" i="178"/>
  <c r="AU194" i="178"/>
  <c r="AY194" i="178"/>
  <c r="BC194" i="178"/>
  <c r="BG194" i="178"/>
  <c r="BL194" i="178"/>
  <c r="AW194" i="178"/>
  <c r="BA194" i="178"/>
  <c r="BE194" i="178"/>
  <c r="AS194" i="178"/>
  <c r="BI194" i="178"/>
  <c r="BN475" i="178"/>
  <c r="AU475" i="178"/>
  <c r="AY475" i="178"/>
  <c r="BC475" i="178"/>
  <c r="BG475" i="178"/>
  <c r="BL475" i="178"/>
  <c r="AW475" i="178"/>
  <c r="BA475" i="178"/>
  <c r="BE475" i="178"/>
  <c r="AS475" i="178"/>
  <c r="BI475" i="178"/>
  <c r="BN377" i="178"/>
  <c r="AU377" i="178"/>
  <c r="AY377" i="178"/>
  <c r="BC377" i="178"/>
  <c r="BG377" i="178"/>
  <c r="BL377" i="178"/>
  <c r="AW377" i="178"/>
  <c r="BA377" i="178"/>
  <c r="BE377" i="178"/>
  <c r="BI377" i="178"/>
  <c r="AS377" i="178"/>
  <c r="BN404" i="178"/>
  <c r="AU404" i="178"/>
  <c r="AY404" i="178"/>
  <c r="BC404" i="178"/>
  <c r="BG404" i="178"/>
  <c r="BL404" i="178"/>
  <c r="BE404" i="178"/>
  <c r="AS404" i="178"/>
  <c r="BI404" i="178"/>
  <c r="AW404" i="178"/>
  <c r="BA404" i="178"/>
  <c r="BN55" i="178"/>
  <c r="AU55" i="178"/>
  <c r="AY55" i="178"/>
  <c r="BC55" i="178"/>
  <c r="BG55" i="178"/>
  <c r="BL55" i="178"/>
  <c r="BA55" i="178"/>
  <c r="BE55" i="178"/>
  <c r="AS55" i="178"/>
  <c r="BI55" i="178"/>
  <c r="AW55" i="178"/>
  <c r="BN187" i="178"/>
  <c r="AU187" i="178"/>
  <c r="AY187" i="178"/>
  <c r="BC187" i="178"/>
  <c r="BG187" i="178"/>
  <c r="BL187" i="178"/>
  <c r="BA187" i="178"/>
  <c r="BE187" i="178"/>
  <c r="AS187" i="178"/>
  <c r="BI187" i="178"/>
  <c r="AW187" i="178"/>
  <c r="AU332" i="178"/>
  <c r="AY332" i="178"/>
  <c r="BC332" i="178"/>
  <c r="BG332" i="178"/>
  <c r="BL332" i="178"/>
  <c r="AW332" i="178"/>
  <c r="BE332" i="178"/>
  <c r="BN332" i="178"/>
  <c r="AS332" i="178"/>
  <c r="BA332" i="178"/>
  <c r="BI332" i="178"/>
  <c r="AS291" i="178"/>
  <c r="AW291" i="178"/>
  <c r="BA291" i="178"/>
  <c r="BE291" i="178"/>
  <c r="BI291" i="178"/>
  <c r="BN291" i="178"/>
  <c r="AU291" i="178"/>
  <c r="AY291" i="178"/>
  <c r="BC291" i="178"/>
  <c r="BG291" i="178"/>
  <c r="BL291" i="178"/>
  <c r="AU129" i="178"/>
  <c r="AY129" i="178"/>
  <c r="BC129" i="178"/>
  <c r="BG129" i="178"/>
  <c r="BL129" i="178"/>
  <c r="AS129" i="178"/>
  <c r="AW129" i="178"/>
  <c r="BA129" i="178"/>
  <c r="BE129" i="178"/>
  <c r="BI129" i="178"/>
  <c r="BN129" i="178"/>
  <c r="AU400" i="178"/>
  <c r="AY400" i="178"/>
  <c r="BC400" i="178"/>
  <c r="BG400" i="178"/>
  <c r="BL400" i="178"/>
  <c r="AS400" i="178"/>
  <c r="AW400" i="178"/>
  <c r="BA400" i="178"/>
  <c r="BE400" i="178"/>
  <c r="BI400" i="178"/>
  <c r="BN400" i="178"/>
  <c r="BL390" i="178"/>
  <c r="AS390" i="178"/>
  <c r="AW390" i="178"/>
  <c r="BA390" i="178"/>
  <c r="BE390" i="178"/>
  <c r="BI390" i="178"/>
  <c r="AU390" i="178"/>
  <c r="BC390" i="178"/>
  <c r="BN390" i="178"/>
  <c r="AY390" i="178"/>
  <c r="BG390" i="178"/>
  <c r="BN200" i="178"/>
  <c r="AU200" i="178"/>
  <c r="AY200" i="178"/>
  <c r="BC200" i="178"/>
  <c r="BG200" i="178"/>
  <c r="BL200" i="178"/>
  <c r="AS200" i="178"/>
  <c r="BI200" i="178"/>
  <c r="AW200" i="178"/>
  <c r="BA200" i="178"/>
  <c r="BE200" i="178"/>
  <c r="C39" i="78"/>
  <c r="O29" i="55"/>
  <c r="P29" i="55"/>
  <c r="Q29" i="55"/>
  <c r="R29" i="55"/>
  <c r="C72" i="78"/>
  <c r="O60" i="55"/>
  <c r="P60" i="55"/>
  <c r="Q60" i="55"/>
  <c r="R60" i="55"/>
  <c r="C669" i="78"/>
  <c r="O638" i="55"/>
  <c r="P638" i="55"/>
  <c r="Q638" i="55"/>
  <c r="R638" i="55"/>
  <c r="C835" i="78"/>
  <c r="O799" i="55"/>
  <c r="P799" i="55"/>
  <c r="Q799" i="55"/>
  <c r="R799" i="55"/>
  <c r="B13" i="178"/>
  <c r="B14" i="178"/>
  <c r="B15" i="178"/>
  <c r="B49" i="178"/>
  <c r="B54" i="178"/>
  <c r="B55" i="178"/>
  <c r="B59" i="178"/>
  <c r="B73" i="178"/>
  <c r="B75" i="178"/>
  <c r="B78" i="178"/>
  <c r="B80" i="178"/>
  <c r="B81" i="178"/>
  <c r="B82" i="178"/>
  <c r="B120" i="178"/>
  <c r="B121" i="178"/>
  <c r="B122" i="178"/>
  <c r="B123" i="178"/>
  <c r="B124" i="178"/>
  <c r="B125" i="178"/>
  <c r="B126" i="178"/>
  <c r="B130" i="178"/>
  <c r="B187" i="178"/>
  <c r="B188" i="178"/>
  <c r="B192" i="178"/>
  <c r="B193" i="178"/>
  <c r="B203" i="178"/>
  <c r="B230" i="178"/>
  <c r="B242" i="178"/>
  <c r="B243" i="178"/>
  <c r="B250" i="178"/>
  <c r="B251" i="178"/>
  <c r="B256" i="178"/>
  <c r="B257" i="178"/>
  <c r="B265" i="178"/>
  <c r="B266" i="178"/>
  <c r="B311" i="178"/>
  <c r="B312" i="178"/>
  <c r="B332" i="178"/>
  <c r="B333" i="178"/>
  <c r="B335" i="178"/>
  <c r="B336" i="178"/>
  <c r="B430" i="178"/>
  <c r="B438" i="178"/>
  <c r="B465" i="178"/>
  <c r="B473" i="178"/>
  <c r="B478" i="178"/>
  <c r="B16" i="178"/>
  <c r="B74" i="178"/>
  <c r="B76" i="178"/>
  <c r="B127" i="178"/>
  <c r="B131" i="178"/>
  <c r="B132" i="178"/>
  <c r="B204" i="178"/>
  <c r="B231" i="178"/>
  <c r="B235" i="178"/>
  <c r="B262" i="178"/>
  <c r="B291" i="178"/>
  <c r="B313" i="178"/>
  <c r="B317" i="178"/>
  <c r="B374" i="178"/>
  <c r="B399" i="178"/>
  <c r="B466" i="178"/>
  <c r="B474" i="178"/>
  <c r="B479" i="178"/>
  <c r="B17" i="178"/>
  <c r="B29" i="178"/>
  <c r="B37" i="178"/>
  <c r="B79" i="178"/>
  <c r="B83" i="178"/>
  <c r="B128" i="178"/>
  <c r="B129" i="178"/>
  <c r="B133" i="178"/>
  <c r="B189" i="178"/>
  <c r="B194" i="178"/>
  <c r="B232" i="178"/>
  <c r="B233" i="178"/>
  <c r="B244" i="178"/>
  <c r="B252" i="178"/>
  <c r="B267" i="178"/>
  <c r="B480" i="178"/>
  <c r="B263" i="178"/>
  <c r="B314" i="178"/>
  <c r="B334" i="178"/>
  <c r="B337" i="178"/>
  <c r="B375" i="178"/>
  <c r="B376" i="178"/>
  <c r="B400" i="178"/>
  <c r="B401" i="178"/>
  <c r="B467" i="178"/>
  <c r="B475" i="178"/>
  <c r="B268" i="178"/>
  <c r="B377" i="178"/>
  <c r="B378" i="178"/>
  <c r="B379" i="178"/>
  <c r="B380" i="178"/>
  <c r="B381" i="178"/>
  <c r="B382" i="178"/>
  <c r="B383" i="178"/>
  <c r="B384" i="178"/>
  <c r="B385" i="178"/>
  <c r="B386" i="178"/>
  <c r="B387" i="178"/>
  <c r="B388" i="178"/>
  <c r="B389" i="178"/>
  <c r="B390" i="178"/>
  <c r="B402" i="178"/>
  <c r="B403" i="178"/>
  <c r="B404" i="178"/>
  <c r="B405" i="178"/>
  <c r="B407" i="178"/>
  <c r="B406" i="178"/>
  <c r="B408" i="178"/>
  <c r="B409" i="178"/>
  <c r="B410" i="178"/>
  <c r="B411" i="178"/>
  <c r="B412" i="178"/>
  <c r="B413" i="178"/>
  <c r="B414" i="178"/>
  <c r="B415" i="178"/>
  <c r="B367" i="178"/>
  <c r="B371" i="178"/>
  <c r="B144" i="178"/>
  <c r="B148" i="178"/>
  <c r="B281" i="178"/>
  <c r="B202" i="178"/>
  <c r="B229" i="178"/>
  <c r="B290" i="178"/>
  <c r="B310" i="178"/>
  <c r="B428" i="178"/>
  <c r="B429" i="178"/>
  <c r="B437" i="178"/>
  <c r="B477" i="178"/>
  <c r="B159" i="178"/>
  <c r="B360" i="178"/>
  <c r="B368" i="178"/>
  <c r="B138" i="178"/>
  <c r="B157" i="178"/>
  <c r="B137" i="178"/>
  <c r="B398" i="178"/>
  <c r="B423" i="178"/>
  <c r="B356" i="178"/>
  <c r="B357" i="178"/>
  <c r="B136" i="178"/>
  <c r="B420" i="178"/>
  <c r="B443" i="178"/>
  <c r="B396" i="178"/>
  <c r="B294" i="178"/>
  <c r="B296" i="178"/>
  <c r="B393" i="178"/>
  <c r="B418" i="178"/>
  <c r="B394" i="178"/>
  <c r="B419" i="178"/>
  <c r="B175" i="178"/>
  <c r="B177" i="178"/>
  <c r="B293" i="178"/>
  <c r="B174" i="178"/>
  <c r="B197" i="178"/>
  <c r="B170" i="178"/>
  <c r="B431" i="178"/>
  <c r="B391" i="178"/>
  <c r="B416" i="178"/>
  <c r="B200" i="178"/>
  <c r="B201" i="178"/>
  <c r="C53" i="78" l="1"/>
  <c r="R51" i="55"/>
  <c r="Q51" i="55"/>
  <c r="P51" i="55"/>
  <c r="O51" i="55"/>
  <c r="E26" i="181" l="1"/>
  <c r="G26" i="181" s="1"/>
  <c r="F26" i="181"/>
  <c r="F28" i="181" l="1"/>
  <c r="E28" i="181"/>
  <c r="G28" i="181" s="1"/>
  <c r="F27" i="181"/>
  <c r="E27" i="181"/>
  <c r="F25" i="181"/>
  <c r="E25" i="181"/>
  <c r="F24" i="181"/>
  <c r="E24" i="181"/>
  <c r="F23" i="181"/>
  <c r="E23" i="181"/>
  <c r="G23" i="181" s="1"/>
  <c r="G22" i="181"/>
  <c r="F22" i="181"/>
  <c r="E22" i="181"/>
  <c r="F21" i="181"/>
  <c r="E21" i="181"/>
  <c r="F20" i="181"/>
  <c r="E20" i="181"/>
  <c r="G20" i="181" s="1"/>
  <c r="F19" i="181"/>
  <c r="E19" i="181"/>
  <c r="G19" i="181" s="1"/>
  <c r="F18" i="181"/>
  <c r="G18" i="181" s="1"/>
  <c r="E18" i="181"/>
  <c r="F17" i="181"/>
  <c r="G17" i="181" s="1"/>
  <c r="E17" i="181"/>
  <c r="F16" i="181"/>
  <c r="E16" i="181"/>
  <c r="G16" i="181" s="1"/>
  <c r="F15" i="181"/>
  <c r="E15" i="181"/>
  <c r="G15" i="181" s="1"/>
  <c r="F14" i="181"/>
  <c r="E14" i="181"/>
  <c r="G14" i="181" s="1"/>
  <c r="F13" i="181"/>
  <c r="G13" i="181" s="1"/>
  <c r="E13" i="181"/>
  <c r="F12" i="181"/>
  <c r="E12" i="181"/>
  <c r="G12" i="181" s="1"/>
  <c r="F11" i="181"/>
  <c r="E11" i="181"/>
  <c r="G11" i="181" s="1"/>
  <c r="F10" i="181"/>
  <c r="G10" i="181" s="1"/>
  <c r="E10" i="181"/>
  <c r="F9" i="181"/>
  <c r="G9" i="181" s="1"/>
  <c r="E9" i="181"/>
  <c r="F8" i="181"/>
  <c r="E8" i="181"/>
  <c r="F7" i="181"/>
  <c r="E7" i="181"/>
  <c r="G7" i="181" s="1"/>
  <c r="G6" i="181"/>
  <c r="F6" i="181"/>
  <c r="E6" i="181"/>
  <c r="F5" i="181"/>
  <c r="G5" i="181" s="1"/>
  <c r="E5" i="181"/>
  <c r="F4" i="181"/>
  <c r="E4" i="181"/>
  <c r="G4" i="181" s="1"/>
  <c r="F3" i="181"/>
  <c r="E3" i="181"/>
  <c r="G27" i="181" l="1"/>
  <c r="G25" i="181"/>
  <c r="G21" i="181"/>
  <c r="G24" i="181"/>
  <c r="G8" i="181"/>
  <c r="G3" i="181"/>
  <c r="F79" i="70"/>
  <c r="F78" i="70"/>
  <c r="C779" i="78"/>
  <c r="C780" i="78"/>
  <c r="O743" i="55"/>
  <c r="P743" i="55"/>
  <c r="Q743" i="55"/>
  <c r="R743" i="55"/>
  <c r="O744" i="55"/>
  <c r="P744" i="55"/>
  <c r="Q744" i="55"/>
  <c r="R744" i="55"/>
  <c r="F49" i="180" l="1"/>
  <c r="H49" i="180" s="1"/>
  <c r="E49" i="180"/>
  <c r="G49" i="180" s="1"/>
  <c r="C49" i="180"/>
  <c r="B49" i="180"/>
  <c r="F48" i="180"/>
  <c r="H48" i="180" s="1"/>
  <c r="E48" i="180"/>
  <c r="G48" i="180" s="1"/>
  <c r="C48" i="180"/>
  <c r="B48" i="180"/>
  <c r="J47" i="180"/>
  <c r="O47" i="180" s="1"/>
  <c r="H47" i="180"/>
  <c r="G47" i="180"/>
  <c r="B47" i="180"/>
  <c r="I47" i="180" s="1"/>
  <c r="N47" i="180" s="1"/>
  <c r="F46" i="180"/>
  <c r="H46" i="180" s="1"/>
  <c r="E46" i="180"/>
  <c r="C46" i="180"/>
  <c r="B46" i="180"/>
  <c r="G45" i="180"/>
  <c r="F45" i="180"/>
  <c r="H45" i="180" s="1"/>
  <c r="E45" i="180"/>
  <c r="C45" i="180"/>
  <c r="B45" i="180"/>
  <c r="I45" i="180" s="1"/>
  <c r="N45" i="180" s="1"/>
  <c r="F44" i="180"/>
  <c r="H44" i="180" s="1"/>
  <c r="E44" i="180"/>
  <c r="C44" i="180"/>
  <c r="B44" i="180"/>
  <c r="F43" i="180"/>
  <c r="H43" i="180" s="1"/>
  <c r="E43" i="180"/>
  <c r="C43" i="180"/>
  <c r="B43" i="180"/>
  <c r="F42" i="180"/>
  <c r="H42" i="180" s="1"/>
  <c r="E42" i="180"/>
  <c r="G42" i="180" s="1"/>
  <c r="C42" i="180"/>
  <c r="B42" i="180"/>
  <c r="H41" i="180"/>
  <c r="F41" i="180"/>
  <c r="E41" i="180"/>
  <c r="G41" i="180" s="1"/>
  <c r="C41" i="180"/>
  <c r="B41" i="180"/>
  <c r="F40" i="180"/>
  <c r="H40" i="180" s="1"/>
  <c r="E40" i="180"/>
  <c r="E50" i="180" s="1"/>
  <c r="C40" i="180"/>
  <c r="B40" i="180"/>
  <c r="G39" i="180"/>
  <c r="F39" i="180"/>
  <c r="H39" i="180" s="1"/>
  <c r="E39" i="180"/>
  <c r="C39" i="180"/>
  <c r="B39" i="180"/>
  <c r="I39" i="180" s="1"/>
  <c r="N39" i="180" s="1"/>
  <c r="F38" i="180"/>
  <c r="E38" i="180"/>
  <c r="G38" i="180" s="1"/>
  <c r="C38" i="180"/>
  <c r="B38" i="180"/>
  <c r="O24" i="180"/>
  <c r="O25" i="180" s="1"/>
  <c r="N20" i="180"/>
  <c r="N21" i="180" s="1"/>
  <c r="O11" i="180"/>
  <c r="N6" i="180"/>
  <c r="C825" i="78"/>
  <c r="O789" i="55"/>
  <c r="P789" i="55"/>
  <c r="Q789" i="55"/>
  <c r="R789" i="55"/>
  <c r="C820" i="78"/>
  <c r="O784" i="55"/>
  <c r="P784" i="55"/>
  <c r="Q784" i="55"/>
  <c r="R784" i="55"/>
  <c r="I49" i="180" l="1"/>
  <c r="N49" i="180" s="1"/>
  <c r="J45" i="180"/>
  <c r="O45" i="180" s="1"/>
  <c r="J41" i="180"/>
  <c r="O41" i="180" s="1"/>
  <c r="J39" i="180"/>
  <c r="O39" i="180" s="1"/>
  <c r="N34" i="180"/>
  <c r="I41" i="180"/>
  <c r="N41" i="180" s="1"/>
  <c r="O34" i="180"/>
  <c r="C50" i="180"/>
  <c r="B50" i="180"/>
  <c r="I44" i="180"/>
  <c r="N44" i="180" s="1"/>
  <c r="I42" i="180"/>
  <c r="J49" i="180"/>
  <c r="O49" i="180" s="1"/>
  <c r="J43" i="180"/>
  <c r="J46" i="180"/>
  <c r="O46" i="180" s="1"/>
  <c r="I48" i="180"/>
  <c r="N48" i="180" s="1"/>
  <c r="H38" i="180"/>
  <c r="H50" i="180" s="1"/>
  <c r="G40" i="180"/>
  <c r="G43" i="180"/>
  <c r="I43" i="180" s="1"/>
  <c r="G44" i="180"/>
  <c r="G46" i="180"/>
  <c r="I46" i="180" s="1"/>
  <c r="N46" i="180" s="1"/>
  <c r="J48" i="180"/>
  <c r="O48" i="180" s="1"/>
  <c r="F50" i="180"/>
  <c r="J40" i="180"/>
  <c r="O40" i="180" s="1"/>
  <c r="J42" i="180"/>
  <c r="J44" i="180"/>
  <c r="O44" i="180" s="1"/>
  <c r="I38" i="180"/>
  <c r="AD351" i="178"/>
  <c r="AE351" i="178"/>
  <c r="AF351" i="178"/>
  <c r="AG351" i="178"/>
  <c r="AH351" i="178"/>
  <c r="AI351" i="178"/>
  <c r="AJ351" i="178"/>
  <c r="AK351" i="178"/>
  <c r="AL351" i="178"/>
  <c r="AM351" i="178"/>
  <c r="AN351" i="178"/>
  <c r="AO351" i="178"/>
  <c r="T351" i="178"/>
  <c r="U351" i="178" s="1"/>
  <c r="W351" i="178"/>
  <c r="B351" i="178"/>
  <c r="G50" i="180" l="1"/>
  <c r="K38" i="180"/>
  <c r="I40" i="180"/>
  <c r="N40" i="180" s="1"/>
  <c r="K42" i="180"/>
  <c r="N42" i="180" s="1"/>
  <c r="J38" i="180"/>
  <c r="L42" i="180"/>
  <c r="L43" i="180" s="1"/>
  <c r="O43" i="180" s="1"/>
  <c r="BK351" i="178"/>
  <c r="AR351" i="178"/>
  <c r="BJ351" i="178"/>
  <c r="BF351" i="178"/>
  <c r="BB351" i="178"/>
  <c r="AX351" i="178"/>
  <c r="AT351" i="178"/>
  <c r="BM351" i="178"/>
  <c r="S351" i="178"/>
  <c r="BH351" i="178"/>
  <c r="BD351" i="178"/>
  <c r="AZ351" i="178"/>
  <c r="AV351" i="178"/>
  <c r="V351" i="178"/>
  <c r="K43" i="180" l="1"/>
  <c r="N43" i="180" s="1"/>
  <c r="I50" i="180"/>
  <c r="O38" i="180"/>
  <c r="J50" i="180"/>
  <c r="O42" i="180"/>
  <c r="N38" i="180"/>
  <c r="N50" i="180" s="1"/>
  <c r="BL351" i="178"/>
  <c r="AU351" i="178"/>
  <c r="AY351" i="178"/>
  <c r="BC351" i="178"/>
  <c r="BG351" i="178"/>
  <c r="AS351" i="178"/>
  <c r="AW351" i="178"/>
  <c r="BA351" i="178"/>
  <c r="BE351" i="178"/>
  <c r="BI351" i="178"/>
  <c r="BN351" i="178"/>
  <c r="O50" i="180" l="1"/>
  <c r="T217" i="178"/>
  <c r="U217" i="178" s="1"/>
  <c r="W217" i="178"/>
  <c r="AD217" i="178"/>
  <c r="AE217" i="178"/>
  <c r="AF217" i="178"/>
  <c r="AG217" i="178"/>
  <c r="AH217" i="178"/>
  <c r="AI217" i="178"/>
  <c r="AJ217" i="178"/>
  <c r="AK217" i="178"/>
  <c r="AL217" i="178"/>
  <c r="AM217" i="178"/>
  <c r="AN217" i="178"/>
  <c r="AO217" i="178"/>
  <c r="T218" i="178"/>
  <c r="U218" i="178" s="1"/>
  <c r="W218" i="178"/>
  <c r="AD218" i="178"/>
  <c r="AE218" i="178"/>
  <c r="AF218" i="178"/>
  <c r="AG218" i="178"/>
  <c r="AH218" i="178"/>
  <c r="AI218" i="178"/>
  <c r="AJ218" i="178"/>
  <c r="AK218" i="178"/>
  <c r="AL218" i="178"/>
  <c r="AM218" i="178"/>
  <c r="AN218" i="178"/>
  <c r="AO218" i="178"/>
  <c r="B217" i="178"/>
  <c r="B218" i="178"/>
  <c r="O166" i="55"/>
  <c r="P166" i="55"/>
  <c r="Q166" i="55"/>
  <c r="R166" i="55"/>
  <c r="C185" i="78"/>
  <c r="AD68" i="178"/>
  <c r="AE68" i="178"/>
  <c r="AF68" i="178"/>
  <c r="AG68" i="178"/>
  <c r="AH68" i="178"/>
  <c r="AI68" i="178"/>
  <c r="AJ68" i="178"/>
  <c r="AK68" i="178"/>
  <c r="AL68" i="178"/>
  <c r="AM68" i="178"/>
  <c r="AN68" i="178"/>
  <c r="AO68" i="178"/>
  <c r="AD69" i="178"/>
  <c r="AE69" i="178"/>
  <c r="AF69" i="178"/>
  <c r="AG69" i="178"/>
  <c r="AH69" i="178"/>
  <c r="AI69" i="178"/>
  <c r="AJ69" i="178"/>
  <c r="AK69" i="178"/>
  <c r="AL69" i="178"/>
  <c r="AM69" i="178"/>
  <c r="AN69" i="178"/>
  <c r="AO69" i="178"/>
  <c r="T68" i="178"/>
  <c r="U68" i="178" s="1"/>
  <c r="W68" i="178"/>
  <c r="T69" i="178"/>
  <c r="U69" i="178" s="1"/>
  <c r="W69" i="178"/>
  <c r="B68" i="178"/>
  <c r="B69" i="178"/>
  <c r="O66" i="55"/>
  <c r="P66" i="55"/>
  <c r="Q66" i="55"/>
  <c r="R66" i="55"/>
  <c r="C78" i="78"/>
  <c r="T65" i="178"/>
  <c r="U65" i="178" s="1"/>
  <c r="W65" i="178"/>
  <c r="AD65" i="178"/>
  <c r="AE65" i="178"/>
  <c r="AF65" i="178"/>
  <c r="AG65" i="178"/>
  <c r="AH65" i="178"/>
  <c r="AI65" i="178"/>
  <c r="AJ65" i="178"/>
  <c r="AK65" i="178"/>
  <c r="AL65" i="178"/>
  <c r="AM65" i="178"/>
  <c r="AN65" i="178"/>
  <c r="AO65" i="178"/>
  <c r="T66" i="178"/>
  <c r="V66" i="178" s="1"/>
  <c r="W66" i="178"/>
  <c r="AD66" i="178"/>
  <c r="AE66" i="178"/>
  <c r="AF66" i="178"/>
  <c r="AG66" i="178"/>
  <c r="AH66" i="178"/>
  <c r="AI66" i="178"/>
  <c r="AJ66" i="178"/>
  <c r="AK66" i="178"/>
  <c r="AL66" i="178"/>
  <c r="AM66" i="178"/>
  <c r="AN66" i="178"/>
  <c r="AO66" i="178"/>
  <c r="S66" i="178"/>
  <c r="S65" i="178"/>
  <c r="B65" i="178"/>
  <c r="B66" i="178"/>
  <c r="O64" i="55"/>
  <c r="P64" i="55"/>
  <c r="Q64" i="55"/>
  <c r="R64" i="55"/>
  <c r="C76" i="78"/>
  <c r="AD48" i="178"/>
  <c r="AE48" i="178"/>
  <c r="AF48" i="178"/>
  <c r="AG48" i="178"/>
  <c r="AH48" i="178"/>
  <c r="AI48" i="178"/>
  <c r="AJ48" i="178"/>
  <c r="AK48" i="178"/>
  <c r="AL48" i="178"/>
  <c r="AM48" i="178"/>
  <c r="AN48" i="178"/>
  <c r="AO48" i="178"/>
  <c r="T48" i="178"/>
  <c r="U48" i="178" s="1"/>
  <c r="W48" i="178"/>
  <c r="B48" i="178"/>
  <c r="C63" i="78"/>
  <c r="O52" i="55"/>
  <c r="P52" i="55"/>
  <c r="Q52" i="55"/>
  <c r="R52" i="55"/>
  <c r="AR217" i="178" l="1"/>
  <c r="BM218" i="178"/>
  <c r="S217" i="178"/>
  <c r="BE217" i="178" s="1"/>
  <c r="BD218" i="178"/>
  <c r="S218" i="178"/>
  <c r="AS218" i="178" s="1"/>
  <c r="BH218" i="178"/>
  <c r="AZ218" i="178"/>
  <c r="AR218" i="178"/>
  <c r="AV218" i="178"/>
  <c r="BK217" i="178"/>
  <c r="BK218" i="178"/>
  <c r="BJ217" i="178"/>
  <c r="BF217" i="178"/>
  <c r="BB217" i="178"/>
  <c r="AX217" i="178"/>
  <c r="AT217" i="178"/>
  <c r="V218" i="178"/>
  <c r="BJ218" i="178"/>
  <c r="BF218" i="178"/>
  <c r="BB218" i="178"/>
  <c r="AX218" i="178"/>
  <c r="AT218" i="178"/>
  <c r="BM217" i="178"/>
  <c r="AR68" i="178"/>
  <c r="BH217" i="178"/>
  <c r="BD217" i="178"/>
  <c r="AZ217" i="178"/>
  <c r="AV217" i="178"/>
  <c r="V217" i="178"/>
  <c r="BM69" i="178"/>
  <c r="AZ69" i="178"/>
  <c r="AV69" i="178"/>
  <c r="BD69" i="178"/>
  <c r="BH69" i="178"/>
  <c r="AR69" i="178"/>
  <c r="BK69" i="178"/>
  <c r="BJ68" i="178"/>
  <c r="BF68" i="178"/>
  <c r="BB68" i="178"/>
  <c r="AX68" i="178"/>
  <c r="AT68" i="178"/>
  <c r="BK68" i="178"/>
  <c r="BH66" i="178"/>
  <c r="AZ66" i="178"/>
  <c r="AR66" i="178"/>
  <c r="S68" i="178"/>
  <c r="BJ69" i="178"/>
  <c r="BF69" i="178"/>
  <c r="BB69" i="178"/>
  <c r="AX69" i="178"/>
  <c r="AT69" i="178"/>
  <c r="BM68" i="178"/>
  <c r="S69" i="178"/>
  <c r="BH68" i="178"/>
  <c r="BD68" i="178"/>
  <c r="AZ68" i="178"/>
  <c r="AV68" i="178"/>
  <c r="V69" i="178"/>
  <c r="V68" i="178"/>
  <c r="BG65" i="178"/>
  <c r="BJ65" i="178"/>
  <c r="BC65" i="178"/>
  <c r="AU65" i="178"/>
  <c r="BN65" i="178"/>
  <c r="AY65" i="178"/>
  <c r="BM66" i="178"/>
  <c r="BF66" i="178"/>
  <c r="AX66" i="178"/>
  <c r="BK65" i="178"/>
  <c r="BD65" i="178"/>
  <c r="AV65" i="178"/>
  <c r="BD66" i="178"/>
  <c r="BL66" i="178"/>
  <c r="AV66" i="178"/>
  <c r="BJ66" i="178"/>
  <c r="BB66" i="178"/>
  <c r="AT66" i="178"/>
  <c r="BH65" i="178"/>
  <c r="AZ65" i="178"/>
  <c r="AR65" i="178"/>
  <c r="AU66" i="178"/>
  <c r="BA65" i="178"/>
  <c r="AY66" i="178"/>
  <c r="AT65" i="178"/>
  <c r="AR48" i="178"/>
  <c r="BG66" i="178"/>
  <c r="AS65" i="178"/>
  <c r="BC66" i="178"/>
  <c r="BB65" i="178"/>
  <c r="BN66" i="178"/>
  <c r="BM65" i="178"/>
  <c r="BI65" i="178"/>
  <c r="BE65" i="178"/>
  <c r="AW65" i="178"/>
  <c r="BK66" i="178"/>
  <c r="BF65" i="178"/>
  <c r="AX65" i="178"/>
  <c r="BI66" i="178"/>
  <c r="BE66" i="178"/>
  <c r="BA66" i="178"/>
  <c r="AW66" i="178"/>
  <c r="AS66" i="178"/>
  <c r="BL65" i="178"/>
  <c r="U66" i="178"/>
  <c r="V65" i="178"/>
  <c r="BK48" i="178"/>
  <c r="S48" i="178"/>
  <c r="BN48" i="178" s="1"/>
  <c r="BJ48" i="178"/>
  <c r="BF48" i="178"/>
  <c r="BB48" i="178"/>
  <c r="AX48" i="178"/>
  <c r="AT48" i="178"/>
  <c r="BM48" i="178"/>
  <c r="BH48" i="178"/>
  <c r="BD48" i="178"/>
  <c r="AZ48" i="178"/>
  <c r="AV48" i="178"/>
  <c r="V48" i="178"/>
  <c r="AD363" i="178"/>
  <c r="AE363" i="178"/>
  <c r="AF363" i="178"/>
  <c r="AG363" i="178"/>
  <c r="AH363" i="178"/>
  <c r="AI363" i="178"/>
  <c r="AJ363" i="178"/>
  <c r="AK363" i="178"/>
  <c r="AL363" i="178"/>
  <c r="AM363" i="178"/>
  <c r="AN363" i="178"/>
  <c r="AO363" i="178"/>
  <c r="W363" i="178"/>
  <c r="T363" i="178"/>
  <c r="U363" i="178" s="1"/>
  <c r="B363" i="178"/>
  <c r="AD161" i="178"/>
  <c r="AE161" i="178"/>
  <c r="AF161" i="178"/>
  <c r="AG161" i="178"/>
  <c r="AH161" i="178"/>
  <c r="AI161" i="178"/>
  <c r="AJ161" i="178"/>
  <c r="AK161" i="178"/>
  <c r="AL161" i="178"/>
  <c r="AM161" i="178"/>
  <c r="AN161" i="178"/>
  <c r="AO161" i="178"/>
  <c r="T161" i="178"/>
  <c r="U161" i="178" s="1"/>
  <c r="W161" i="178"/>
  <c r="B161" i="178"/>
  <c r="T369" i="178"/>
  <c r="U369" i="178" s="1"/>
  <c r="W369" i="178"/>
  <c r="AD369" i="178"/>
  <c r="AE369" i="178"/>
  <c r="AF369" i="178"/>
  <c r="AG369" i="178"/>
  <c r="AH369" i="178"/>
  <c r="AI369" i="178"/>
  <c r="AJ369" i="178"/>
  <c r="AK369" i="178"/>
  <c r="AL369" i="178"/>
  <c r="AM369" i="178"/>
  <c r="AN369" i="178"/>
  <c r="AO369" i="178"/>
  <c r="B369" i="178"/>
  <c r="T361" i="178"/>
  <c r="U361" i="178" s="1"/>
  <c r="W361" i="178"/>
  <c r="AD361" i="178"/>
  <c r="AE361" i="178"/>
  <c r="AF361" i="178"/>
  <c r="AG361" i="178"/>
  <c r="AH361" i="178"/>
  <c r="AI361" i="178"/>
  <c r="AJ361" i="178"/>
  <c r="AK361" i="178"/>
  <c r="AL361" i="178"/>
  <c r="AM361" i="178"/>
  <c r="AN361" i="178"/>
  <c r="AO361" i="178"/>
  <c r="B361" i="178"/>
  <c r="AW48" i="178" l="1"/>
  <c r="BI218" i="178"/>
  <c r="AS217" i="178"/>
  <c r="BI217" i="178"/>
  <c r="AW217" i="178"/>
  <c r="BN217" i="178"/>
  <c r="BA217" i="178"/>
  <c r="BN218" i="178"/>
  <c r="AU218" i="178"/>
  <c r="BE218" i="178"/>
  <c r="AY218" i="178"/>
  <c r="AW218" i="178"/>
  <c r="BC218" i="178"/>
  <c r="BL218" i="178"/>
  <c r="BA218" i="178"/>
  <c r="BG218" i="178"/>
  <c r="BL217" i="178"/>
  <c r="AU217" i="178"/>
  <c r="AY217" i="178"/>
  <c r="BG217" i="178"/>
  <c r="BC217" i="178"/>
  <c r="AS69" i="178"/>
  <c r="AW69" i="178"/>
  <c r="BA69" i="178"/>
  <c r="BE69" i="178"/>
  <c r="BI69" i="178"/>
  <c r="BN69" i="178"/>
  <c r="BL69" i="178"/>
  <c r="AU69" i="178"/>
  <c r="AY69" i="178"/>
  <c r="BC69" i="178"/>
  <c r="BG69" i="178"/>
  <c r="BL68" i="178"/>
  <c r="AS68" i="178"/>
  <c r="AW68" i="178"/>
  <c r="BA68" i="178"/>
  <c r="BE68" i="178"/>
  <c r="BI68" i="178"/>
  <c r="AU68" i="178"/>
  <c r="AY68" i="178"/>
  <c r="BC68" i="178"/>
  <c r="BG68" i="178"/>
  <c r="BN68" i="178"/>
  <c r="BA48" i="178"/>
  <c r="BC48" i="178"/>
  <c r="BE48" i="178"/>
  <c r="AS48" i="178"/>
  <c r="BI48" i="178"/>
  <c r="BL48" i="178"/>
  <c r="AY48" i="178"/>
  <c r="BG48" i="178"/>
  <c r="AU48" i="178"/>
  <c r="BM363" i="178"/>
  <c r="BH363" i="178"/>
  <c r="BD363" i="178"/>
  <c r="AZ363" i="178"/>
  <c r="AV363" i="178"/>
  <c r="AR363" i="178"/>
  <c r="BK363" i="178"/>
  <c r="BM161" i="178"/>
  <c r="S363" i="178"/>
  <c r="BJ363" i="178"/>
  <c r="BF363" i="178"/>
  <c r="BB363" i="178"/>
  <c r="AX363" i="178"/>
  <c r="AT363" i="178"/>
  <c r="V363" i="178"/>
  <c r="BH161" i="178"/>
  <c r="BD161" i="178"/>
  <c r="AZ161" i="178"/>
  <c r="AV161" i="178"/>
  <c r="AR161" i="178"/>
  <c r="BK161" i="178"/>
  <c r="S161" i="178"/>
  <c r="BJ161" i="178"/>
  <c r="BF161" i="178"/>
  <c r="BB161" i="178"/>
  <c r="AX161" i="178"/>
  <c r="AT161" i="178"/>
  <c r="V161" i="178"/>
  <c r="AR369" i="178"/>
  <c r="S369" i="178"/>
  <c r="BL369" i="178" s="1"/>
  <c r="BK369" i="178"/>
  <c r="BJ369" i="178"/>
  <c r="BF369" i="178"/>
  <c r="BB369" i="178"/>
  <c r="AX369" i="178"/>
  <c r="AT369" i="178"/>
  <c r="BM369" i="178"/>
  <c r="BH369" i="178"/>
  <c r="BD369" i="178"/>
  <c r="AZ369" i="178"/>
  <c r="AV369" i="178"/>
  <c r="V369" i="178"/>
  <c r="BM361" i="178"/>
  <c r="BD361" i="178"/>
  <c r="AZ361" i="178"/>
  <c r="AV361" i="178"/>
  <c r="BH361" i="178"/>
  <c r="AR361" i="178"/>
  <c r="S361" i="178"/>
  <c r="BK361" i="178"/>
  <c r="V361" i="178"/>
  <c r="BJ361" i="178"/>
  <c r="BF361" i="178"/>
  <c r="BB361" i="178"/>
  <c r="AX361" i="178"/>
  <c r="AT361" i="178"/>
  <c r="AS363" i="178" l="1"/>
  <c r="AW363" i="178"/>
  <c r="BA363" i="178"/>
  <c r="BE363" i="178"/>
  <c r="BI363" i="178"/>
  <c r="BN363" i="178"/>
  <c r="AU363" i="178"/>
  <c r="AY363" i="178"/>
  <c r="BC363" i="178"/>
  <c r="BG363" i="178"/>
  <c r="BL363" i="178"/>
  <c r="AS161" i="178"/>
  <c r="AW161" i="178"/>
  <c r="BA161" i="178"/>
  <c r="BE161" i="178"/>
  <c r="BI161" i="178"/>
  <c r="BN161" i="178"/>
  <c r="AU161" i="178"/>
  <c r="AY161" i="178"/>
  <c r="BC161" i="178"/>
  <c r="BG161" i="178"/>
  <c r="BL161" i="178"/>
  <c r="AU369" i="178"/>
  <c r="BA369" i="178"/>
  <c r="BE369" i="178"/>
  <c r="AY369" i="178"/>
  <c r="AS369" i="178"/>
  <c r="BI369" i="178"/>
  <c r="BN369" i="178"/>
  <c r="BC369" i="178"/>
  <c r="AW369" i="178"/>
  <c r="BG369" i="178"/>
  <c r="AS361" i="178"/>
  <c r="AW361" i="178"/>
  <c r="BA361" i="178"/>
  <c r="BE361" i="178"/>
  <c r="BI361" i="178"/>
  <c r="BN361" i="178"/>
  <c r="BL361" i="178"/>
  <c r="AU361" i="178"/>
  <c r="AY361" i="178"/>
  <c r="BC361" i="178"/>
  <c r="BG361" i="178"/>
  <c r="R398" i="55"/>
  <c r="Q398" i="55"/>
  <c r="P398" i="55"/>
  <c r="O398" i="55"/>
  <c r="T280" i="178" l="1"/>
  <c r="U280" i="178" s="1"/>
  <c r="W280" i="178"/>
  <c r="AD280" i="178"/>
  <c r="AE280" i="178"/>
  <c r="AF280" i="178"/>
  <c r="AG280" i="178"/>
  <c r="AH280" i="178"/>
  <c r="AI280" i="178"/>
  <c r="AJ280" i="178"/>
  <c r="AK280" i="178"/>
  <c r="AL280" i="178"/>
  <c r="AM280" i="178"/>
  <c r="AN280" i="178"/>
  <c r="AO280" i="178"/>
  <c r="T345" i="178"/>
  <c r="U345" i="178" s="1"/>
  <c r="W345" i="178"/>
  <c r="AD345" i="178"/>
  <c r="AE345" i="178"/>
  <c r="AF345" i="178"/>
  <c r="AG345" i="178"/>
  <c r="AH345" i="178"/>
  <c r="AI345" i="178"/>
  <c r="AJ345" i="178"/>
  <c r="AK345" i="178"/>
  <c r="AL345" i="178"/>
  <c r="AM345" i="178"/>
  <c r="AN345" i="178"/>
  <c r="AO345" i="178"/>
  <c r="T435" i="178"/>
  <c r="V435" i="178" s="1"/>
  <c r="W435" i="178"/>
  <c r="AD435" i="178"/>
  <c r="AE435" i="178"/>
  <c r="AF435" i="178"/>
  <c r="AG435" i="178"/>
  <c r="AH435" i="178"/>
  <c r="AI435" i="178"/>
  <c r="AJ435" i="178"/>
  <c r="AK435" i="178"/>
  <c r="AL435" i="178"/>
  <c r="AM435" i="178"/>
  <c r="AN435" i="178"/>
  <c r="AO435" i="178"/>
  <c r="S435" i="178"/>
  <c r="O631" i="55"/>
  <c r="P631" i="55"/>
  <c r="Q631" i="55"/>
  <c r="R631" i="55"/>
  <c r="C662" i="78"/>
  <c r="AR280" i="178" l="1"/>
  <c r="BL435" i="178"/>
  <c r="BK345" i="178"/>
  <c r="BD280" i="178"/>
  <c r="AV280" i="178"/>
  <c r="BK435" i="178"/>
  <c r="BD435" i="178"/>
  <c r="AV435" i="178"/>
  <c r="AR345" i="178"/>
  <c r="AV345" i="178"/>
  <c r="AZ345" i="178"/>
  <c r="BD345" i="178"/>
  <c r="BH345" i="178"/>
  <c r="BM345" i="178"/>
  <c r="AS435" i="178"/>
  <c r="AW435" i="178"/>
  <c r="BA435" i="178"/>
  <c r="BE435" i="178"/>
  <c r="BI435" i="178"/>
  <c r="BN435" i="178"/>
  <c r="BC435" i="178"/>
  <c r="AU435" i="178"/>
  <c r="BJ345" i="178"/>
  <c r="BB345" i="178"/>
  <c r="AT345" i="178"/>
  <c r="BH280" i="178"/>
  <c r="AZ280" i="178"/>
  <c r="BG435" i="178"/>
  <c r="AY435" i="178"/>
  <c r="BF345" i="178"/>
  <c r="AX345" i="178"/>
  <c r="S345" i="178"/>
  <c r="AT280" i="178"/>
  <c r="AX280" i="178"/>
  <c r="BB280" i="178"/>
  <c r="BF280" i="178"/>
  <c r="BJ280" i="178"/>
  <c r="BK280" i="178"/>
  <c r="BM435" i="178"/>
  <c r="AT435" i="178"/>
  <c r="AX435" i="178"/>
  <c r="BB435" i="178"/>
  <c r="BF435" i="178"/>
  <c r="BJ435" i="178"/>
  <c r="S280" i="178"/>
  <c r="BH435" i="178"/>
  <c r="AZ435" i="178"/>
  <c r="AR435" i="178"/>
  <c r="BM280" i="178"/>
  <c r="U435" i="178"/>
  <c r="V345" i="178"/>
  <c r="V280" i="178"/>
  <c r="BL345" i="178" l="1"/>
  <c r="AS345" i="178"/>
  <c r="AW345" i="178"/>
  <c r="BA345" i="178"/>
  <c r="BE345" i="178"/>
  <c r="BI345" i="178"/>
  <c r="AY345" i="178"/>
  <c r="BG345" i="178"/>
  <c r="BN345" i="178"/>
  <c r="AU345" i="178"/>
  <c r="BC345" i="178"/>
  <c r="BN280" i="178"/>
  <c r="AU280" i="178"/>
  <c r="AY280" i="178"/>
  <c r="BC280" i="178"/>
  <c r="BG280" i="178"/>
  <c r="AW280" i="178"/>
  <c r="BE280" i="178"/>
  <c r="BL280" i="178"/>
  <c r="AS280" i="178"/>
  <c r="BA280" i="178"/>
  <c r="BI280" i="178"/>
  <c r="AT171" i="178"/>
  <c r="AX171" i="178"/>
  <c r="BB171" i="178"/>
  <c r="BF171" i="178"/>
  <c r="BJ171" i="178"/>
  <c r="S171" i="178"/>
  <c r="BK171" i="178"/>
  <c r="BM171" i="178"/>
  <c r="AR171" i="178"/>
  <c r="AV171" i="178"/>
  <c r="AZ171" i="178"/>
  <c r="BD171" i="178"/>
  <c r="BH171" i="178"/>
  <c r="B171" i="178"/>
  <c r="BN171" i="178" l="1"/>
  <c r="AU171" i="178"/>
  <c r="AY171" i="178"/>
  <c r="BC171" i="178"/>
  <c r="BG171" i="178"/>
  <c r="AS171" i="178"/>
  <c r="AW171" i="178"/>
  <c r="BA171" i="178"/>
  <c r="BE171" i="178"/>
  <c r="BI171" i="178"/>
  <c r="BL171" i="178"/>
  <c r="B365" i="178"/>
  <c r="B364" i="178"/>
  <c r="B366" i="178"/>
  <c r="B135" i="178"/>
  <c r="B372" i="178"/>
  <c r="B373" i="178"/>
  <c r="B424" i="178"/>
  <c r="B444" i="178"/>
  <c r="B172" i="178"/>
  <c r="B173" i="178"/>
  <c r="B195" i="178"/>
  <c r="B196" i="178"/>
  <c r="B198" i="178"/>
  <c r="B199" i="178"/>
  <c r="B392" i="178"/>
  <c r="B417" i="178"/>
  <c r="B432" i="178"/>
  <c r="B433" i="178"/>
  <c r="B280" i="178"/>
  <c r="B8" i="178"/>
  <c r="B10" i="178"/>
  <c r="B4" i="178"/>
  <c r="B5" i="178"/>
  <c r="B9" i="178"/>
  <c r="B6" i="178"/>
  <c r="B11" i="178"/>
  <c r="B7" i="178"/>
  <c r="B22" i="178"/>
  <c r="B19" i="178"/>
  <c r="B18" i="178"/>
  <c r="B20" i="178"/>
  <c r="B21" i="178"/>
  <c r="B27" i="178"/>
  <c r="B23" i="178"/>
  <c r="B26" i="178"/>
  <c r="B24" i="178"/>
  <c r="B25" i="178"/>
  <c r="B28" i="178"/>
  <c r="B30" i="178"/>
  <c r="B31" i="178"/>
  <c r="B32" i="178"/>
  <c r="B33" i="178"/>
  <c r="B34" i="178"/>
  <c r="B38" i="178"/>
  <c r="B39" i="178"/>
  <c r="B40" i="178"/>
  <c r="B41" i="178"/>
  <c r="B42" i="178"/>
  <c r="B43" i="178"/>
  <c r="B46" i="178"/>
  <c r="B47" i="178"/>
  <c r="B51" i="178"/>
  <c r="B50" i="178"/>
  <c r="B53" i="178"/>
  <c r="B52" i="178"/>
  <c r="B60" i="178"/>
  <c r="B63" i="178"/>
  <c r="B61" i="178"/>
  <c r="B62" i="178"/>
  <c r="B64" i="178"/>
  <c r="B71" i="178"/>
  <c r="B70" i="178"/>
  <c r="B90" i="178"/>
  <c r="B91" i="178"/>
  <c r="B86" i="178"/>
  <c r="B87" i="178"/>
  <c r="B88" i="178"/>
  <c r="B89" i="178"/>
  <c r="B97" i="178"/>
  <c r="B98" i="178"/>
  <c r="B93" i="178"/>
  <c r="B94" i="178"/>
  <c r="B95" i="178"/>
  <c r="B96" i="178"/>
  <c r="B101" i="178"/>
  <c r="B107" i="178"/>
  <c r="B108" i="178"/>
  <c r="B102" i="178"/>
  <c r="B103" i="178"/>
  <c r="B104" i="178"/>
  <c r="B105" i="178"/>
  <c r="B109" i="178"/>
  <c r="B106" i="178"/>
  <c r="B111" i="178"/>
  <c r="B116" i="178"/>
  <c r="B117" i="178"/>
  <c r="B112" i="178"/>
  <c r="B113" i="178"/>
  <c r="B114" i="178"/>
  <c r="B115" i="178"/>
  <c r="B142" i="178"/>
  <c r="B143" i="178"/>
  <c r="B149" i="178"/>
  <c r="B150" i="178"/>
  <c r="B211" i="178"/>
  <c r="B209" i="178"/>
  <c r="B210" i="178"/>
  <c r="B214" i="178"/>
  <c r="B215" i="178"/>
  <c r="B237" i="178"/>
  <c r="B238" i="178"/>
  <c r="B240" i="178"/>
  <c r="B241" i="178"/>
  <c r="B248" i="178"/>
  <c r="B245" i="178"/>
  <c r="B246" i="178"/>
  <c r="B247" i="178"/>
  <c r="B255" i="178"/>
  <c r="B253" i="178"/>
  <c r="B254" i="178"/>
  <c r="B259" i="178"/>
  <c r="B260" i="178"/>
  <c r="B269" i="178"/>
  <c r="B272" i="178"/>
  <c r="B270" i="178"/>
  <c r="B271" i="178"/>
  <c r="B273" i="178"/>
  <c r="B277" i="178"/>
  <c r="B278" i="178"/>
  <c r="B274" i="178"/>
  <c r="B275" i="178"/>
  <c r="B276" i="178"/>
  <c r="B287" i="178"/>
  <c r="B284" i="178"/>
  <c r="B282" i="178"/>
  <c r="B285" i="178"/>
  <c r="B286" i="178"/>
  <c r="B288" i="178"/>
  <c r="B289" i="178"/>
  <c r="B300" i="178"/>
  <c r="B302" i="178"/>
  <c r="B303" i="178"/>
  <c r="B298" i="178"/>
  <c r="B301" i="178"/>
  <c r="B305" i="178"/>
  <c r="B308" i="178"/>
  <c r="B306" i="178"/>
  <c r="B307" i="178"/>
  <c r="B320" i="178"/>
  <c r="B318" i="178"/>
  <c r="B319" i="178"/>
  <c r="B321" i="178"/>
  <c r="B322" i="178"/>
  <c r="B325" i="178"/>
  <c r="B323" i="178"/>
  <c r="B324" i="178"/>
  <c r="B328" i="178"/>
  <c r="B326" i="178"/>
  <c r="B327" i="178"/>
  <c r="B331" i="178"/>
  <c r="B329" i="178"/>
  <c r="B330" i="178"/>
  <c r="B340" i="178"/>
  <c r="B338" i="178"/>
  <c r="B339" i="178"/>
  <c r="B440" i="178"/>
  <c r="B441" i="178"/>
  <c r="B442" i="178"/>
  <c r="B446" i="178"/>
  <c r="B447" i="178"/>
  <c r="B449" i="178"/>
  <c r="B450" i="178"/>
  <c r="B452" i="178"/>
  <c r="B453" i="178"/>
  <c r="B456" i="178"/>
  <c r="B455" i="178"/>
  <c r="B457" i="178"/>
  <c r="B459" i="178"/>
  <c r="B460" i="178"/>
  <c r="B462" i="178"/>
  <c r="B463" i="178"/>
  <c r="B469" i="178"/>
  <c r="B470" i="178"/>
  <c r="B471" i="178"/>
  <c r="B154" i="178"/>
  <c r="B155" i="178"/>
  <c r="B156" i="178"/>
  <c r="B162" i="178"/>
  <c r="B163" i="178"/>
  <c r="B164" i="178"/>
  <c r="B165" i="178"/>
  <c r="B166" i="178"/>
  <c r="B167" i="178"/>
  <c r="B359" i="178"/>
  <c r="B362" i="178"/>
  <c r="B147" i="178"/>
  <c r="B207" i="178"/>
  <c r="B208" i="178"/>
  <c r="B279" i="178"/>
  <c r="B345" i="178"/>
  <c r="B435" i="178"/>
  <c r="B134" i="178"/>
  <c r="B425" i="178"/>
  <c r="B434" i="178"/>
  <c r="AD434" i="178" l="1"/>
  <c r="AE434" i="178"/>
  <c r="AF434" i="178"/>
  <c r="AG434" i="178"/>
  <c r="AH434" i="178"/>
  <c r="AI434" i="178"/>
  <c r="AJ434" i="178"/>
  <c r="AK434" i="178"/>
  <c r="AL434" i="178"/>
  <c r="AM434" i="178"/>
  <c r="AN434" i="178"/>
  <c r="AO434" i="178"/>
  <c r="AD134" i="178"/>
  <c r="AE134" i="178"/>
  <c r="AF134" i="178"/>
  <c r="AG134" i="178"/>
  <c r="AH134" i="178"/>
  <c r="AI134" i="178"/>
  <c r="AJ134" i="178"/>
  <c r="AK134" i="178"/>
  <c r="AL134" i="178"/>
  <c r="AM134" i="178"/>
  <c r="AN134" i="178"/>
  <c r="AO134" i="178"/>
  <c r="AD425" i="178"/>
  <c r="AE425" i="178"/>
  <c r="AF425" i="178"/>
  <c r="AG425" i="178"/>
  <c r="AH425" i="178"/>
  <c r="AI425" i="178"/>
  <c r="AJ425" i="178"/>
  <c r="AK425" i="178"/>
  <c r="AL425" i="178"/>
  <c r="AM425" i="178"/>
  <c r="AN425" i="178"/>
  <c r="AO425" i="178"/>
  <c r="AD147" i="178"/>
  <c r="AE147" i="178"/>
  <c r="AF147" i="178"/>
  <c r="AG147" i="178"/>
  <c r="AH147" i="178"/>
  <c r="AI147" i="178"/>
  <c r="AJ147" i="178"/>
  <c r="AK147" i="178"/>
  <c r="AL147" i="178"/>
  <c r="AM147" i="178"/>
  <c r="AN147" i="178"/>
  <c r="AO147" i="178"/>
  <c r="AD207" i="178"/>
  <c r="AE207" i="178"/>
  <c r="AF207" i="178"/>
  <c r="AG207" i="178"/>
  <c r="AH207" i="178"/>
  <c r="AI207" i="178"/>
  <c r="AJ207" i="178"/>
  <c r="AK207" i="178"/>
  <c r="AL207" i="178"/>
  <c r="AM207" i="178"/>
  <c r="AN207" i="178"/>
  <c r="AO207" i="178"/>
  <c r="AD208" i="178"/>
  <c r="AE208" i="178"/>
  <c r="AF208" i="178"/>
  <c r="AG208" i="178"/>
  <c r="AH208" i="178"/>
  <c r="AI208" i="178"/>
  <c r="AJ208" i="178"/>
  <c r="AK208" i="178"/>
  <c r="AL208" i="178"/>
  <c r="AM208" i="178"/>
  <c r="AN208" i="178"/>
  <c r="AO208" i="178"/>
  <c r="AD279" i="178"/>
  <c r="AE279" i="178"/>
  <c r="AF279" i="178"/>
  <c r="AG279" i="178"/>
  <c r="AH279" i="178"/>
  <c r="AI279" i="178"/>
  <c r="AJ279" i="178"/>
  <c r="AK279" i="178"/>
  <c r="AL279" i="178"/>
  <c r="AM279" i="178"/>
  <c r="AN279" i="178"/>
  <c r="AO279" i="178"/>
  <c r="AD8" i="178"/>
  <c r="AE8" i="178"/>
  <c r="AF8" i="178"/>
  <c r="AG8" i="178"/>
  <c r="AH8" i="178"/>
  <c r="AI8" i="178"/>
  <c r="AJ8" i="178"/>
  <c r="AK8" i="178"/>
  <c r="AL8" i="178"/>
  <c r="AM8" i="178"/>
  <c r="AN8" i="178"/>
  <c r="AO8" i="178"/>
  <c r="AD10" i="178"/>
  <c r="AE10" i="178"/>
  <c r="AF10" i="178"/>
  <c r="AG10" i="178"/>
  <c r="AH10" i="178"/>
  <c r="AI10" i="178"/>
  <c r="AJ10" i="178"/>
  <c r="AK10" i="178"/>
  <c r="AL10" i="178"/>
  <c r="AM10" i="178"/>
  <c r="AN10" i="178"/>
  <c r="AO10" i="178"/>
  <c r="AD4" i="178"/>
  <c r="AE4" i="178"/>
  <c r="AF4" i="178"/>
  <c r="AG4" i="178"/>
  <c r="AH4" i="178"/>
  <c r="AI4" i="178"/>
  <c r="AJ4" i="178"/>
  <c r="AK4" i="178"/>
  <c r="AL4" i="178"/>
  <c r="AM4" i="178"/>
  <c r="AN4" i="178"/>
  <c r="AO4" i="178"/>
  <c r="AD5" i="178"/>
  <c r="AE5" i="178"/>
  <c r="AF5" i="178"/>
  <c r="AG5" i="178"/>
  <c r="AH5" i="178"/>
  <c r="AI5" i="178"/>
  <c r="AJ5" i="178"/>
  <c r="AK5" i="178"/>
  <c r="AL5" i="178"/>
  <c r="AM5" i="178"/>
  <c r="AN5" i="178"/>
  <c r="AO5" i="178"/>
  <c r="AD9" i="178"/>
  <c r="AE9" i="178"/>
  <c r="AF9" i="178"/>
  <c r="AG9" i="178"/>
  <c r="AH9" i="178"/>
  <c r="AI9" i="178"/>
  <c r="AJ9" i="178"/>
  <c r="AK9" i="178"/>
  <c r="AL9" i="178"/>
  <c r="AM9" i="178"/>
  <c r="AN9" i="178"/>
  <c r="AO9" i="178"/>
  <c r="AD6" i="178"/>
  <c r="AE6" i="178"/>
  <c r="AF6" i="178"/>
  <c r="AG6" i="178"/>
  <c r="AH6" i="178"/>
  <c r="AI6" i="178"/>
  <c r="AJ6" i="178"/>
  <c r="AK6" i="178"/>
  <c r="AL6" i="178"/>
  <c r="AM6" i="178"/>
  <c r="AN6" i="178"/>
  <c r="AO6" i="178"/>
  <c r="AD11" i="178"/>
  <c r="AE11" i="178"/>
  <c r="AF11" i="178"/>
  <c r="AG11" i="178"/>
  <c r="AH11" i="178"/>
  <c r="AI11" i="178"/>
  <c r="AJ11" i="178"/>
  <c r="AK11" i="178"/>
  <c r="AL11" i="178"/>
  <c r="AM11" i="178"/>
  <c r="AN11" i="178"/>
  <c r="AO11" i="178"/>
  <c r="AD7" i="178"/>
  <c r="AE7" i="178"/>
  <c r="AF7" i="178"/>
  <c r="AG7" i="178"/>
  <c r="AH7" i="178"/>
  <c r="AI7" i="178"/>
  <c r="AJ7" i="178"/>
  <c r="AK7" i="178"/>
  <c r="AL7" i="178"/>
  <c r="AM7" i="178"/>
  <c r="AN7" i="178"/>
  <c r="AO7" i="178"/>
  <c r="AD22" i="178"/>
  <c r="AE22" i="178"/>
  <c r="AF22" i="178"/>
  <c r="AG22" i="178"/>
  <c r="AH22" i="178"/>
  <c r="AI22" i="178"/>
  <c r="AJ22" i="178"/>
  <c r="AK22" i="178"/>
  <c r="AL22" i="178"/>
  <c r="AM22" i="178"/>
  <c r="AN22" i="178"/>
  <c r="AO22" i="178"/>
  <c r="AD19" i="178"/>
  <c r="AE19" i="178"/>
  <c r="AF19" i="178"/>
  <c r="AG19" i="178"/>
  <c r="AH19" i="178"/>
  <c r="AI19" i="178"/>
  <c r="AJ19" i="178"/>
  <c r="AK19" i="178"/>
  <c r="AL19" i="178"/>
  <c r="AM19" i="178"/>
  <c r="AN19" i="178"/>
  <c r="AO19" i="178"/>
  <c r="AD18" i="178"/>
  <c r="AE18" i="178"/>
  <c r="AF18" i="178"/>
  <c r="AG18" i="178"/>
  <c r="AH18" i="178"/>
  <c r="AI18" i="178"/>
  <c r="AJ18" i="178"/>
  <c r="AK18" i="178"/>
  <c r="AL18" i="178"/>
  <c r="AM18" i="178"/>
  <c r="AN18" i="178"/>
  <c r="AO18" i="178"/>
  <c r="AD20" i="178"/>
  <c r="AE20" i="178"/>
  <c r="AF20" i="178"/>
  <c r="AG20" i="178"/>
  <c r="AH20" i="178"/>
  <c r="AI20" i="178"/>
  <c r="AJ20" i="178"/>
  <c r="AK20" i="178"/>
  <c r="AL20" i="178"/>
  <c r="AM20" i="178"/>
  <c r="AN20" i="178"/>
  <c r="AO20" i="178"/>
  <c r="AD21" i="178"/>
  <c r="AE21" i="178"/>
  <c r="AF21" i="178"/>
  <c r="AG21" i="178"/>
  <c r="AH21" i="178"/>
  <c r="AI21" i="178"/>
  <c r="AJ21" i="178"/>
  <c r="AK21" i="178"/>
  <c r="AL21" i="178"/>
  <c r="AM21" i="178"/>
  <c r="AN21" i="178"/>
  <c r="AO21" i="178"/>
  <c r="AD27" i="178"/>
  <c r="AE27" i="178"/>
  <c r="AF27" i="178"/>
  <c r="AG27" i="178"/>
  <c r="AH27" i="178"/>
  <c r="AI27" i="178"/>
  <c r="AJ27" i="178"/>
  <c r="AK27" i="178"/>
  <c r="AL27" i="178"/>
  <c r="AM27" i="178"/>
  <c r="AN27" i="178"/>
  <c r="AO27" i="178"/>
  <c r="AD23" i="178"/>
  <c r="AE23" i="178"/>
  <c r="AF23" i="178"/>
  <c r="AG23" i="178"/>
  <c r="AH23" i="178"/>
  <c r="AI23" i="178"/>
  <c r="AJ23" i="178"/>
  <c r="AK23" i="178"/>
  <c r="AL23" i="178"/>
  <c r="AM23" i="178"/>
  <c r="AN23" i="178"/>
  <c r="AO23" i="178"/>
  <c r="AD26" i="178"/>
  <c r="AE26" i="178"/>
  <c r="AF26" i="178"/>
  <c r="AG26" i="178"/>
  <c r="AH26" i="178"/>
  <c r="AI26" i="178"/>
  <c r="AJ26" i="178"/>
  <c r="AK26" i="178"/>
  <c r="AL26" i="178"/>
  <c r="AM26" i="178"/>
  <c r="AN26" i="178"/>
  <c r="AO26" i="178"/>
  <c r="AD24" i="178"/>
  <c r="AE24" i="178"/>
  <c r="AF24" i="178"/>
  <c r="AG24" i="178"/>
  <c r="AH24" i="178"/>
  <c r="AI24" i="178"/>
  <c r="AJ24" i="178"/>
  <c r="AK24" i="178"/>
  <c r="AL24" i="178"/>
  <c r="AM24" i="178"/>
  <c r="AN24" i="178"/>
  <c r="AO24" i="178"/>
  <c r="AD25" i="178"/>
  <c r="AE25" i="178"/>
  <c r="AF25" i="178"/>
  <c r="AG25" i="178"/>
  <c r="AH25" i="178"/>
  <c r="AI25" i="178"/>
  <c r="AJ25" i="178"/>
  <c r="AK25" i="178"/>
  <c r="AL25" i="178"/>
  <c r="AM25" i="178"/>
  <c r="AN25" i="178"/>
  <c r="AO25" i="178"/>
  <c r="AD28" i="178"/>
  <c r="AE28" i="178"/>
  <c r="AF28" i="178"/>
  <c r="AG28" i="178"/>
  <c r="AH28" i="178"/>
  <c r="AI28" i="178"/>
  <c r="AJ28" i="178"/>
  <c r="AK28" i="178"/>
  <c r="AL28" i="178"/>
  <c r="AM28" i="178"/>
  <c r="AN28" i="178"/>
  <c r="AO28" i="178"/>
  <c r="AD30" i="178"/>
  <c r="AE30" i="178"/>
  <c r="AF30" i="178"/>
  <c r="AG30" i="178"/>
  <c r="AH30" i="178"/>
  <c r="AI30" i="178"/>
  <c r="AJ30" i="178"/>
  <c r="AK30" i="178"/>
  <c r="AL30" i="178"/>
  <c r="AM30" i="178"/>
  <c r="AN30" i="178"/>
  <c r="AO30" i="178"/>
  <c r="AD31" i="178"/>
  <c r="AE31" i="178"/>
  <c r="AF31" i="178"/>
  <c r="AG31" i="178"/>
  <c r="AH31" i="178"/>
  <c r="AI31" i="178"/>
  <c r="AJ31" i="178"/>
  <c r="AK31" i="178"/>
  <c r="AL31" i="178"/>
  <c r="AM31" i="178"/>
  <c r="AN31" i="178"/>
  <c r="AO31" i="178"/>
  <c r="AD32" i="178"/>
  <c r="AE32" i="178"/>
  <c r="AF32" i="178"/>
  <c r="AG32" i="178"/>
  <c r="AH32" i="178"/>
  <c r="AI32" i="178"/>
  <c r="AJ32" i="178"/>
  <c r="AK32" i="178"/>
  <c r="AL32" i="178"/>
  <c r="AM32" i="178"/>
  <c r="AN32" i="178"/>
  <c r="AO32" i="178"/>
  <c r="AD33" i="178"/>
  <c r="AE33" i="178"/>
  <c r="AF33" i="178"/>
  <c r="AG33" i="178"/>
  <c r="AH33" i="178"/>
  <c r="AI33" i="178"/>
  <c r="AJ33" i="178"/>
  <c r="AK33" i="178"/>
  <c r="AL33" i="178"/>
  <c r="AM33" i="178"/>
  <c r="AN33" i="178"/>
  <c r="AO33" i="178"/>
  <c r="AD34" i="178"/>
  <c r="AE34" i="178"/>
  <c r="AF34" i="178"/>
  <c r="AG34" i="178"/>
  <c r="AH34" i="178"/>
  <c r="AI34" i="178"/>
  <c r="AJ34" i="178"/>
  <c r="AK34" i="178"/>
  <c r="AL34" i="178"/>
  <c r="AM34" i="178"/>
  <c r="AN34" i="178"/>
  <c r="AO34" i="178"/>
  <c r="AD38" i="178"/>
  <c r="AE38" i="178"/>
  <c r="AF38" i="178"/>
  <c r="AG38" i="178"/>
  <c r="AH38" i="178"/>
  <c r="AI38" i="178"/>
  <c r="AJ38" i="178"/>
  <c r="AK38" i="178"/>
  <c r="AL38" i="178"/>
  <c r="AM38" i="178"/>
  <c r="AN38" i="178"/>
  <c r="AO38" i="178"/>
  <c r="AD39" i="178"/>
  <c r="AE39" i="178"/>
  <c r="AF39" i="178"/>
  <c r="AG39" i="178"/>
  <c r="AH39" i="178"/>
  <c r="AI39" i="178"/>
  <c r="AJ39" i="178"/>
  <c r="AK39" i="178"/>
  <c r="AL39" i="178"/>
  <c r="AM39" i="178"/>
  <c r="AN39" i="178"/>
  <c r="AO39" i="178"/>
  <c r="AD40" i="178"/>
  <c r="AE40" i="178"/>
  <c r="AF40" i="178"/>
  <c r="AG40" i="178"/>
  <c r="AH40" i="178"/>
  <c r="AI40" i="178"/>
  <c r="AJ40" i="178"/>
  <c r="AK40" i="178"/>
  <c r="AL40" i="178"/>
  <c r="AM40" i="178"/>
  <c r="AN40" i="178"/>
  <c r="AO40" i="178"/>
  <c r="AD41" i="178"/>
  <c r="AE41" i="178"/>
  <c r="AF41" i="178"/>
  <c r="AG41" i="178"/>
  <c r="AH41" i="178"/>
  <c r="AI41" i="178"/>
  <c r="AJ41" i="178"/>
  <c r="AK41" i="178"/>
  <c r="AL41" i="178"/>
  <c r="AM41" i="178"/>
  <c r="AN41" i="178"/>
  <c r="AO41" i="178"/>
  <c r="AD42" i="178"/>
  <c r="AE42" i="178"/>
  <c r="AF42" i="178"/>
  <c r="AG42" i="178"/>
  <c r="AH42" i="178"/>
  <c r="AI42" i="178"/>
  <c r="AJ42" i="178"/>
  <c r="AK42" i="178"/>
  <c r="AL42" i="178"/>
  <c r="AM42" i="178"/>
  <c r="AN42" i="178"/>
  <c r="AO42" i="178"/>
  <c r="AD43" i="178"/>
  <c r="AE43" i="178"/>
  <c r="AF43" i="178"/>
  <c r="AG43" i="178"/>
  <c r="AH43" i="178"/>
  <c r="AI43" i="178"/>
  <c r="AJ43" i="178"/>
  <c r="AK43" i="178"/>
  <c r="AL43" i="178"/>
  <c r="AM43" i="178"/>
  <c r="AN43" i="178"/>
  <c r="AO43" i="178"/>
  <c r="AD46" i="178"/>
  <c r="AE46" i="178"/>
  <c r="AF46" i="178"/>
  <c r="AG46" i="178"/>
  <c r="AH46" i="178"/>
  <c r="AI46" i="178"/>
  <c r="AJ46" i="178"/>
  <c r="AK46" i="178"/>
  <c r="AL46" i="178"/>
  <c r="AM46" i="178"/>
  <c r="AN46" i="178"/>
  <c r="AO46" i="178"/>
  <c r="AD47" i="178"/>
  <c r="AE47" i="178"/>
  <c r="AF47" i="178"/>
  <c r="AG47" i="178"/>
  <c r="AH47" i="178"/>
  <c r="AI47" i="178"/>
  <c r="AJ47" i="178"/>
  <c r="AK47" i="178"/>
  <c r="AL47" i="178"/>
  <c r="AM47" i="178"/>
  <c r="AN47" i="178"/>
  <c r="AO47" i="178"/>
  <c r="AD51" i="178"/>
  <c r="AE51" i="178"/>
  <c r="AF51" i="178"/>
  <c r="AG51" i="178"/>
  <c r="AH51" i="178"/>
  <c r="AI51" i="178"/>
  <c r="AJ51" i="178"/>
  <c r="AK51" i="178"/>
  <c r="AL51" i="178"/>
  <c r="AM51" i="178"/>
  <c r="AN51" i="178"/>
  <c r="AO51" i="178"/>
  <c r="AD50" i="178"/>
  <c r="AE50" i="178"/>
  <c r="AF50" i="178"/>
  <c r="AG50" i="178"/>
  <c r="AH50" i="178"/>
  <c r="AI50" i="178"/>
  <c r="AJ50" i="178"/>
  <c r="AK50" i="178"/>
  <c r="AL50" i="178"/>
  <c r="AM50" i="178"/>
  <c r="AN50" i="178"/>
  <c r="AO50" i="178"/>
  <c r="AD53" i="178"/>
  <c r="AE53" i="178"/>
  <c r="AF53" i="178"/>
  <c r="AG53" i="178"/>
  <c r="AH53" i="178"/>
  <c r="AI53" i="178"/>
  <c r="AJ53" i="178"/>
  <c r="AK53" i="178"/>
  <c r="AL53" i="178"/>
  <c r="AM53" i="178"/>
  <c r="AN53" i="178"/>
  <c r="AO53" i="178"/>
  <c r="AD52" i="178"/>
  <c r="AE52" i="178"/>
  <c r="AF52" i="178"/>
  <c r="AG52" i="178"/>
  <c r="AH52" i="178"/>
  <c r="AI52" i="178"/>
  <c r="AJ52" i="178"/>
  <c r="AK52" i="178"/>
  <c r="AL52" i="178"/>
  <c r="AM52" i="178"/>
  <c r="AN52" i="178"/>
  <c r="AO52" i="178"/>
  <c r="AD60" i="178"/>
  <c r="AE60" i="178"/>
  <c r="AF60" i="178"/>
  <c r="AG60" i="178"/>
  <c r="AH60" i="178"/>
  <c r="AI60" i="178"/>
  <c r="AJ60" i="178"/>
  <c r="AK60" i="178"/>
  <c r="AL60" i="178"/>
  <c r="AM60" i="178"/>
  <c r="AN60" i="178"/>
  <c r="AO60" i="178"/>
  <c r="AD63" i="178"/>
  <c r="AE63" i="178"/>
  <c r="AF63" i="178"/>
  <c r="AG63" i="178"/>
  <c r="AH63" i="178"/>
  <c r="AI63" i="178"/>
  <c r="AJ63" i="178"/>
  <c r="AK63" i="178"/>
  <c r="AL63" i="178"/>
  <c r="AM63" i="178"/>
  <c r="AN63" i="178"/>
  <c r="AO63" i="178"/>
  <c r="AD61" i="178"/>
  <c r="AE61" i="178"/>
  <c r="AF61" i="178"/>
  <c r="AG61" i="178"/>
  <c r="AH61" i="178"/>
  <c r="AI61" i="178"/>
  <c r="AJ61" i="178"/>
  <c r="AK61" i="178"/>
  <c r="AL61" i="178"/>
  <c r="AM61" i="178"/>
  <c r="AN61" i="178"/>
  <c r="AO61" i="178"/>
  <c r="AD62" i="178"/>
  <c r="AE62" i="178"/>
  <c r="AF62" i="178"/>
  <c r="AG62" i="178"/>
  <c r="AH62" i="178"/>
  <c r="AI62" i="178"/>
  <c r="AJ62" i="178"/>
  <c r="AK62" i="178"/>
  <c r="AL62" i="178"/>
  <c r="AM62" i="178"/>
  <c r="AN62" i="178"/>
  <c r="AO62" i="178"/>
  <c r="AD64" i="178"/>
  <c r="AE64" i="178"/>
  <c r="AF64" i="178"/>
  <c r="AG64" i="178"/>
  <c r="AH64" i="178"/>
  <c r="AI64" i="178"/>
  <c r="AJ64" i="178"/>
  <c r="AK64" i="178"/>
  <c r="AL64" i="178"/>
  <c r="AM64" i="178"/>
  <c r="AN64" i="178"/>
  <c r="AO64" i="178"/>
  <c r="AD71" i="178"/>
  <c r="AE71" i="178"/>
  <c r="AF71" i="178"/>
  <c r="AG71" i="178"/>
  <c r="AH71" i="178"/>
  <c r="AI71" i="178"/>
  <c r="AJ71" i="178"/>
  <c r="AK71" i="178"/>
  <c r="AL71" i="178"/>
  <c r="AM71" i="178"/>
  <c r="AN71" i="178"/>
  <c r="AO71" i="178"/>
  <c r="AD70" i="178"/>
  <c r="AE70" i="178"/>
  <c r="AF70" i="178"/>
  <c r="AG70" i="178"/>
  <c r="AH70" i="178"/>
  <c r="AI70" i="178"/>
  <c r="AJ70" i="178"/>
  <c r="AK70" i="178"/>
  <c r="AL70" i="178"/>
  <c r="AM70" i="178"/>
  <c r="AN70" i="178"/>
  <c r="AO70" i="178"/>
  <c r="AD90" i="178"/>
  <c r="AE90" i="178"/>
  <c r="AF90" i="178"/>
  <c r="AG90" i="178"/>
  <c r="AH90" i="178"/>
  <c r="AI90" i="178"/>
  <c r="AJ90" i="178"/>
  <c r="AK90" i="178"/>
  <c r="AL90" i="178"/>
  <c r="AM90" i="178"/>
  <c r="AN90" i="178"/>
  <c r="AO90" i="178"/>
  <c r="AD91" i="178"/>
  <c r="AE91" i="178"/>
  <c r="AF91" i="178"/>
  <c r="AG91" i="178"/>
  <c r="AH91" i="178"/>
  <c r="AI91" i="178"/>
  <c r="AJ91" i="178"/>
  <c r="AK91" i="178"/>
  <c r="AL91" i="178"/>
  <c r="AM91" i="178"/>
  <c r="AN91" i="178"/>
  <c r="AO91" i="178"/>
  <c r="AD86" i="178"/>
  <c r="AE86" i="178"/>
  <c r="AF86" i="178"/>
  <c r="AG86" i="178"/>
  <c r="AH86" i="178"/>
  <c r="AI86" i="178"/>
  <c r="AJ86" i="178"/>
  <c r="AK86" i="178"/>
  <c r="AL86" i="178"/>
  <c r="AM86" i="178"/>
  <c r="AN86" i="178"/>
  <c r="AO86" i="178"/>
  <c r="AD87" i="178"/>
  <c r="AE87" i="178"/>
  <c r="AF87" i="178"/>
  <c r="AG87" i="178"/>
  <c r="AH87" i="178"/>
  <c r="AI87" i="178"/>
  <c r="AJ87" i="178"/>
  <c r="AK87" i="178"/>
  <c r="AL87" i="178"/>
  <c r="AM87" i="178"/>
  <c r="AN87" i="178"/>
  <c r="AO87" i="178"/>
  <c r="AD88" i="178"/>
  <c r="AE88" i="178"/>
  <c r="AF88" i="178"/>
  <c r="AG88" i="178"/>
  <c r="AH88" i="178"/>
  <c r="AI88" i="178"/>
  <c r="AJ88" i="178"/>
  <c r="AK88" i="178"/>
  <c r="AL88" i="178"/>
  <c r="AM88" i="178"/>
  <c r="AN88" i="178"/>
  <c r="AO88" i="178"/>
  <c r="AD89" i="178"/>
  <c r="AE89" i="178"/>
  <c r="AF89" i="178"/>
  <c r="AG89" i="178"/>
  <c r="AH89" i="178"/>
  <c r="AI89" i="178"/>
  <c r="AJ89" i="178"/>
  <c r="AK89" i="178"/>
  <c r="AL89" i="178"/>
  <c r="AM89" i="178"/>
  <c r="AN89" i="178"/>
  <c r="AO89" i="178"/>
  <c r="AD97" i="178"/>
  <c r="AE97" i="178"/>
  <c r="AF97" i="178"/>
  <c r="AG97" i="178"/>
  <c r="AH97" i="178"/>
  <c r="AI97" i="178"/>
  <c r="AJ97" i="178"/>
  <c r="AK97" i="178"/>
  <c r="AL97" i="178"/>
  <c r="AM97" i="178"/>
  <c r="AN97" i="178"/>
  <c r="AO97" i="178"/>
  <c r="AD98" i="178"/>
  <c r="AE98" i="178"/>
  <c r="AF98" i="178"/>
  <c r="AG98" i="178"/>
  <c r="AH98" i="178"/>
  <c r="AI98" i="178"/>
  <c r="AJ98" i="178"/>
  <c r="AK98" i="178"/>
  <c r="AL98" i="178"/>
  <c r="AM98" i="178"/>
  <c r="AN98" i="178"/>
  <c r="AO98" i="178"/>
  <c r="AD93" i="178"/>
  <c r="AE93" i="178"/>
  <c r="AF93" i="178"/>
  <c r="AG93" i="178"/>
  <c r="AH93" i="178"/>
  <c r="AI93" i="178"/>
  <c r="AJ93" i="178"/>
  <c r="AK93" i="178"/>
  <c r="AL93" i="178"/>
  <c r="AM93" i="178"/>
  <c r="AN93" i="178"/>
  <c r="AO93" i="178"/>
  <c r="AD94" i="178"/>
  <c r="AE94" i="178"/>
  <c r="AF94" i="178"/>
  <c r="AG94" i="178"/>
  <c r="AH94" i="178"/>
  <c r="AI94" i="178"/>
  <c r="AJ94" i="178"/>
  <c r="AK94" i="178"/>
  <c r="AL94" i="178"/>
  <c r="AM94" i="178"/>
  <c r="AN94" i="178"/>
  <c r="AO94" i="178"/>
  <c r="AD95" i="178"/>
  <c r="AE95" i="178"/>
  <c r="AF95" i="178"/>
  <c r="AG95" i="178"/>
  <c r="AH95" i="178"/>
  <c r="AI95" i="178"/>
  <c r="AJ95" i="178"/>
  <c r="AK95" i="178"/>
  <c r="AL95" i="178"/>
  <c r="AM95" i="178"/>
  <c r="AN95" i="178"/>
  <c r="AO95" i="178"/>
  <c r="AD96" i="178"/>
  <c r="AE96" i="178"/>
  <c r="AF96" i="178"/>
  <c r="AG96" i="178"/>
  <c r="AH96" i="178"/>
  <c r="AI96" i="178"/>
  <c r="AJ96" i="178"/>
  <c r="AK96" i="178"/>
  <c r="AL96" i="178"/>
  <c r="AM96" i="178"/>
  <c r="AN96" i="178"/>
  <c r="AO96" i="178"/>
  <c r="AD101" i="178"/>
  <c r="AE101" i="178"/>
  <c r="AF101" i="178"/>
  <c r="AG101" i="178"/>
  <c r="AH101" i="178"/>
  <c r="AI101" i="178"/>
  <c r="AJ101" i="178"/>
  <c r="AK101" i="178"/>
  <c r="AL101" i="178"/>
  <c r="AM101" i="178"/>
  <c r="AN101" i="178"/>
  <c r="AO101" i="178"/>
  <c r="AD107" i="178"/>
  <c r="AE107" i="178"/>
  <c r="AF107" i="178"/>
  <c r="AG107" i="178"/>
  <c r="AH107" i="178"/>
  <c r="AI107" i="178"/>
  <c r="AJ107" i="178"/>
  <c r="AK107" i="178"/>
  <c r="AL107" i="178"/>
  <c r="AM107" i="178"/>
  <c r="AN107" i="178"/>
  <c r="AO107" i="178"/>
  <c r="AD108" i="178"/>
  <c r="AE108" i="178"/>
  <c r="AF108" i="178"/>
  <c r="AG108" i="178"/>
  <c r="AH108" i="178"/>
  <c r="AI108" i="178"/>
  <c r="AJ108" i="178"/>
  <c r="AK108" i="178"/>
  <c r="AL108" i="178"/>
  <c r="AM108" i="178"/>
  <c r="AN108" i="178"/>
  <c r="AO108" i="178"/>
  <c r="AD102" i="178"/>
  <c r="AE102" i="178"/>
  <c r="AF102" i="178"/>
  <c r="AG102" i="178"/>
  <c r="AH102" i="178"/>
  <c r="AI102" i="178"/>
  <c r="AJ102" i="178"/>
  <c r="AK102" i="178"/>
  <c r="AL102" i="178"/>
  <c r="AM102" i="178"/>
  <c r="AN102" i="178"/>
  <c r="AO102" i="178"/>
  <c r="AD103" i="178"/>
  <c r="AE103" i="178"/>
  <c r="AF103" i="178"/>
  <c r="AG103" i="178"/>
  <c r="AH103" i="178"/>
  <c r="AI103" i="178"/>
  <c r="AJ103" i="178"/>
  <c r="AK103" i="178"/>
  <c r="AL103" i="178"/>
  <c r="AM103" i="178"/>
  <c r="AN103" i="178"/>
  <c r="AO103" i="178"/>
  <c r="AD104" i="178"/>
  <c r="AE104" i="178"/>
  <c r="AF104" i="178"/>
  <c r="AG104" i="178"/>
  <c r="AH104" i="178"/>
  <c r="AI104" i="178"/>
  <c r="AJ104" i="178"/>
  <c r="AK104" i="178"/>
  <c r="AL104" i="178"/>
  <c r="AM104" i="178"/>
  <c r="AN104" i="178"/>
  <c r="AO104" i="178"/>
  <c r="AD105" i="178"/>
  <c r="AE105" i="178"/>
  <c r="AF105" i="178"/>
  <c r="AG105" i="178"/>
  <c r="AH105" i="178"/>
  <c r="AI105" i="178"/>
  <c r="AJ105" i="178"/>
  <c r="AK105" i="178"/>
  <c r="AL105" i="178"/>
  <c r="AM105" i="178"/>
  <c r="AN105" i="178"/>
  <c r="AO105" i="178"/>
  <c r="AD109" i="178"/>
  <c r="AE109" i="178"/>
  <c r="AF109" i="178"/>
  <c r="AG109" i="178"/>
  <c r="AH109" i="178"/>
  <c r="AI109" i="178"/>
  <c r="AJ109" i="178"/>
  <c r="AK109" i="178"/>
  <c r="AL109" i="178"/>
  <c r="AM109" i="178"/>
  <c r="AN109" i="178"/>
  <c r="AO109" i="178"/>
  <c r="AD106" i="178"/>
  <c r="AE106" i="178"/>
  <c r="AF106" i="178"/>
  <c r="AG106" i="178"/>
  <c r="AH106" i="178"/>
  <c r="AI106" i="178"/>
  <c r="AJ106" i="178"/>
  <c r="AK106" i="178"/>
  <c r="AL106" i="178"/>
  <c r="AM106" i="178"/>
  <c r="AN106" i="178"/>
  <c r="AO106" i="178"/>
  <c r="AD111" i="178"/>
  <c r="AE111" i="178"/>
  <c r="AF111" i="178"/>
  <c r="AG111" i="178"/>
  <c r="AH111" i="178"/>
  <c r="AI111" i="178"/>
  <c r="AJ111" i="178"/>
  <c r="AK111" i="178"/>
  <c r="AL111" i="178"/>
  <c r="AM111" i="178"/>
  <c r="AN111" i="178"/>
  <c r="AO111" i="178"/>
  <c r="AD116" i="178"/>
  <c r="AE116" i="178"/>
  <c r="AF116" i="178"/>
  <c r="AG116" i="178"/>
  <c r="AH116" i="178"/>
  <c r="AI116" i="178"/>
  <c r="AJ116" i="178"/>
  <c r="AK116" i="178"/>
  <c r="AL116" i="178"/>
  <c r="AM116" i="178"/>
  <c r="AN116" i="178"/>
  <c r="AO116" i="178"/>
  <c r="AD117" i="178"/>
  <c r="AE117" i="178"/>
  <c r="AF117" i="178"/>
  <c r="AG117" i="178"/>
  <c r="AH117" i="178"/>
  <c r="AI117" i="178"/>
  <c r="AJ117" i="178"/>
  <c r="AK117" i="178"/>
  <c r="AL117" i="178"/>
  <c r="AM117" i="178"/>
  <c r="AN117" i="178"/>
  <c r="AO117" i="178"/>
  <c r="AD112" i="178"/>
  <c r="AE112" i="178"/>
  <c r="AF112" i="178"/>
  <c r="AG112" i="178"/>
  <c r="AH112" i="178"/>
  <c r="AI112" i="178"/>
  <c r="AJ112" i="178"/>
  <c r="AK112" i="178"/>
  <c r="AL112" i="178"/>
  <c r="AM112" i="178"/>
  <c r="AN112" i="178"/>
  <c r="AO112" i="178"/>
  <c r="AD113" i="178"/>
  <c r="AE113" i="178"/>
  <c r="AF113" i="178"/>
  <c r="AG113" i="178"/>
  <c r="AH113" i="178"/>
  <c r="AI113" i="178"/>
  <c r="AJ113" i="178"/>
  <c r="AK113" i="178"/>
  <c r="AL113" i="178"/>
  <c r="AM113" i="178"/>
  <c r="AN113" i="178"/>
  <c r="AO113" i="178"/>
  <c r="AD114" i="178"/>
  <c r="AE114" i="178"/>
  <c r="AF114" i="178"/>
  <c r="AG114" i="178"/>
  <c r="AH114" i="178"/>
  <c r="AI114" i="178"/>
  <c r="AJ114" i="178"/>
  <c r="AK114" i="178"/>
  <c r="AL114" i="178"/>
  <c r="AM114" i="178"/>
  <c r="AN114" i="178"/>
  <c r="AO114" i="178"/>
  <c r="AD115" i="178"/>
  <c r="AE115" i="178"/>
  <c r="AF115" i="178"/>
  <c r="AG115" i="178"/>
  <c r="AH115" i="178"/>
  <c r="AI115" i="178"/>
  <c r="AJ115" i="178"/>
  <c r="AK115" i="178"/>
  <c r="AL115" i="178"/>
  <c r="AM115" i="178"/>
  <c r="AN115" i="178"/>
  <c r="AO115" i="178"/>
  <c r="AD142" i="178"/>
  <c r="AE142" i="178"/>
  <c r="AF142" i="178"/>
  <c r="AG142" i="178"/>
  <c r="AH142" i="178"/>
  <c r="AI142" i="178"/>
  <c r="AJ142" i="178"/>
  <c r="AK142" i="178"/>
  <c r="AL142" i="178"/>
  <c r="AM142" i="178"/>
  <c r="AN142" i="178"/>
  <c r="AO142" i="178"/>
  <c r="AD143" i="178"/>
  <c r="AE143" i="178"/>
  <c r="AF143" i="178"/>
  <c r="AG143" i="178"/>
  <c r="AH143" i="178"/>
  <c r="AI143" i="178"/>
  <c r="AJ143" i="178"/>
  <c r="AK143" i="178"/>
  <c r="AL143" i="178"/>
  <c r="AM143" i="178"/>
  <c r="AN143" i="178"/>
  <c r="AO143" i="178"/>
  <c r="AD149" i="178"/>
  <c r="AE149" i="178"/>
  <c r="AF149" i="178"/>
  <c r="AG149" i="178"/>
  <c r="AH149" i="178"/>
  <c r="AI149" i="178"/>
  <c r="AJ149" i="178"/>
  <c r="AK149" i="178"/>
  <c r="AL149" i="178"/>
  <c r="AM149" i="178"/>
  <c r="AN149" i="178"/>
  <c r="AO149" i="178"/>
  <c r="AD150" i="178"/>
  <c r="AE150" i="178"/>
  <c r="AF150" i="178"/>
  <c r="AG150" i="178"/>
  <c r="AH150" i="178"/>
  <c r="AI150" i="178"/>
  <c r="AJ150" i="178"/>
  <c r="AK150" i="178"/>
  <c r="AL150" i="178"/>
  <c r="AM150" i="178"/>
  <c r="AN150" i="178"/>
  <c r="AO150" i="178"/>
  <c r="AD211" i="178"/>
  <c r="AE211" i="178"/>
  <c r="AF211" i="178"/>
  <c r="AG211" i="178"/>
  <c r="AH211" i="178"/>
  <c r="AI211" i="178"/>
  <c r="AJ211" i="178"/>
  <c r="AK211" i="178"/>
  <c r="AL211" i="178"/>
  <c r="AM211" i="178"/>
  <c r="AN211" i="178"/>
  <c r="AO211" i="178"/>
  <c r="AD209" i="178"/>
  <c r="AE209" i="178"/>
  <c r="AF209" i="178"/>
  <c r="AG209" i="178"/>
  <c r="AH209" i="178"/>
  <c r="AI209" i="178"/>
  <c r="AJ209" i="178"/>
  <c r="AK209" i="178"/>
  <c r="AL209" i="178"/>
  <c r="AM209" i="178"/>
  <c r="AN209" i="178"/>
  <c r="AO209" i="178"/>
  <c r="AD210" i="178"/>
  <c r="AE210" i="178"/>
  <c r="AF210" i="178"/>
  <c r="AG210" i="178"/>
  <c r="AH210" i="178"/>
  <c r="AI210" i="178"/>
  <c r="AJ210" i="178"/>
  <c r="AK210" i="178"/>
  <c r="AL210" i="178"/>
  <c r="AM210" i="178"/>
  <c r="AN210" i="178"/>
  <c r="AO210" i="178"/>
  <c r="AD214" i="178"/>
  <c r="AE214" i="178"/>
  <c r="AF214" i="178"/>
  <c r="AG214" i="178"/>
  <c r="AH214" i="178"/>
  <c r="AI214" i="178"/>
  <c r="AJ214" i="178"/>
  <c r="AK214" i="178"/>
  <c r="AL214" i="178"/>
  <c r="AM214" i="178"/>
  <c r="AN214" i="178"/>
  <c r="AO214" i="178"/>
  <c r="AD215" i="178"/>
  <c r="AE215" i="178"/>
  <c r="AF215" i="178"/>
  <c r="AG215" i="178"/>
  <c r="AH215" i="178"/>
  <c r="AI215" i="178"/>
  <c r="AJ215" i="178"/>
  <c r="AK215" i="178"/>
  <c r="AL215" i="178"/>
  <c r="AM215" i="178"/>
  <c r="AN215" i="178"/>
  <c r="AO215" i="178"/>
  <c r="AD237" i="178"/>
  <c r="AE237" i="178"/>
  <c r="AF237" i="178"/>
  <c r="AG237" i="178"/>
  <c r="AH237" i="178"/>
  <c r="AI237" i="178"/>
  <c r="AJ237" i="178"/>
  <c r="AK237" i="178"/>
  <c r="AL237" i="178"/>
  <c r="AM237" i="178"/>
  <c r="AN237" i="178"/>
  <c r="AO237" i="178"/>
  <c r="AD238" i="178"/>
  <c r="AE238" i="178"/>
  <c r="AF238" i="178"/>
  <c r="AG238" i="178"/>
  <c r="AH238" i="178"/>
  <c r="AI238" i="178"/>
  <c r="AJ238" i="178"/>
  <c r="AK238" i="178"/>
  <c r="AL238" i="178"/>
  <c r="AM238" i="178"/>
  <c r="AN238" i="178"/>
  <c r="AO238" i="178"/>
  <c r="AD240" i="178"/>
  <c r="AE240" i="178"/>
  <c r="AF240" i="178"/>
  <c r="AG240" i="178"/>
  <c r="AH240" i="178"/>
  <c r="AI240" i="178"/>
  <c r="AJ240" i="178"/>
  <c r="AK240" i="178"/>
  <c r="AL240" i="178"/>
  <c r="AM240" i="178"/>
  <c r="AN240" i="178"/>
  <c r="AO240" i="178"/>
  <c r="AD241" i="178"/>
  <c r="AE241" i="178"/>
  <c r="AF241" i="178"/>
  <c r="AG241" i="178"/>
  <c r="AH241" i="178"/>
  <c r="AI241" i="178"/>
  <c r="AJ241" i="178"/>
  <c r="AK241" i="178"/>
  <c r="AL241" i="178"/>
  <c r="AM241" i="178"/>
  <c r="AN241" i="178"/>
  <c r="AO241" i="178"/>
  <c r="AD248" i="178"/>
  <c r="AE248" i="178"/>
  <c r="AF248" i="178"/>
  <c r="AG248" i="178"/>
  <c r="AH248" i="178"/>
  <c r="AI248" i="178"/>
  <c r="AJ248" i="178"/>
  <c r="AK248" i="178"/>
  <c r="AL248" i="178"/>
  <c r="AM248" i="178"/>
  <c r="AN248" i="178"/>
  <c r="AO248" i="178"/>
  <c r="AD245" i="178"/>
  <c r="AE245" i="178"/>
  <c r="AF245" i="178"/>
  <c r="AG245" i="178"/>
  <c r="AH245" i="178"/>
  <c r="AI245" i="178"/>
  <c r="AJ245" i="178"/>
  <c r="AK245" i="178"/>
  <c r="AL245" i="178"/>
  <c r="AM245" i="178"/>
  <c r="AN245" i="178"/>
  <c r="AO245" i="178"/>
  <c r="AD246" i="178"/>
  <c r="AE246" i="178"/>
  <c r="AF246" i="178"/>
  <c r="AG246" i="178"/>
  <c r="AH246" i="178"/>
  <c r="AI246" i="178"/>
  <c r="AJ246" i="178"/>
  <c r="AK246" i="178"/>
  <c r="AL246" i="178"/>
  <c r="AM246" i="178"/>
  <c r="AN246" i="178"/>
  <c r="AO246" i="178"/>
  <c r="AD247" i="178"/>
  <c r="AE247" i="178"/>
  <c r="AF247" i="178"/>
  <c r="AG247" i="178"/>
  <c r="AH247" i="178"/>
  <c r="AI247" i="178"/>
  <c r="AJ247" i="178"/>
  <c r="AK247" i="178"/>
  <c r="AL247" i="178"/>
  <c r="AM247" i="178"/>
  <c r="AN247" i="178"/>
  <c r="AO247" i="178"/>
  <c r="AD255" i="178"/>
  <c r="AE255" i="178"/>
  <c r="AF255" i="178"/>
  <c r="AG255" i="178"/>
  <c r="AH255" i="178"/>
  <c r="AI255" i="178"/>
  <c r="AJ255" i="178"/>
  <c r="AK255" i="178"/>
  <c r="AL255" i="178"/>
  <c r="AM255" i="178"/>
  <c r="AN255" i="178"/>
  <c r="AO255" i="178"/>
  <c r="AD253" i="178"/>
  <c r="AE253" i="178"/>
  <c r="AF253" i="178"/>
  <c r="AG253" i="178"/>
  <c r="AH253" i="178"/>
  <c r="AI253" i="178"/>
  <c r="AJ253" i="178"/>
  <c r="AK253" i="178"/>
  <c r="AL253" i="178"/>
  <c r="AM253" i="178"/>
  <c r="AN253" i="178"/>
  <c r="AO253" i="178"/>
  <c r="AD254" i="178"/>
  <c r="AE254" i="178"/>
  <c r="AF254" i="178"/>
  <c r="AG254" i="178"/>
  <c r="AH254" i="178"/>
  <c r="AI254" i="178"/>
  <c r="AJ254" i="178"/>
  <c r="AK254" i="178"/>
  <c r="AL254" i="178"/>
  <c r="AM254" i="178"/>
  <c r="AN254" i="178"/>
  <c r="AO254" i="178"/>
  <c r="AD259" i="178"/>
  <c r="AE259" i="178"/>
  <c r="AF259" i="178"/>
  <c r="AG259" i="178"/>
  <c r="AH259" i="178"/>
  <c r="AI259" i="178"/>
  <c r="AJ259" i="178"/>
  <c r="AK259" i="178"/>
  <c r="AL259" i="178"/>
  <c r="AM259" i="178"/>
  <c r="AN259" i="178"/>
  <c r="AO259" i="178"/>
  <c r="AD260" i="178"/>
  <c r="AE260" i="178"/>
  <c r="AF260" i="178"/>
  <c r="AG260" i="178"/>
  <c r="AH260" i="178"/>
  <c r="AI260" i="178"/>
  <c r="AJ260" i="178"/>
  <c r="AK260" i="178"/>
  <c r="AL260" i="178"/>
  <c r="AM260" i="178"/>
  <c r="AN260" i="178"/>
  <c r="AO260" i="178"/>
  <c r="AD269" i="178"/>
  <c r="AE269" i="178"/>
  <c r="AF269" i="178"/>
  <c r="AG269" i="178"/>
  <c r="AH269" i="178"/>
  <c r="AI269" i="178"/>
  <c r="AJ269" i="178"/>
  <c r="AK269" i="178"/>
  <c r="AL269" i="178"/>
  <c r="AM269" i="178"/>
  <c r="AN269" i="178"/>
  <c r="AO269" i="178"/>
  <c r="AD272" i="178"/>
  <c r="AE272" i="178"/>
  <c r="AF272" i="178"/>
  <c r="AG272" i="178"/>
  <c r="AH272" i="178"/>
  <c r="AI272" i="178"/>
  <c r="AJ272" i="178"/>
  <c r="AK272" i="178"/>
  <c r="AL272" i="178"/>
  <c r="AM272" i="178"/>
  <c r="AN272" i="178"/>
  <c r="AO272" i="178"/>
  <c r="AD270" i="178"/>
  <c r="AE270" i="178"/>
  <c r="AF270" i="178"/>
  <c r="AG270" i="178"/>
  <c r="AH270" i="178"/>
  <c r="AI270" i="178"/>
  <c r="AJ270" i="178"/>
  <c r="AK270" i="178"/>
  <c r="AL270" i="178"/>
  <c r="AM270" i="178"/>
  <c r="AN270" i="178"/>
  <c r="AO270" i="178"/>
  <c r="AD271" i="178"/>
  <c r="AE271" i="178"/>
  <c r="AF271" i="178"/>
  <c r="AG271" i="178"/>
  <c r="AH271" i="178"/>
  <c r="AI271" i="178"/>
  <c r="AJ271" i="178"/>
  <c r="AK271" i="178"/>
  <c r="AL271" i="178"/>
  <c r="AM271" i="178"/>
  <c r="AN271" i="178"/>
  <c r="AO271" i="178"/>
  <c r="AD273" i="178"/>
  <c r="AE273" i="178"/>
  <c r="AF273" i="178"/>
  <c r="AG273" i="178"/>
  <c r="AH273" i="178"/>
  <c r="AI273" i="178"/>
  <c r="AJ273" i="178"/>
  <c r="AK273" i="178"/>
  <c r="AL273" i="178"/>
  <c r="AM273" i="178"/>
  <c r="AN273" i="178"/>
  <c r="AO273" i="178"/>
  <c r="AD277" i="178"/>
  <c r="AE277" i="178"/>
  <c r="AF277" i="178"/>
  <c r="AG277" i="178"/>
  <c r="AH277" i="178"/>
  <c r="AI277" i="178"/>
  <c r="AJ277" i="178"/>
  <c r="AK277" i="178"/>
  <c r="AL277" i="178"/>
  <c r="AM277" i="178"/>
  <c r="AN277" i="178"/>
  <c r="AO277" i="178"/>
  <c r="AD278" i="178"/>
  <c r="AE278" i="178"/>
  <c r="AF278" i="178"/>
  <c r="AG278" i="178"/>
  <c r="AH278" i="178"/>
  <c r="AI278" i="178"/>
  <c r="AJ278" i="178"/>
  <c r="AK278" i="178"/>
  <c r="AL278" i="178"/>
  <c r="AM278" i="178"/>
  <c r="AN278" i="178"/>
  <c r="AO278" i="178"/>
  <c r="AD274" i="178"/>
  <c r="AE274" i="178"/>
  <c r="AF274" i="178"/>
  <c r="AG274" i="178"/>
  <c r="AH274" i="178"/>
  <c r="AI274" i="178"/>
  <c r="AJ274" i="178"/>
  <c r="AK274" i="178"/>
  <c r="AL274" i="178"/>
  <c r="AM274" i="178"/>
  <c r="AN274" i="178"/>
  <c r="AO274" i="178"/>
  <c r="AD275" i="178"/>
  <c r="AE275" i="178"/>
  <c r="AF275" i="178"/>
  <c r="AG275" i="178"/>
  <c r="AH275" i="178"/>
  <c r="AI275" i="178"/>
  <c r="AJ275" i="178"/>
  <c r="AK275" i="178"/>
  <c r="AL275" i="178"/>
  <c r="AM275" i="178"/>
  <c r="AN275" i="178"/>
  <c r="AO275" i="178"/>
  <c r="AD276" i="178"/>
  <c r="AE276" i="178"/>
  <c r="AF276" i="178"/>
  <c r="AG276" i="178"/>
  <c r="AH276" i="178"/>
  <c r="AI276" i="178"/>
  <c r="AJ276" i="178"/>
  <c r="AK276" i="178"/>
  <c r="AL276" i="178"/>
  <c r="AM276" i="178"/>
  <c r="AN276" i="178"/>
  <c r="AO276" i="178"/>
  <c r="AD287" i="178"/>
  <c r="AE287" i="178"/>
  <c r="AF287" i="178"/>
  <c r="AG287" i="178"/>
  <c r="AH287" i="178"/>
  <c r="AI287" i="178"/>
  <c r="AJ287" i="178"/>
  <c r="AK287" i="178"/>
  <c r="AL287" i="178"/>
  <c r="AM287" i="178"/>
  <c r="AN287" i="178"/>
  <c r="AO287" i="178"/>
  <c r="AD284" i="178"/>
  <c r="AE284" i="178"/>
  <c r="AF284" i="178"/>
  <c r="AG284" i="178"/>
  <c r="AH284" i="178"/>
  <c r="AI284" i="178"/>
  <c r="AJ284" i="178"/>
  <c r="AK284" i="178"/>
  <c r="AL284" i="178"/>
  <c r="AM284" i="178"/>
  <c r="AN284" i="178"/>
  <c r="AO284" i="178"/>
  <c r="AD282" i="178"/>
  <c r="AE282" i="178"/>
  <c r="AF282" i="178"/>
  <c r="AG282" i="178"/>
  <c r="AH282" i="178"/>
  <c r="AI282" i="178"/>
  <c r="AJ282" i="178"/>
  <c r="AK282" i="178"/>
  <c r="AL282" i="178"/>
  <c r="AM282" i="178"/>
  <c r="AN282" i="178"/>
  <c r="AO282" i="178"/>
  <c r="AD285" i="178"/>
  <c r="AE285" i="178"/>
  <c r="AF285" i="178"/>
  <c r="AG285" i="178"/>
  <c r="AH285" i="178"/>
  <c r="AI285" i="178"/>
  <c r="AJ285" i="178"/>
  <c r="AK285" i="178"/>
  <c r="AL285" i="178"/>
  <c r="AM285" i="178"/>
  <c r="AN285" i="178"/>
  <c r="AO285" i="178"/>
  <c r="AD286" i="178"/>
  <c r="AE286" i="178"/>
  <c r="AF286" i="178"/>
  <c r="AG286" i="178"/>
  <c r="AH286" i="178"/>
  <c r="AI286" i="178"/>
  <c r="AJ286" i="178"/>
  <c r="AK286" i="178"/>
  <c r="AL286" i="178"/>
  <c r="AM286" i="178"/>
  <c r="AN286" i="178"/>
  <c r="AO286" i="178"/>
  <c r="AD288" i="178"/>
  <c r="AE288" i="178"/>
  <c r="AF288" i="178"/>
  <c r="AG288" i="178"/>
  <c r="AH288" i="178"/>
  <c r="AI288" i="178"/>
  <c r="AJ288" i="178"/>
  <c r="AK288" i="178"/>
  <c r="AL288" i="178"/>
  <c r="AM288" i="178"/>
  <c r="AN288" i="178"/>
  <c r="AO288" i="178"/>
  <c r="AD289" i="178"/>
  <c r="AE289" i="178"/>
  <c r="AF289" i="178"/>
  <c r="AG289" i="178"/>
  <c r="AH289" i="178"/>
  <c r="AI289" i="178"/>
  <c r="AJ289" i="178"/>
  <c r="AK289" i="178"/>
  <c r="AL289" i="178"/>
  <c r="AM289" i="178"/>
  <c r="AN289" i="178"/>
  <c r="AO289" i="178"/>
  <c r="AD300" i="178"/>
  <c r="AE300" i="178"/>
  <c r="AF300" i="178"/>
  <c r="AG300" i="178"/>
  <c r="AH300" i="178"/>
  <c r="AI300" i="178"/>
  <c r="AJ300" i="178"/>
  <c r="AK300" i="178"/>
  <c r="AL300" i="178"/>
  <c r="AM300" i="178"/>
  <c r="AN300" i="178"/>
  <c r="AO300" i="178"/>
  <c r="AD302" i="178"/>
  <c r="AE302" i="178"/>
  <c r="AF302" i="178"/>
  <c r="AG302" i="178"/>
  <c r="AH302" i="178"/>
  <c r="AI302" i="178"/>
  <c r="AJ302" i="178"/>
  <c r="AK302" i="178"/>
  <c r="AL302" i="178"/>
  <c r="AM302" i="178"/>
  <c r="AN302" i="178"/>
  <c r="AO302" i="178"/>
  <c r="AD303" i="178"/>
  <c r="AE303" i="178"/>
  <c r="AF303" i="178"/>
  <c r="AG303" i="178"/>
  <c r="AH303" i="178"/>
  <c r="AI303" i="178"/>
  <c r="AJ303" i="178"/>
  <c r="AK303" i="178"/>
  <c r="AL303" i="178"/>
  <c r="AM303" i="178"/>
  <c r="AN303" i="178"/>
  <c r="AO303" i="178"/>
  <c r="AD298" i="178"/>
  <c r="AE298" i="178"/>
  <c r="AF298" i="178"/>
  <c r="AG298" i="178"/>
  <c r="AH298" i="178"/>
  <c r="AI298" i="178"/>
  <c r="AJ298" i="178"/>
  <c r="AK298" i="178"/>
  <c r="AL298" i="178"/>
  <c r="AM298" i="178"/>
  <c r="AN298" i="178"/>
  <c r="AO298" i="178"/>
  <c r="AD301" i="178"/>
  <c r="AE301" i="178"/>
  <c r="AF301" i="178"/>
  <c r="AG301" i="178"/>
  <c r="AH301" i="178"/>
  <c r="AI301" i="178"/>
  <c r="AJ301" i="178"/>
  <c r="AK301" i="178"/>
  <c r="AL301" i="178"/>
  <c r="AM301" i="178"/>
  <c r="AN301" i="178"/>
  <c r="AO301" i="178"/>
  <c r="AD305" i="178"/>
  <c r="AE305" i="178"/>
  <c r="AF305" i="178"/>
  <c r="AG305" i="178"/>
  <c r="AH305" i="178"/>
  <c r="AI305" i="178"/>
  <c r="AJ305" i="178"/>
  <c r="AK305" i="178"/>
  <c r="AL305" i="178"/>
  <c r="AM305" i="178"/>
  <c r="AN305" i="178"/>
  <c r="AO305" i="178"/>
  <c r="AD308" i="178"/>
  <c r="AE308" i="178"/>
  <c r="AF308" i="178"/>
  <c r="AG308" i="178"/>
  <c r="AH308" i="178"/>
  <c r="AI308" i="178"/>
  <c r="AJ308" i="178"/>
  <c r="AK308" i="178"/>
  <c r="AL308" i="178"/>
  <c r="AM308" i="178"/>
  <c r="AN308" i="178"/>
  <c r="AO308" i="178"/>
  <c r="AD306" i="178"/>
  <c r="AE306" i="178"/>
  <c r="AF306" i="178"/>
  <c r="AG306" i="178"/>
  <c r="AH306" i="178"/>
  <c r="AI306" i="178"/>
  <c r="AJ306" i="178"/>
  <c r="AK306" i="178"/>
  <c r="AL306" i="178"/>
  <c r="AM306" i="178"/>
  <c r="AN306" i="178"/>
  <c r="AO306" i="178"/>
  <c r="AD307" i="178"/>
  <c r="AE307" i="178"/>
  <c r="AF307" i="178"/>
  <c r="AG307" i="178"/>
  <c r="AH307" i="178"/>
  <c r="AI307" i="178"/>
  <c r="AJ307" i="178"/>
  <c r="AK307" i="178"/>
  <c r="AL307" i="178"/>
  <c r="AM307" i="178"/>
  <c r="AN307" i="178"/>
  <c r="AO307" i="178"/>
  <c r="AD320" i="178"/>
  <c r="AE320" i="178"/>
  <c r="AF320" i="178"/>
  <c r="AG320" i="178"/>
  <c r="AH320" i="178"/>
  <c r="AI320" i="178"/>
  <c r="AJ320" i="178"/>
  <c r="AK320" i="178"/>
  <c r="AL320" i="178"/>
  <c r="AM320" i="178"/>
  <c r="AN320" i="178"/>
  <c r="AO320" i="178"/>
  <c r="AD318" i="178"/>
  <c r="AE318" i="178"/>
  <c r="AF318" i="178"/>
  <c r="AG318" i="178"/>
  <c r="AH318" i="178"/>
  <c r="AI318" i="178"/>
  <c r="AJ318" i="178"/>
  <c r="AK318" i="178"/>
  <c r="AL318" i="178"/>
  <c r="AM318" i="178"/>
  <c r="AN318" i="178"/>
  <c r="AO318" i="178"/>
  <c r="AD319" i="178"/>
  <c r="AE319" i="178"/>
  <c r="AF319" i="178"/>
  <c r="AG319" i="178"/>
  <c r="AH319" i="178"/>
  <c r="AI319" i="178"/>
  <c r="AJ319" i="178"/>
  <c r="AK319" i="178"/>
  <c r="AL319" i="178"/>
  <c r="AM319" i="178"/>
  <c r="AN319" i="178"/>
  <c r="AO319" i="178"/>
  <c r="AD321" i="178"/>
  <c r="AE321" i="178"/>
  <c r="AF321" i="178"/>
  <c r="AG321" i="178"/>
  <c r="AH321" i="178"/>
  <c r="AI321" i="178"/>
  <c r="AJ321" i="178"/>
  <c r="AK321" i="178"/>
  <c r="AL321" i="178"/>
  <c r="AM321" i="178"/>
  <c r="AN321" i="178"/>
  <c r="AO321" i="178"/>
  <c r="AD322" i="178"/>
  <c r="AE322" i="178"/>
  <c r="AF322" i="178"/>
  <c r="AG322" i="178"/>
  <c r="AH322" i="178"/>
  <c r="AI322" i="178"/>
  <c r="AJ322" i="178"/>
  <c r="AK322" i="178"/>
  <c r="AL322" i="178"/>
  <c r="AM322" i="178"/>
  <c r="AN322" i="178"/>
  <c r="AO322" i="178"/>
  <c r="AD325" i="178"/>
  <c r="AE325" i="178"/>
  <c r="AF325" i="178"/>
  <c r="AG325" i="178"/>
  <c r="AH325" i="178"/>
  <c r="AI325" i="178"/>
  <c r="AJ325" i="178"/>
  <c r="AK325" i="178"/>
  <c r="AL325" i="178"/>
  <c r="AM325" i="178"/>
  <c r="AN325" i="178"/>
  <c r="AO325" i="178"/>
  <c r="AD323" i="178"/>
  <c r="AE323" i="178"/>
  <c r="AF323" i="178"/>
  <c r="AG323" i="178"/>
  <c r="AH323" i="178"/>
  <c r="AI323" i="178"/>
  <c r="AJ323" i="178"/>
  <c r="AK323" i="178"/>
  <c r="AL323" i="178"/>
  <c r="AM323" i="178"/>
  <c r="AN323" i="178"/>
  <c r="AO323" i="178"/>
  <c r="AD324" i="178"/>
  <c r="AE324" i="178"/>
  <c r="AF324" i="178"/>
  <c r="AG324" i="178"/>
  <c r="AH324" i="178"/>
  <c r="AI324" i="178"/>
  <c r="AJ324" i="178"/>
  <c r="AK324" i="178"/>
  <c r="AL324" i="178"/>
  <c r="AM324" i="178"/>
  <c r="AN324" i="178"/>
  <c r="AO324" i="178"/>
  <c r="AD328" i="178"/>
  <c r="AE328" i="178"/>
  <c r="AF328" i="178"/>
  <c r="AG328" i="178"/>
  <c r="AH328" i="178"/>
  <c r="AI328" i="178"/>
  <c r="AJ328" i="178"/>
  <c r="AK328" i="178"/>
  <c r="AL328" i="178"/>
  <c r="AM328" i="178"/>
  <c r="AN328" i="178"/>
  <c r="AO328" i="178"/>
  <c r="AD326" i="178"/>
  <c r="AE326" i="178"/>
  <c r="AF326" i="178"/>
  <c r="AG326" i="178"/>
  <c r="AH326" i="178"/>
  <c r="AI326" i="178"/>
  <c r="AJ326" i="178"/>
  <c r="AK326" i="178"/>
  <c r="AL326" i="178"/>
  <c r="AM326" i="178"/>
  <c r="AN326" i="178"/>
  <c r="AO326" i="178"/>
  <c r="AD327" i="178"/>
  <c r="AE327" i="178"/>
  <c r="AF327" i="178"/>
  <c r="AG327" i="178"/>
  <c r="AH327" i="178"/>
  <c r="AI327" i="178"/>
  <c r="AJ327" i="178"/>
  <c r="AK327" i="178"/>
  <c r="AL327" i="178"/>
  <c r="AM327" i="178"/>
  <c r="AN327" i="178"/>
  <c r="AO327" i="178"/>
  <c r="AD331" i="178"/>
  <c r="AE331" i="178"/>
  <c r="AF331" i="178"/>
  <c r="AG331" i="178"/>
  <c r="AH331" i="178"/>
  <c r="AI331" i="178"/>
  <c r="AJ331" i="178"/>
  <c r="AK331" i="178"/>
  <c r="AL331" i="178"/>
  <c r="AM331" i="178"/>
  <c r="AN331" i="178"/>
  <c r="AO331" i="178"/>
  <c r="AD329" i="178"/>
  <c r="AE329" i="178"/>
  <c r="AF329" i="178"/>
  <c r="AG329" i="178"/>
  <c r="AH329" i="178"/>
  <c r="AI329" i="178"/>
  <c r="AJ329" i="178"/>
  <c r="AK329" i="178"/>
  <c r="AL329" i="178"/>
  <c r="AM329" i="178"/>
  <c r="AN329" i="178"/>
  <c r="AO329" i="178"/>
  <c r="AD330" i="178"/>
  <c r="AE330" i="178"/>
  <c r="AF330" i="178"/>
  <c r="AG330" i="178"/>
  <c r="AH330" i="178"/>
  <c r="AI330" i="178"/>
  <c r="AJ330" i="178"/>
  <c r="AK330" i="178"/>
  <c r="AL330" i="178"/>
  <c r="AM330" i="178"/>
  <c r="AN330" i="178"/>
  <c r="AO330" i="178"/>
  <c r="AD340" i="178"/>
  <c r="AE340" i="178"/>
  <c r="AF340" i="178"/>
  <c r="AG340" i="178"/>
  <c r="AH340" i="178"/>
  <c r="AI340" i="178"/>
  <c r="AJ340" i="178"/>
  <c r="AK340" i="178"/>
  <c r="AL340" i="178"/>
  <c r="AM340" i="178"/>
  <c r="AN340" i="178"/>
  <c r="AO340" i="178"/>
  <c r="AD338" i="178"/>
  <c r="AE338" i="178"/>
  <c r="AF338" i="178"/>
  <c r="AG338" i="178"/>
  <c r="AH338" i="178"/>
  <c r="AI338" i="178"/>
  <c r="AJ338" i="178"/>
  <c r="AK338" i="178"/>
  <c r="AL338" i="178"/>
  <c r="AM338" i="178"/>
  <c r="AN338" i="178"/>
  <c r="AO338" i="178"/>
  <c r="AD339" i="178"/>
  <c r="AE339" i="178"/>
  <c r="AF339" i="178"/>
  <c r="AG339" i="178"/>
  <c r="AH339" i="178"/>
  <c r="AI339" i="178"/>
  <c r="AJ339" i="178"/>
  <c r="AK339" i="178"/>
  <c r="AL339" i="178"/>
  <c r="AM339" i="178"/>
  <c r="AN339" i="178"/>
  <c r="AO339" i="178"/>
  <c r="AD440" i="178"/>
  <c r="AE440" i="178"/>
  <c r="AF440" i="178"/>
  <c r="AG440" i="178"/>
  <c r="AH440" i="178"/>
  <c r="AI440" i="178"/>
  <c r="AJ440" i="178"/>
  <c r="AK440" i="178"/>
  <c r="AL440" i="178"/>
  <c r="AM440" i="178"/>
  <c r="AN440" i="178"/>
  <c r="AO440" i="178"/>
  <c r="AD441" i="178"/>
  <c r="AE441" i="178"/>
  <c r="AF441" i="178"/>
  <c r="AG441" i="178"/>
  <c r="AH441" i="178"/>
  <c r="AI441" i="178"/>
  <c r="AJ441" i="178"/>
  <c r="AK441" i="178"/>
  <c r="AL441" i="178"/>
  <c r="AM441" i="178"/>
  <c r="AN441" i="178"/>
  <c r="AO441" i="178"/>
  <c r="AD442" i="178"/>
  <c r="AE442" i="178"/>
  <c r="AF442" i="178"/>
  <c r="AG442" i="178"/>
  <c r="AH442" i="178"/>
  <c r="AI442" i="178"/>
  <c r="AJ442" i="178"/>
  <c r="AK442" i="178"/>
  <c r="AL442" i="178"/>
  <c r="AM442" i="178"/>
  <c r="AN442" i="178"/>
  <c r="AO442" i="178"/>
  <c r="AD446" i="178"/>
  <c r="AE446" i="178"/>
  <c r="AF446" i="178"/>
  <c r="AG446" i="178"/>
  <c r="AH446" i="178"/>
  <c r="AI446" i="178"/>
  <c r="AJ446" i="178"/>
  <c r="AK446" i="178"/>
  <c r="AL446" i="178"/>
  <c r="AM446" i="178"/>
  <c r="AN446" i="178"/>
  <c r="AO446" i="178"/>
  <c r="AD447" i="178"/>
  <c r="AE447" i="178"/>
  <c r="AF447" i="178"/>
  <c r="AG447" i="178"/>
  <c r="AH447" i="178"/>
  <c r="AI447" i="178"/>
  <c r="AJ447" i="178"/>
  <c r="AK447" i="178"/>
  <c r="AL447" i="178"/>
  <c r="AM447" i="178"/>
  <c r="AN447" i="178"/>
  <c r="AO447" i="178"/>
  <c r="AD449" i="178"/>
  <c r="AE449" i="178"/>
  <c r="AF449" i="178"/>
  <c r="AG449" i="178"/>
  <c r="AH449" i="178"/>
  <c r="AI449" i="178"/>
  <c r="AJ449" i="178"/>
  <c r="AK449" i="178"/>
  <c r="AL449" i="178"/>
  <c r="AM449" i="178"/>
  <c r="AN449" i="178"/>
  <c r="AO449" i="178"/>
  <c r="AD450" i="178"/>
  <c r="AE450" i="178"/>
  <c r="AF450" i="178"/>
  <c r="AG450" i="178"/>
  <c r="AH450" i="178"/>
  <c r="AI450" i="178"/>
  <c r="AJ450" i="178"/>
  <c r="AK450" i="178"/>
  <c r="AL450" i="178"/>
  <c r="AM450" i="178"/>
  <c r="AN450" i="178"/>
  <c r="AO450" i="178"/>
  <c r="AD452" i="178"/>
  <c r="AE452" i="178"/>
  <c r="AF452" i="178"/>
  <c r="AG452" i="178"/>
  <c r="AH452" i="178"/>
  <c r="AI452" i="178"/>
  <c r="AJ452" i="178"/>
  <c r="AK452" i="178"/>
  <c r="AL452" i="178"/>
  <c r="AM452" i="178"/>
  <c r="AN452" i="178"/>
  <c r="AO452" i="178"/>
  <c r="AD453" i="178"/>
  <c r="AE453" i="178"/>
  <c r="AF453" i="178"/>
  <c r="AG453" i="178"/>
  <c r="AH453" i="178"/>
  <c r="AI453" i="178"/>
  <c r="AJ453" i="178"/>
  <c r="AK453" i="178"/>
  <c r="AL453" i="178"/>
  <c r="AM453" i="178"/>
  <c r="AN453" i="178"/>
  <c r="AO453" i="178"/>
  <c r="AD456" i="178"/>
  <c r="AE456" i="178"/>
  <c r="AF456" i="178"/>
  <c r="AG456" i="178"/>
  <c r="AH456" i="178"/>
  <c r="AI456" i="178"/>
  <c r="AJ456" i="178"/>
  <c r="AK456" i="178"/>
  <c r="AL456" i="178"/>
  <c r="AM456" i="178"/>
  <c r="AN456" i="178"/>
  <c r="AO456" i="178"/>
  <c r="AD455" i="178"/>
  <c r="AE455" i="178"/>
  <c r="AF455" i="178"/>
  <c r="AG455" i="178"/>
  <c r="AH455" i="178"/>
  <c r="AI455" i="178"/>
  <c r="AJ455" i="178"/>
  <c r="AK455" i="178"/>
  <c r="AL455" i="178"/>
  <c r="AM455" i="178"/>
  <c r="AN455" i="178"/>
  <c r="AO455" i="178"/>
  <c r="AD457" i="178"/>
  <c r="AE457" i="178"/>
  <c r="AF457" i="178"/>
  <c r="AG457" i="178"/>
  <c r="AH457" i="178"/>
  <c r="AI457" i="178"/>
  <c r="AJ457" i="178"/>
  <c r="AK457" i="178"/>
  <c r="AL457" i="178"/>
  <c r="AM457" i="178"/>
  <c r="AN457" i="178"/>
  <c r="AO457" i="178"/>
  <c r="AD459" i="178"/>
  <c r="AE459" i="178"/>
  <c r="AF459" i="178"/>
  <c r="AG459" i="178"/>
  <c r="AH459" i="178"/>
  <c r="AI459" i="178"/>
  <c r="AJ459" i="178"/>
  <c r="AK459" i="178"/>
  <c r="AL459" i="178"/>
  <c r="AM459" i="178"/>
  <c r="AN459" i="178"/>
  <c r="AO459" i="178"/>
  <c r="AD460" i="178"/>
  <c r="AE460" i="178"/>
  <c r="AF460" i="178"/>
  <c r="AG460" i="178"/>
  <c r="AH460" i="178"/>
  <c r="AI460" i="178"/>
  <c r="AJ460" i="178"/>
  <c r="AK460" i="178"/>
  <c r="AL460" i="178"/>
  <c r="AM460" i="178"/>
  <c r="AN460" i="178"/>
  <c r="AO460" i="178"/>
  <c r="AD462" i="178"/>
  <c r="AE462" i="178"/>
  <c r="AF462" i="178"/>
  <c r="AG462" i="178"/>
  <c r="AH462" i="178"/>
  <c r="AI462" i="178"/>
  <c r="AJ462" i="178"/>
  <c r="AK462" i="178"/>
  <c r="AL462" i="178"/>
  <c r="AM462" i="178"/>
  <c r="AN462" i="178"/>
  <c r="AO462" i="178"/>
  <c r="AD463" i="178"/>
  <c r="AE463" i="178"/>
  <c r="AF463" i="178"/>
  <c r="AG463" i="178"/>
  <c r="AH463" i="178"/>
  <c r="AI463" i="178"/>
  <c r="AJ463" i="178"/>
  <c r="AK463" i="178"/>
  <c r="AL463" i="178"/>
  <c r="AM463" i="178"/>
  <c r="AN463" i="178"/>
  <c r="AO463" i="178"/>
  <c r="AD469" i="178"/>
  <c r="AE469" i="178"/>
  <c r="AF469" i="178"/>
  <c r="AG469" i="178"/>
  <c r="AH469" i="178"/>
  <c r="AI469" i="178"/>
  <c r="AJ469" i="178"/>
  <c r="AK469" i="178"/>
  <c r="AL469" i="178"/>
  <c r="AM469" i="178"/>
  <c r="AN469" i="178"/>
  <c r="AO469" i="178"/>
  <c r="AD470" i="178"/>
  <c r="AE470" i="178"/>
  <c r="AF470" i="178"/>
  <c r="AG470" i="178"/>
  <c r="AH470" i="178"/>
  <c r="AI470" i="178"/>
  <c r="AJ470" i="178"/>
  <c r="AK470" i="178"/>
  <c r="AL470" i="178"/>
  <c r="AM470" i="178"/>
  <c r="AN470" i="178"/>
  <c r="AO470" i="178"/>
  <c r="AD471" i="178"/>
  <c r="AE471" i="178"/>
  <c r="AF471" i="178"/>
  <c r="AG471" i="178"/>
  <c r="AH471" i="178"/>
  <c r="AI471" i="178"/>
  <c r="AJ471" i="178"/>
  <c r="AK471" i="178"/>
  <c r="AL471" i="178"/>
  <c r="AM471" i="178"/>
  <c r="AN471" i="178"/>
  <c r="AO471" i="178"/>
  <c r="AD154" i="178"/>
  <c r="AE154" i="178"/>
  <c r="AF154" i="178"/>
  <c r="AG154" i="178"/>
  <c r="AH154" i="178"/>
  <c r="AI154" i="178"/>
  <c r="AJ154" i="178"/>
  <c r="AK154" i="178"/>
  <c r="AL154" i="178"/>
  <c r="AM154" i="178"/>
  <c r="AN154" i="178"/>
  <c r="AO154" i="178"/>
  <c r="AD155" i="178"/>
  <c r="AE155" i="178"/>
  <c r="AF155" i="178"/>
  <c r="AG155" i="178"/>
  <c r="AH155" i="178"/>
  <c r="AI155" i="178"/>
  <c r="AJ155" i="178"/>
  <c r="AK155" i="178"/>
  <c r="AL155" i="178"/>
  <c r="AM155" i="178"/>
  <c r="AN155" i="178"/>
  <c r="AO155" i="178"/>
  <c r="AD156" i="178"/>
  <c r="AE156" i="178"/>
  <c r="AF156" i="178"/>
  <c r="AG156" i="178"/>
  <c r="AH156" i="178"/>
  <c r="AI156" i="178"/>
  <c r="AJ156" i="178"/>
  <c r="AK156" i="178"/>
  <c r="AL156" i="178"/>
  <c r="AM156" i="178"/>
  <c r="AN156" i="178"/>
  <c r="AO156" i="178"/>
  <c r="AD162" i="178"/>
  <c r="AE162" i="178"/>
  <c r="AF162" i="178"/>
  <c r="AG162" i="178"/>
  <c r="AH162" i="178"/>
  <c r="AI162" i="178"/>
  <c r="AJ162" i="178"/>
  <c r="AK162" i="178"/>
  <c r="AL162" i="178"/>
  <c r="AM162" i="178"/>
  <c r="AN162" i="178"/>
  <c r="AO162" i="178"/>
  <c r="AD163" i="178"/>
  <c r="AE163" i="178"/>
  <c r="AF163" i="178"/>
  <c r="AG163" i="178"/>
  <c r="AH163" i="178"/>
  <c r="AI163" i="178"/>
  <c r="AJ163" i="178"/>
  <c r="AK163" i="178"/>
  <c r="AL163" i="178"/>
  <c r="AM163" i="178"/>
  <c r="AN163" i="178"/>
  <c r="AO163" i="178"/>
  <c r="AD164" i="178"/>
  <c r="AE164" i="178"/>
  <c r="AF164" i="178"/>
  <c r="AG164" i="178"/>
  <c r="AH164" i="178"/>
  <c r="AI164" i="178"/>
  <c r="AJ164" i="178"/>
  <c r="AK164" i="178"/>
  <c r="AL164" i="178"/>
  <c r="AM164" i="178"/>
  <c r="AN164" i="178"/>
  <c r="AO164" i="178"/>
  <c r="AD165" i="178"/>
  <c r="AE165" i="178"/>
  <c r="AF165" i="178"/>
  <c r="AG165" i="178"/>
  <c r="AH165" i="178"/>
  <c r="AI165" i="178"/>
  <c r="AJ165" i="178"/>
  <c r="AK165" i="178"/>
  <c r="AL165" i="178"/>
  <c r="AM165" i="178"/>
  <c r="AN165" i="178"/>
  <c r="AO165" i="178"/>
  <c r="AD166" i="178"/>
  <c r="AE166" i="178"/>
  <c r="AF166" i="178"/>
  <c r="AG166" i="178"/>
  <c r="AH166" i="178"/>
  <c r="AI166" i="178"/>
  <c r="AJ166" i="178"/>
  <c r="AK166" i="178"/>
  <c r="AL166" i="178"/>
  <c r="AM166" i="178"/>
  <c r="AN166" i="178"/>
  <c r="AO166" i="178"/>
  <c r="AD167" i="178"/>
  <c r="AE167" i="178"/>
  <c r="AF167" i="178"/>
  <c r="AG167" i="178"/>
  <c r="AH167" i="178"/>
  <c r="AI167" i="178"/>
  <c r="AJ167" i="178"/>
  <c r="AK167" i="178"/>
  <c r="AL167" i="178"/>
  <c r="AM167" i="178"/>
  <c r="AN167" i="178"/>
  <c r="AO167" i="178"/>
  <c r="AD359" i="178"/>
  <c r="AE359" i="178"/>
  <c r="AF359" i="178"/>
  <c r="AG359" i="178"/>
  <c r="AH359" i="178"/>
  <c r="AI359" i="178"/>
  <c r="AJ359" i="178"/>
  <c r="AK359" i="178"/>
  <c r="AL359" i="178"/>
  <c r="AM359" i="178"/>
  <c r="AN359" i="178"/>
  <c r="AO359" i="178"/>
  <c r="AD362" i="178"/>
  <c r="AE362" i="178"/>
  <c r="AF362" i="178"/>
  <c r="AG362" i="178"/>
  <c r="AH362" i="178"/>
  <c r="AI362" i="178"/>
  <c r="AJ362" i="178"/>
  <c r="AK362" i="178"/>
  <c r="AL362" i="178"/>
  <c r="AM362" i="178"/>
  <c r="AN362" i="178"/>
  <c r="AO362" i="178"/>
  <c r="AD172" i="178"/>
  <c r="AE172" i="178"/>
  <c r="AF172" i="178"/>
  <c r="AG172" i="178"/>
  <c r="AH172" i="178"/>
  <c r="AI172" i="178"/>
  <c r="AJ172" i="178"/>
  <c r="AK172" i="178"/>
  <c r="AL172" i="178"/>
  <c r="AM172" i="178"/>
  <c r="AN172" i="178"/>
  <c r="AO172" i="178"/>
  <c r="AD173" i="178"/>
  <c r="AE173" i="178"/>
  <c r="AF173" i="178"/>
  <c r="AG173" i="178"/>
  <c r="AH173" i="178"/>
  <c r="AI173" i="178"/>
  <c r="AJ173" i="178"/>
  <c r="AK173" i="178"/>
  <c r="AL173" i="178"/>
  <c r="AM173" i="178"/>
  <c r="AN173" i="178"/>
  <c r="AO173" i="178"/>
  <c r="AD195" i="178"/>
  <c r="AE195" i="178"/>
  <c r="AF195" i="178"/>
  <c r="AG195" i="178"/>
  <c r="AH195" i="178"/>
  <c r="AI195" i="178"/>
  <c r="AJ195" i="178"/>
  <c r="AK195" i="178"/>
  <c r="AL195" i="178"/>
  <c r="AM195" i="178"/>
  <c r="AN195" i="178"/>
  <c r="AO195" i="178"/>
  <c r="AD196" i="178"/>
  <c r="AE196" i="178"/>
  <c r="AF196" i="178"/>
  <c r="AG196" i="178"/>
  <c r="AH196" i="178"/>
  <c r="AI196" i="178"/>
  <c r="AJ196" i="178"/>
  <c r="AK196" i="178"/>
  <c r="AL196" i="178"/>
  <c r="AM196" i="178"/>
  <c r="AN196" i="178"/>
  <c r="AO196" i="178"/>
  <c r="AD198" i="178"/>
  <c r="AE198" i="178"/>
  <c r="AF198" i="178"/>
  <c r="AG198" i="178"/>
  <c r="AH198" i="178"/>
  <c r="AI198" i="178"/>
  <c r="AJ198" i="178"/>
  <c r="AK198" i="178"/>
  <c r="AL198" i="178"/>
  <c r="AM198" i="178"/>
  <c r="AN198" i="178"/>
  <c r="AO198" i="178"/>
  <c r="AD199" i="178"/>
  <c r="AE199" i="178"/>
  <c r="AF199" i="178"/>
  <c r="AG199" i="178"/>
  <c r="AH199" i="178"/>
  <c r="AI199" i="178"/>
  <c r="AJ199" i="178"/>
  <c r="AK199" i="178"/>
  <c r="AL199" i="178"/>
  <c r="AM199" i="178"/>
  <c r="AN199" i="178"/>
  <c r="AO199" i="178"/>
  <c r="AD392" i="178"/>
  <c r="AE392" i="178"/>
  <c r="AF392" i="178"/>
  <c r="AG392" i="178"/>
  <c r="AH392" i="178"/>
  <c r="AI392" i="178"/>
  <c r="AJ392" i="178"/>
  <c r="AK392" i="178"/>
  <c r="AL392" i="178"/>
  <c r="AM392" i="178"/>
  <c r="AN392" i="178"/>
  <c r="AO392" i="178"/>
  <c r="AD417" i="178"/>
  <c r="AE417" i="178"/>
  <c r="AF417" i="178"/>
  <c r="AG417" i="178"/>
  <c r="AH417" i="178"/>
  <c r="AI417" i="178"/>
  <c r="AJ417" i="178"/>
  <c r="AK417" i="178"/>
  <c r="AL417" i="178"/>
  <c r="AM417" i="178"/>
  <c r="AN417" i="178"/>
  <c r="AO417" i="178"/>
  <c r="AD432" i="178"/>
  <c r="AE432" i="178"/>
  <c r="AF432" i="178"/>
  <c r="AG432" i="178"/>
  <c r="AH432" i="178"/>
  <c r="AI432" i="178"/>
  <c r="AJ432" i="178"/>
  <c r="AK432" i="178"/>
  <c r="AL432" i="178"/>
  <c r="AM432" i="178"/>
  <c r="AN432" i="178"/>
  <c r="AO432" i="178"/>
  <c r="AD433" i="178"/>
  <c r="AE433" i="178"/>
  <c r="AF433" i="178"/>
  <c r="AG433" i="178"/>
  <c r="AH433" i="178"/>
  <c r="AI433" i="178"/>
  <c r="AJ433" i="178"/>
  <c r="AK433" i="178"/>
  <c r="AL433" i="178"/>
  <c r="AM433" i="178"/>
  <c r="AN433" i="178"/>
  <c r="AO433" i="178"/>
  <c r="AD135" i="178"/>
  <c r="AE135" i="178"/>
  <c r="AF135" i="178"/>
  <c r="AG135" i="178"/>
  <c r="AH135" i="178"/>
  <c r="AI135" i="178"/>
  <c r="AJ135" i="178"/>
  <c r="AK135" i="178"/>
  <c r="AL135" i="178"/>
  <c r="AM135" i="178"/>
  <c r="AN135" i="178"/>
  <c r="AO135" i="178"/>
  <c r="AD372" i="178"/>
  <c r="AE372" i="178"/>
  <c r="AF372" i="178"/>
  <c r="AG372" i="178"/>
  <c r="AH372" i="178"/>
  <c r="AI372" i="178"/>
  <c r="AJ372" i="178"/>
  <c r="AK372" i="178"/>
  <c r="AL372" i="178"/>
  <c r="AM372" i="178"/>
  <c r="AN372" i="178"/>
  <c r="AO372" i="178"/>
  <c r="AD373" i="178"/>
  <c r="AE373" i="178"/>
  <c r="AF373" i="178"/>
  <c r="AG373" i="178"/>
  <c r="AH373" i="178"/>
  <c r="AI373" i="178"/>
  <c r="AJ373" i="178"/>
  <c r="AK373" i="178"/>
  <c r="AL373" i="178"/>
  <c r="AM373" i="178"/>
  <c r="AN373" i="178"/>
  <c r="AO373" i="178"/>
  <c r="AD424" i="178"/>
  <c r="AE424" i="178"/>
  <c r="AF424" i="178"/>
  <c r="AG424" i="178"/>
  <c r="AH424" i="178"/>
  <c r="AI424" i="178"/>
  <c r="AJ424" i="178"/>
  <c r="AK424" i="178"/>
  <c r="AL424" i="178"/>
  <c r="AM424" i="178"/>
  <c r="AN424" i="178"/>
  <c r="AO424" i="178"/>
  <c r="AD444" i="178"/>
  <c r="AE444" i="178"/>
  <c r="AF444" i="178"/>
  <c r="AG444" i="178"/>
  <c r="AH444" i="178"/>
  <c r="AI444" i="178"/>
  <c r="AJ444" i="178"/>
  <c r="AK444" i="178"/>
  <c r="AL444" i="178"/>
  <c r="AM444" i="178"/>
  <c r="AN444" i="178"/>
  <c r="AO444" i="178"/>
  <c r="AD365" i="178"/>
  <c r="AE365" i="178"/>
  <c r="AF365" i="178"/>
  <c r="AG365" i="178"/>
  <c r="AH365" i="178"/>
  <c r="AI365" i="178"/>
  <c r="AJ365" i="178"/>
  <c r="AK365" i="178"/>
  <c r="AL365" i="178"/>
  <c r="AM365" i="178"/>
  <c r="AN365" i="178"/>
  <c r="AO365" i="178"/>
  <c r="AD364" i="178"/>
  <c r="AE364" i="178"/>
  <c r="AF364" i="178"/>
  <c r="AG364" i="178"/>
  <c r="AH364" i="178"/>
  <c r="AI364" i="178"/>
  <c r="AJ364" i="178"/>
  <c r="AK364" i="178"/>
  <c r="AL364" i="178"/>
  <c r="AM364" i="178"/>
  <c r="AN364" i="178"/>
  <c r="AO364" i="178"/>
  <c r="AD366" i="178"/>
  <c r="AE366" i="178"/>
  <c r="AF366" i="178"/>
  <c r="AG366" i="178"/>
  <c r="AH366" i="178"/>
  <c r="AI366" i="178"/>
  <c r="AJ366" i="178"/>
  <c r="AK366" i="178"/>
  <c r="AL366" i="178"/>
  <c r="AM366" i="178"/>
  <c r="AN366" i="178"/>
  <c r="AO366" i="178"/>
  <c r="T434" i="178"/>
  <c r="W434" i="178"/>
  <c r="T134" i="178"/>
  <c r="V134" i="178" s="1"/>
  <c r="W134" i="178"/>
  <c r="T425" i="178"/>
  <c r="W425" i="178"/>
  <c r="T147" i="178"/>
  <c r="U147" i="178" s="1"/>
  <c r="W147" i="178"/>
  <c r="T207" i="178"/>
  <c r="U207" i="178" s="1"/>
  <c r="W207" i="178"/>
  <c r="T208" i="178"/>
  <c r="W208" i="178"/>
  <c r="T279" i="178"/>
  <c r="U279" i="178" s="1"/>
  <c r="W279" i="178"/>
  <c r="T8" i="178"/>
  <c r="W8" i="178"/>
  <c r="T10" i="178"/>
  <c r="U10" i="178" s="1"/>
  <c r="W10" i="178"/>
  <c r="T4" i="178"/>
  <c r="W4" i="178"/>
  <c r="T5" i="178"/>
  <c r="U5" i="178" s="1"/>
  <c r="W5" i="178"/>
  <c r="T9" i="178"/>
  <c r="U9" i="178" s="1"/>
  <c r="W9" i="178"/>
  <c r="T6" i="178"/>
  <c r="U6" i="178" s="1"/>
  <c r="W6" i="178"/>
  <c r="T11" i="178"/>
  <c r="W11" i="178"/>
  <c r="T7" i="178"/>
  <c r="U7" i="178" s="1"/>
  <c r="W7" i="178"/>
  <c r="T22" i="178"/>
  <c r="W22" i="178"/>
  <c r="T19" i="178"/>
  <c r="U19" i="178" s="1"/>
  <c r="W19" i="178"/>
  <c r="T18" i="178"/>
  <c r="U18" i="178" s="1"/>
  <c r="W18" i="178"/>
  <c r="T20" i="178"/>
  <c r="W20" i="178"/>
  <c r="T21" i="178"/>
  <c r="U21" i="178" s="1"/>
  <c r="W21" i="178"/>
  <c r="T27" i="178"/>
  <c r="U27" i="178" s="1"/>
  <c r="W27" i="178"/>
  <c r="T23" i="178"/>
  <c r="U23" i="178" s="1"/>
  <c r="W23" i="178"/>
  <c r="T26" i="178"/>
  <c r="W26" i="178"/>
  <c r="T24" i="178"/>
  <c r="W24" i="178"/>
  <c r="T25" i="178"/>
  <c r="W25" i="178"/>
  <c r="T28" i="178"/>
  <c r="W28" i="178"/>
  <c r="T30" i="178"/>
  <c r="U30" i="178" s="1"/>
  <c r="W30" i="178"/>
  <c r="T31" i="178"/>
  <c r="U31" i="178" s="1"/>
  <c r="W31" i="178"/>
  <c r="T32" i="178"/>
  <c r="U32" i="178" s="1"/>
  <c r="W32" i="178"/>
  <c r="T33" i="178"/>
  <c r="U33" i="178" s="1"/>
  <c r="W33" i="178"/>
  <c r="T34" i="178"/>
  <c r="U34" i="178" s="1"/>
  <c r="W34" i="178"/>
  <c r="T38" i="178"/>
  <c r="W38" i="178"/>
  <c r="T39" i="178"/>
  <c r="U39" i="178" s="1"/>
  <c r="W39" i="178"/>
  <c r="T40" i="178"/>
  <c r="W40" i="178"/>
  <c r="T41" i="178"/>
  <c r="U41" i="178" s="1"/>
  <c r="W41" i="178"/>
  <c r="T42" i="178"/>
  <c r="W42" i="178"/>
  <c r="T43" i="178"/>
  <c r="W43" i="178"/>
  <c r="T46" i="178"/>
  <c r="W46" i="178"/>
  <c r="T47" i="178"/>
  <c r="W47" i="178"/>
  <c r="T51" i="178"/>
  <c r="U51" i="178" s="1"/>
  <c r="W51" i="178"/>
  <c r="T50" i="178"/>
  <c r="W50" i="178"/>
  <c r="T53" i="178"/>
  <c r="U53" i="178" s="1"/>
  <c r="W53" i="178"/>
  <c r="T52" i="178"/>
  <c r="W52" i="178"/>
  <c r="T60" i="178"/>
  <c r="U60" i="178" s="1"/>
  <c r="W60" i="178"/>
  <c r="T63" i="178"/>
  <c r="U63" i="178" s="1"/>
  <c r="W63" i="178"/>
  <c r="T61" i="178"/>
  <c r="W61" i="178"/>
  <c r="T62" i="178"/>
  <c r="W62" i="178"/>
  <c r="T64" i="178"/>
  <c r="W64" i="178"/>
  <c r="T71" i="178"/>
  <c r="W71" i="178"/>
  <c r="T70" i="178"/>
  <c r="U70" i="178" s="1"/>
  <c r="W70" i="178"/>
  <c r="T90" i="178"/>
  <c r="U90" i="178" s="1"/>
  <c r="W90" i="178"/>
  <c r="T91" i="178"/>
  <c r="W91" i="178"/>
  <c r="T86" i="178"/>
  <c r="U86" i="178" s="1"/>
  <c r="W86" i="178"/>
  <c r="T87" i="178"/>
  <c r="W87" i="178"/>
  <c r="T88" i="178"/>
  <c r="U88" i="178" s="1"/>
  <c r="W88" i="178"/>
  <c r="T89" i="178"/>
  <c r="U89" i="178" s="1"/>
  <c r="W89" i="178"/>
  <c r="T97" i="178"/>
  <c r="U97" i="178" s="1"/>
  <c r="W97" i="178"/>
  <c r="T98" i="178"/>
  <c r="W98" i="178"/>
  <c r="T93" i="178"/>
  <c r="W93" i="178"/>
  <c r="T94" i="178"/>
  <c r="W94" i="178"/>
  <c r="T95" i="178"/>
  <c r="U95" i="178" s="1"/>
  <c r="W95" i="178"/>
  <c r="T96" i="178"/>
  <c r="W96" i="178"/>
  <c r="T101" i="178"/>
  <c r="U101" i="178" s="1"/>
  <c r="W101" i="178"/>
  <c r="T107" i="178"/>
  <c r="U107" i="178" s="1"/>
  <c r="W107" i="178"/>
  <c r="T108" i="178"/>
  <c r="U108" i="178" s="1"/>
  <c r="W108" i="178"/>
  <c r="T102" i="178"/>
  <c r="W102" i="178"/>
  <c r="T103" i="178"/>
  <c r="U103" i="178" s="1"/>
  <c r="W103" i="178"/>
  <c r="T104" i="178"/>
  <c r="W104" i="178"/>
  <c r="T105" i="178"/>
  <c r="U105" i="178" s="1"/>
  <c r="W105" i="178"/>
  <c r="T109" i="178"/>
  <c r="W109" i="178"/>
  <c r="T106" i="178"/>
  <c r="U106" i="178" s="1"/>
  <c r="W106" i="178"/>
  <c r="T111" i="178"/>
  <c r="U111" i="178" s="1"/>
  <c r="W111" i="178"/>
  <c r="T116" i="178"/>
  <c r="U116" i="178" s="1"/>
  <c r="W116" i="178"/>
  <c r="T117" i="178"/>
  <c r="W117" i="178"/>
  <c r="T112" i="178"/>
  <c r="W112" i="178"/>
  <c r="T113" i="178"/>
  <c r="W113" i="178"/>
  <c r="T114" i="178"/>
  <c r="U114" i="178" s="1"/>
  <c r="W114" i="178"/>
  <c r="T115" i="178"/>
  <c r="W115" i="178"/>
  <c r="T142" i="178"/>
  <c r="U142" i="178" s="1"/>
  <c r="W142" i="178"/>
  <c r="T143" i="178"/>
  <c r="W143" i="178"/>
  <c r="T149" i="178"/>
  <c r="V149" i="178" s="1"/>
  <c r="W149" i="178"/>
  <c r="T150" i="178"/>
  <c r="W150" i="178"/>
  <c r="T211" i="178"/>
  <c r="W211" i="178"/>
  <c r="T209" i="178"/>
  <c r="W209" i="178"/>
  <c r="T210" i="178"/>
  <c r="V210" i="178" s="1"/>
  <c r="W210" i="178"/>
  <c r="T214" i="178"/>
  <c r="V214" i="178" s="1"/>
  <c r="W214" i="178"/>
  <c r="T215" i="178"/>
  <c r="W215" i="178"/>
  <c r="T237" i="178"/>
  <c r="V237" i="178" s="1"/>
  <c r="W237" i="178"/>
  <c r="T238" i="178"/>
  <c r="W238" i="178"/>
  <c r="T240" i="178"/>
  <c r="V240" i="178" s="1"/>
  <c r="W240" i="178"/>
  <c r="T241" i="178"/>
  <c r="V241" i="178" s="1"/>
  <c r="W241" i="178"/>
  <c r="T248" i="178"/>
  <c r="V248" i="178" s="1"/>
  <c r="W248" i="178"/>
  <c r="T245" i="178"/>
  <c r="W245" i="178"/>
  <c r="T246" i="178"/>
  <c r="V246" i="178" s="1"/>
  <c r="W246" i="178"/>
  <c r="T247" i="178"/>
  <c r="W247" i="178"/>
  <c r="T255" i="178"/>
  <c r="V255" i="178" s="1"/>
  <c r="W255" i="178"/>
  <c r="T253" i="178"/>
  <c r="V253" i="178" s="1"/>
  <c r="W253" i="178"/>
  <c r="T254" i="178"/>
  <c r="W254" i="178"/>
  <c r="T259" i="178"/>
  <c r="W259" i="178"/>
  <c r="T260" i="178"/>
  <c r="V260" i="178" s="1"/>
  <c r="W260" i="178"/>
  <c r="T269" i="178"/>
  <c r="W269" i="178"/>
  <c r="T272" i="178"/>
  <c r="W272" i="178"/>
  <c r="T270" i="178"/>
  <c r="V270" i="178" s="1"/>
  <c r="W270" i="178"/>
  <c r="T271" i="178"/>
  <c r="W271" i="178"/>
  <c r="T273" i="178"/>
  <c r="V273" i="178" s="1"/>
  <c r="W273" i="178"/>
  <c r="T277" i="178"/>
  <c r="V277" i="178" s="1"/>
  <c r="W277" i="178"/>
  <c r="T278" i="178"/>
  <c r="V278" i="178" s="1"/>
  <c r="W278" i="178"/>
  <c r="T274" i="178"/>
  <c r="W274" i="178"/>
  <c r="T275" i="178"/>
  <c r="W275" i="178"/>
  <c r="T276" i="178"/>
  <c r="W276" i="178"/>
  <c r="T287" i="178"/>
  <c r="V287" i="178" s="1"/>
  <c r="W287" i="178"/>
  <c r="T284" i="178"/>
  <c r="W284" i="178"/>
  <c r="T282" i="178"/>
  <c r="V282" i="178" s="1"/>
  <c r="W282" i="178"/>
  <c r="T285" i="178"/>
  <c r="W285" i="178"/>
  <c r="T286" i="178"/>
  <c r="V286" i="178" s="1"/>
  <c r="W286" i="178"/>
  <c r="T288" i="178"/>
  <c r="W288" i="178"/>
  <c r="T289" i="178"/>
  <c r="V289" i="178" s="1"/>
  <c r="W289" i="178"/>
  <c r="T300" i="178"/>
  <c r="W300" i="178"/>
  <c r="T302" i="178"/>
  <c r="V302" i="178" s="1"/>
  <c r="W302" i="178"/>
  <c r="T303" i="178"/>
  <c r="V303" i="178" s="1"/>
  <c r="W303" i="178"/>
  <c r="T298" i="178"/>
  <c r="V298" i="178" s="1"/>
  <c r="W298" i="178"/>
  <c r="T301" i="178"/>
  <c r="W301" i="178"/>
  <c r="T305" i="178"/>
  <c r="V305" i="178" s="1"/>
  <c r="W305" i="178"/>
  <c r="T308" i="178"/>
  <c r="V308" i="178" s="1"/>
  <c r="W308" i="178"/>
  <c r="T306" i="178"/>
  <c r="V306" i="178" s="1"/>
  <c r="W306" i="178"/>
  <c r="T307" i="178"/>
  <c r="W307" i="178"/>
  <c r="T320" i="178"/>
  <c r="V320" i="178" s="1"/>
  <c r="W320" i="178"/>
  <c r="T318" i="178"/>
  <c r="W318" i="178"/>
  <c r="T319" i="178"/>
  <c r="V319" i="178" s="1"/>
  <c r="W319" i="178"/>
  <c r="T321" i="178"/>
  <c r="V321" i="178" s="1"/>
  <c r="W321" i="178"/>
  <c r="T322" i="178"/>
  <c r="V322" i="178" s="1"/>
  <c r="W322" i="178"/>
  <c r="T325" i="178"/>
  <c r="W325" i="178"/>
  <c r="T323" i="178"/>
  <c r="W323" i="178"/>
  <c r="T324" i="178"/>
  <c r="W324" i="178"/>
  <c r="T328" i="178"/>
  <c r="V328" i="178" s="1"/>
  <c r="W328" i="178"/>
  <c r="T326" i="178"/>
  <c r="W326" i="178"/>
  <c r="T327" i="178"/>
  <c r="V327" i="178" s="1"/>
  <c r="W327" i="178"/>
  <c r="T331" i="178"/>
  <c r="W331" i="178"/>
  <c r="T329" i="178"/>
  <c r="V329" i="178" s="1"/>
  <c r="W329" i="178"/>
  <c r="T330" i="178"/>
  <c r="W330" i="178"/>
  <c r="T340" i="178"/>
  <c r="V340" i="178" s="1"/>
  <c r="W340" i="178"/>
  <c r="T338" i="178"/>
  <c r="W338" i="178"/>
  <c r="T339" i="178"/>
  <c r="V339" i="178" s="1"/>
  <c r="W339" i="178"/>
  <c r="T440" i="178"/>
  <c r="V440" i="178" s="1"/>
  <c r="W440" i="178"/>
  <c r="T441" i="178"/>
  <c r="V441" i="178" s="1"/>
  <c r="W441" i="178"/>
  <c r="T442" i="178"/>
  <c r="W442" i="178"/>
  <c r="T446" i="178"/>
  <c r="V446" i="178" s="1"/>
  <c r="W446" i="178"/>
  <c r="T447" i="178"/>
  <c r="V447" i="178" s="1"/>
  <c r="W447" i="178"/>
  <c r="T449" i="178"/>
  <c r="V449" i="178" s="1"/>
  <c r="W449" i="178"/>
  <c r="T450" i="178"/>
  <c r="W450" i="178"/>
  <c r="T452" i="178"/>
  <c r="V452" i="178" s="1"/>
  <c r="W452" i="178"/>
  <c r="T453" i="178"/>
  <c r="V453" i="178" s="1"/>
  <c r="W453" i="178"/>
  <c r="T456" i="178"/>
  <c r="W456" i="178"/>
  <c r="T455" i="178"/>
  <c r="V455" i="178" s="1"/>
  <c r="W455" i="178"/>
  <c r="T457" i="178"/>
  <c r="V457" i="178" s="1"/>
  <c r="W457" i="178"/>
  <c r="T459" i="178"/>
  <c r="V459" i="178" s="1"/>
  <c r="W459" i="178"/>
  <c r="T460" i="178"/>
  <c r="V460" i="178" s="1"/>
  <c r="W460" i="178"/>
  <c r="T462" i="178"/>
  <c r="W462" i="178"/>
  <c r="T463" i="178"/>
  <c r="W463" i="178"/>
  <c r="T469" i="178"/>
  <c r="V469" i="178" s="1"/>
  <c r="W469" i="178"/>
  <c r="T470" i="178"/>
  <c r="W470" i="178"/>
  <c r="T471" i="178"/>
  <c r="V471" i="178" s="1"/>
  <c r="W471" i="178"/>
  <c r="T154" i="178"/>
  <c r="U154" i="178" s="1"/>
  <c r="W154" i="178"/>
  <c r="T155" i="178"/>
  <c r="U155" i="178" s="1"/>
  <c r="W155" i="178"/>
  <c r="T156" i="178"/>
  <c r="W156" i="178"/>
  <c r="T162" i="178"/>
  <c r="U162" i="178" s="1"/>
  <c r="W162" i="178"/>
  <c r="T163" i="178"/>
  <c r="U163" i="178" s="1"/>
  <c r="W163" i="178"/>
  <c r="T164" i="178"/>
  <c r="W164" i="178"/>
  <c r="T165" i="178"/>
  <c r="U165" i="178" s="1"/>
  <c r="W165" i="178"/>
  <c r="T166" i="178"/>
  <c r="U166" i="178" s="1"/>
  <c r="W166" i="178"/>
  <c r="T167" i="178"/>
  <c r="U167" i="178" s="1"/>
  <c r="W167" i="178"/>
  <c r="T359" i="178"/>
  <c r="W359" i="178"/>
  <c r="T362" i="178"/>
  <c r="U362" i="178" s="1"/>
  <c r="W362" i="178"/>
  <c r="T172" i="178"/>
  <c r="W172" i="178"/>
  <c r="T173" i="178"/>
  <c r="U173" i="178" s="1"/>
  <c r="W173" i="178"/>
  <c r="T195" i="178"/>
  <c r="U195" i="178" s="1"/>
  <c r="W195" i="178"/>
  <c r="T196" i="178"/>
  <c r="U196" i="178" s="1"/>
  <c r="W196" i="178"/>
  <c r="T198" i="178"/>
  <c r="U198" i="178" s="1"/>
  <c r="W198" i="178"/>
  <c r="T199" i="178"/>
  <c r="W199" i="178"/>
  <c r="T392" i="178"/>
  <c r="U392" i="178" s="1"/>
  <c r="W392" i="178"/>
  <c r="T417" i="178"/>
  <c r="U417" i="178" s="1"/>
  <c r="W417" i="178"/>
  <c r="T432" i="178"/>
  <c r="U432" i="178" s="1"/>
  <c r="W432" i="178"/>
  <c r="T433" i="178"/>
  <c r="U433" i="178" s="1"/>
  <c r="W433" i="178"/>
  <c r="T135" i="178"/>
  <c r="U135" i="178" s="1"/>
  <c r="W135" i="178"/>
  <c r="T372" i="178"/>
  <c r="W372" i="178"/>
  <c r="T373" i="178"/>
  <c r="U373" i="178" s="1"/>
  <c r="W373" i="178"/>
  <c r="T424" i="178"/>
  <c r="W424" i="178"/>
  <c r="T444" i="178"/>
  <c r="U444" i="178" s="1"/>
  <c r="W444" i="178"/>
  <c r="T365" i="178"/>
  <c r="W365" i="178"/>
  <c r="T364" i="178"/>
  <c r="W364" i="178"/>
  <c r="T366" i="178"/>
  <c r="U366" i="178" s="1"/>
  <c r="W366" i="178"/>
  <c r="S434" i="178"/>
  <c r="S134" i="178"/>
  <c r="S425" i="178"/>
  <c r="S147" i="178"/>
  <c r="S207" i="178"/>
  <c r="S208" i="178"/>
  <c r="S279" i="178"/>
  <c r="S8" i="178"/>
  <c r="S10" i="178"/>
  <c r="S4" i="178"/>
  <c r="S5" i="178"/>
  <c r="S9" i="178"/>
  <c r="S6" i="178"/>
  <c r="S11" i="178"/>
  <c r="S7" i="178"/>
  <c r="S22" i="178"/>
  <c r="S19" i="178"/>
  <c r="S18" i="178"/>
  <c r="S20" i="178"/>
  <c r="S21" i="178"/>
  <c r="S27" i="178"/>
  <c r="S23" i="178"/>
  <c r="S26" i="178"/>
  <c r="S24" i="178"/>
  <c r="S25" i="178"/>
  <c r="S28" i="178"/>
  <c r="S30" i="178"/>
  <c r="S31" i="178"/>
  <c r="S32" i="178"/>
  <c r="S33" i="178"/>
  <c r="S34" i="178"/>
  <c r="S38" i="178"/>
  <c r="S39" i="178"/>
  <c r="S40" i="178"/>
  <c r="S41" i="178"/>
  <c r="S42" i="178"/>
  <c r="S43" i="178"/>
  <c r="S46" i="178"/>
  <c r="S47" i="178"/>
  <c r="S51" i="178"/>
  <c r="S50" i="178"/>
  <c r="S53" i="178"/>
  <c r="S52" i="178"/>
  <c r="S60" i="178"/>
  <c r="S63" i="178"/>
  <c r="S61" i="178"/>
  <c r="S62" i="178"/>
  <c r="S64" i="178"/>
  <c r="S71" i="178"/>
  <c r="S70" i="178"/>
  <c r="S90" i="178"/>
  <c r="S91" i="178"/>
  <c r="S86" i="178"/>
  <c r="S87" i="178"/>
  <c r="S88" i="178"/>
  <c r="S89" i="178"/>
  <c r="S97" i="178"/>
  <c r="S98" i="178"/>
  <c r="S93" i="178"/>
  <c r="S94" i="178"/>
  <c r="S95" i="178"/>
  <c r="S96" i="178"/>
  <c r="S101" i="178"/>
  <c r="S107" i="178"/>
  <c r="S108" i="178"/>
  <c r="S102" i="178"/>
  <c r="S103" i="178"/>
  <c r="S104" i="178"/>
  <c r="S105" i="178"/>
  <c r="S109" i="178"/>
  <c r="S106" i="178"/>
  <c r="S111" i="178"/>
  <c r="S116" i="178"/>
  <c r="S117" i="178"/>
  <c r="S112" i="178"/>
  <c r="S113" i="178"/>
  <c r="S114" i="178"/>
  <c r="S115" i="178"/>
  <c r="S142" i="178"/>
  <c r="S143" i="178"/>
  <c r="S149" i="178"/>
  <c r="S150" i="178"/>
  <c r="S211" i="178"/>
  <c r="S209" i="178"/>
  <c r="S210" i="178"/>
  <c r="S214" i="178"/>
  <c r="S215" i="178"/>
  <c r="S237" i="178"/>
  <c r="S238" i="178"/>
  <c r="S240" i="178"/>
  <c r="S241" i="178"/>
  <c r="S248" i="178"/>
  <c r="S245" i="178"/>
  <c r="S246" i="178"/>
  <c r="S247" i="178"/>
  <c r="S255" i="178"/>
  <c r="S253" i="178"/>
  <c r="S254" i="178"/>
  <c r="S259" i="178"/>
  <c r="S260" i="178"/>
  <c r="S269" i="178"/>
  <c r="S272" i="178"/>
  <c r="S270" i="178"/>
  <c r="S271" i="178"/>
  <c r="S273" i="178"/>
  <c r="S277" i="178"/>
  <c r="S278" i="178"/>
  <c r="S274" i="178"/>
  <c r="S275" i="178"/>
  <c r="S276" i="178"/>
  <c r="S287" i="178"/>
  <c r="S284" i="178"/>
  <c r="S282" i="178"/>
  <c r="S285" i="178"/>
  <c r="S286" i="178"/>
  <c r="S288" i="178"/>
  <c r="S289" i="178"/>
  <c r="S300" i="178"/>
  <c r="S302" i="178"/>
  <c r="S303" i="178"/>
  <c r="S298" i="178"/>
  <c r="S301" i="178"/>
  <c r="S305" i="178"/>
  <c r="S308" i="178"/>
  <c r="S306" i="178"/>
  <c r="S307" i="178"/>
  <c r="S320" i="178"/>
  <c r="S318" i="178"/>
  <c r="S319" i="178"/>
  <c r="S321" i="178"/>
  <c r="S322" i="178"/>
  <c r="S325" i="178"/>
  <c r="S323" i="178"/>
  <c r="S324" i="178"/>
  <c r="S328" i="178"/>
  <c r="S326" i="178"/>
  <c r="S327" i="178"/>
  <c r="S331" i="178"/>
  <c r="S329" i="178"/>
  <c r="S330" i="178"/>
  <c r="S340" i="178"/>
  <c r="S338" i="178"/>
  <c r="S339" i="178"/>
  <c r="S440" i="178"/>
  <c r="S441" i="178"/>
  <c r="S442" i="178"/>
  <c r="S446" i="178"/>
  <c r="S447" i="178"/>
  <c r="S449" i="178"/>
  <c r="S450" i="178"/>
  <c r="S452" i="178"/>
  <c r="S453" i="178"/>
  <c r="S456" i="178"/>
  <c r="S455" i="178"/>
  <c r="S457" i="178"/>
  <c r="S459" i="178"/>
  <c r="S460" i="178"/>
  <c r="S462" i="178"/>
  <c r="S463" i="178"/>
  <c r="S469" i="178"/>
  <c r="S470" i="178"/>
  <c r="S471" i="178"/>
  <c r="S154" i="178"/>
  <c r="S155" i="178"/>
  <c r="S156" i="178"/>
  <c r="S162" i="178"/>
  <c r="S163" i="178"/>
  <c r="S164" i="178"/>
  <c r="S165" i="178"/>
  <c r="S166" i="178"/>
  <c r="S167" i="178"/>
  <c r="S359" i="178"/>
  <c r="S362" i="178"/>
  <c r="S172" i="178"/>
  <c r="S173" i="178"/>
  <c r="S195" i="178"/>
  <c r="S196" i="178"/>
  <c r="S198" i="178"/>
  <c r="S199" i="178"/>
  <c r="S392" i="178"/>
  <c r="S417" i="178"/>
  <c r="S432" i="178"/>
  <c r="S433" i="178"/>
  <c r="S135" i="178"/>
  <c r="S372" i="178"/>
  <c r="S365" i="178"/>
  <c r="S364" i="178"/>
  <c r="AO139" i="178"/>
  <c r="AN139" i="178"/>
  <c r="AM139" i="178"/>
  <c r="AL139" i="178"/>
  <c r="AK139" i="178"/>
  <c r="AJ139" i="178"/>
  <c r="AI139" i="178"/>
  <c r="AH139" i="178"/>
  <c r="AG139" i="178"/>
  <c r="AF139" i="178"/>
  <c r="AE139" i="178"/>
  <c r="AD139" i="178"/>
  <c r="W139" i="178"/>
  <c r="T139" i="178"/>
  <c r="V139" i="178" s="1"/>
  <c r="B139" i="178"/>
  <c r="AO370" i="178"/>
  <c r="AN370" i="178"/>
  <c r="AM370" i="178"/>
  <c r="AL370" i="178"/>
  <c r="AK370" i="178"/>
  <c r="AJ370" i="178"/>
  <c r="AI370" i="178"/>
  <c r="AH370" i="178"/>
  <c r="AG370" i="178"/>
  <c r="AF370" i="178"/>
  <c r="AE370" i="178"/>
  <c r="AD370" i="178"/>
  <c r="W370" i="178"/>
  <c r="T370" i="178"/>
  <c r="U370" i="178" s="1"/>
  <c r="B370" i="178"/>
  <c r="B421" i="178"/>
  <c r="AO160" i="178"/>
  <c r="AN160" i="178"/>
  <c r="AM160" i="178"/>
  <c r="AL160" i="178"/>
  <c r="AK160" i="178"/>
  <c r="AJ160" i="178"/>
  <c r="AI160" i="178"/>
  <c r="AH160" i="178"/>
  <c r="AG160" i="178"/>
  <c r="AF160" i="178"/>
  <c r="AE160" i="178"/>
  <c r="AD160" i="178"/>
  <c r="W160" i="178"/>
  <c r="T160" i="178"/>
  <c r="V160" i="178" s="1"/>
  <c r="S160" i="178"/>
  <c r="B160" i="178"/>
  <c r="B158" i="178"/>
  <c r="B395" i="178"/>
  <c r="B264" i="178"/>
  <c r="B261" i="178"/>
  <c r="B258" i="178"/>
  <c r="AO481" i="178"/>
  <c r="AN481" i="178"/>
  <c r="AM481" i="178"/>
  <c r="AL481" i="178"/>
  <c r="AK481" i="178"/>
  <c r="AJ481" i="178"/>
  <c r="AI481" i="178"/>
  <c r="AH481" i="178"/>
  <c r="AG481" i="178"/>
  <c r="AF481" i="178"/>
  <c r="AE481" i="178"/>
  <c r="AD481" i="178"/>
  <c r="W481" i="178"/>
  <c r="T481" i="178"/>
  <c r="U481" i="178" s="1"/>
  <c r="B481" i="178"/>
  <c r="AO472" i="178"/>
  <c r="AN472" i="178"/>
  <c r="AM472" i="178"/>
  <c r="AL472" i="178"/>
  <c r="AK472" i="178"/>
  <c r="AJ472" i="178"/>
  <c r="AI472" i="178"/>
  <c r="AH472" i="178"/>
  <c r="AG472" i="178"/>
  <c r="AF472" i="178"/>
  <c r="AE472" i="178"/>
  <c r="AD472" i="178"/>
  <c r="W472" i="178"/>
  <c r="T472" i="178"/>
  <c r="U472" i="178" s="1"/>
  <c r="B472" i="178"/>
  <c r="AO468" i="178"/>
  <c r="AN468" i="178"/>
  <c r="AM468" i="178"/>
  <c r="AL468" i="178"/>
  <c r="AK468" i="178"/>
  <c r="AJ468" i="178"/>
  <c r="AI468" i="178"/>
  <c r="AH468" i="178"/>
  <c r="AG468" i="178"/>
  <c r="AF468" i="178"/>
  <c r="AE468" i="178"/>
  <c r="AD468" i="178"/>
  <c r="W468" i="178"/>
  <c r="T468" i="178"/>
  <c r="V468" i="178" s="1"/>
  <c r="B468" i="178"/>
  <c r="AO464" i="178"/>
  <c r="AN464" i="178"/>
  <c r="AM464" i="178"/>
  <c r="AL464" i="178"/>
  <c r="AK464" i="178"/>
  <c r="AJ464" i="178"/>
  <c r="AI464" i="178"/>
  <c r="AH464" i="178"/>
  <c r="AG464" i="178"/>
  <c r="AF464" i="178"/>
  <c r="AE464" i="178"/>
  <c r="AD464" i="178"/>
  <c r="W464" i="178"/>
  <c r="T464" i="178"/>
  <c r="U464" i="178" s="1"/>
  <c r="B464" i="178"/>
  <c r="AO461" i="178"/>
  <c r="AN461" i="178"/>
  <c r="AM461" i="178"/>
  <c r="AL461" i="178"/>
  <c r="AK461" i="178"/>
  <c r="AJ461" i="178"/>
  <c r="AI461" i="178"/>
  <c r="AH461" i="178"/>
  <c r="AG461" i="178"/>
  <c r="AF461" i="178"/>
  <c r="AE461" i="178"/>
  <c r="AD461" i="178"/>
  <c r="W461" i="178"/>
  <c r="T461" i="178"/>
  <c r="V461" i="178" s="1"/>
  <c r="B461" i="178"/>
  <c r="AO458" i="178"/>
  <c r="AN458" i="178"/>
  <c r="AM458" i="178"/>
  <c r="AL458" i="178"/>
  <c r="AK458" i="178"/>
  <c r="AJ458" i="178"/>
  <c r="AI458" i="178"/>
  <c r="AH458" i="178"/>
  <c r="AG458" i="178"/>
  <c r="AF458" i="178"/>
  <c r="AE458" i="178"/>
  <c r="AD458" i="178"/>
  <c r="W458" i="178"/>
  <c r="T458" i="178"/>
  <c r="U458" i="178" s="1"/>
  <c r="B458" i="178"/>
  <c r="AO454" i="178"/>
  <c r="AN454" i="178"/>
  <c r="AM454" i="178"/>
  <c r="AL454" i="178"/>
  <c r="AK454" i="178"/>
  <c r="AJ454" i="178"/>
  <c r="AI454" i="178"/>
  <c r="AH454" i="178"/>
  <c r="AG454" i="178"/>
  <c r="AF454" i="178"/>
  <c r="AE454" i="178"/>
  <c r="AD454" i="178"/>
  <c r="W454" i="178"/>
  <c r="T454" i="178"/>
  <c r="V454" i="178" s="1"/>
  <c r="B454" i="178"/>
  <c r="AO451" i="178"/>
  <c r="AN451" i="178"/>
  <c r="AM451" i="178"/>
  <c r="AL451" i="178"/>
  <c r="AK451" i="178"/>
  <c r="AJ451" i="178"/>
  <c r="AI451" i="178"/>
  <c r="AH451" i="178"/>
  <c r="AG451" i="178"/>
  <c r="AF451" i="178"/>
  <c r="AE451" i="178"/>
  <c r="AD451" i="178"/>
  <c r="W451" i="178"/>
  <c r="T451" i="178"/>
  <c r="V451" i="178" s="1"/>
  <c r="B451" i="178"/>
  <c r="AO448" i="178"/>
  <c r="AN448" i="178"/>
  <c r="AM448" i="178"/>
  <c r="AL448" i="178"/>
  <c r="AK448" i="178"/>
  <c r="AJ448" i="178"/>
  <c r="AI448" i="178"/>
  <c r="AH448" i="178"/>
  <c r="AG448" i="178"/>
  <c r="AF448" i="178"/>
  <c r="AE448" i="178"/>
  <c r="AD448" i="178"/>
  <c r="W448" i="178"/>
  <c r="T448" i="178"/>
  <c r="V448" i="178" s="1"/>
  <c r="B448" i="178"/>
  <c r="AO445" i="178"/>
  <c r="AN445" i="178"/>
  <c r="AM445" i="178"/>
  <c r="AL445" i="178"/>
  <c r="AK445" i="178"/>
  <c r="AJ445" i="178"/>
  <c r="AI445" i="178"/>
  <c r="AH445" i="178"/>
  <c r="AG445" i="178"/>
  <c r="AF445" i="178"/>
  <c r="AE445" i="178"/>
  <c r="AD445" i="178"/>
  <c r="W445" i="178"/>
  <c r="T445" i="178"/>
  <c r="V445" i="178" s="1"/>
  <c r="B445" i="178"/>
  <c r="AO439" i="178"/>
  <c r="AN439" i="178"/>
  <c r="AM439" i="178"/>
  <c r="AL439" i="178"/>
  <c r="AK439" i="178"/>
  <c r="AJ439" i="178"/>
  <c r="AI439" i="178"/>
  <c r="AH439" i="178"/>
  <c r="AG439" i="178"/>
  <c r="AF439" i="178"/>
  <c r="AE439" i="178"/>
  <c r="AD439" i="178"/>
  <c r="W439" i="178"/>
  <c r="T439" i="178"/>
  <c r="U439" i="178" s="1"/>
  <c r="B439" i="178"/>
  <c r="B422" i="178"/>
  <c r="B45" i="178"/>
  <c r="B228" i="178"/>
  <c r="B397" i="178"/>
  <c r="B358" i="178"/>
  <c r="B36" i="178"/>
  <c r="B225" i="178"/>
  <c r="AO355" i="178"/>
  <c r="AN355" i="178"/>
  <c r="AM355" i="178"/>
  <c r="AL355" i="178"/>
  <c r="AK355" i="178"/>
  <c r="AJ355" i="178"/>
  <c r="AI355" i="178"/>
  <c r="AH355" i="178"/>
  <c r="AG355" i="178"/>
  <c r="AF355" i="178"/>
  <c r="AE355" i="178"/>
  <c r="AD355" i="178"/>
  <c r="W355" i="178"/>
  <c r="T355" i="178"/>
  <c r="U355" i="178" s="1"/>
  <c r="S355" i="178"/>
  <c r="B355" i="178"/>
  <c r="AO354" i="178"/>
  <c r="AN354" i="178"/>
  <c r="AM354" i="178"/>
  <c r="AL354" i="178"/>
  <c r="AK354" i="178"/>
  <c r="AJ354" i="178"/>
  <c r="AI354" i="178"/>
  <c r="AH354" i="178"/>
  <c r="AG354" i="178"/>
  <c r="AF354" i="178"/>
  <c r="AE354" i="178"/>
  <c r="AD354" i="178"/>
  <c r="W354" i="178"/>
  <c r="T354" i="178"/>
  <c r="U354" i="178" s="1"/>
  <c r="S354" i="178"/>
  <c r="B354" i="178"/>
  <c r="AO353" i="178"/>
  <c r="AN353" i="178"/>
  <c r="AM353" i="178"/>
  <c r="AL353" i="178"/>
  <c r="AK353" i="178"/>
  <c r="AJ353" i="178"/>
  <c r="AI353" i="178"/>
  <c r="AH353" i="178"/>
  <c r="AG353" i="178"/>
  <c r="AF353" i="178"/>
  <c r="AE353" i="178"/>
  <c r="AD353" i="178"/>
  <c r="W353" i="178"/>
  <c r="T353" i="178"/>
  <c r="U353" i="178" s="1"/>
  <c r="B353" i="178"/>
  <c r="AO352" i="178"/>
  <c r="AN352" i="178"/>
  <c r="AM352" i="178"/>
  <c r="AL352" i="178"/>
  <c r="AK352" i="178"/>
  <c r="AJ352" i="178"/>
  <c r="AI352" i="178"/>
  <c r="AH352" i="178"/>
  <c r="AG352" i="178"/>
  <c r="AF352" i="178"/>
  <c r="AE352" i="178"/>
  <c r="AD352" i="178"/>
  <c r="W352" i="178"/>
  <c r="T352" i="178"/>
  <c r="U352" i="178" s="1"/>
  <c r="B352" i="178"/>
  <c r="AO346" i="178"/>
  <c r="AN346" i="178"/>
  <c r="AM346" i="178"/>
  <c r="AL346" i="178"/>
  <c r="AK346" i="178"/>
  <c r="AJ346" i="178"/>
  <c r="AI346" i="178"/>
  <c r="AH346" i="178"/>
  <c r="AG346" i="178"/>
  <c r="AF346" i="178"/>
  <c r="AE346" i="178"/>
  <c r="AD346" i="178"/>
  <c r="W346" i="178"/>
  <c r="T346" i="178"/>
  <c r="U346" i="178" s="1"/>
  <c r="S346" i="178"/>
  <c r="B346" i="178"/>
  <c r="AO344" i="178"/>
  <c r="AN344" i="178"/>
  <c r="AM344" i="178"/>
  <c r="AL344" i="178"/>
  <c r="AK344" i="178"/>
  <c r="AJ344" i="178"/>
  <c r="AI344" i="178"/>
  <c r="AH344" i="178"/>
  <c r="AG344" i="178"/>
  <c r="AF344" i="178"/>
  <c r="AE344" i="178"/>
  <c r="AD344" i="178"/>
  <c r="W344" i="178"/>
  <c r="T344" i="178"/>
  <c r="V344" i="178" s="1"/>
  <c r="S344" i="178"/>
  <c r="B344" i="178"/>
  <c r="AO343" i="178"/>
  <c r="AN343" i="178"/>
  <c r="AM343" i="178"/>
  <c r="AL343" i="178"/>
  <c r="AK343" i="178"/>
  <c r="AJ343" i="178"/>
  <c r="AI343" i="178"/>
  <c r="AH343" i="178"/>
  <c r="AG343" i="178"/>
  <c r="AF343" i="178"/>
  <c r="AE343" i="178"/>
  <c r="AD343" i="178"/>
  <c r="W343" i="178"/>
  <c r="T343" i="178"/>
  <c r="V343" i="178" s="1"/>
  <c r="S343" i="178"/>
  <c r="B343" i="178"/>
  <c r="AO342" i="178"/>
  <c r="AN342" i="178"/>
  <c r="AM342" i="178"/>
  <c r="AL342" i="178"/>
  <c r="AK342" i="178"/>
  <c r="AJ342" i="178"/>
  <c r="AI342" i="178"/>
  <c r="AH342" i="178"/>
  <c r="AG342" i="178"/>
  <c r="AF342" i="178"/>
  <c r="AE342" i="178"/>
  <c r="AD342" i="178"/>
  <c r="W342" i="178"/>
  <c r="T342" i="178"/>
  <c r="V342" i="178" s="1"/>
  <c r="S342" i="178"/>
  <c r="B342" i="178"/>
  <c r="AO341" i="178"/>
  <c r="AN341" i="178"/>
  <c r="AM341" i="178"/>
  <c r="AL341" i="178"/>
  <c r="AK341" i="178"/>
  <c r="AJ341" i="178"/>
  <c r="AI341" i="178"/>
  <c r="AH341" i="178"/>
  <c r="AG341" i="178"/>
  <c r="AF341" i="178"/>
  <c r="AE341" i="178"/>
  <c r="AD341" i="178"/>
  <c r="W341" i="178"/>
  <c r="T341" i="178"/>
  <c r="V341" i="178" s="1"/>
  <c r="B341" i="178"/>
  <c r="AO316" i="178"/>
  <c r="AN316" i="178"/>
  <c r="AM316" i="178"/>
  <c r="AL316" i="178"/>
  <c r="AK316" i="178"/>
  <c r="AJ316" i="178"/>
  <c r="AI316" i="178"/>
  <c r="AH316" i="178"/>
  <c r="AG316" i="178"/>
  <c r="AF316" i="178"/>
  <c r="AE316" i="178"/>
  <c r="AD316" i="178"/>
  <c r="W316" i="178"/>
  <c r="T316" i="178"/>
  <c r="S316" i="178"/>
  <c r="B316" i="178"/>
  <c r="AO315" i="178"/>
  <c r="AN315" i="178"/>
  <c r="AM315" i="178"/>
  <c r="AL315" i="178"/>
  <c r="AK315" i="178"/>
  <c r="AJ315" i="178"/>
  <c r="AI315" i="178"/>
  <c r="AH315" i="178"/>
  <c r="AG315" i="178"/>
  <c r="AF315" i="178"/>
  <c r="AE315" i="178"/>
  <c r="AD315" i="178"/>
  <c r="W315" i="178"/>
  <c r="T315" i="178"/>
  <c r="B315" i="178"/>
  <c r="AO309" i="178"/>
  <c r="AN309" i="178"/>
  <c r="AM309" i="178"/>
  <c r="AL309" i="178"/>
  <c r="AK309" i="178"/>
  <c r="AJ309" i="178"/>
  <c r="AI309" i="178"/>
  <c r="AH309" i="178"/>
  <c r="AG309" i="178"/>
  <c r="AF309" i="178"/>
  <c r="AE309" i="178"/>
  <c r="AD309" i="178"/>
  <c r="W309" i="178"/>
  <c r="T309" i="178"/>
  <c r="V309" i="178" s="1"/>
  <c r="B309" i="178"/>
  <c r="AO304" i="178"/>
  <c r="AN304" i="178"/>
  <c r="AM304" i="178"/>
  <c r="AL304" i="178"/>
  <c r="AK304" i="178"/>
  <c r="AJ304" i="178"/>
  <c r="AI304" i="178"/>
  <c r="AH304" i="178"/>
  <c r="AG304" i="178"/>
  <c r="AF304" i="178"/>
  <c r="AE304" i="178"/>
  <c r="AD304" i="178"/>
  <c r="W304" i="178"/>
  <c r="T304" i="178"/>
  <c r="V304" i="178" s="1"/>
  <c r="B304" i="178"/>
  <c r="AO297" i="178"/>
  <c r="AN297" i="178"/>
  <c r="AM297" i="178"/>
  <c r="AL297" i="178"/>
  <c r="AK297" i="178"/>
  <c r="AJ297" i="178"/>
  <c r="AI297" i="178"/>
  <c r="AH297" i="178"/>
  <c r="AG297" i="178"/>
  <c r="AF297" i="178"/>
  <c r="AE297" i="178"/>
  <c r="AD297" i="178"/>
  <c r="W297" i="178"/>
  <c r="T297" i="178"/>
  <c r="V297" i="178" s="1"/>
  <c r="B297" i="178"/>
  <c r="AO295" i="178"/>
  <c r="AN295" i="178"/>
  <c r="AM295" i="178"/>
  <c r="AL295" i="178"/>
  <c r="AK295" i="178"/>
  <c r="AJ295" i="178"/>
  <c r="AI295" i="178"/>
  <c r="AH295" i="178"/>
  <c r="AG295" i="178"/>
  <c r="AF295" i="178"/>
  <c r="AE295" i="178"/>
  <c r="AD295" i="178"/>
  <c r="W295" i="178"/>
  <c r="T295" i="178"/>
  <c r="V295" i="178" s="1"/>
  <c r="B295" i="178"/>
  <c r="AO292" i="178"/>
  <c r="AN292" i="178"/>
  <c r="AM292" i="178"/>
  <c r="AL292" i="178"/>
  <c r="AK292" i="178"/>
  <c r="AJ292" i="178"/>
  <c r="AI292" i="178"/>
  <c r="AH292" i="178"/>
  <c r="AG292" i="178"/>
  <c r="AF292" i="178"/>
  <c r="AE292" i="178"/>
  <c r="AD292" i="178"/>
  <c r="W292" i="178"/>
  <c r="T292" i="178"/>
  <c r="V292" i="178" s="1"/>
  <c r="B292" i="178"/>
  <c r="AO239" i="178"/>
  <c r="AN239" i="178"/>
  <c r="AM239" i="178"/>
  <c r="AL239" i="178"/>
  <c r="AK239" i="178"/>
  <c r="AJ239" i="178"/>
  <c r="AI239" i="178"/>
  <c r="AH239" i="178"/>
  <c r="AG239" i="178"/>
  <c r="AF239" i="178"/>
  <c r="AE239" i="178"/>
  <c r="AD239" i="178"/>
  <c r="W239" i="178"/>
  <c r="T239" i="178"/>
  <c r="V239" i="178" s="1"/>
  <c r="S239" i="178"/>
  <c r="B239" i="178"/>
  <c r="AO236" i="178"/>
  <c r="AN236" i="178"/>
  <c r="AM236" i="178"/>
  <c r="AL236" i="178"/>
  <c r="AK236" i="178"/>
  <c r="AJ236" i="178"/>
  <c r="AI236" i="178"/>
  <c r="AH236" i="178"/>
  <c r="AG236" i="178"/>
  <c r="AF236" i="178"/>
  <c r="AE236" i="178"/>
  <c r="AD236" i="178"/>
  <c r="W236" i="178"/>
  <c r="T236" i="178"/>
  <c r="V236" i="178" s="1"/>
  <c r="S236" i="178"/>
  <c r="B236" i="178"/>
  <c r="AO224" i="178"/>
  <c r="AN224" i="178"/>
  <c r="AM224" i="178"/>
  <c r="AL224" i="178"/>
  <c r="AK224" i="178"/>
  <c r="AJ224" i="178"/>
  <c r="AI224" i="178"/>
  <c r="AH224" i="178"/>
  <c r="AG224" i="178"/>
  <c r="AF224" i="178"/>
  <c r="AE224" i="178"/>
  <c r="AD224" i="178"/>
  <c r="W224" i="178"/>
  <c r="T224" i="178"/>
  <c r="V224" i="178" s="1"/>
  <c r="S224" i="178"/>
  <c r="B224" i="178"/>
  <c r="AO223" i="178"/>
  <c r="AN223" i="178"/>
  <c r="AM223" i="178"/>
  <c r="AL223" i="178"/>
  <c r="AK223" i="178"/>
  <c r="AJ223" i="178"/>
  <c r="AI223" i="178"/>
  <c r="AH223" i="178"/>
  <c r="AG223" i="178"/>
  <c r="AF223" i="178"/>
  <c r="AE223" i="178"/>
  <c r="AD223" i="178"/>
  <c r="W223" i="178"/>
  <c r="T223" i="178"/>
  <c r="V223" i="178" s="1"/>
  <c r="S223" i="178"/>
  <c r="B223" i="178"/>
  <c r="AO222" i="178"/>
  <c r="AN222" i="178"/>
  <c r="AM222" i="178"/>
  <c r="AL222" i="178"/>
  <c r="AK222" i="178"/>
  <c r="AJ222" i="178"/>
  <c r="AI222" i="178"/>
  <c r="AH222" i="178"/>
  <c r="AG222" i="178"/>
  <c r="AF222" i="178"/>
  <c r="AE222" i="178"/>
  <c r="AD222" i="178"/>
  <c r="W222" i="178"/>
  <c r="T222" i="178"/>
  <c r="V222" i="178" s="1"/>
  <c r="S222" i="178"/>
  <c r="B222" i="178"/>
  <c r="AO221" i="178"/>
  <c r="AN221" i="178"/>
  <c r="AM221" i="178"/>
  <c r="AL221" i="178"/>
  <c r="AK221" i="178"/>
  <c r="AJ221" i="178"/>
  <c r="AI221" i="178"/>
  <c r="AH221" i="178"/>
  <c r="AG221" i="178"/>
  <c r="AF221" i="178"/>
  <c r="AE221" i="178"/>
  <c r="AD221" i="178"/>
  <c r="W221" i="178"/>
  <c r="T221" i="178"/>
  <c r="V221" i="178" s="1"/>
  <c r="S221" i="178"/>
  <c r="B221" i="178"/>
  <c r="AO206" i="178"/>
  <c r="AN206" i="178"/>
  <c r="AM206" i="178"/>
  <c r="AL206" i="178"/>
  <c r="AK206" i="178"/>
  <c r="AJ206" i="178"/>
  <c r="AI206" i="178"/>
  <c r="AH206" i="178"/>
  <c r="AG206" i="178"/>
  <c r="AF206" i="178"/>
  <c r="AE206" i="178"/>
  <c r="AD206" i="178"/>
  <c r="W206" i="178"/>
  <c r="T206" i="178"/>
  <c r="V206" i="178" s="1"/>
  <c r="S206" i="178"/>
  <c r="B206" i="178"/>
  <c r="AO213" i="178"/>
  <c r="AN213" i="178"/>
  <c r="AM213" i="178"/>
  <c r="AL213" i="178"/>
  <c r="AK213" i="178"/>
  <c r="AJ213" i="178"/>
  <c r="AI213" i="178"/>
  <c r="AH213" i="178"/>
  <c r="AG213" i="178"/>
  <c r="AF213" i="178"/>
  <c r="AE213" i="178"/>
  <c r="AD213" i="178"/>
  <c r="W213" i="178"/>
  <c r="T213" i="178"/>
  <c r="V213" i="178" s="1"/>
  <c r="S213" i="178"/>
  <c r="B213" i="178"/>
  <c r="AO216" i="178"/>
  <c r="AN216" i="178"/>
  <c r="AM216" i="178"/>
  <c r="AL216" i="178"/>
  <c r="AK216" i="178"/>
  <c r="AJ216" i="178"/>
  <c r="AI216" i="178"/>
  <c r="AH216" i="178"/>
  <c r="AG216" i="178"/>
  <c r="AF216" i="178"/>
  <c r="AE216" i="178"/>
  <c r="AD216" i="178"/>
  <c r="W216" i="178"/>
  <c r="T216" i="178"/>
  <c r="V216" i="178" s="1"/>
  <c r="S216" i="178"/>
  <c r="B216" i="178"/>
  <c r="AO219" i="178"/>
  <c r="AN219" i="178"/>
  <c r="AM219" i="178"/>
  <c r="AL219" i="178"/>
  <c r="AK219" i="178"/>
  <c r="AJ219" i="178"/>
  <c r="AI219" i="178"/>
  <c r="AH219" i="178"/>
  <c r="AG219" i="178"/>
  <c r="AF219" i="178"/>
  <c r="AE219" i="178"/>
  <c r="AD219" i="178"/>
  <c r="W219" i="178"/>
  <c r="T219" i="178"/>
  <c r="V219" i="178" s="1"/>
  <c r="S219" i="178"/>
  <c r="B219" i="178"/>
  <c r="AO220" i="178"/>
  <c r="AN220" i="178"/>
  <c r="AM220" i="178"/>
  <c r="AL220" i="178"/>
  <c r="AK220" i="178"/>
  <c r="AJ220" i="178"/>
  <c r="AI220" i="178"/>
  <c r="AH220" i="178"/>
  <c r="AG220" i="178"/>
  <c r="AF220" i="178"/>
  <c r="AE220" i="178"/>
  <c r="AD220" i="178"/>
  <c r="W220" i="178"/>
  <c r="T220" i="178"/>
  <c r="V220" i="178" s="1"/>
  <c r="S220" i="178"/>
  <c r="B220" i="178"/>
  <c r="AO183" i="178"/>
  <c r="AN183" i="178"/>
  <c r="AM183" i="178"/>
  <c r="AL183" i="178"/>
  <c r="AK183" i="178"/>
  <c r="AJ183" i="178"/>
  <c r="AI183" i="178"/>
  <c r="AH183" i="178"/>
  <c r="AG183" i="178"/>
  <c r="AF183" i="178"/>
  <c r="AE183" i="178"/>
  <c r="AD183" i="178"/>
  <c r="W183" i="178"/>
  <c r="T183" i="178"/>
  <c r="V183" i="178" s="1"/>
  <c r="S183" i="178"/>
  <c r="B183" i="178"/>
  <c r="AO182" i="178"/>
  <c r="AN182" i="178"/>
  <c r="AM182" i="178"/>
  <c r="AL182" i="178"/>
  <c r="AK182" i="178"/>
  <c r="AJ182" i="178"/>
  <c r="AI182" i="178"/>
  <c r="AH182" i="178"/>
  <c r="AG182" i="178"/>
  <c r="AF182" i="178"/>
  <c r="AE182" i="178"/>
  <c r="AD182" i="178"/>
  <c r="W182" i="178"/>
  <c r="T182" i="178"/>
  <c r="V182" i="178" s="1"/>
  <c r="S182" i="178"/>
  <c r="B182" i="178"/>
  <c r="AO181" i="178"/>
  <c r="AN181" i="178"/>
  <c r="AM181" i="178"/>
  <c r="AL181" i="178"/>
  <c r="AK181" i="178"/>
  <c r="AJ181" i="178"/>
  <c r="AI181" i="178"/>
  <c r="AH181" i="178"/>
  <c r="AG181" i="178"/>
  <c r="AF181" i="178"/>
  <c r="AE181" i="178"/>
  <c r="AD181" i="178"/>
  <c r="W181" i="178"/>
  <c r="T181" i="178"/>
  <c r="V181" i="178" s="1"/>
  <c r="S181" i="178"/>
  <c r="B181" i="178"/>
  <c r="AO180" i="178"/>
  <c r="AN180" i="178"/>
  <c r="AM180" i="178"/>
  <c r="AL180" i="178"/>
  <c r="AK180" i="178"/>
  <c r="AJ180" i="178"/>
  <c r="AI180" i="178"/>
  <c r="AH180" i="178"/>
  <c r="AG180" i="178"/>
  <c r="AF180" i="178"/>
  <c r="AE180" i="178"/>
  <c r="AD180" i="178"/>
  <c r="W180" i="178"/>
  <c r="T180" i="178"/>
  <c r="V180" i="178" s="1"/>
  <c r="S180" i="178"/>
  <c r="B180" i="178"/>
  <c r="AO179" i="178"/>
  <c r="AN179" i="178"/>
  <c r="AM179" i="178"/>
  <c r="AL179" i="178"/>
  <c r="AK179" i="178"/>
  <c r="AJ179" i="178"/>
  <c r="AI179" i="178"/>
  <c r="AH179" i="178"/>
  <c r="AG179" i="178"/>
  <c r="AF179" i="178"/>
  <c r="AE179" i="178"/>
  <c r="AD179" i="178"/>
  <c r="W179" i="178"/>
  <c r="T179" i="178"/>
  <c r="V179" i="178" s="1"/>
  <c r="S179" i="178"/>
  <c r="B179" i="178"/>
  <c r="AO178" i="178"/>
  <c r="AN178" i="178"/>
  <c r="AM178" i="178"/>
  <c r="AL178" i="178"/>
  <c r="AK178" i="178"/>
  <c r="AJ178" i="178"/>
  <c r="AI178" i="178"/>
  <c r="AH178" i="178"/>
  <c r="AG178" i="178"/>
  <c r="AF178" i="178"/>
  <c r="AE178" i="178"/>
  <c r="AD178" i="178"/>
  <c r="W178" i="178"/>
  <c r="T178" i="178"/>
  <c r="V178" i="178" s="1"/>
  <c r="S178" i="178"/>
  <c r="B178" i="178"/>
  <c r="AO176" i="178"/>
  <c r="AN176" i="178"/>
  <c r="AM176" i="178"/>
  <c r="AL176" i="178"/>
  <c r="AK176" i="178"/>
  <c r="AJ176" i="178"/>
  <c r="AI176" i="178"/>
  <c r="AH176" i="178"/>
  <c r="AG176" i="178"/>
  <c r="AF176" i="178"/>
  <c r="AE176" i="178"/>
  <c r="AD176" i="178"/>
  <c r="W176" i="178"/>
  <c r="T176" i="178"/>
  <c r="V176" i="178" s="1"/>
  <c r="S176" i="178"/>
  <c r="B176" i="178"/>
  <c r="AO169" i="178"/>
  <c r="AN169" i="178"/>
  <c r="AM169" i="178"/>
  <c r="AL169" i="178"/>
  <c r="AK169" i="178"/>
  <c r="AJ169" i="178"/>
  <c r="AI169" i="178"/>
  <c r="AH169" i="178"/>
  <c r="AG169" i="178"/>
  <c r="AF169" i="178"/>
  <c r="AE169" i="178"/>
  <c r="AD169" i="178"/>
  <c r="W169" i="178"/>
  <c r="T169" i="178"/>
  <c r="U169" i="178" s="1"/>
  <c r="B169" i="178"/>
  <c r="AO168" i="178"/>
  <c r="AN168" i="178"/>
  <c r="AM168" i="178"/>
  <c r="AL168" i="178"/>
  <c r="AK168" i="178"/>
  <c r="AJ168" i="178"/>
  <c r="AI168" i="178"/>
  <c r="AH168" i="178"/>
  <c r="AG168" i="178"/>
  <c r="AF168" i="178"/>
  <c r="AE168" i="178"/>
  <c r="AD168" i="178"/>
  <c r="W168" i="178"/>
  <c r="T168" i="178"/>
  <c r="U168" i="178" s="1"/>
  <c r="B168" i="178"/>
  <c r="AO212" i="178"/>
  <c r="AN212" i="178"/>
  <c r="AM212" i="178"/>
  <c r="AL212" i="178"/>
  <c r="AK212" i="178"/>
  <c r="AJ212" i="178"/>
  <c r="AI212" i="178"/>
  <c r="AH212" i="178"/>
  <c r="AG212" i="178"/>
  <c r="AF212" i="178"/>
  <c r="AE212" i="178"/>
  <c r="AD212" i="178"/>
  <c r="W212" i="178"/>
  <c r="T212" i="178"/>
  <c r="U212" i="178" s="1"/>
  <c r="B212" i="178"/>
  <c r="AO184" i="178"/>
  <c r="AN184" i="178"/>
  <c r="AM184" i="178"/>
  <c r="AL184" i="178"/>
  <c r="AK184" i="178"/>
  <c r="AJ184" i="178"/>
  <c r="AI184" i="178"/>
  <c r="AH184" i="178"/>
  <c r="AG184" i="178"/>
  <c r="AF184" i="178"/>
  <c r="AE184" i="178"/>
  <c r="AD184" i="178"/>
  <c r="W184" i="178"/>
  <c r="T184" i="178"/>
  <c r="U184" i="178" s="1"/>
  <c r="B184" i="178"/>
  <c r="AO153" i="178"/>
  <c r="AN153" i="178"/>
  <c r="AM153" i="178"/>
  <c r="AL153" i="178"/>
  <c r="AK153" i="178"/>
  <c r="AJ153" i="178"/>
  <c r="AI153" i="178"/>
  <c r="AH153" i="178"/>
  <c r="AG153" i="178"/>
  <c r="AF153" i="178"/>
  <c r="AE153" i="178"/>
  <c r="AD153" i="178"/>
  <c r="W153" i="178"/>
  <c r="T153" i="178"/>
  <c r="U153" i="178" s="1"/>
  <c r="B153" i="178"/>
  <c r="AO141" i="178"/>
  <c r="AN141" i="178"/>
  <c r="AM141" i="178"/>
  <c r="AL141" i="178"/>
  <c r="AK141" i="178"/>
  <c r="AJ141" i="178"/>
  <c r="AI141" i="178"/>
  <c r="AH141" i="178"/>
  <c r="AG141" i="178"/>
  <c r="AF141" i="178"/>
  <c r="AE141" i="178"/>
  <c r="AD141" i="178"/>
  <c r="W141" i="178"/>
  <c r="T141" i="178"/>
  <c r="V141" i="178" s="1"/>
  <c r="B141" i="178"/>
  <c r="AO140" i="178"/>
  <c r="AN140" i="178"/>
  <c r="AM140" i="178"/>
  <c r="AL140" i="178"/>
  <c r="AK140" i="178"/>
  <c r="AJ140" i="178"/>
  <c r="AI140" i="178"/>
  <c r="AH140" i="178"/>
  <c r="AG140" i="178"/>
  <c r="AF140" i="178"/>
  <c r="AE140" i="178"/>
  <c r="AD140" i="178"/>
  <c r="W140" i="178"/>
  <c r="T140" i="178"/>
  <c r="V140" i="178" s="1"/>
  <c r="B140" i="178"/>
  <c r="AO118" i="178"/>
  <c r="AN118" i="178"/>
  <c r="AM118" i="178"/>
  <c r="AL118" i="178"/>
  <c r="AK118" i="178"/>
  <c r="AJ118" i="178"/>
  <c r="AI118" i="178"/>
  <c r="AH118" i="178"/>
  <c r="AG118" i="178"/>
  <c r="AF118" i="178"/>
  <c r="AE118" i="178"/>
  <c r="AD118" i="178"/>
  <c r="W118" i="178"/>
  <c r="T118" i="178"/>
  <c r="U118" i="178" s="1"/>
  <c r="B118" i="178"/>
  <c r="AO110" i="178"/>
  <c r="AN110" i="178"/>
  <c r="AM110" i="178"/>
  <c r="AL110" i="178"/>
  <c r="AK110" i="178"/>
  <c r="AJ110" i="178"/>
  <c r="AI110" i="178"/>
  <c r="AH110" i="178"/>
  <c r="AG110" i="178"/>
  <c r="AF110" i="178"/>
  <c r="AE110" i="178"/>
  <c r="AD110" i="178"/>
  <c r="W110" i="178"/>
  <c r="T110" i="178"/>
  <c r="U110" i="178" s="1"/>
  <c r="B110" i="178"/>
  <c r="AO100" i="178"/>
  <c r="AN100" i="178"/>
  <c r="AM100" i="178"/>
  <c r="AL100" i="178"/>
  <c r="AK100" i="178"/>
  <c r="AJ100" i="178"/>
  <c r="AI100" i="178"/>
  <c r="AH100" i="178"/>
  <c r="AG100" i="178"/>
  <c r="AF100" i="178"/>
  <c r="AE100" i="178"/>
  <c r="AD100" i="178"/>
  <c r="W100" i="178"/>
  <c r="T100" i="178"/>
  <c r="U100" i="178" s="1"/>
  <c r="B100" i="178"/>
  <c r="AO99" i="178"/>
  <c r="AN99" i="178"/>
  <c r="AM99" i="178"/>
  <c r="AL99" i="178"/>
  <c r="AK99" i="178"/>
  <c r="AJ99" i="178"/>
  <c r="AI99" i="178"/>
  <c r="AH99" i="178"/>
  <c r="AG99" i="178"/>
  <c r="AF99" i="178"/>
  <c r="AE99" i="178"/>
  <c r="AD99" i="178"/>
  <c r="W99" i="178"/>
  <c r="T99" i="178"/>
  <c r="U99" i="178" s="1"/>
  <c r="B99" i="178"/>
  <c r="AO92" i="178"/>
  <c r="AN92" i="178"/>
  <c r="AM92" i="178"/>
  <c r="AL92" i="178"/>
  <c r="AK92" i="178"/>
  <c r="AJ92" i="178"/>
  <c r="AI92" i="178"/>
  <c r="AH92" i="178"/>
  <c r="AG92" i="178"/>
  <c r="AF92" i="178"/>
  <c r="AE92" i="178"/>
  <c r="AD92" i="178"/>
  <c r="W92" i="178"/>
  <c r="T92" i="178"/>
  <c r="U92" i="178" s="1"/>
  <c r="B92" i="178"/>
  <c r="AO85" i="178"/>
  <c r="AN85" i="178"/>
  <c r="AM85" i="178"/>
  <c r="AL85" i="178"/>
  <c r="AK85" i="178"/>
  <c r="AJ85" i="178"/>
  <c r="AI85" i="178"/>
  <c r="AH85" i="178"/>
  <c r="AG85" i="178"/>
  <c r="AF85" i="178"/>
  <c r="AE85" i="178"/>
  <c r="AD85" i="178"/>
  <c r="W85" i="178"/>
  <c r="T85" i="178"/>
  <c r="U85" i="178" s="1"/>
  <c r="B85" i="178"/>
  <c r="AO84" i="178"/>
  <c r="AN84" i="178"/>
  <c r="AM84" i="178"/>
  <c r="AL84" i="178"/>
  <c r="AK84" i="178"/>
  <c r="AJ84" i="178"/>
  <c r="AI84" i="178"/>
  <c r="AH84" i="178"/>
  <c r="AG84" i="178"/>
  <c r="AF84" i="178"/>
  <c r="AE84" i="178"/>
  <c r="AD84" i="178"/>
  <c r="W84" i="178"/>
  <c r="T84" i="178"/>
  <c r="U84" i="178" s="1"/>
  <c r="B84" i="178"/>
  <c r="AO3" i="178"/>
  <c r="AN3" i="178"/>
  <c r="AM3" i="178"/>
  <c r="AL3" i="178"/>
  <c r="AK3" i="178"/>
  <c r="AJ3" i="178"/>
  <c r="AI3" i="178"/>
  <c r="AH3" i="178"/>
  <c r="AG3" i="178"/>
  <c r="AF3" i="178"/>
  <c r="AE3" i="178"/>
  <c r="AD3" i="178"/>
  <c r="W3" i="178"/>
  <c r="T3" i="178"/>
  <c r="U3" i="178" s="1"/>
  <c r="B3" i="178"/>
  <c r="AO2" i="178"/>
  <c r="AN2" i="178"/>
  <c r="AM2" i="178"/>
  <c r="AL2" i="178"/>
  <c r="AK2" i="178"/>
  <c r="AJ2" i="178"/>
  <c r="AI2" i="178"/>
  <c r="AH2" i="178"/>
  <c r="AG2" i="178"/>
  <c r="AF2" i="178"/>
  <c r="AE2" i="178"/>
  <c r="AD2" i="178"/>
  <c r="W2" i="178"/>
  <c r="T2" i="178"/>
  <c r="U2" i="178" s="1"/>
  <c r="B2" i="178"/>
  <c r="S421" i="178" l="1"/>
  <c r="AR225" i="178"/>
  <c r="AV225" i="178"/>
  <c r="AZ225" i="178"/>
  <c r="BD225" i="178"/>
  <c r="BH225" i="178"/>
  <c r="BM225" i="178"/>
  <c r="AT225" i="178"/>
  <c r="AX225" i="178"/>
  <c r="BB225" i="178"/>
  <c r="BF225" i="178"/>
  <c r="BJ225" i="178"/>
  <c r="BK225" i="178"/>
  <c r="BL342" i="178"/>
  <c r="BL344" i="178"/>
  <c r="BK228" i="178"/>
  <c r="BL160" i="178"/>
  <c r="V21" i="178"/>
  <c r="V392" i="178"/>
  <c r="V7" i="178"/>
  <c r="V163" i="178"/>
  <c r="U460" i="178"/>
  <c r="U277" i="178"/>
  <c r="V195" i="178"/>
  <c r="U455" i="178"/>
  <c r="V142" i="178"/>
  <c r="V53" i="178"/>
  <c r="U321" i="178"/>
  <c r="V32" i="178"/>
  <c r="V366" i="178"/>
  <c r="V135" i="178"/>
  <c r="U255" i="178"/>
  <c r="V103" i="178"/>
  <c r="V70" i="178"/>
  <c r="V167" i="178"/>
  <c r="U449" i="178"/>
  <c r="U210" i="178"/>
  <c r="V88" i="178"/>
  <c r="V9" i="178"/>
  <c r="V324" i="178"/>
  <c r="U324" i="178"/>
  <c r="V269" i="178"/>
  <c r="U269" i="178"/>
  <c r="U62" i="178"/>
  <c r="V62" i="178"/>
  <c r="U199" i="178"/>
  <c r="V199" i="178"/>
  <c r="V276" i="178"/>
  <c r="U276" i="178"/>
  <c r="U24" i="178"/>
  <c r="V24" i="178"/>
  <c r="V442" i="178"/>
  <c r="U442" i="178"/>
  <c r="V209" i="178"/>
  <c r="U209" i="178"/>
  <c r="U112" i="178"/>
  <c r="V112" i="178"/>
  <c r="U42" i="178"/>
  <c r="V42" i="178"/>
  <c r="U365" i="178"/>
  <c r="V365" i="178"/>
  <c r="V456" i="178"/>
  <c r="U456" i="178"/>
  <c r="U93" i="178"/>
  <c r="V93" i="178"/>
  <c r="U47" i="178"/>
  <c r="V47" i="178"/>
  <c r="U471" i="178"/>
  <c r="U308" i="178"/>
  <c r="U260" i="178"/>
  <c r="U241" i="178"/>
  <c r="V111" i="178"/>
  <c r="V101" i="178"/>
  <c r="V89" i="178"/>
  <c r="V90" i="178"/>
  <c r="V41" i="178"/>
  <c r="V34" i="178"/>
  <c r="V30" i="178"/>
  <c r="V27" i="178"/>
  <c r="V19" i="178"/>
  <c r="S366" i="178"/>
  <c r="BA366" i="178" s="1"/>
  <c r="S444" i="178"/>
  <c r="BA444" i="178" s="1"/>
  <c r="S373" i="178"/>
  <c r="BG373" i="178" s="1"/>
  <c r="S424" i="178"/>
  <c r="BL424" i="178" s="1"/>
  <c r="U372" i="178"/>
  <c r="V372" i="178"/>
  <c r="V450" i="178"/>
  <c r="U450" i="178"/>
  <c r="U441" i="178"/>
  <c r="U339" i="178"/>
  <c r="U303" i="178"/>
  <c r="U289" i="178"/>
  <c r="V247" i="178"/>
  <c r="U247" i="178"/>
  <c r="U113" i="178"/>
  <c r="V113" i="178"/>
  <c r="V106" i="178"/>
  <c r="V107" i="178"/>
  <c r="V60" i="178"/>
  <c r="U38" i="178"/>
  <c r="V38" i="178"/>
  <c r="V33" i="178"/>
  <c r="V5" i="178"/>
  <c r="V147" i="178"/>
  <c r="V444" i="178"/>
  <c r="V432" i="178"/>
  <c r="V173" i="178"/>
  <c r="V165" i="178"/>
  <c r="V462" i="178"/>
  <c r="U462" i="178"/>
  <c r="V323" i="178"/>
  <c r="U323" i="178"/>
  <c r="U305" i="178"/>
  <c r="V272" i="178"/>
  <c r="U272" i="178"/>
  <c r="U91" i="178"/>
  <c r="V91" i="178"/>
  <c r="V279" i="178"/>
  <c r="V331" i="178"/>
  <c r="U331" i="178"/>
  <c r="V275" i="178"/>
  <c r="U275" i="178"/>
  <c r="U94" i="178"/>
  <c r="V94" i="178"/>
  <c r="U52" i="178"/>
  <c r="V52" i="178"/>
  <c r="U25" i="178"/>
  <c r="V25" i="178"/>
  <c r="V434" i="178"/>
  <c r="U434" i="178"/>
  <c r="V417" i="178"/>
  <c r="V196" i="178"/>
  <c r="V154" i="178"/>
  <c r="V285" i="178"/>
  <c r="U285" i="178"/>
  <c r="U104" i="178"/>
  <c r="V104" i="178"/>
  <c r="U64" i="178"/>
  <c r="V64" i="178"/>
  <c r="U8" i="178"/>
  <c r="V8" i="178"/>
  <c r="V425" i="178"/>
  <c r="U425" i="178"/>
  <c r="BM366" i="178"/>
  <c r="AT366" i="178"/>
  <c r="AX366" i="178"/>
  <c r="BB366" i="178"/>
  <c r="BF366" i="178"/>
  <c r="BJ366" i="178"/>
  <c r="BK366" i="178"/>
  <c r="BD366" i="178"/>
  <c r="AR366" i="178"/>
  <c r="BH366" i="178"/>
  <c r="AV366" i="178"/>
  <c r="AZ366" i="178"/>
  <c r="AR364" i="178"/>
  <c r="AV364" i="178"/>
  <c r="AZ364" i="178"/>
  <c r="BD364" i="178"/>
  <c r="BH364" i="178"/>
  <c r="BM364" i="178"/>
  <c r="AT364" i="178"/>
  <c r="AX364" i="178"/>
  <c r="BB364" i="178"/>
  <c r="BF364" i="178"/>
  <c r="BJ364" i="178"/>
  <c r="BK364" i="178"/>
  <c r="BK365" i="178"/>
  <c r="AR365" i="178"/>
  <c r="AV365" i="178"/>
  <c r="AZ365" i="178"/>
  <c r="BD365" i="178"/>
  <c r="BH365" i="178"/>
  <c r="BM365" i="178"/>
  <c r="BB365" i="178"/>
  <c r="BF365" i="178"/>
  <c r="AT365" i="178"/>
  <c r="BJ365" i="178"/>
  <c r="AX365" i="178"/>
  <c r="BM444" i="178"/>
  <c r="AT444" i="178"/>
  <c r="AX444" i="178"/>
  <c r="BB444" i="178"/>
  <c r="BF444" i="178"/>
  <c r="BJ444" i="178"/>
  <c r="BK444" i="178"/>
  <c r="BD444" i="178"/>
  <c r="AR444" i="178"/>
  <c r="BH444" i="178"/>
  <c r="AV444" i="178"/>
  <c r="AZ444" i="178"/>
  <c r="AR424" i="178"/>
  <c r="AV424" i="178"/>
  <c r="AZ424" i="178"/>
  <c r="BD424" i="178"/>
  <c r="BH424" i="178"/>
  <c r="BM424" i="178"/>
  <c r="AT424" i="178"/>
  <c r="AX424" i="178"/>
  <c r="BB424" i="178"/>
  <c r="BF424" i="178"/>
  <c r="BJ424" i="178"/>
  <c r="BK424" i="178"/>
  <c r="AT373" i="178"/>
  <c r="AX373" i="178"/>
  <c r="BB373" i="178"/>
  <c r="BF373" i="178"/>
  <c r="BJ373" i="178"/>
  <c r="BK373" i="178"/>
  <c r="AR373" i="178"/>
  <c r="AV373" i="178"/>
  <c r="AZ373" i="178"/>
  <c r="BD373" i="178"/>
  <c r="BH373" i="178"/>
  <c r="BM373" i="178"/>
  <c r="BM372" i="178"/>
  <c r="AT372" i="178"/>
  <c r="AX372" i="178"/>
  <c r="BB372" i="178"/>
  <c r="BF372" i="178"/>
  <c r="BJ372" i="178"/>
  <c r="BK372" i="178"/>
  <c r="BD372" i="178"/>
  <c r="AR372" i="178"/>
  <c r="BH372" i="178"/>
  <c r="AV372" i="178"/>
  <c r="AZ372" i="178"/>
  <c r="BK135" i="178"/>
  <c r="AR135" i="178"/>
  <c r="AV135" i="178"/>
  <c r="AZ135" i="178"/>
  <c r="BD135" i="178"/>
  <c r="BH135" i="178"/>
  <c r="BM135" i="178"/>
  <c r="AX135" i="178"/>
  <c r="BB135" i="178"/>
  <c r="BF135" i="178"/>
  <c r="AT135" i="178"/>
  <c r="BJ135" i="178"/>
  <c r="BM433" i="178"/>
  <c r="AT433" i="178"/>
  <c r="AX433" i="178"/>
  <c r="BB433" i="178"/>
  <c r="BF433" i="178"/>
  <c r="BJ433" i="178"/>
  <c r="BK433" i="178"/>
  <c r="AR433" i="178"/>
  <c r="BH433" i="178"/>
  <c r="AV433" i="178"/>
  <c r="AZ433" i="178"/>
  <c r="BD433" i="178"/>
  <c r="AR432" i="178"/>
  <c r="AV432" i="178"/>
  <c r="AZ432" i="178"/>
  <c r="BD432" i="178"/>
  <c r="BH432" i="178"/>
  <c r="BM432" i="178"/>
  <c r="AT432" i="178"/>
  <c r="AX432" i="178"/>
  <c r="BB432" i="178"/>
  <c r="BF432" i="178"/>
  <c r="BJ432" i="178"/>
  <c r="BK432" i="178"/>
  <c r="AR417" i="178"/>
  <c r="AV417" i="178"/>
  <c r="AZ417" i="178"/>
  <c r="BD417" i="178"/>
  <c r="BH417" i="178"/>
  <c r="BM417" i="178"/>
  <c r="AT417" i="178"/>
  <c r="AX417" i="178"/>
  <c r="BB417" i="178"/>
  <c r="BF417" i="178"/>
  <c r="BJ417" i="178"/>
  <c r="BK417" i="178"/>
  <c r="AT392" i="178"/>
  <c r="AX392" i="178"/>
  <c r="BB392" i="178"/>
  <c r="BF392" i="178"/>
  <c r="BJ392" i="178"/>
  <c r="BK392" i="178"/>
  <c r="AR392" i="178"/>
  <c r="AV392" i="178"/>
  <c r="AZ392" i="178"/>
  <c r="BD392" i="178"/>
  <c r="BH392" i="178"/>
  <c r="BM392" i="178"/>
  <c r="AT199" i="178"/>
  <c r="AX199" i="178"/>
  <c r="BB199" i="178"/>
  <c r="BF199" i="178"/>
  <c r="BJ199" i="178"/>
  <c r="BK199" i="178"/>
  <c r="AR199" i="178"/>
  <c r="AV199" i="178"/>
  <c r="AZ199" i="178"/>
  <c r="BD199" i="178"/>
  <c r="BH199" i="178"/>
  <c r="BM199" i="178"/>
  <c r="BM198" i="178"/>
  <c r="AT198" i="178"/>
  <c r="AX198" i="178"/>
  <c r="BB198" i="178"/>
  <c r="BF198" i="178"/>
  <c r="BJ198" i="178"/>
  <c r="BK198" i="178"/>
  <c r="AV198" i="178"/>
  <c r="AZ198" i="178"/>
  <c r="BD198" i="178"/>
  <c r="AR198" i="178"/>
  <c r="BH198" i="178"/>
  <c r="AR196" i="178"/>
  <c r="AV196" i="178"/>
  <c r="AZ196" i="178"/>
  <c r="BD196" i="178"/>
  <c r="BH196" i="178"/>
  <c r="BM196" i="178"/>
  <c r="AT196" i="178"/>
  <c r="AX196" i="178"/>
  <c r="BB196" i="178"/>
  <c r="BF196" i="178"/>
  <c r="BJ196" i="178"/>
  <c r="BK196" i="178"/>
  <c r="AT195" i="178"/>
  <c r="AX195" i="178"/>
  <c r="BB195" i="178"/>
  <c r="BF195" i="178"/>
  <c r="BJ195" i="178"/>
  <c r="BK195" i="178"/>
  <c r="AR195" i="178"/>
  <c r="AV195" i="178"/>
  <c r="AZ195" i="178"/>
  <c r="BD195" i="178"/>
  <c r="BH195" i="178"/>
  <c r="BM195" i="178"/>
  <c r="AR173" i="178"/>
  <c r="AV173" i="178"/>
  <c r="AZ173" i="178"/>
  <c r="BD173" i="178"/>
  <c r="BH173" i="178"/>
  <c r="BM173" i="178"/>
  <c r="AT173" i="178"/>
  <c r="AX173" i="178"/>
  <c r="BB173" i="178"/>
  <c r="BF173" i="178"/>
  <c r="BJ173" i="178"/>
  <c r="BK173" i="178"/>
  <c r="BK172" i="178"/>
  <c r="AR172" i="178"/>
  <c r="AV172" i="178"/>
  <c r="AZ172" i="178"/>
  <c r="BD172" i="178"/>
  <c r="BH172" i="178"/>
  <c r="BM172" i="178"/>
  <c r="BF172" i="178"/>
  <c r="AT172" i="178"/>
  <c r="BJ172" i="178"/>
  <c r="AX172" i="178"/>
  <c r="BB172" i="178"/>
  <c r="BM362" i="178"/>
  <c r="AT362" i="178"/>
  <c r="AX362" i="178"/>
  <c r="BB362" i="178"/>
  <c r="BF362" i="178"/>
  <c r="BJ362" i="178"/>
  <c r="BK362" i="178"/>
  <c r="AV362" i="178"/>
  <c r="AZ362" i="178"/>
  <c r="BD362" i="178"/>
  <c r="AR362" i="178"/>
  <c r="BH362" i="178"/>
  <c r="BK359" i="178"/>
  <c r="AR359" i="178"/>
  <c r="AV359" i="178"/>
  <c r="AZ359" i="178"/>
  <c r="BD359" i="178"/>
  <c r="BH359" i="178"/>
  <c r="BM359" i="178"/>
  <c r="AT359" i="178"/>
  <c r="BJ359" i="178"/>
  <c r="AX359" i="178"/>
  <c r="BB359" i="178"/>
  <c r="BF359" i="178"/>
  <c r="AT167" i="178"/>
  <c r="AX167" i="178"/>
  <c r="BB167" i="178"/>
  <c r="BF167" i="178"/>
  <c r="BJ167" i="178"/>
  <c r="BK167" i="178"/>
  <c r="AR167" i="178"/>
  <c r="AV167" i="178"/>
  <c r="AZ167" i="178"/>
  <c r="BD167" i="178"/>
  <c r="BH167" i="178"/>
  <c r="BM167" i="178"/>
  <c r="BM166" i="178"/>
  <c r="AT166" i="178"/>
  <c r="AX166" i="178"/>
  <c r="BB166" i="178"/>
  <c r="BF166" i="178"/>
  <c r="BJ166" i="178"/>
  <c r="BK166" i="178"/>
  <c r="AR166" i="178"/>
  <c r="BH166" i="178"/>
  <c r="AV166" i="178"/>
  <c r="AZ166" i="178"/>
  <c r="BD166" i="178"/>
  <c r="AR165" i="178"/>
  <c r="AV165" i="178"/>
  <c r="AZ165" i="178"/>
  <c r="BD165" i="178"/>
  <c r="BH165" i="178"/>
  <c r="BM165" i="178"/>
  <c r="AT165" i="178"/>
  <c r="AX165" i="178"/>
  <c r="BB165" i="178"/>
  <c r="BF165" i="178"/>
  <c r="BJ165" i="178"/>
  <c r="BK165" i="178"/>
  <c r="BK164" i="178"/>
  <c r="AR164" i="178"/>
  <c r="AV164" i="178"/>
  <c r="AZ164" i="178"/>
  <c r="BD164" i="178"/>
  <c r="BH164" i="178"/>
  <c r="BM164" i="178"/>
  <c r="BF164" i="178"/>
  <c r="AT164" i="178"/>
  <c r="BJ164" i="178"/>
  <c r="AX164" i="178"/>
  <c r="BB164" i="178"/>
  <c r="AT163" i="178"/>
  <c r="AX163" i="178"/>
  <c r="BB163" i="178"/>
  <c r="BF163" i="178"/>
  <c r="BJ163" i="178"/>
  <c r="BK163" i="178"/>
  <c r="AR163" i="178"/>
  <c r="AV163" i="178"/>
  <c r="AZ163" i="178"/>
  <c r="BD163" i="178"/>
  <c r="BH163" i="178"/>
  <c r="BM163" i="178"/>
  <c r="BM162" i="178"/>
  <c r="AT162" i="178"/>
  <c r="AX162" i="178"/>
  <c r="BB162" i="178"/>
  <c r="BF162" i="178"/>
  <c r="BJ162" i="178"/>
  <c r="BK162" i="178"/>
  <c r="BD162" i="178"/>
  <c r="AR162" i="178"/>
  <c r="BH162" i="178"/>
  <c r="AV162" i="178"/>
  <c r="AZ162" i="178"/>
  <c r="BK156" i="178"/>
  <c r="AR156" i="178"/>
  <c r="AV156" i="178"/>
  <c r="AZ156" i="178"/>
  <c r="BD156" i="178"/>
  <c r="BH156" i="178"/>
  <c r="BM156" i="178"/>
  <c r="AX156" i="178"/>
  <c r="BB156" i="178"/>
  <c r="BF156" i="178"/>
  <c r="AT156" i="178"/>
  <c r="BJ156" i="178"/>
  <c r="BM155" i="178"/>
  <c r="AT155" i="178"/>
  <c r="AX155" i="178"/>
  <c r="BB155" i="178"/>
  <c r="BF155" i="178"/>
  <c r="BJ155" i="178"/>
  <c r="BK155" i="178"/>
  <c r="AV155" i="178"/>
  <c r="AZ155" i="178"/>
  <c r="BD155" i="178"/>
  <c r="AR155" i="178"/>
  <c r="BH155" i="178"/>
  <c r="AR154" i="178"/>
  <c r="AV154" i="178"/>
  <c r="AZ154" i="178"/>
  <c r="BD154" i="178"/>
  <c r="BH154" i="178"/>
  <c r="BM154" i="178"/>
  <c r="AT154" i="178"/>
  <c r="AX154" i="178"/>
  <c r="BB154" i="178"/>
  <c r="BF154" i="178"/>
  <c r="BJ154" i="178"/>
  <c r="BK154" i="178"/>
  <c r="BK471" i="178"/>
  <c r="AR471" i="178"/>
  <c r="AV471" i="178"/>
  <c r="AZ471" i="178"/>
  <c r="BD471" i="178"/>
  <c r="BH471" i="178"/>
  <c r="BM471" i="178"/>
  <c r="AT471" i="178"/>
  <c r="BJ471" i="178"/>
  <c r="AX471" i="178"/>
  <c r="BB471" i="178"/>
  <c r="BF471" i="178"/>
  <c r="AT470" i="178"/>
  <c r="AX470" i="178"/>
  <c r="BB470" i="178"/>
  <c r="BF470" i="178"/>
  <c r="BJ470" i="178"/>
  <c r="BK470" i="178"/>
  <c r="AR470" i="178"/>
  <c r="AV470" i="178"/>
  <c r="AZ470" i="178"/>
  <c r="BD470" i="178"/>
  <c r="BH470" i="178"/>
  <c r="BM470" i="178"/>
  <c r="BM469" i="178"/>
  <c r="AT469" i="178"/>
  <c r="AX469" i="178"/>
  <c r="BB469" i="178"/>
  <c r="BF469" i="178"/>
  <c r="BJ469" i="178"/>
  <c r="BK469" i="178"/>
  <c r="AR469" i="178"/>
  <c r="BH469" i="178"/>
  <c r="AV469" i="178"/>
  <c r="AZ469" i="178"/>
  <c r="BD469" i="178"/>
  <c r="AT463" i="178"/>
  <c r="AX463" i="178"/>
  <c r="BB463" i="178"/>
  <c r="BF463" i="178"/>
  <c r="BJ463" i="178"/>
  <c r="BK463" i="178"/>
  <c r="AR463" i="178"/>
  <c r="AV463" i="178"/>
  <c r="AZ463" i="178"/>
  <c r="BD463" i="178"/>
  <c r="BH463" i="178"/>
  <c r="BM463" i="178"/>
  <c r="AR462" i="178"/>
  <c r="AV462" i="178"/>
  <c r="AZ462" i="178"/>
  <c r="BD462" i="178"/>
  <c r="BH462" i="178"/>
  <c r="BM462" i="178"/>
  <c r="AT462" i="178"/>
  <c r="AX462" i="178"/>
  <c r="BB462" i="178"/>
  <c r="BF462" i="178"/>
  <c r="BJ462" i="178"/>
  <c r="BK462" i="178"/>
  <c r="BK460" i="178"/>
  <c r="AR460" i="178"/>
  <c r="AV460" i="178"/>
  <c r="AZ460" i="178"/>
  <c r="BD460" i="178"/>
  <c r="BH460" i="178"/>
  <c r="BM460" i="178"/>
  <c r="BB460" i="178"/>
  <c r="BF460" i="178"/>
  <c r="AT460" i="178"/>
  <c r="BJ460" i="178"/>
  <c r="AX460" i="178"/>
  <c r="AT459" i="178"/>
  <c r="AX459" i="178"/>
  <c r="BB459" i="178"/>
  <c r="BF459" i="178"/>
  <c r="BJ459" i="178"/>
  <c r="BK459" i="178"/>
  <c r="AR459" i="178"/>
  <c r="AV459" i="178"/>
  <c r="AZ459" i="178"/>
  <c r="BD459" i="178"/>
  <c r="BH459" i="178"/>
  <c r="BM459" i="178"/>
  <c r="BM457" i="178"/>
  <c r="AT457" i="178"/>
  <c r="AX457" i="178"/>
  <c r="BB457" i="178"/>
  <c r="BF457" i="178"/>
  <c r="BJ457" i="178"/>
  <c r="BK457" i="178"/>
  <c r="AZ457" i="178"/>
  <c r="BD457" i="178"/>
  <c r="AR457" i="178"/>
  <c r="BH457" i="178"/>
  <c r="AV457" i="178"/>
  <c r="AR455" i="178"/>
  <c r="AV455" i="178"/>
  <c r="AZ455" i="178"/>
  <c r="BD455" i="178"/>
  <c r="BH455" i="178"/>
  <c r="BM455" i="178"/>
  <c r="AT455" i="178"/>
  <c r="AX455" i="178"/>
  <c r="BB455" i="178"/>
  <c r="BF455" i="178"/>
  <c r="BJ455" i="178"/>
  <c r="BK455" i="178"/>
  <c r="BK456" i="178"/>
  <c r="AR456" i="178"/>
  <c r="AV456" i="178"/>
  <c r="AZ456" i="178"/>
  <c r="BD456" i="178"/>
  <c r="BH456" i="178"/>
  <c r="BM456" i="178"/>
  <c r="AX456" i="178"/>
  <c r="BB456" i="178"/>
  <c r="BF456" i="178"/>
  <c r="AT456" i="178"/>
  <c r="BJ456" i="178"/>
  <c r="AT453" i="178"/>
  <c r="AX453" i="178"/>
  <c r="BB453" i="178"/>
  <c r="BF453" i="178"/>
  <c r="BJ453" i="178"/>
  <c r="BK453" i="178"/>
  <c r="AR453" i="178"/>
  <c r="AV453" i="178"/>
  <c r="AZ453" i="178"/>
  <c r="BD453" i="178"/>
  <c r="BH453" i="178"/>
  <c r="BM453" i="178"/>
  <c r="BM452" i="178"/>
  <c r="AT452" i="178"/>
  <c r="AX452" i="178"/>
  <c r="BB452" i="178"/>
  <c r="BF452" i="178"/>
  <c r="BJ452" i="178"/>
  <c r="BK452" i="178"/>
  <c r="AV452" i="178"/>
  <c r="AZ452" i="178"/>
  <c r="BD452" i="178"/>
  <c r="BH452" i="178"/>
  <c r="AR452" i="178"/>
  <c r="AR450" i="178"/>
  <c r="AV450" i="178"/>
  <c r="AZ450" i="178"/>
  <c r="BD450" i="178"/>
  <c r="BH450" i="178"/>
  <c r="BM450" i="178"/>
  <c r="AT450" i="178"/>
  <c r="AX450" i="178"/>
  <c r="BB450" i="178"/>
  <c r="BF450" i="178"/>
  <c r="BJ450" i="178"/>
  <c r="BK450" i="178"/>
  <c r="BK449" i="178"/>
  <c r="AR449" i="178"/>
  <c r="AV449" i="178"/>
  <c r="AZ449" i="178"/>
  <c r="BD449" i="178"/>
  <c r="BH449" i="178"/>
  <c r="BM449" i="178"/>
  <c r="AT449" i="178"/>
  <c r="BJ449" i="178"/>
  <c r="AX449" i="178"/>
  <c r="BB449" i="178"/>
  <c r="BF449" i="178"/>
  <c r="AT447" i="178"/>
  <c r="AX447" i="178"/>
  <c r="BB447" i="178"/>
  <c r="BF447" i="178"/>
  <c r="BJ447" i="178"/>
  <c r="BK447" i="178"/>
  <c r="AR447" i="178"/>
  <c r="AV447" i="178"/>
  <c r="AZ447" i="178"/>
  <c r="BD447" i="178"/>
  <c r="BH447" i="178"/>
  <c r="BM447" i="178"/>
  <c r="BM446" i="178"/>
  <c r="AT446" i="178"/>
  <c r="AX446" i="178"/>
  <c r="BB446" i="178"/>
  <c r="BF446" i="178"/>
  <c r="BJ446" i="178"/>
  <c r="BK446" i="178"/>
  <c r="AR446" i="178"/>
  <c r="BH446" i="178"/>
  <c r="AV446" i="178"/>
  <c r="AZ446" i="178"/>
  <c r="BD446" i="178"/>
  <c r="AR442" i="178"/>
  <c r="AV442" i="178"/>
  <c r="AZ442" i="178"/>
  <c r="BD442" i="178"/>
  <c r="BH442" i="178"/>
  <c r="BM442" i="178"/>
  <c r="AT442" i="178"/>
  <c r="AX442" i="178"/>
  <c r="BB442" i="178"/>
  <c r="BF442" i="178"/>
  <c r="BJ442" i="178"/>
  <c r="BK442" i="178"/>
  <c r="BK441" i="178"/>
  <c r="AR441" i="178"/>
  <c r="AV441" i="178"/>
  <c r="AZ441" i="178"/>
  <c r="BD441" i="178"/>
  <c r="BH441" i="178"/>
  <c r="BM441" i="178"/>
  <c r="BF441" i="178"/>
  <c r="AT441" i="178"/>
  <c r="BJ441" i="178"/>
  <c r="AX441" i="178"/>
  <c r="BB441" i="178"/>
  <c r="AT440" i="178"/>
  <c r="AX440" i="178"/>
  <c r="BB440" i="178"/>
  <c r="BF440" i="178"/>
  <c r="BJ440" i="178"/>
  <c r="BK440" i="178"/>
  <c r="AR440" i="178"/>
  <c r="AV440" i="178"/>
  <c r="AZ440" i="178"/>
  <c r="BD440" i="178"/>
  <c r="BH440" i="178"/>
  <c r="BM440" i="178"/>
  <c r="BM339" i="178"/>
  <c r="AT339" i="178"/>
  <c r="AX339" i="178"/>
  <c r="BB339" i="178"/>
  <c r="BF339" i="178"/>
  <c r="BJ339" i="178"/>
  <c r="BK339" i="178"/>
  <c r="AR339" i="178"/>
  <c r="BH339" i="178"/>
  <c r="AV339" i="178"/>
  <c r="AZ339" i="178"/>
  <c r="BD339" i="178"/>
  <c r="AR338" i="178"/>
  <c r="AV338" i="178"/>
  <c r="AZ338" i="178"/>
  <c r="BD338" i="178"/>
  <c r="BH338" i="178"/>
  <c r="BM338" i="178"/>
  <c r="AT338" i="178"/>
  <c r="AX338" i="178"/>
  <c r="BB338" i="178"/>
  <c r="BF338" i="178"/>
  <c r="BJ338" i="178"/>
  <c r="BK338" i="178"/>
  <c r="BK340" i="178"/>
  <c r="AR340" i="178"/>
  <c r="AV340" i="178"/>
  <c r="AZ340" i="178"/>
  <c r="BD340" i="178"/>
  <c r="BH340" i="178"/>
  <c r="BM340" i="178"/>
  <c r="BF340" i="178"/>
  <c r="AT340" i="178"/>
  <c r="BJ340" i="178"/>
  <c r="AX340" i="178"/>
  <c r="BB340" i="178"/>
  <c r="AR330" i="178"/>
  <c r="AV330" i="178"/>
  <c r="AZ330" i="178"/>
  <c r="BD330" i="178"/>
  <c r="BH330" i="178"/>
  <c r="BM330" i="178"/>
  <c r="AT330" i="178"/>
  <c r="AX330" i="178"/>
  <c r="BB330" i="178"/>
  <c r="BF330" i="178"/>
  <c r="BJ330" i="178"/>
  <c r="BK330" i="178"/>
  <c r="BK329" i="178"/>
  <c r="AR329" i="178"/>
  <c r="AV329" i="178"/>
  <c r="AZ329" i="178"/>
  <c r="BD329" i="178"/>
  <c r="BH329" i="178"/>
  <c r="BM329" i="178"/>
  <c r="AX329" i="178"/>
  <c r="BB329" i="178"/>
  <c r="BF329" i="178"/>
  <c r="AT329" i="178"/>
  <c r="BJ329" i="178"/>
  <c r="AT331" i="178"/>
  <c r="AX331" i="178"/>
  <c r="BB331" i="178"/>
  <c r="BF331" i="178"/>
  <c r="BJ331" i="178"/>
  <c r="BK331" i="178"/>
  <c r="AR331" i="178"/>
  <c r="AV331" i="178"/>
  <c r="AZ331" i="178"/>
  <c r="BD331" i="178"/>
  <c r="BH331" i="178"/>
  <c r="BM331" i="178"/>
  <c r="BM327" i="178"/>
  <c r="AT327" i="178"/>
  <c r="AX327" i="178"/>
  <c r="BB327" i="178"/>
  <c r="BF327" i="178"/>
  <c r="BJ327" i="178"/>
  <c r="BK327" i="178"/>
  <c r="AV327" i="178"/>
  <c r="AZ327" i="178"/>
  <c r="BD327" i="178"/>
  <c r="AR327" i="178"/>
  <c r="BH327" i="178"/>
  <c r="AR326" i="178"/>
  <c r="AV326" i="178"/>
  <c r="AZ326" i="178"/>
  <c r="BD326" i="178"/>
  <c r="BH326" i="178"/>
  <c r="BM326" i="178"/>
  <c r="AT326" i="178"/>
  <c r="AX326" i="178"/>
  <c r="BB326" i="178"/>
  <c r="BF326" i="178"/>
  <c r="BJ326" i="178"/>
  <c r="BK326" i="178"/>
  <c r="BK328" i="178"/>
  <c r="AR328" i="178"/>
  <c r="AV328" i="178"/>
  <c r="AZ328" i="178"/>
  <c r="BD328" i="178"/>
  <c r="BH328" i="178"/>
  <c r="BM328" i="178"/>
  <c r="AT328" i="178"/>
  <c r="BJ328" i="178"/>
  <c r="AX328" i="178"/>
  <c r="BB328" i="178"/>
  <c r="BF328" i="178"/>
  <c r="AT324" i="178"/>
  <c r="AX324" i="178"/>
  <c r="BB324" i="178"/>
  <c r="BF324" i="178"/>
  <c r="BJ324" i="178"/>
  <c r="BK324" i="178"/>
  <c r="AR324" i="178"/>
  <c r="AV324" i="178"/>
  <c r="AZ324" i="178"/>
  <c r="BD324" i="178"/>
  <c r="BH324" i="178"/>
  <c r="BM324" i="178"/>
  <c r="BM323" i="178"/>
  <c r="AT323" i="178"/>
  <c r="AX323" i="178"/>
  <c r="BB323" i="178"/>
  <c r="BF323" i="178"/>
  <c r="BJ323" i="178"/>
  <c r="BK323" i="178"/>
  <c r="AR323" i="178"/>
  <c r="BH323" i="178"/>
  <c r="AV323" i="178"/>
  <c r="AZ323" i="178"/>
  <c r="BD323" i="178"/>
  <c r="AR325" i="178"/>
  <c r="AV325" i="178"/>
  <c r="AZ325" i="178"/>
  <c r="BD325" i="178"/>
  <c r="BH325" i="178"/>
  <c r="BM325" i="178"/>
  <c r="AT325" i="178"/>
  <c r="AX325" i="178"/>
  <c r="BB325" i="178"/>
  <c r="BF325" i="178"/>
  <c r="BJ325" i="178"/>
  <c r="BK325" i="178"/>
  <c r="BK322" i="178"/>
  <c r="AR322" i="178"/>
  <c r="AV322" i="178"/>
  <c r="AZ322" i="178"/>
  <c r="BD322" i="178"/>
  <c r="BH322" i="178"/>
  <c r="BM322" i="178"/>
  <c r="BF322" i="178"/>
  <c r="AT322" i="178"/>
  <c r="BJ322" i="178"/>
  <c r="AX322" i="178"/>
  <c r="BB322" i="178"/>
  <c r="AT321" i="178"/>
  <c r="AX321" i="178"/>
  <c r="BB321" i="178"/>
  <c r="BF321" i="178"/>
  <c r="BJ321" i="178"/>
  <c r="BK321" i="178"/>
  <c r="AR321" i="178"/>
  <c r="AV321" i="178"/>
  <c r="AZ321" i="178"/>
  <c r="BD321" i="178"/>
  <c r="BH321" i="178"/>
  <c r="BM321" i="178"/>
  <c r="BM319" i="178"/>
  <c r="AT319" i="178"/>
  <c r="AX319" i="178"/>
  <c r="BB319" i="178"/>
  <c r="BF319" i="178"/>
  <c r="BJ319" i="178"/>
  <c r="BK319" i="178"/>
  <c r="BD319" i="178"/>
  <c r="AR319" i="178"/>
  <c r="BH319" i="178"/>
  <c r="AV319" i="178"/>
  <c r="AZ319" i="178"/>
  <c r="AR318" i="178"/>
  <c r="AV318" i="178"/>
  <c r="AZ318" i="178"/>
  <c r="BD318" i="178"/>
  <c r="BH318" i="178"/>
  <c r="BM318" i="178"/>
  <c r="AT318" i="178"/>
  <c r="AX318" i="178"/>
  <c r="BB318" i="178"/>
  <c r="BF318" i="178"/>
  <c r="BJ318" i="178"/>
  <c r="BK318" i="178"/>
  <c r="BK320" i="178"/>
  <c r="AR320" i="178"/>
  <c r="AV320" i="178"/>
  <c r="AZ320" i="178"/>
  <c r="BD320" i="178"/>
  <c r="BH320" i="178"/>
  <c r="BM320" i="178"/>
  <c r="BB320" i="178"/>
  <c r="BF320" i="178"/>
  <c r="AT320" i="178"/>
  <c r="BJ320" i="178"/>
  <c r="AX320" i="178"/>
  <c r="AR307" i="178"/>
  <c r="AV307" i="178"/>
  <c r="AZ307" i="178"/>
  <c r="BD307" i="178"/>
  <c r="BH307" i="178"/>
  <c r="BM307" i="178"/>
  <c r="AT307" i="178"/>
  <c r="AX307" i="178"/>
  <c r="BB307" i="178"/>
  <c r="BF307" i="178"/>
  <c r="BJ307" i="178"/>
  <c r="BK307" i="178"/>
  <c r="AT306" i="178"/>
  <c r="BK306" i="178"/>
  <c r="AV306" i="178"/>
  <c r="AZ306" i="178"/>
  <c r="BD306" i="178"/>
  <c r="BH306" i="178"/>
  <c r="AR306" i="178"/>
  <c r="BM306" i="178"/>
  <c r="BJ306" i="178"/>
  <c r="AX306" i="178"/>
  <c r="BB306" i="178"/>
  <c r="BF306" i="178"/>
  <c r="AT308" i="178"/>
  <c r="AX308" i="178"/>
  <c r="BB308" i="178"/>
  <c r="BF308" i="178"/>
  <c r="BJ308" i="178"/>
  <c r="AR308" i="178"/>
  <c r="AV308" i="178"/>
  <c r="AZ308" i="178"/>
  <c r="BD308" i="178"/>
  <c r="BH308" i="178"/>
  <c r="BM308" i="178"/>
  <c r="BK308" i="178"/>
  <c r="BM305" i="178"/>
  <c r="BK305" i="178"/>
  <c r="AV305" i="178"/>
  <c r="BD305" i="178"/>
  <c r="AX305" i="178"/>
  <c r="BF305" i="178"/>
  <c r="AR305" i="178"/>
  <c r="AZ305" i="178"/>
  <c r="BH305" i="178"/>
  <c r="BJ305" i="178"/>
  <c r="AT305" i="178"/>
  <c r="BB305" i="178"/>
  <c r="AR301" i="178"/>
  <c r="AV301" i="178"/>
  <c r="AZ301" i="178"/>
  <c r="BD301" i="178"/>
  <c r="BH301" i="178"/>
  <c r="AT301" i="178"/>
  <c r="AX301" i="178"/>
  <c r="BB301" i="178"/>
  <c r="BF301" i="178"/>
  <c r="BJ301" i="178"/>
  <c r="BK301" i="178"/>
  <c r="BM301" i="178"/>
  <c r="BK298" i="178"/>
  <c r="BM298" i="178"/>
  <c r="AT298" i="178"/>
  <c r="BB298" i="178"/>
  <c r="BJ298" i="178"/>
  <c r="AV298" i="178"/>
  <c r="BD298" i="178"/>
  <c r="AX298" i="178"/>
  <c r="BF298" i="178"/>
  <c r="AR298" i="178"/>
  <c r="AZ298" i="178"/>
  <c r="BH298" i="178"/>
  <c r="AT303" i="178"/>
  <c r="AX303" i="178"/>
  <c r="BB303" i="178"/>
  <c r="BF303" i="178"/>
  <c r="BJ303" i="178"/>
  <c r="AR303" i="178"/>
  <c r="AV303" i="178"/>
  <c r="AZ303" i="178"/>
  <c r="BD303" i="178"/>
  <c r="BH303" i="178"/>
  <c r="BK303" i="178"/>
  <c r="BM303" i="178"/>
  <c r="BM302" i="178"/>
  <c r="BK302" i="178"/>
  <c r="AR302" i="178"/>
  <c r="AZ302" i="178"/>
  <c r="BH302" i="178"/>
  <c r="AT302" i="178"/>
  <c r="BB302" i="178"/>
  <c r="BJ302" i="178"/>
  <c r="AV302" i="178"/>
  <c r="BD302" i="178"/>
  <c r="BF302" i="178"/>
  <c r="AX302" i="178"/>
  <c r="AR300" i="178"/>
  <c r="AV300" i="178"/>
  <c r="AZ300" i="178"/>
  <c r="BD300" i="178"/>
  <c r="BH300" i="178"/>
  <c r="AT300" i="178"/>
  <c r="AX300" i="178"/>
  <c r="BB300" i="178"/>
  <c r="BF300" i="178"/>
  <c r="BJ300" i="178"/>
  <c r="BK300" i="178"/>
  <c r="BM300" i="178"/>
  <c r="BM289" i="178"/>
  <c r="BK289" i="178"/>
  <c r="AV289" i="178"/>
  <c r="BD289" i="178"/>
  <c r="AX289" i="178"/>
  <c r="BF289" i="178"/>
  <c r="AR289" i="178"/>
  <c r="AZ289" i="178"/>
  <c r="BH289" i="178"/>
  <c r="BB289" i="178"/>
  <c r="BJ289" i="178"/>
  <c r="AT289" i="178"/>
  <c r="AR288" i="178"/>
  <c r="AV288" i="178"/>
  <c r="AZ288" i="178"/>
  <c r="BD288" i="178"/>
  <c r="BH288" i="178"/>
  <c r="AT288" i="178"/>
  <c r="AX288" i="178"/>
  <c r="BB288" i="178"/>
  <c r="BF288" i="178"/>
  <c r="BJ288" i="178"/>
  <c r="BK288" i="178"/>
  <c r="BM288" i="178"/>
  <c r="BK286" i="178"/>
  <c r="BM286" i="178"/>
  <c r="AT286" i="178"/>
  <c r="BB286" i="178"/>
  <c r="BJ286" i="178"/>
  <c r="AV286" i="178"/>
  <c r="BD286" i="178"/>
  <c r="AX286" i="178"/>
  <c r="BF286" i="178"/>
  <c r="AR286" i="178"/>
  <c r="AZ286" i="178"/>
  <c r="BH286" i="178"/>
  <c r="AT285" i="178"/>
  <c r="AX285" i="178"/>
  <c r="BB285" i="178"/>
  <c r="BF285" i="178"/>
  <c r="BJ285" i="178"/>
  <c r="AR285" i="178"/>
  <c r="AV285" i="178"/>
  <c r="AZ285" i="178"/>
  <c r="BD285" i="178"/>
  <c r="BH285" i="178"/>
  <c r="BK285" i="178"/>
  <c r="BM285" i="178"/>
  <c r="BM282" i="178"/>
  <c r="BK282" i="178"/>
  <c r="AR282" i="178"/>
  <c r="AZ282" i="178"/>
  <c r="BH282" i="178"/>
  <c r="AT282" i="178"/>
  <c r="BB282" i="178"/>
  <c r="BJ282" i="178"/>
  <c r="AV282" i="178"/>
  <c r="BD282" i="178"/>
  <c r="AX282" i="178"/>
  <c r="BF282" i="178"/>
  <c r="AR284" i="178"/>
  <c r="AV284" i="178"/>
  <c r="AZ284" i="178"/>
  <c r="BD284" i="178"/>
  <c r="BH284" i="178"/>
  <c r="AT284" i="178"/>
  <c r="AX284" i="178"/>
  <c r="BB284" i="178"/>
  <c r="BF284" i="178"/>
  <c r="BJ284" i="178"/>
  <c r="BK284" i="178"/>
  <c r="BM284" i="178"/>
  <c r="BK287" i="178"/>
  <c r="BM287" i="178"/>
  <c r="AX287" i="178"/>
  <c r="BF287" i="178"/>
  <c r="AR287" i="178"/>
  <c r="AZ287" i="178"/>
  <c r="BH287" i="178"/>
  <c r="AT287" i="178"/>
  <c r="BB287" i="178"/>
  <c r="BJ287" i="178"/>
  <c r="AV287" i="178"/>
  <c r="BD287" i="178"/>
  <c r="AT276" i="178"/>
  <c r="AX276" i="178"/>
  <c r="BB276" i="178"/>
  <c r="BF276" i="178"/>
  <c r="BJ276" i="178"/>
  <c r="AR276" i="178"/>
  <c r="AV276" i="178"/>
  <c r="AZ276" i="178"/>
  <c r="BD276" i="178"/>
  <c r="BH276" i="178"/>
  <c r="BM276" i="178"/>
  <c r="BK276" i="178"/>
  <c r="BM275" i="178"/>
  <c r="BK275" i="178"/>
  <c r="AV275" i="178"/>
  <c r="BD275" i="178"/>
  <c r="AX275" i="178"/>
  <c r="BF275" i="178"/>
  <c r="AR275" i="178"/>
  <c r="AZ275" i="178"/>
  <c r="BH275" i="178"/>
  <c r="AT275" i="178"/>
  <c r="BB275" i="178"/>
  <c r="BJ275" i="178"/>
  <c r="AR274" i="178"/>
  <c r="AV274" i="178"/>
  <c r="AZ274" i="178"/>
  <c r="BD274" i="178"/>
  <c r="BH274" i="178"/>
  <c r="AT274" i="178"/>
  <c r="AX274" i="178"/>
  <c r="BB274" i="178"/>
  <c r="BF274" i="178"/>
  <c r="BJ274" i="178"/>
  <c r="BK274" i="178"/>
  <c r="BM274" i="178"/>
  <c r="BK278" i="178"/>
  <c r="BM278" i="178"/>
  <c r="AT278" i="178"/>
  <c r="BB278" i="178"/>
  <c r="BJ278" i="178"/>
  <c r="AV278" i="178"/>
  <c r="BD278" i="178"/>
  <c r="AX278" i="178"/>
  <c r="BF278" i="178"/>
  <c r="BH278" i="178"/>
  <c r="AR278" i="178"/>
  <c r="AZ278" i="178"/>
  <c r="AT277" i="178"/>
  <c r="AX277" i="178"/>
  <c r="BB277" i="178"/>
  <c r="BF277" i="178"/>
  <c r="BJ277" i="178"/>
  <c r="AR277" i="178"/>
  <c r="AV277" i="178"/>
  <c r="AZ277" i="178"/>
  <c r="BD277" i="178"/>
  <c r="BH277" i="178"/>
  <c r="BK277" i="178"/>
  <c r="BM277" i="178"/>
  <c r="BM273" i="178"/>
  <c r="BK273" i="178"/>
  <c r="AR273" i="178"/>
  <c r="AZ273" i="178"/>
  <c r="BH273" i="178"/>
  <c r="AT273" i="178"/>
  <c r="BB273" i="178"/>
  <c r="BJ273" i="178"/>
  <c r="AV273" i="178"/>
  <c r="BD273" i="178"/>
  <c r="AX273" i="178"/>
  <c r="BF273" i="178"/>
  <c r="AR271" i="178"/>
  <c r="AV271" i="178"/>
  <c r="AZ271" i="178"/>
  <c r="BD271" i="178"/>
  <c r="BH271" i="178"/>
  <c r="AT271" i="178"/>
  <c r="AX271" i="178"/>
  <c r="BB271" i="178"/>
  <c r="BF271" i="178"/>
  <c r="BJ271" i="178"/>
  <c r="BK271" i="178"/>
  <c r="BM271" i="178"/>
  <c r="BK270" i="178"/>
  <c r="BM270" i="178"/>
  <c r="AX270" i="178"/>
  <c r="BF270" i="178"/>
  <c r="AR270" i="178"/>
  <c r="AZ270" i="178"/>
  <c r="BH270" i="178"/>
  <c r="AT270" i="178"/>
  <c r="BB270" i="178"/>
  <c r="BJ270" i="178"/>
  <c r="BD270" i="178"/>
  <c r="AV270" i="178"/>
  <c r="AT272" i="178"/>
  <c r="AX272" i="178"/>
  <c r="BB272" i="178"/>
  <c r="BF272" i="178"/>
  <c r="BJ272" i="178"/>
  <c r="AR272" i="178"/>
  <c r="AV272" i="178"/>
  <c r="AZ272" i="178"/>
  <c r="BD272" i="178"/>
  <c r="BH272" i="178"/>
  <c r="BM272" i="178"/>
  <c r="BK272" i="178"/>
  <c r="BM269" i="178"/>
  <c r="BK269" i="178"/>
  <c r="AV269" i="178"/>
  <c r="BD269" i="178"/>
  <c r="AX269" i="178"/>
  <c r="BF269" i="178"/>
  <c r="AR269" i="178"/>
  <c r="AZ269" i="178"/>
  <c r="BH269" i="178"/>
  <c r="AT269" i="178"/>
  <c r="BB269" i="178"/>
  <c r="BJ269" i="178"/>
  <c r="BM260" i="178"/>
  <c r="AT260" i="178"/>
  <c r="AX260" i="178"/>
  <c r="BB260" i="178"/>
  <c r="BF260" i="178"/>
  <c r="BJ260" i="178"/>
  <c r="BK260" i="178"/>
  <c r="AV260" i="178"/>
  <c r="AZ260" i="178"/>
  <c r="BD260" i="178"/>
  <c r="AR260" i="178"/>
  <c r="BH260" i="178"/>
  <c r="AR259" i="178"/>
  <c r="AV259" i="178"/>
  <c r="AZ259" i="178"/>
  <c r="BD259" i="178"/>
  <c r="BH259" i="178"/>
  <c r="BM259" i="178"/>
  <c r="AT259" i="178"/>
  <c r="AX259" i="178"/>
  <c r="BB259" i="178"/>
  <c r="BF259" i="178"/>
  <c r="BJ259" i="178"/>
  <c r="BK259" i="178"/>
  <c r="AR254" i="178"/>
  <c r="AV254" i="178"/>
  <c r="AZ254" i="178"/>
  <c r="BD254" i="178"/>
  <c r="BH254" i="178"/>
  <c r="BM254" i="178"/>
  <c r="AT254" i="178"/>
  <c r="AX254" i="178"/>
  <c r="BB254" i="178"/>
  <c r="BF254" i="178"/>
  <c r="BJ254" i="178"/>
  <c r="BK254" i="178"/>
  <c r="BK253" i="178"/>
  <c r="AR253" i="178"/>
  <c r="AV253" i="178"/>
  <c r="AZ253" i="178"/>
  <c r="BD253" i="178"/>
  <c r="BH253" i="178"/>
  <c r="BM253" i="178"/>
  <c r="BF253" i="178"/>
  <c r="AT253" i="178"/>
  <c r="BJ253" i="178"/>
  <c r="AX253" i="178"/>
  <c r="BB253" i="178"/>
  <c r="AT255" i="178"/>
  <c r="AX255" i="178"/>
  <c r="BB255" i="178"/>
  <c r="BF255" i="178"/>
  <c r="BJ255" i="178"/>
  <c r="BK255" i="178"/>
  <c r="AR255" i="178"/>
  <c r="AV255" i="178"/>
  <c r="AZ255" i="178"/>
  <c r="BD255" i="178"/>
  <c r="BH255" i="178"/>
  <c r="BM255" i="178"/>
  <c r="AT247" i="178"/>
  <c r="AX247" i="178"/>
  <c r="BB247" i="178"/>
  <c r="BF247" i="178"/>
  <c r="BJ247" i="178"/>
  <c r="BK247" i="178"/>
  <c r="AR247" i="178"/>
  <c r="AV247" i="178"/>
  <c r="AZ247" i="178"/>
  <c r="BD247" i="178"/>
  <c r="BH247" i="178"/>
  <c r="BM247" i="178"/>
  <c r="BM246" i="178"/>
  <c r="AT246" i="178"/>
  <c r="AX246" i="178"/>
  <c r="BB246" i="178"/>
  <c r="BF246" i="178"/>
  <c r="BJ246" i="178"/>
  <c r="BK246" i="178"/>
  <c r="AZ246" i="178"/>
  <c r="BD246" i="178"/>
  <c r="AR246" i="178"/>
  <c r="BH246" i="178"/>
  <c r="AV246" i="178"/>
  <c r="AR245" i="178"/>
  <c r="AV245" i="178"/>
  <c r="AZ245" i="178"/>
  <c r="BD245" i="178"/>
  <c r="BH245" i="178"/>
  <c r="BM245" i="178"/>
  <c r="AT245" i="178"/>
  <c r="AX245" i="178"/>
  <c r="BB245" i="178"/>
  <c r="BF245" i="178"/>
  <c r="BJ245" i="178"/>
  <c r="BK245" i="178"/>
  <c r="BK248" i="178"/>
  <c r="AR248" i="178"/>
  <c r="AV248" i="178"/>
  <c r="AZ248" i="178"/>
  <c r="BD248" i="178"/>
  <c r="BH248" i="178"/>
  <c r="BM248" i="178"/>
  <c r="AX248" i="178"/>
  <c r="BB248" i="178"/>
  <c r="BF248" i="178"/>
  <c r="AT248" i="178"/>
  <c r="BJ248" i="178"/>
  <c r="AT241" i="178"/>
  <c r="AX241" i="178"/>
  <c r="BB241" i="178"/>
  <c r="BF241" i="178"/>
  <c r="BJ241" i="178"/>
  <c r="BK241" i="178"/>
  <c r="AR241" i="178"/>
  <c r="AV241" i="178"/>
  <c r="AZ241" i="178"/>
  <c r="BD241" i="178"/>
  <c r="BH241" i="178"/>
  <c r="BM241" i="178"/>
  <c r="BM240" i="178"/>
  <c r="AT240" i="178"/>
  <c r="AX240" i="178"/>
  <c r="BB240" i="178"/>
  <c r="BF240" i="178"/>
  <c r="BJ240" i="178"/>
  <c r="BK240" i="178"/>
  <c r="AR240" i="178"/>
  <c r="BH240" i="178"/>
  <c r="AV240" i="178"/>
  <c r="AZ240" i="178"/>
  <c r="BD240" i="178"/>
  <c r="AR238" i="178"/>
  <c r="AV238" i="178"/>
  <c r="AZ238" i="178"/>
  <c r="BD238" i="178"/>
  <c r="BH238" i="178"/>
  <c r="BM238" i="178"/>
  <c r="AT238" i="178"/>
  <c r="AX238" i="178"/>
  <c r="BB238" i="178"/>
  <c r="BF238" i="178"/>
  <c r="BJ238" i="178"/>
  <c r="BK238" i="178"/>
  <c r="BK237" i="178"/>
  <c r="AR237" i="178"/>
  <c r="AV237" i="178"/>
  <c r="AZ237" i="178"/>
  <c r="BD237" i="178"/>
  <c r="BH237" i="178"/>
  <c r="BM237" i="178"/>
  <c r="BF237" i="178"/>
  <c r="AT237" i="178"/>
  <c r="BJ237" i="178"/>
  <c r="AX237" i="178"/>
  <c r="BB237" i="178"/>
  <c r="AR215" i="178"/>
  <c r="AV215" i="178"/>
  <c r="AZ215" i="178"/>
  <c r="BD215" i="178"/>
  <c r="BH215" i="178"/>
  <c r="BM215" i="178"/>
  <c r="AT215" i="178"/>
  <c r="AX215" i="178"/>
  <c r="BB215" i="178"/>
  <c r="BF215" i="178"/>
  <c r="BJ215" i="178"/>
  <c r="BK215" i="178"/>
  <c r="BK214" i="178"/>
  <c r="AR214" i="178"/>
  <c r="AV214" i="178"/>
  <c r="AZ214" i="178"/>
  <c r="BD214" i="178"/>
  <c r="BH214" i="178"/>
  <c r="BM214" i="178"/>
  <c r="BF214" i="178"/>
  <c r="AT214" i="178"/>
  <c r="BJ214" i="178"/>
  <c r="AX214" i="178"/>
  <c r="BB214" i="178"/>
  <c r="AT210" i="178"/>
  <c r="AX210" i="178"/>
  <c r="BB210" i="178"/>
  <c r="BF210" i="178"/>
  <c r="BJ210" i="178"/>
  <c r="BK210" i="178"/>
  <c r="AR210" i="178"/>
  <c r="AV210" i="178"/>
  <c r="AZ210" i="178"/>
  <c r="BD210" i="178"/>
  <c r="BH210" i="178"/>
  <c r="BM210" i="178"/>
  <c r="BM209" i="178"/>
  <c r="AT209" i="178"/>
  <c r="AX209" i="178"/>
  <c r="BB209" i="178"/>
  <c r="BF209" i="178"/>
  <c r="BJ209" i="178"/>
  <c r="BK209" i="178"/>
  <c r="BD209" i="178"/>
  <c r="AR209" i="178"/>
  <c r="BH209" i="178"/>
  <c r="AV209" i="178"/>
  <c r="AZ209" i="178"/>
  <c r="AR211" i="178"/>
  <c r="AV211" i="178"/>
  <c r="AZ211" i="178"/>
  <c r="BD211" i="178"/>
  <c r="BH211" i="178"/>
  <c r="BM211" i="178"/>
  <c r="AT211" i="178"/>
  <c r="AX211" i="178"/>
  <c r="BB211" i="178"/>
  <c r="BF211" i="178"/>
  <c r="BJ211" i="178"/>
  <c r="BK211" i="178"/>
  <c r="AR150" i="178"/>
  <c r="AZ150" i="178"/>
  <c r="BH150" i="178"/>
  <c r="AT150" i="178"/>
  <c r="BB150" i="178"/>
  <c r="BM150" i="178"/>
  <c r="AV150" i="178"/>
  <c r="BD150" i="178"/>
  <c r="BJ150" i="178"/>
  <c r="AX150" i="178"/>
  <c r="BF150" i="178"/>
  <c r="BK150" i="178"/>
  <c r="AT149" i="178"/>
  <c r="AX149" i="178"/>
  <c r="BB149" i="178"/>
  <c r="BF149" i="178"/>
  <c r="BJ149" i="178"/>
  <c r="AR149" i="178"/>
  <c r="AV149" i="178"/>
  <c r="AZ149" i="178"/>
  <c r="BD149" i="178"/>
  <c r="BH149" i="178"/>
  <c r="BK149" i="178"/>
  <c r="BM149" i="178"/>
  <c r="AR143" i="178"/>
  <c r="AV143" i="178"/>
  <c r="AZ143" i="178"/>
  <c r="BD143" i="178"/>
  <c r="BH143" i="178"/>
  <c r="AT143" i="178"/>
  <c r="AX143" i="178"/>
  <c r="BB143" i="178"/>
  <c r="BF143" i="178"/>
  <c r="BJ143" i="178"/>
  <c r="BK143" i="178"/>
  <c r="BM143" i="178"/>
  <c r="BK142" i="178"/>
  <c r="BM142" i="178"/>
  <c r="AR142" i="178"/>
  <c r="AZ142" i="178"/>
  <c r="BH142" i="178"/>
  <c r="AT142" i="178"/>
  <c r="BB142" i="178"/>
  <c r="BJ142" i="178"/>
  <c r="AV142" i="178"/>
  <c r="BD142" i="178"/>
  <c r="AX142" i="178"/>
  <c r="BF142" i="178"/>
  <c r="BM115" i="178"/>
  <c r="BK115" i="178"/>
  <c r="AT115" i="178"/>
  <c r="BB115" i="178"/>
  <c r="BJ115" i="178"/>
  <c r="AV115" i="178"/>
  <c r="BD115" i="178"/>
  <c r="AX115" i="178"/>
  <c r="BF115" i="178"/>
  <c r="AR115" i="178"/>
  <c r="AZ115" i="178"/>
  <c r="BH115" i="178"/>
  <c r="AR114" i="178"/>
  <c r="AV114" i="178"/>
  <c r="AZ114" i="178"/>
  <c r="BD114" i="178"/>
  <c r="BH114" i="178"/>
  <c r="AT114" i="178"/>
  <c r="AX114" i="178"/>
  <c r="BB114" i="178"/>
  <c r="BF114" i="178"/>
  <c r="BJ114" i="178"/>
  <c r="BK114" i="178"/>
  <c r="BM114" i="178"/>
  <c r="BK113" i="178"/>
  <c r="BM113" i="178"/>
  <c r="AR113" i="178"/>
  <c r="AZ113" i="178"/>
  <c r="BH113" i="178"/>
  <c r="AT113" i="178"/>
  <c r="BB113" i="178"/>
  <c r="BJ113" i="178"/>
  <c r="AV113" i="178"/>
  <c r="BD113" i="178"/>
  <c r="BF113" i="178"/>
  <c r="AX113" i="178"/>
  <c r="AT112" i="178"/>
  <c r="AX112" i="178"/>
  <c r="BB112" i="178"/>
  <c r="BF112" i="178"/>
  <c r="BJ112" i="178"/>
  <c r="AR112" i="178"/>
  <c r="AV112" i="178"/>
  <c r="AZ112" i="178"/>
  <c r="BD112" i="178"/>
  <c r="BH112" i="178"/>
  <c r="BK112" i="178"/>
  <c r="BM112" i="178"/>
  <c r="BM117" i="178"/>
  <c r="BK117" i="178"/>
  <c r="AX117" i="178"/>
  <c r="BF117" i="178"/>
  <c r="AR117" i="178"/>
  <c r="AZ117" i="178"/>
  <c r="BH117" i="178"/>
  <c r="AT117" i="178"/>
  <c r="BB117" i="178"/>
  <c r="BJ117" i="178"/>
  <c r="AV117" i="178"/>
  <c r="BD117" i="178"/>
  <c r="AR116" i="178"/>
  <c r="AV116" i="178"/>
  <c r="AZ116" i="178"/>
  <c r="BD116" i="178"/>
  <c r="BH116" i="178"/>
  <c r="AT116" i="178"/>
  <c r="AX116" i="178"/>
  <c r="BB116" i="178"/>
  <c r="BF116" i="178"/>
  <c r="BJ116" i="178"/>
  <c r="BM116" i="178"/>
  <c r="BK116" i="178"/>
  <c r="BK111" i="178"/>
  <c r="AR111" i="178"/>
  <c r="AV111" i="178"/>
  <c r="AZ111" i="178"/>
  <c r="BD111" i="178"/>
  <c r="BH111" i="178"/>
  <c r="BM111" i="178"/>
  <c r="AT111" i="178"/>
  <c r="BJ111" i="178"/>
  <c r="AX111" i="178"/>
  <c r="BB111" i="178"/>
  <c r="BF111" i="178"/>
  <c r="AT106" i="178"/>
  <c r="AX106" i="178"/>
  <c r="BB106" i="178"/>
  <c r="BF106" i="178"/>
  <c r="BJ106" i="178"/>
  <c r="BK106" i="178"/>
  <c r="AR106" i="178"/>
  <c r="AV106" i="178"/>
  <c r="AZ106" i="178"/>
  <c r="BD106" i="178"/>
  <c r="BH106" i="178"/>
  <c r="BM106" i="178"/>
  <c r="BM109" i="178"/>
  <c r="AT109" i="178"/>
  <c r="AX109" i="178"/>
  <c r="BB109" i="178"/>
  <c r="BF109" i="178"/>
  <c r="BJ109" i="178"/>
  <c r="BK109" i="178"/>
  <c r="AR109" i="178"/>
  <c r="BH109" i="178"/>
  <c r="AV109" i="178"/>
  <c r="AZ109" i="178"/>
  <c r="BD109" i="178"/>
  <c r="AR105" i="178"/>
  <c r="AV105" i="178"/>
  <c r="AZ105" i="178"/>
  <c r="BD105" i="178"/>
  <c r="BH105" i="178"/>
  <c r="BM105" i="178"/>
  <c r="AT105" i="178"/>
  <c r="AX105" i="178"/>
  <c r="BB105" i="178"/>
  <c r="BF105" i="178"/>
  <c r="BJ105" i="178"/>
  <c r="BK105" i="178"/>
  <c r="BK104" i="178"/>
  <c r="AR104" i="178"/>
  <c r="AV104" i="178"/>
  <c r="AZ104" i="178"/>
  <c r="BD104" i="178"/>
  <c r="BH104" i="178"/>
  <c r="BM104" i="178"/>
  <c r="BF104" i="178"/>
  <c r="AT104" i="178"/>
  <c r="BJ104" i="178"/>
  <c r="AX104" i="178"/>
  <c r="BB104" i="178"/>
  <c r="AT103" i="178"/>
  <c r="AX103" i="178"/>
  <c r="BB103" i="178"/>
  <c r="BF103" i="178"/>
  <c r="BJ103" i="178"/>
  <c r="BK103" i="178"/>
  <c r="AR103" i="178"/>
  <c r="AV103" i="178"/>
  <c r="AZ103" i="178"/>
  <c r="BD103" i="178"/>
  <c r="BH103" i="178"/>
  <c r="BM103" i="178"/>
  <c r="BM102" i="178"/>
  <c r="AT102" i="178"/>
  <c r="AX102" i="178"/>
  <c r="BB102" i="178"/>
  <c r="BF102" i="178"/>
  <c r="BJ102" i="178"/>
  <c r="BK102" i="178"/>
  <c r="BD102" i="178"/>
  <c r="AR102" i="178"/>
  <c r="BH102" i="178"/>
  <c r="AV102" i="178"/>
  <c r="AZ102" i="178"/>
  <c r="AR108" i="178"/>
  <c r="AV108" i="178"/>
  <c r="AZ108" i="178"/>
  <c r="BD108" i="178"/>
  <c r="BH108" i="178"/>
  <c r="BM108" i="178"/>
  <c r="AT108" i="178"/>
  <c r="AX108" i="178"/>
  <c r="BB108" i="178"/>
  <c r="BF108" i="178"/>
  <c r="BJ108" i="178"/>
  <c r="BK108" i="178"/>
  <c r="BK107" i="178"/>
  <c r="AR107" i="178"/>
  <c r="AV107" i="178"/>
  <c r="AZ107" i="178"/>
  <c r="BD107" i="178"/>
  <c r="BH107" i="178"/>
  <c r="BM107" i="178"/>
  <c r="BB107" i="178"/>
  <c r="BF107" i="178"/>
  <c r="AT107" i="178"/>
  <c r="BJ107" i="178"/>
  <c r="AX107" i="178"/>
  <c r="AT101" i="178"/>
  <c r="AX101" i="178"/>
  <c r="BB101" i="178"/>
  <c r="BF101" i="178"/>
  <c r="BJ101" i="178"/>
  <c r="BK101" i="178"/>
  <c r="AR101" i="178"/>
  <c r="AV101" i="178"/>
  <c r="AZ101" i="178"/>
  <c r="BD101" i="178"/>
  <c r="BH101" i="178"/>
  <c r="BM101" i="178"/>
  <c r="BM96" i="178"/>
  <c r="AT96" i="178"/>
  <c r="AX96" i="178"/>
  <c r="BB96" i="178"/>
  <c r="BF96" i="178"/>
  <c r="BJ96" i="178"/>
  <c r="BK96" i="178"/>
  <c r="AZ96" i="178"/>
  <c r="BD96" i="178"/>
  <c r="AR96" i="178"/>
  <c r="BH96" i="178"/>
  <c r="AV96" i="178"/>
  <c r="AR95" i="178"/>
  <c r="AV95" i="178"/>
  <c r="AZ95" i="178"/>
  <c r="BD95" i="178"/>
  <c r="BH95" i="178"/>
  <c r="BM95" i="178"/>
  <c r="AT95" i="178"/>
  <c r="AX95" i="178"/>
  <c r="BB95" i="178"/>
  <c r="BF95" i="178"/>
  <c r="BJ95" i="178"/>
  <c r="BK95" i="178"/>
  <c r="BK94" i="178"/>
  <c r="AR94" i="178"/>
  <c r="AV94" i="178"/>
  <c r="AZ94" i="178"/>
  <c r="BD94" i="178"/>
  <c r="BH94" i="178"/>
  <c r="BM94" i="178"/>
  <c r="AX94" i="178"/>
  <c r="BB94" i="178"/>
  <c r="BF94" i="178"/>
  <c r="BJ94" i="178"/>
  <c r="AT94" i="178"/>
  <c r="AT93" i="178"/>
  <c r="AX93" i="178"/>
  <c r="BB93" i="178"/>
  <c r="BF93" i="178"/>
  <c r="BJ93" i="178"/>
  <c r="BK93" i="178"/>
  <c r="AR93" i="178"/>
  <c r="AV93" i="178"/>
  <c r="AZ93" i="178"/>
  <c r="BD93" i="178"/>
  <c r="BH93" i="178"/>
  <c r="BM93" i="178"/>
  <c r="BM98" i="178"/>
  <c r="AT98" i="178"/>
  <c r="AX98" i="178"/>
  <c r="BB98" i="178"/>
  <c r="BF98" i="178"/>
  <c r="BJ98" i="178"/>
  <c r="BK98" i="178"/>
  <c r="AV98" i="178"/>
  <c r="AZ98" i="178"/>
  <c r="BD98" i="178"/>
  <c r="AR98" i="178"/>
  <c r="BH98" i="178"/>
  <c r="AR97" i="178"/>
  <c r="AV97" i="178"/>
  <c r="AZ97" i="178"/>
  <c r="BD97" i="178"/>
  <c r="BH97" i="178"/>
  <c r="BM97" i="178"/>
  <c r="AT97" i="178"/>
  <c r="AX97" i="178"/>
  <c r="BB97" i="178"/>
  <c r="BF97" i="178"/>
  <c r="BJ97" i="178"/>
  <c r="BK97" i="178"/>
  <c r="BK89" i="178"/>
  <c r="AR89" i="178"/>
  <c r="AV89" i="178"/>
  <c r="AZ89" i="178"/>
  <c r="BD89" i="178"/>
  <c r="BH89" i="178"/>
  <c r="BM89" i="178"/>
  <c r="AT89" i="178"/>
  <c r="BJ89" i="178"/>
  <c r="AX89" i="178"/>
  <c r="BB89" i="178"/>
  <c r="BF89" i="178"/>
  <c r="AT88" i="178"/>
  <c r="AX88" i="178"/>
  <c r="BB88" i="178"/>
  <c r="BF88" i="178"/>
  <c r="BJ88" i="178"/>
  <c r="BK88" i="178"/>
  <c r="AR88" i="178"/>
  <c r="AV88" i="178"/>
  <c r="AZ88" i="178"/>
  <c r="BD88" i="178"/>
  <c r="BH88" i="178"/>
  <c r="BM88" i="178"/>
  <c r="BM87" i="178"/>
  <c r="AT87" i="178"/>
  <c r="AX87" i="178"/>
  <c r="BB87" i="178"/>
  <c r="BF87" i="178"/>
  <c r="BJ87" i="178"/>
  <c r="BK87" i="178"/>
  <c r="AR87" i="178"/>
  <c r="BH87" i="178"/>
  <c r="AV87" i="178"/>
  <c r="AZ87" i="178"/>
  <c r="BD87" i="178"/>
  <c r="AR86" i="178"/>
  <c r="AV86" i="178"/>
  <c r="AZ86" i="178"/>
  <c r="BD86" i="178"/>
  <c r="BH86" i="178"/>
  <c r="BM86" i="178"/>
  <c r="AT86" i="178"/>
  <c r="AX86" i="178"/>
  <c r="BB86" i="178"/>
  <c r="BF86" i="178"/>
  <c r="BJ86" i="178"/>
  <c r="BK86" i="178"/>
  <c r="BK91" i="178"/>
  <c r="AR91" i="178"/>
  <c r="AV91" i="178"/>
  <c r="AZ91" i="178"/>
  <c r="BD91" i="178"/>
  <c r="BH91" i="178"/>
  <c r="BM91" i="178"/>
  <c r="BF91" i="178"/>
  <c r="AT91" i="178"/>
  <c r="BJ91" i="178"/>
  <c r="AX91" i="178"/>
  <c r="BB91" i="178"/>
  <c r="AT90" i="178"/>
  <c r="AX90" i="178"/>
  <c r="BB90" i="178"/>
  <c r="BF90" i="178"/>
  <c r="BJ90" i="178"/>
  <c r="BK90" i="178"/>
  <c r="AR90" i="178"/>
  <c r="AV90" i="178"/>
  <c r="AZ90" i="178"/>
  <c r="BD90" i="178"/>
  <c r="BH90" i="178"/>
  <c r="BM90" i="178"/>
  <c r="AT70" i="178"/>
  <c r="AX70" i="178"/>
  <c r="BB70" i="178"/>
  <c r="BF70" i="178"/>
  <c r="BJ70" i="178"/>
  <c r="BK70" i="178"/>
  <c r="AR70" i="178"/>
  <c r="AV70" i="178"/>
  <c r="AZ70" i="178"/>
  <c r="BD70" i="178"/>
  <c r="BH70" i="178"/>
  <c r="BM70" i="178"/>
  <c r="BM71" i="178"/>
  <c r="AT71" i="178"/>
  <c r="AX71" i="178"/>
  <c r="BB71" i="178"/>
  <c r="BF71" i="178"/>
  <c r="BJ71" i="178"/>
  <c r="BK71" i="178"/>
  <c r="AV71" i="178"/>
  <c r="AZ71" i="178"/>
  <c r="BD71" i="178"/>
  <c r="AR71" i="178"/>
  <c r="BH71" i="178"/>
  <c r="BK64" i="178"/>
  <c r="AR64" i="178"/>
  <c r="AV64" i="178"/>
  <c r="AZ64" i="178"/>
  <c r="BD64" i="178"/>
  <c r="BH64" i="178"/>
  <c r="BM64" i="178"/>
  <c r="BF64" i="178"/>
  <c r="AT64" i="178"/>
  <c r="BJ64" i="178"/>
  <c r="AX64" i="178"/>
  <c r="BB64" i="178"/>
  <c r="AT62" i="178"/>
  <c r="AX62" i="178"/>
  <c r="BB62" i="178"/>
  <c r="BF62" i="178"/>
  <c r="BJ62" i="178"/>
  <c r="BK62" i="178"/>
  <c r="AR62" i="178"/>
  <c r="AV62" i="178"/>
  <c r="AZ62" i="178"/>
  <c r="BD62" i="178"/>
  <c r="BH62" i="178"/>
  <c r="BM62" i="178"/>
  <c r="BM61" i="178"/>
  <c r="AT61" i="178"/>
  <c r="AX61" i="178"/>
  <c r="BB61" i="178"/>
  <c r="BF61" i="178"/>
  <c r="BJ61" i="178"/>
  <c r="BK61" i="178"/>
  <c r="BD61" i="178"/>
  <c r="AR61" i="178"/>
  <c r="BH61" i="178"/>
  <c r="AV61" i="178"/>
  <c r="AZ61" i="178"/>
  <c r="AR63" i="178"/>
  <c r="AV63" i="178"/>
  <c r="AZ63" i="178"/>
  <c r="BD63" i="178"/>
  <c r="BH63" i="178"/>
  <c r="BM63" i="178"/>
  <c r="AT63" i="178"/>
  <c r="AX63" i="178"/>
  <c r="BB63" i="178"/>
  <c r="BF63" i="178"/>
  <c r="BJ63" i="178"/>
  <c r="BK63" i="178"/>
  <c r="BK60" i="178"/>
  <c r="AR60" i="178"/>
  <c r="AV60" i="178"/>
  <c r="AZ60" i="178"/>
  <c r="BD60" i="178"/>
  <c r="BH60" i="178"/>
  <c r="BM60" i="178"/>
  <c r="BB60" i="178"/>
  <c r="BF60" i="178"/>
  <c r="AT60" i="178"/>
  <c r="BJ60" i="178"/>
  <c r="AX60" i="178"/>
  <c r="BK52" i="178"/>
  <c r="AR52" i="178"/>
  <c r="AV52" i="178"/>
  <c r="AZ52" i="178"/>
  <c r="BD52" i="178"/>
  <c r="BH52" i="178"/>
  <c r="BM52" i="178"/>
  <c r="AX52" i="178"/>
  <c r="BB52" i="178"/>
  <c r="BF52" i="178"/>
  <c r="AT52" i="178"/>
  <c r="BJ52" i="178"/>
  <c r="AT53" i="178"/>
  <c r="AX53" i="178"/>
  <c r="BB53" i="178"/>
  <c r="BF53" i="178"/>
  <c r="BJ53" i="178"/>
  <c r="BK53" i="178"/>
  <c r="AR53" i="178"/>
  <c r="AV53" i="178"/>
  <c r="AZ53" i="178"/>
  <c r="BD53" i="178"/>
  <c r="BH53" i="178"/>
  <c r="BM53" i="178"/>
  <c r="BM50" i="178"/>
  <c r="AT50" i="178"/>
  <c r="AX50" i="178"/>
  <c r="BB50" i="178"/>
  <c r="BF50" i="178"/>
  <c r="BJ50" i="178"/>
  <c r="BK50" i="178"/>
  <c r="AV50" i="178"/>
  <c r="AZ50" i="178"/>
  <c r="BD50" i="178"/>
  <c r="AR50" i="178"/>
  <c r="BH50" i="178"/>
  <c r="AR51" i="178"/>
  <c r="AV51" i="178"/>
  <c r="AZ51" i="178"/>
  <c r="BD51" i="178"/>
  <c r="BH51" i="178"/>
  <c r="BM51" i="178"/>
  <c r="AT51" i="178"/>
  <c r="AX51" i="178"/>
  <c r="BB51" i="178"/>
  <c r="BF51" i="178"/>
  <c r="BJ51" i="178"/>
  <c r="BK51" i="178"/>
  <c r="AT47" i="178"/>
  <c r="AX47" i="178"/>
  <c r="BB47" i="178"/>
  <c r="BF47" i="178"/>
  <c r="BJ47" i="178"/>
  <c r="BK47" i="178"/>
  <c r="AR47" i="178"/>
  <c r="AV47" i="178"/>
  <c r="AZ47" i="178"/>
  <c r="BD47" i="178"/>
  <c r="BH47" i="178"/>
  <c r="BM47" i="178"/>
  <c r="BM46" i="178"/>
  <c r="AT46" i="178"/>
  <c r="AX46" i="178"/>
  <c r="BB46" i="178"/>
  <c r="BF46" i="178"/>
  <c r="BJ46" i="178"/>
  <c r="BK46" i="178"/>
  <c r="AR46" i="178"/>
  <c r="BH46" i="178"/>
  <c r="AV46" i="178"/>
  <c r="AZ46" i="178"/>
  <c r="BD46" i="178"/>
  <c r="BM43" i="178"/>
  <c r="AT43" i="178"/>
  <c r="AX43" i="178"/>
  <c r="BB43" i="178"/>
  <c r="BF43" i="178"/>
  <c r="BJ43" i="178"/>
  <c r="BK43" i="178"/>
  <c r="BD43" i="178"/>
  <c r="AR43" i="178"/>
  <c r="BH43" i="178"/>
  <c r="AV43" i="178"/>
  <c r="AZ43" i="178"/>
  <c r="BK42" i="178"/>
  <c r="AR42" i="178"/>
  <c r="AV42" i="178"/>
  <c r="AZ42" i="178"/>
  <c r="BD42" i="178"/>
  <c r="BH42" i="178"/>
  <c r="BM42" i="178"/>
  <c r="BB42" i="178"/>
  <c r="BF42" i="178"/>
  <c r="AT42" i="178"/>
  <c r="BJ42" i="178"/>
  <c r="AX42" i="178"/>
  <c r="AT41" i="178"/>
  <c r="AX41" i="178"/>
  <c r="BB41" i="178"/>
  <c r="BF41" i="178"/>
  <c r="BJ41" i="178"/>
  <c r="BK41" i="178"/>
  <c r="AR41" i="178"/>
  <c r="AV41" i="178"/>
  <c r="AZ41" i="178"/>
  <c r="BD41" i="178"/>
  <c r="BH41" i="178"/>
  <c r="BM41" i="178"/>
  <c r="BM40" i="178"/>
  <c r="AT40" i="178"/>
  <c r="AX40" i="178"/>
  <c r="BB40" i="178"/>
  <c r="BF40" i="178"/>
  <c r="BJ40" i="178"/>
  <c r="BK40" i="178"/>
  <c r="AZ40" i="178"/>
  <c r="BD40" i="178"/>
  <c r="AR40" i="178"/>
  <c r="BH40" i="178"/>
  <c r="AV40" i="178"/>
  <c r="AR39" i="178"/>
  <c r="AV39" i="178"/>
  <c r="AZ39" i="178"/>
  <c r="BD39" i="178"/>
  <c r="BH39" i="178"/>
  <c r="BM39" i="178"/>
  <c r="AT39" i="178"/>
  <c r="AX39" i="178"/>
  <c r="BB39" i="178"/>
  <c r="BF39" i="178"/>
  <c r="BJ39" i="178"/>
  <c r="BK39" i="178"/>
  <c r="BK38" i="178"/>
  <c r="AR38" i="178"/>
  <c r="AV38" i="178"/>
  <c r="AZ38" i="178"/>
  <c r="BD38" i="178"/>
  <c r="BH38" i="178"/>
  <c r="BM38" i="178"/>
  <c r="AX38" i="178"/>
  <c r="BB38" i="178"/>
  <c r="BF38" i="178"/>
  <c r="AT38" i="178"/>
  <c r="BJ38" i="178"/>
  <c r="BK34" i="178"/>
  <c r="AR34" i="178"/>
  <c r="AV34" i="178"/>
  <c r="AZ34" i="178"/>
  <c r="BD34" i="178"/>
  <c r="BH34" i="178"/>
  <c r="BM34" i="178"/>
  <c r="AT34" i="178"/>
  <c r="BJ34" i="178"/>
  <c r="AX34" i="178"/>
  <c r="BB34" i="178"/>
  <c r="BF34" i="178"/>
  <c r="AT33" i="178"/>
  <c r="AX33" i="178"/>
  <c r="BB33" i="178"/>
  <c r="BF33" i="178"/>
  <c r="BJ33" i="178"/>
  <c r="BK33" i="178"/>
  <c r="AR33" i="178"/>
  <c r="AV33" i="178"/>
  <c r="AZ33" i="178"/>
  <c r="BD33" i="178"/>
  <c r="BH33" i="178"/>
  <c r="BM33" i="178"/>
  <c r="AT32" i="178"/>
  <c r="AX32" i="178"/>
  <c r="BB32" i="178"/>
  <c r="BF32" i="178"/>
  <c r="BJ32" i="178"/>
  <c r="BK32" i="178"/>
  <c r="AR32" i="178"/>
  <c r="AV32" i="178"/>
  <c r="AZ32" i="178"/>
  <c r="BD32" i="178"/>
  <c r="BH32" i="178"/>
  <c r="BM32" i="178"/>
  <c r="AR31" i="178"/>
  <c r="AV31" i="178"/>
  <c r="AZ31" i="178"/>
  <c r="BD31" i="178"/>
  <c r="BH31" i="178"/>
  <c r="BM31" i="178"/>
  <c r="AT31" i="178"/>
  <c r="AX31" i="178"/>
  <c r="BB31" i="178"/>
  <c r="BF31" i="178"/>
  <c r="BJ31" i="178"/>
  <c r="BK31" i="178"/>
  <c r="BM30" i="178"/>
  <c r="BK30" i="178"/>
  <c r="AR30" i="178"/>
  <c r="AZ30" i="178"/>
  <c r="BH30" i="178"/>
  <c r="AT30" i="178"/>
  <c r="BB30" i="178"/>
  <c r="BJ30" i="178"/>
  <c r="AV30" i="178"/>
  <c r="BD30" i="178"/>
  <c r="AX30" i="178"/>
  <c r="BF30" i="178"/>
  <c r="AR28" i="178"/>
  <c r="AV28" i="178"/>
  <c r="AZ28" i="178"/>
  <c r="BD28" i="178"/>
  <c r="BH28" i="178"/>
  <c r="AT28" i="178"/>
  <c r="AX28" i="178"/>
  <c r="BB28" i="178"/>
  <c r="BF28" i="178"/>
  <c r="BJ28" i="178"/>
  <c r="BK28" i="178"/>
  <c r="BM28" i="178"/>
  <c r="AT25" i="178"/>
  <c r="AX25" i="178"/>
  <c r="BB25" i="178"/>
  <c r="BF25" i="178"/>
  <c r="BJ25" i="178"/>
  <c r="AR25" i="178"/>
  <c r="AV25" i="178"/>
  <c r="AZ25" i="178"/>
  <c r="BD25" i="178"/>
  <c r="BH25" i="178"/>
  <c r="BM25" i="178"/>
  <c r="BK25" i="178"/>
  <c r="BM24" i="178"/>
  <c r="BK24" i="178"/>
  <c r="AV24" i="178"/>
  <c r="BD24" i="178"/>
  <c r="AX24" i="178"/>
  <c r="BF24" i="178"/>
  <c r="AR24" i="178"/>
  <c r="AZ24" i="178"/>
  <c r="BH24" i="178"/>
  <c r="BJ24" i="178"/>
  <c r="AT24" i="178"/>
  <c r="BB24" i="178"/>
  <c r="AR26" i="178"/>
  <c r="AV26" i="178"/>
  <c r="AZ26" i="178"/>
  <c r="BD26" i="178"/>
  <c r="BH26" i="178"/>
  <c r="AT26" i="178"/>
  <c r="AX26" i="178"/>
  <c r="BB26" i="178"/>
  <c r="BF26" i="178"/>
  <c r="BJ26" i="178"/>
  <c r="BK26" i="178"/>
  <c r="BM26" i="178"/>
  <c r="BK23" i="178"/>
  <c r="BM23" i="178"/>
  <c r="AT23" i="178"/>
  <c r="BB23" i="178"/>
  <c r="BJ23" i="178"/>
  <c r="AV23" i="178"/>
  <c r="BD23" i="178"/>
  <c r="AX23" i="178"/>
  <c r="BF23" i="178"/>
  <c r="AR23" i="178"/>
  <c r="AZ23" i="178"/>
  <c r="BH23" i="178"/>
  <c r="AT27" i="178"/>
  <c r="AX27" i="178"/>
  <c r="BB27" i="178"/>
  <c r="BF27" i="178"/>
  <c r="BJ27" i="178"/>
  <c r="AR27" i="178"/>
  <c r="AV27" i="178"/>
  <c r="AZ27" i="178"/>
  <c r="BD27" i="178"/>
  <c r="BH27" i="178"/>
  <c r="BK27" i="178"/>
  <c r="BM27" i="178"/>
  <c r="BM21" i="178"/>
  <c r="BK21" i="178"/>
  <c r="AR21" i="178"/>
  <c r="AZ21" i="178"/>
  <c r="BH21" i="178"/>
  <c r="AT21" i="178"/>
  <c r="BB21" i="178"/>
  <c r="BJ21" i="178"/>
  <c r="AV21" i="178"/>
  <c r="BD21" i="178"/>
  <c r="BF21" i="178"/>
  <c r="AX21" i="178"/>
  <c r="AR20" i="178"/>
  <c r="AV20" i="178"/>
  <c r="AZ20" i="178"/>
  <c r="BD20" i="178"/>
  <c r="BH20" i="178"/>
  <c r="AT20" i="178"/>
  <c r="AX20" i="178"/>
  <c r="BB20" i="178"/>
  <c r="BF20" i="178"/>
  <c r="BJ20" i="178"/>
  <c r="BK20" i="178"/>
  <c r="BM20" i="178"/>
  <c r="BK18" i="178"/>
  <c r="BM18" i="178"/>
  <c r="AX18" i="178"/>
  <c r="BF18" i="178"/>
  <c r="AR18" i="178"/>
  <c r="AZ18" i="178"/>
  <c r="BH18" i="178"/>
  <c r="AT18" i="178"/>
  <c r="BB18" i="178"/>
  <c r="BJ18" i="178"/>
  <c r="AV18" i="178"/>
  <c r="BD18" i="178"/>
  <c r="BM19" i="178"/>
  <c r="BK19" i="178"/>
  <c r="AV19" i="178"/>
  <c r="BD19" i="178"/>
  <c r="AX19" i="178"/>
  <c r="BF19" i="178"/>
  <c r="AR19" i="178"/>
  <c r="AZ19" i="178"/>
  <c r="BH19" i="178"/>
  <c r="BB19" i="178"/>
  <c r="BJ19" i="178"/>
  <c r="AT19" i="178"/>
  <c r="AR22" i="178"/>
  <c r="AV22" i="178"/>
  <c r="AZ22" i="178"/>
  <c r="BD22" i="178"/>
  <c r="BH22" i="178"/>
  <c r="AT22" i="178"/>
  <c r="AX22" i="178"/>
  <c r="BB22" i="178"/>
  <c r="BF22" i="178"/>
  <c r="BJ22" i="178"/>
  <c r="BK22" i="178"/>
  <c r="BM22" i="178"/>
  <c r="BM7" i="178"/>
  <c r="AT7" i="178"/>
  <c r="AX7" i="178"/>
  <c r="BB7" i="178"/>
  <c r="BF7" i="178"/>
  <c r="BJ7" i="178"/>
  <c r="BK7" i="178"/>
  <c r="AV7" i="178"/>
  <c r="AZ7" i="178"/>
  <c r="BD7" i="178"/>
  <c r="AR7" i="178"/>
  <c r="BH7" i="178"/>
  <c r="AR11" i="178"/>
  <c r="AV11" i="178"/>
  <c r="AZ11" i="178"/>
  <c r="BD11" i="178"/>
  <c r="BH11" i="178"/>
  <c r="BM11" i="178"/>
  <c r="AT11" i="178"/>
  <c r="AX11" i="178"/>
  <c r="BB11" i="178"/>
  <c r="BF11" i="178"/>
  <c r="BJ11" i="178"/>
  <c r="BK11" i="178"/>
  <c r="BK6" i="178"/>
  <c r="AR6" i="178"/>
  <c r="AV6" i="178"/>
  <c r="AZ6" i="178"/>
  <c r="BD6" i="178"/>
  <c r="BH6" i="178"/>
  <c r="BM6" i="178"/>
  <c r="AT6" i="178"/>
  <c r="BJ6" i="178"/>
  <c r="AX6" i="178"/>
  <c r="BB6" i="178"/>
  <c r="BF6" i="178"/>
  <c r="AT9" i="178"/>
  <c r="AX9" i="178"/>
  <c r="BB9" i="178"/>
  <c r="BF9" i="178"/>
  <c r="BJ9" i="178"/>
  <c r="BK9" i="178"/>
  <c r="AR9" i="178"/>
  <c r="AV9" i="178"/>
  <c r="AZ9" i="178"/>
  <c r="BD9" i="178"/>
  <c r="BH9" i="178"/>
  <c r="BM9" i="178"/>
  <c r="BM5" i="178"/>
  <c r="AT5" i="178"/>
  <c r="AX5" i="178"/>
  <c r="BB5" i="178"/>
  <c r="BF5" i="178"/>
  <c r="BJ5" i="178"/>
  <c r="BK5" i="178"/>
  <c r="AR5" i="178"/>
  <c r="BH5" i="178"/>
  <c r="AV5" i="178"/>
  <c r="AZ5" i="178"/>
  <c r="BD5" i="178"/>
  <c r="AR4" i="178"/>
  <c r="AV4" i="178"/>
  <c r="AZ4" i="178"/>
  <c r="BD4" i="178"/>
  <c r="BH4" i="178"/>
  <c r="BM4" i="178"/>
  <c r="AT4" i="178"/>
  <c r="AX4" i="178"/>
  <c r="BB4" i="178"/>
  <c r="BF4" i="178"/>
  <c r="BJ4" i="178"/>
  <c r="BK4" i="178"/>
  <c r="BK10" i="178"/>
  <c r="AR10" i="178"/>
  <c r="AV10" i="178"/>
  <c r="AZ10" i="178"/>
  <c r="BD10" i="178"/>
  <c r="BH10" i="178"/>
  <c r="BM10" i="178"/>
  <c r="BF10" i="178"/>
  <c r="AT10" i="178"/>
  <c r="BJ10" i="178"/>
  <c r="AX10" i="178"/>
  <c r="BB10" i="178"/>
  <c r="AT8" i="178"/>
  <c r="AX8" i="178"/>
  <c r="BB8" i="178"/>
  <c r="BF8" i="178"/>
  <c r="BJ8" i="178"/>
  <c r="BK8" i="178"/>
  <c r="AR8" i="178"/>
  <c r="AV8" i="178"/>
  <c r="AZ8" i="178"/>
  <c r="BD8" i="178"/>
  <c r="BH8" i="178"/>
  <c r="BM8" i="178"/>
  <c r="AT279" i="178"/>
  <c r="AX279" i="178"/>
  <c r="BB279" i="178"/>
  <c r="BF279" i="178"/>
  <c r="BJ279" i="178"/>
  <c r="BK279" i="178"/>
  <c r="AR279" i="178"/>
  <c r="AV279" i="178"/>
  <c r="AZ279" i="178"/>
  <c r="BD279" i="178"/>
  <c r="BH279" i="178"/>
  <c r="BM279" i="178"/>
  <c r="BM208" i="178"/>
  <c r="AT208" i="178"/>
  <c r="AX208" i="178"/>
  <c r="BB208" i="178"/>
  <c r="BF208" i="178"/>
  <c r="BJ208" i="178"/>
  <c r="BK208" i="178"/>
  <c r="AR208" i="178"/>
  <c r="BH208" i="178"/>
  <c r="AV208" i="178"/>
  <c r="AZ208" i="178"/>
  <c r="BD208" i="178"/>
  <c r="AR207" i="178"/>
  <c r="AV207" i="178"/>
  <c r="AZ207" i="178"/>
  <c r="BD207" i="178"/>
  <c r="BH207" i="178"/>
  <c r="BM207" i="178"/>
  <c r="AT207" i="178"/>
  <c r="AX207" i="178"/>
  <c r="BB207" i="178"/>
  <c r="BF207" i="178"/>
  <c r="BJ207" i="178"/>
  <c r="BK207" i="178"/>
  <c r="AT147" i="178"/>
  <c r="AX147" i="178"/>
  <c r="BB147" i="178"/>
  <c r="BF147" i="178"/>
  <c r="BJ147" i="178"/>
  <c r="BK147" i="178"/>
  <c r="AR147" i="178"/>
  <c r="AV147" i="178"/>
  <c r="AZ147" i="178"/>
  <c r="BD147" i="178"/>
  <c r="BH147" i="178"/>
  <c r="BM147" i="178"/>
  <c r="BK425" i="178"/>
  <c r="AR425" i="178"/>
  <c r="AV425" i="178"/>
  <c r="AZ425" i="178"/>
  <c r="BD425" i="178"/>
  <c r="BH425" i="178"/>
  <c r="AX425" i="178"/>
  <c r="BF425" i="178"/>
  <c r="AT425" i="178"/>
  <c r="BB425" i="178"/>
  <c r="BJ425" i="178"/>
  <c r="BM425" i="178"/>
  <c r="AT134" i="178"/>
  <c r="AX134" i="178"/>
  <c r="BB134" i="178"/>
  <c r="BF134" i="178"/>
  <c r="BJ134" i="178"/>
  <c r="BK134" i="178"/>
  <c r="AR134" i="178"/>
  <c r="AV134" i="178"/>
  <c r="AZ134" i="178"/>
  <c r="BD134" i="178"/>
  <c r="BH134" i="178"/>
  <c r="BM134" i="178"/>
  <c r="AR434" i="178"/>
  <c r="AV434" i="178"/>
  <c r="AX434" i="178"/>
  <c r="BB434" i="178"/>
  <c r="BF434" i="178"/>
  <c r="BJ434" i="178"/>
  <c r="BK434" i="178"/>
  <c r="AT434" i="178"/>
  <c r="AZ434" i="178"/>
  <c r="BD434" i="178"/>
  <c r="BH434" i="178"/>
  <c r="BM434" i="178"/>
  <c r="AW366" i="178"/>
  <c r="BN366" i="178"/>
  <c r="BG366" i="178"/>
  <c r="BL364" i="178"/>
  <c r="AS364" i="178"/>
  <c r="AW364" i="178"/>
  <c r="BA364" i="178"/>
  <c r="BE364" i="178"/>
  <c r="BI364" i="178"/>
  <c r="BN364" i="178"/>
  <c r="AU364" i="178"/>
  <c r="AY364" i="178"/>
  <c r="BC364" i="178"/>
  <c r="BG364" i="178"/>
  <c r="AU365" i="178"/>
  <c r="AY365" i="178"/>
  <c r="BC365" i="178"/>
  <c r="BG365" i="178"/>
  <c r="BL365" i="178"/>
  <c r="AS365" i="178"/>
  <c r="AW365" i="178"/>
  <c r="BA365" i="178"/>
  <c r="BE365" i="178"/>
  <c r="BI365" i="178"/>
  <c r="BN365" i="178"/>
  <c r="BN373" i="178"/>
  <c r="BE373" i="178"/>
  <c r="AS372" i="178"/>
  <c r="AW372" i="178"/>
  <c r="BA372" i="178"/>
  <c r="BE372" i="178"/>
  <c r="BI372" i="178"/>
  <c r="BN372" i="178"/>
  <c r="AU372" i="178"/>
  <c r="AY372" i="178"/>
  <c r="BC372" i="178"/>
  <c r="BG372" i="178"/>
  <c r="BL372" i="178"/>
  <c r="AU135" i="178"/>
  <c r="AY135" i="178"/>
  <c r="BC135" i="178"/>
  <c r="BG135" i="178"/>
  <c r="BL135" i="178"/>
  <c r="AS135" i="178"/>
  <c r="AW135" i="178"/>
  <c r="BA135" i="178"/>
  <c r="BE135" i="178"/>
  <c r="BI135" i="178"/>
  <c r="BN135" i="178"/>
  <c r="AS433" i="178"/>
  <c r="AW433" i="178"/>
  <c r="BA433" i="178"/>
  <c r="BE433" i="178"/>
  <c r="BI433" i="178"/>
  <c r="BN433" i="178"/>
  <c r="AU433" i="178"/>
  <c r="AY433" i="178"/>
  <c r="BC433" i="178"/>
  <c r="BG433" i="178"/>
  <c r="BL433" i="178"/>
  <c r="BL432" i="178"/>
  <c r="AS432" i="178"/>
  <c r="AW432" i="178"/>
  <c r="BA432" i="178"/>
  <c r="BE432" i="178"/>
  <c r="BI432" i="178"/>
  <c r="BN432" i="178"/>
  <c r="AY432" i="178"/>
  <c r="BC432" i="178"/>
  <c r="BG432" i="178"/>
  <c r="AU432" i="178"/>
  <c r="BL417" i="178"/>
  <c r="AS417" i="178"/>
  <c r="AW417" i="178"/>
  <c r="BA417" i="178"/>
  <c r="BE417" i="178"/>
  <c r="BI417" i="178"/>
  <c r="BN417" i="178"/>
  <c r="AU417" i="178"/>
  <c r="AY417" i="178"/>
  <c r="BC417" i="178"/>
  <c r="BG417" i="178"/>
  <c r="BN392" i="178"/>
  <c r="AU392" i="178"/>
  <c r="AY392" i="178"/>
  <c r="BC392" i="178"/>
  <c r="BG392" i="178"/>
  <c r="BL392" i="178"/>
  <c r="AS392" i="178"/>
  <c r="BI392" i="178"/>
  <c r="AW392" i="178"/>
  <c r="BA392" i="178"/>
  <c r="BE392" i="178"/>
  <c r="BN199" i="178"/>
  <c r="AU199" i="178"/>
  <c r="AY199" i="178"/>
  <c r="BC199" i="178"/>
  <c r="BG199" i="178"/>
  <c r="BL199" i="178"/>
  <c r="BE199" i="178"/>
  <c r="AS199" i="178"/>
  <c r="BI199" i="178"/>
  <c r="AW199" i="178"/>
  <c r="BA199" i="178"/>
  <c r="AS198" i="178"/>
  <c r="AW198" i="178"/>
  <c r="BA198" i="178"/>
  <c r="BE198" i="178"/>
  <c r="BI198" i="178"/>
  <c r="BN198" i="178"/>
  <c r="AU198" i="178"/>
  <c r="AY198" i="178"/>
  <c r="BC198" i="178"/>
  <c r="BG198" i="178"/>
  <c r="BL198" i="178"/>
  <c r="BL196" i="178"/>
  <c r="AS196" i="178"/>
  <c r="AW196" i="178"/>
  <c r="BA196" i="178"/>
  <c r="BE196" i="178"/>
  <c r="BI196" i="178"/>
  <c r="BN196" i="178"/>
  <c r="BC196" i="178"/>
  <c r="BG196" i="178"/>
  <c r="AU196" i="178"/>
  <c r="AY196" i="178"/>
  <c r="BN195" i="178"/>
  <c r="AU195" i="178"/>
  <c r="AY195" i="178"/>
  <c r="BC195" i="178"/>
  <c r="BG195" i="178"/>
  <c r="BL195" i="178"/>
  <c r="BA195" i="178"/>
  <c r="BE195" i="178"/>
  <c r="AS195" i="178"/>
  <c r="BI195" i="178"/>
  <c r="AW195" i="178"/>
  <c r="BL173" i="178"/>
  <c r="AS173" i="178"/>
  <c r="AW173" i="178"/>
  <c r="BA173" i="178"/>
  <c r="BE173" i="178"/>
  <c r="BI173" i="178"/>
  <c r="BN173" i="178"/>
  <c r="AY173" i="178"/>
  <c r="BC173" i="178"/>
  <c r="BG173" i="178"/>
  <c r="AU173" i="178"/>
  <c r="AU172" i="178"/>
  <c r="AY172" i="178"/>
  <c r="BC172" i="178"/>
  <c r="BG172" i="178"/>
  <c r="BL172" i="178"/>
  <c r="AS172" i="178"/>
  <c r="AW172" i="178"/>
  <c r="BA172" i="178"/>
  <c r="BE172" i="178"/>
  <c r="BI172" i="178"/>
  <c r="BN172" i="178"/>
  <c r="AS362" i="178"/>
  <c r="AW362" i="178"/>
  <c r="BA362" i="178"/>
  <c r="BE362" i="178"/>
  <c r="BI362" i="178"/>
  <c r="BN362" i="178"/>
  <c r="AU362" i="178"/>
  <c r="AY362" i="178"/>
  <c r="BC362" i="178"/>
  <c r="BG362" i="178"/>
  <c r="BL362" i="178"/>
  <c r="AU359" i="178"/>
  <c r="AY359" i="178"/>
  <c r="BC359" i="178"/>
  <c r="BG359" i="178"/>
  <c r="BL359" i="178"/>
  <c r="AS359" i="178"/>
  <c r="AW359" i="178"/>
  <c r="BA359" i="178"/>
  <c r="BE359" i="178"/>
  <c r="BI359" i="178"/>
  <c r="BN359" i="178"/>
  <c r="BN167" i="178"/>
  <c r="AU167" i="178"/>
  <c r="AY167" i="178"/>
  <c r="BC167" i="178"/>
  <c r="BG167" i="178"/>
  <c r="BL167" i="178"/>
  <c r="BA167" i="178"/>
  <c r="BE167" i="178"/>
  <c r="AS167" i="178"/>
  <c r="BI167" i="178"/>
  <c r="AW167" i="178"/>
  <c r="AS166" i="178"/>
  <c r="AW166" i="178"/>
  <c r="BA166" i="178"/>
  <c r="BE166" i="178"/>
  <c r="BI166" i="178"/>
  <c r="BN166" i="178"/>
  <c r="AU166" i="178"/>
  <c r="AY166" i="178"/>
  <c r="BC166" i="178"/>
  <c r="BG166" i="178"/>
  <c r="BL166" i="178"/>
  <c r="BL165" i="178"/>
  <c r="AS165" i="178"/>
  <c r="AW165" i="178"/>
  <c r="BA165" i="178"/>
  <c r="BE165" i="178"/>
  <c r="BI165" i="178"/>
  <c r="BN165" i="178"/>
  <c r="AY165" i="178"/>
  <c r="BC165" i="178"/>
  <c r="BG165" i="178"/>
  <c r="AU165" i="178"/>
  <c r="AU164" i="178"/>
  <c r="AY164" i="178"/>
  <c r="BC164" i="178"/>
  <c r="BG164" i="178"/>
  <c r="BL164" i="178"/>
  <c r="AS164" i="178"/>
  <c r="AW164" i="178"/>
  <c r="BA164" i="178"/>
  <c r="BE164" i="178"/>
  <c r="BI164" i="178"/>
  <c r="BN164" i="178"/>
  <c r="BN163" i="178"/>
  <c r="AU163" i="178"/>
  <c r="AY163" i="178"/>
  <c r="BC163" i="178"/>
  <c r="BG163" i="178"/>
  <c r="BL163" i="178"/>
  <c r="AW163" i="178"/>
  <c r="BA163" i="178"/>
  <c r="BE163" i="178"/>
  <c r="AS163" i="178"/>
  <c r="BI163" i="178"/>
  <c r="AS162" i="178"/>
  <c r="AW162" i="178"/>
  <c r="BA162" i="178"/>
  <c r="BE162" i="178"/>
  <c r="BI162" i="178"/>
  <c r="BN162" i="178"/>
  <c r="AU162" i="178"/>
  <c r="AY162" i="178"/>
  <c r="BC162" i="178"/>
  <c r="BG162" i="178"/>
  <c r="BL162" i="178"/>
  <c r="AU156" i="178"/>
  <c r="AY156" i="178"/>
  <c r="BC156" i="178"/>
  <c r="BG156" i="178"/>
  <c r="BL156" i="178"/>
  <c r="AS156" i="178"/>
  <c r="AW156" i="178"/>
  <c r="BA156" i="178"/>
  <c r="BE156" i="178"/>
  <c r="BI156" i="178"/>
  <c r="BN156" i="178"/>
  <c r="AS155" i="178"/>
  <c r="AW155" i="178"/>
  <c r="BA155" i="178"/>
  <c r="BE155" i="178"/>
  <c r="BI155" i="178"/>
  <c r="BN155" i="178"/>
  <c r="AU155" i="178"/>
  <c r="AY155" i="178"/>
  <c r="BC155" i="178"/>
  <c r="BG155" i="178"/>
  <c r="BL155" i="178"/>
  <c r="BL154" i="178"/>
  <c r="AS154" i="178"/>
  <c r="AW154" i="178"/>
  <c r="BA154" i="178"/>
  <c r="BE154" i="178"/>
  <c r="BI154" i="178"/>
  <c r="BN154" i="178"/>
  <c r="BC154" i="178"/>
  <c r="BG154" i="178"/>
  <c r="AU154" i="178"/>
  <c r="AY154" i="178"/>
  <c r="AU471" i="178"/>
  <c r="AY471" i="178"/>
  <c r="BC471" i="178"/>
  <c r="BG471" i="178"/>
  <c r="BL471" i="178"/>
  <c r="AS471" i="178"/>
  <c r="AW471" i="178"/>
  <c r="BA471" i="178"/>
  <c r="BE471" i="178"/>
  <c r="BI471" i="178"/>
  <c r="BN471" i="178"/>
  <c r="BN470" i="178"/>
  <c r="AU470" i="178"/>
  <c r="AY470" i="178"/>
  <c r="BC470" i="178"/>
  <c r="BG470" i="178"/>
  <c r="BL470" i="178"/>
  <c r="BA470" i="178"/>
  <c r="BE470" i="178"/>
  <c r="AS470" i="178"/>
  <c r="BI470" i="178"/>
  <c r="AW470" i="178"/>
  <c r="AS469" i="178"/>
  <c r="AW469" i="178"/>
  <c r="BA469" i="178"/>
  <c r="BE469" i="178"/>
  <c r="BI469" i="178"/>
  <c r="BN469" i="178"/>
  <c r="AU469" i="178"/>
  <c r="AY469" i="178"/>
  <c r="BC469" i="178"/>
  <c r="BG469" i="178"/>
  <c r="BL469" i="178"/>
  <c r="BN463" i="178"/>
  <c r="AU463" i="178"/>
  <c r="AY463" i="178"/>
  <c r="BC463" i="178"/>
  <c r="BG463" i="178"/>
  <c r="BL463" i="178"/>
  <c r="AW463" i="178"/>
  <c r="BA463" i="178"/>
  <c r="BE463" i="178"/>
  <c r="AS463" i="178"/>
  <c r="BI463" i="178"/>
  <c r="BL462" i="178"/>
  <c r="AS462" i="178"/>
  <c r="AW462" i="178"/>
  <c r="BA462" i="178"/>
  <c r="BE462" i="178"/>
  <c r="BI462" i="178"/>
  <c r="BN462" i="178"/>
  <c r="AU462" i="178"/>
  <c r="AY462" i="178"/>
  <c r="BC462" i="178"/>
  <c r="BG462" i="178"/>
  <c r="AU460" i="178"/>
  <c r="AY460" i="178"/>
  <c r="BC460" i="178"/>
  <c r="BG460" i="178"/>
  <c r="BL460" i="178"/>
  <c r="AS460" i="178"/>
  <c r="AW460" i="178"/>
  <c r="BA460" i="178"/>
  <c r="BE460" i="178"/>
  <c r="BI460" i="178"/>
  <c r="BN460" i="178"/>
  <c r="BN459" i="178"/>
  <c r="AU459" i="178"/>
  <c r="AY459" i="178"/>
  <c r="BC459" i="178"/>
  <c r="BG459" i="178"/>
  <c r="BL459" i="178"/>
  <c r="AS459" i="178"/>
  <c r="BI459" i="178"/>
  <c r="AW459" i="178"/>
  <c r="BA459" i="178"/>
  <c r="BE459" i="178"/>
  <c r="AS457" i="178"/>
  <c r="AW457" i="178"/>
  <c r="BA457" i="178"/>
  <c r="BE457" i="178"/>
  <c r="BI457" i="178"/>
  <c r="BN457" i="178"/>
  <c r="AU457" i="178"/>
  <c r="AY457" i="178"/>
  <c r="BC457" i="178"/>
  <c r="BG457" i="178"/>
  <c r="BL457" i="178"/>
  <c r="BL455" i="178"/>
  <c r="AS455" i="178"/>
  <c r="AW455" i="178"/>
  <c r="BA455" i="178"/>
  <c r="BE455" i="178"/>
  <c r="BI455" i="178"/>
  <c r="BN455" i="178"/>
  <c r="BG455" i="178"/>
  <c r="AU455" i="178"/>
  <c r="AY455" i="178"/>
  <c r="BC455" i="178"/>
  <c r="AU456" i="178"/>
  <c r="AY456" i="178"/>
  <c r="BC456" i="178"/>
  <c r="BG456" i="178"/>
  <c r="BL456" i="178"/>
  <c r="AS456" i="178"/>
  <c r="AW456" i="178"/>
  <c r="BA456" i="178"/>
  <c r="BE456" i="178"/>
  <c r="BI456" i="178"/>
  <c r="BN456" i="178"/>
  <c r="BN453" i="178"/>
  <c r="AU453" i="178"/>
  <c r="AY453" i="178"/>
  <c r="BC453" i="178"/>
  <c r="BG453" i="178"/>
  <c r="BL453" i="178"/>
  <c r="BE453" i="178"/>
  <c r="AS453" i="178"/>
  <c r="BI453" i="178"/>
  <c r="AW453" i="178"/>
  <c r="BA453" i="178"/>
  <c r="AS452" i="178"/>
  <c r="AW452" i="178"/>
  <c r="BA452" i="178"/>
  <c r="BE452" i="178"/>
  <c r="BI452" i="178"/>
  <c r="BN452" i="178"/>
  <c r="AU452" i="178"/>
  <c r="AY452" i="178"/>
  <c r="BC452" i="178"/>
  <c r="BG452" i="178"/>
  <c r="BL452" i="178"/>
  <c r="BL450" i="178"/>
  <c r="AS450" i="178"/>
  <c r="AW450" i="178"/>
  <c r="BA450" i="178"/>
  <c r="BE450" i="178"/>
  <c r="BI450" i="178"/>
  <c r="BN450" i="178"/>
  <c r="BC450" i="178"/>
  <c r="BG450" i="178"/>
  <c r="AU450" i="178"/>
  <c r="AY450" i="178"/>
  <c r="AU449" i="178"/>
  <c r="AY449" i="178"/>
  <c r="BC449" i="178"/>
  <c r="BG449" i="178"/>
  <c r="BL449" i="178"/>
  <c r="AS449" i="178"/>
  <c r="AW449" i="178"/>
  <c r="BA449" i="178"/>
  <c r="BE449" i="178"/>
  <c r="BI449" i="178"/>
  <c r="BN449" i="178"/>
  <c r="BN447" i="178"/>
  <c r="AU447" i="178"/>
  <c r="AY447" i="178"/>
  <c r="BC447" i="178"/>
  <c r="BG447" i="178"/>
  <c r="BL447" i="178"/>
  <c r="BA447" i="178"/>
  <c r="BE447" i="178"/>
  <c r="AS447" i="178"/>
  <c r="BI447" i="178"/>
  <c r="AW447" i="178"/>
  <c r="AS446" i="178"/>
  <c r="AW446" i="178"/>
  <c r="BA446" i="178"/>
  <c r="BE446" i="178"/>
  <c r="BI446" i="178"/>
  <c r="BN446" i="178"/>
  <c r="AU446" i="178"/>
  <c r="AY446" i="178"/>
  <c r="BC446" i="178"/>
  <c r="BG446" i="178"/>
  <c r="BL446" i="178"/>
  <c r="BL442" i="178"/>
  <c r="AS442" i="178"/>
  <c r="AW442" i="178"/>
  <c r="BA442" i="178"/>
  <c r="BE442" i="178"/>
  <c r="BI442" i="178"/>
  <c r="BN442" i="178"/>
  <c r="AY442" i="178"/>
  <c r="BC442" i="178"/>
  <c r="BG442" i="178"/>
  <c r="AU442" i="178"/>
  <c r="AU441" i="178"/>
  <c r="AY441" i="178"/>
  <c r="BC441" i="178"/>
  <c r="BG441" i="178"/>
  <c r="BL441" i="178"/>
  <c r="AS441" i="178"/>
  <c r="AW441" i="178"/>
  <c r="BA441" i="178"/>
  <c r="BE441" i="178"/>
  <c r="BI441" i="178"/>
  <c r="BN441" i="178"/>
  <c r="BN440" i="178"/>
  <c r="AU440" i="178"/>
  <c r="AY440" i="178"/>
  <c r="BC440" i="178"/>
  <c r="BG440" i="178"/>
  <c r="BL440" i="178"/>
  <c r="AW440" i="178"/>
  <c r="BA440" i="178"/>
  <c r="BE440" i="178"/>
  <c r="AS440" i="178"/>
  <c r="BI440" i="178"/>
  <c r="AS339" i="178"/>
  <c r="AW339" i="178"/>
  <c r="BA339" i="178"/>
  <c r="BE339" i="178"/>
  <c r="BI339" i="178"/>
  <c r="BN339" i="178"/>
  <c r="AU339" i="178"/>
  <c r="AY339" i="178"/>
  <c r="BC339" i="178"/>
  <c r="BG339" i="178"/>
  <c r="BL339" i="178"/>
  <c r="BL338" i="178"/>
  <c r="AS338" i="178"/>
  <c r="AW338" i="178"/>
  <c r="BA338" i="178"/>
  <c r="BE338" i="178"/>
  <c r="BI338" i="178"/>
  <c r="BN338" i="178"/>
  <c r="AY338" i="178"/>
  <c r="BC338" i="178"/>
  <c r="BG338" i="178"/>
  <c r="AU338" i="178"/>
  <c r="AU340" i="178"/>
  <c r="AY340" i="178"/>
  <c r="BC340" i="178"/>
  <c r="BG340" i="178"/>
  <c r="BL340" i="178"/>
  <c r="AS340" i="178"/>
  <c r="AW340" i="178"/>
  <c r="BA340" i="178"/>
  <c r="BE340" i="178"/>
  <c r="BI340" i="178"/>
  <c r="BN340" i="178"/>
  <c r="BL330" i="178"/>
  <c r="AS330" i="178"/>
  <c r="AW330" i="178"/>
  <c r="BA330" i="178"/>
  <c r="BE330" i="178"/>
  <c r="BI330" i="178"/>
  <c r="BN330" i="178"/>
  <c r="BG330" i="178"/>
  <c r="AU330" i="178"/>
  <c r="AY330" i="178"/>
  <c r="BC330" i="178"/>
  <c r="AU329" i="178"/>
  <c r="AY329" i="178"/>
  <c r="BC329" i="178"/>
  <c r="BG329" i="178"/>
  <c r="BL329" i="178"/>
  <c r="AS329" i="178"/>
  <c r="AW329" i="178"/>
  <c r="BA329" i="178"/>
  <c r="BE329" i="178"/>
  <c r="BI329" i="178"/>
  <c r="BN329" i="178"/>
  <c r="BN331" i="178"/>
  <c r="AU331" i="178"/>
  <c r="AY331" i="178"/>
  <c r="BC331" i="178"/>
  <c r="BG331" i="178"/>
  <c r="BL331" i="178"/>
  <c r="BE331" i="178"/>
  <c r="AS331" i="178"/>
  <c r="BI331" i="178"/>
  <c r="AW331" i="178"/>
  <c r="BA331" i="178"/>
  <c r="AS327" i="178"/>
  <c r="AW327" i="178"/>
  <c r="BA327" i="178"/>
  <c r="BE327" i="178"/>
  <c r="BI327" i="178"/>
  <c r="BN327" i="178"/>
  <c r="AU327" i="178"/>
  <c r="AY327" i="178"/>
  <c r="BC327" i="178"/>
  <c r="BG327" i="178"/>
  <c r="BL327" i="178"/>
  <c r="BL326" i="178"/>
  <c r="AS326" i="178"/>
  <c r="AW326" i="178"/>
  <c r="BA326" i="178"/>
  <c r="BE326" i="178"/>
  <c r="BI326" i="178"/>
  <c r="BN326" i="178"/>
  <c r="BC326" i="178"/>
  <c r="BG326" i="178"/>
  <c r="AU326" i="178"/>
  <c r="AY326" i="178"/>
  <c r="AU328" i="178"/>
  <c r="AY328" i="178"/>
  <c r="BC328" i="178"/>
  <c r="BG328" i="178"/>
  <c r="BL328" i="178"/>
  <c r="AS328" i="178"/>
  <c r="AW328" i="178"/>
  <c r="BA328" i="178"/>
  <c r="BE328" i="178"/>
  <c r="BI328" i="178"/>
  <c r="BN328" i="178"/>
  <c r="BN324" i="178"/>
  <c r="AU324" i="178"/>
  <c r="AY324" i="178"/>
  <c r="BC324" i="178"/>
  <c r="BG324" i="178"/>
  <c r="BL324" i="178"/>
  <c r="BA324" i="178"/>
  <c r="BE324" i="178"/>
  <c r="AS324" i="178"/>
  <c r="BI324" i="178"/>
  <c r="AW324" i="178"/>
  <c r="AS323" i="178"/>
  <c r="AW323" i="178"/>
  <c r="BA323" i="178"/>
  <c r="BE323" i="178"/>
  <c r="BI323" i="178"/>
  <c r="BN323" i="178"/>
  <c r="AU323" i="178"/>
  <c r="AY323" i="178"/>
  <c r="BC323" i="178"/>
  <c r="BG323" i="178"/>
  <c r="BL323" i="178"/>
  <c r="BL325" i="178"/>
  <c r="AS325" i="178"/>
  <c r="AW325" i="178"/>
  <c r="BA325" i="178"/>
  <c r="BE325" i="178"/>
  <c r="BI325" i="178"/>
  <c r="BN325" i="178"/>
  <c r="AY325" i="178"/>
  <c r="BC325" i="178"/>
  <c r="BG325" i="178"/>
  <c r="AU325" i="178"/>
  <c r="AU322" i="178"/>
  <c r="AY322" i="178"/>
  <c r="BC322" i="178"/>
  <c r="BG322" i="178"/>
  <c r="BL322" i="178"/>
  <c r="AS322" i="178"/>
  <c r="AW322" i="178"/>
  <c r="BA322" i="178"/>
  <c r="BE322" i="178"/>
  <c r="BI322" i="178"/>
  <c r="BN322" i="178"/>
  <c r="BN321" i="178"/>
  <c r="AU321" i="178"/>
  <c r="AY321" i="178"/>
  <c r="BC321" i="178"/>
  <c r="BG321" i="178"/>
  <c r="BL321" i="178"/>
  <c r="AW321" i="178"/>
  <c r="BA321" i="178"/>
  <c r="BE321" i="178"/>
  <c r="BI321" i="178"/>
  <c r="AS321" i="178"/>
  <c r="AS319" i="178"/>
  <c r="AW319" i="178"/>
  <c r="BA319" i="178"/>
  <c r="BE319" i="178"/>
  <c r="BI319" i="178"/>
  <c r="BN319" i="178"/>
  <c r="AU319" i="178"/>
  <c r="AY319" i="178"/>
  <c r="BC319" i="178"/>
  <c r="BG319" i="178"/>
  <c r="BL319" i="178"/>
  <c r="BL318" i="178"/>
  <c r="AS318" i="178"/>
  <c r="AW318" i="178"/>
  <c r="BA318" i="178"/>
  <c r="BE318" i="178"/>
  <c r="BI318" i="178"/>
  <c r="BN318" i="178"/>
  <c r="AU318" i="178"/>
  <c r="AY318" i="178"/>
  <c r="BC318" i="178"/>
  <c r="BG318" i="178"/>
  <c r="AU320" i="178"/>
  <c r="AY320" i="178"/>
  <c r="BC320" i="178"/>
  <c r="BG320" i="178"/>
  <c r="BL320" i="178"/>
  <c r="AS320" i="178"/>
  <c r="AW320" i="178"/>
  <c r="BA320" i="178"/>
  <c r="BE320" i="178"/>
  <c r="BI320" i="178"/>
  <c r="BN320" i="178"/>
  <c r="BL307" i="178"/>
  <c r="AS307" i="178"/>
  <c r="AW307" i="178"/>
  <c r="BA307" i="178"/>
  <c r="BE307" i="178"/>
  <c r="BI307" i="178"/>
  <c r="BN307" i="178"/>
  <c r="BC307" i="178"/>
  <c r="BG307" i="178"/>
  <c r="AU307" i="178"/>
  <c r="AY307" i="178"/>
  <c r="AU306" i="178"/>
  <c r="AY306" i="178"/>
  <c r="BC306" i="178"/>
  <c r="BG306" i="178"/>
  <c r="BL306" i="178"/>
  <c r="AW306" i="178"/>
  <c r="BA306" i="178"/>
  <c r="BE306" i="178"/>
  <c r="BI306" i="178"/>
  <c r="AS306" i="178"/>
  <c r="BN306" i="178"/>
  <c r="BN308" i="178"/>
  <c r="AW308" i="178"/>
  <c r="BE308" i="178"/>
  <c r="BL308" i="178"/>
  <c r="AY308" i="178"/>
  <c r="BG308" i="178"/>
  <c r="AS308" i="178"/>
  <c r="BA308" i="178"/>
  <c r="BI308" i="178"/>
  <c r="AU308" i="178"/>
  <c r="BC308" i="178"/>
  <c r="AS305" i="178"/>
  <c r="AW305" i="178"/>
  <c r="BA305" i="178"/>
  <c r="BE305" i="178"/>
  <c r="BI305" i="178"/>
  <c r="AU305" i="178"/>
  <c r="AY305" i="178"/>
  <c r="BC305" i="178"/>
  <c r="BG305" i="178"/>
  <c r="BL305" i="178"/>
  <c r="BN305" i="178"/>
  <c r="BL301" i="178"/>
  <c r="BN301" i="178"/>
  <c r="AU301" i="178"/>
  <c r="BC301" i="178"/>
  <c r="AW301" i="178"/>
  <c r="BE301" i="178"/>
  <c r="AY301" i="178"/>
  <c r="BG301" i="178"/>
  <c r="BA301" i="178"/>
  <c r="BI301" i="178"/>
  <c r="AS301" i="178"/>
  <c r="AU298" i="178"/>
  <c r="AY298" i="178"/>
  <c r="BC298" i="178"/>
  <c r="BG298" i="178"/>
  <c r="AS298" i="178"/>
  <c r="AW298" i="178"/>
  <c r="BA298" i="178"/>
  <c r="BE298" i="178"/>
  <c r="BI298" i="178"/>
  <c r="BL298" i="178"/>
  <c r="BN298" i="178"/>
  <c r="BN303" i="178"/>
  <c r="BL303" i="178"/>
  <c r="AS303" i="178"/>
  <c r="BA303" i="178"/>
  <c r="BI303" i="178"/>
  <c r="AU303" i="178"/>
  <c r="BC303" i="178"/>
  <c r="AW303" i="178"/>
  <c r="BE303" i="178"/>
  <c r="AY303" i="178"/>
  <c r="BG303" i="178"/>
  <c r="AS302" i="178"/>
  <c r="AW302" i="178"/>
  <c r="BA302" i="178"/>
  <c r="BE302" i="178"/>
  <c r="BI302" i="178"/>
  <c r="AU302" i="178"/>
  <c r="AY302" i="178"/>
  <c r="BC302" i="178"/>
  <c r="BG302" i="178"/>
  <c r="BL302" i="178"/>
  <c r="BN302" i="178"/>
  <c r="BL300" i="178"/>
  <c r="BN300" i="178"/>
  <c r="AY300" i="178"/>
  <c r="BG300" i="178"/>
  <c r="AS300" i="178"/>
  <c r="BA300" i="178"/>
  <c r="BI300" i="178"/>
  <c r="AU300" i="178"/>
  <c r="BC300" i="178"/>
  <c r="AW300" i="178"/>
  <c r="BE300" i="178"/>
  <c r="AS289" i="178"/>
  <c r="AW289" i="178"/>
  <c r="BA289" i="178"/>
  <c r="BE289" i="178"/>
  <c r="BI289" i="178"/>
  <c r="AU289" i="178"/>
  <c r="AY289" i="178"/>
  <c r="BC289" i="178"/>
  <c r="BG289" i="178"/>
  <c r="BL289" i="178"/>
  <c r="BN289" i="178"/>
  <c r="BL288" i="178"/>
  <c r="BN288" i="178"/>
  <c r="AU288" i="178"/>
  <c r="BC288" i="178"/>
  <c r="AW288" i="178"/>
  <c r="BE288" i="178"/>
  <c r="AY288" i="178"/>
  <c r="BG288" i="178"/>
  <c r="AS288" i="178"/>
  <c r="BA288" i="178"/>
  <c r="BI288" i="178"/>
  <c r="AU286" i="178"/>
  <c r="AY286" i="178"/>
  <c r="BC286" i="178"/>
  <c r="BG286" i="178"/>
  <c r="AS286" i="178"/>
  <c r="AW286" i="178"/>
  <c r="BA286" i="178"/>
  <c r="BE286" i="178"/>
  <c r="BI286" i="178"/>
  <c r="BL286" i="178"/>
  <c r="BN286" i="178"/>
  <c r="BN285" i="178"/>
  <c r="BL285" i="178"/>
  <c r="AS285" i="178"/>
  <c r="BA285" i="178"/>
  <c r="BI285" i="178"/>
  <c r="AU285" i="178"/>
  <c r="BC285" i="178"/>
  <c r="AW285" i="178"/>
  <c r="BE285" i="178"/>
  <c r="BG285" i="178"/>
  <c r="AY285" i="178"/>
  <c r="AS282" i="178"/>
  <c r="AW282" i="178"/>
  <c r="BA282" i="178"/>
  <c r="BE282" i="178"/>
  <c r="BI282" i="178"/>
  <c r="AU282" i="178"/>
  <c r="AY282" i="178"/>
  <c r="BC282" i="178"/>
  <c r="BG282" i="178"/>
  <c r="BL282" i="178"/>
  <c r="BN282" i="178"/>
  <c r="BL284" i="178"/>
  <c r="BN284" i="178"/>
  <c r="AY284" i="178"/>
  <c r="BG284" i="178"/>
  <c r="AS284" i="178"/>
  <c r="BA284" i="178"/>
  <c r="BI284" i="178"/>
  <c r="AU284" i="178"/>
  <c r="BC284" i="178"/>
  <c r="AW284" i="178"/>
  <c r="BE284" i="178"/>
  <c r="AU287" i="178"/>
  <c r="AY287" i="178"/>
  <c r="BC287" i="178"/>
  <c r="BG287" i="178"/>
  <c r="AS287" i="178"/>
  <c r="AW287" i="178"/>
  <c r="BA287" i="178"/>
  <c r="BE287" i="178"/>
  <c r="BI287" i="178"/>
  <c r="BN287" i="178"/>
  <c r="BL287" i="178"/>
  <c r="BN276" i="178"/>
  <c r="BL276" i="178"/>
  <c r="AW276" i="178"/>
  <c r="BE276" i="178"/>
  <c r="AY276" i="178"/>
  <c r="BG276" i="178"/>
  <c r="AS276" i="178"/>
  <c r="BA276" i="178"/>
  <c r="BI276" i="178"/>
  <c r="BC276" i="178"/>
  <c r="AU276" i="178"/>
  <c r="AS275" i="178"/>
  <c r="AW275" i="178"/>
  <c r="BA275" i="178"/>
  <c r="BE275" i="178"/>
  <c r="BI275" i="178"/>
  <c r="AU275" i="178"/>
  <c r="AY275" i="178"/>
  <c r="BC275" i="178"/>
  <c r="BG275" i="178"/>
  <c r="BL275" i="178"/>
  <c r="BN275" i="178"/>
  <c r="BL274" i="178"/>
  <c r="BN274" i="178"/>
  <c r="AU274" i="178"/>
  <c r="BC274" i="178"/>
  <c r="AW274" i="178"/>
  <c r="BE274" i="178"/>
  <c r="AY274" i="178"/>
  <c r="BG274" i="178"/>
  <c r="AS274" i="178"/>
  <c r="BA274" i="178"/>
  <c r="BI274" i="178"/>
  <c r="AU278" i="178"/>
  <c r="AY278" i="178"/>
  <c r="BC278" i="178"/>
  <c r="BG278" i="178"/>
  <c r="AS278" i="178"/>
  <c r="AW278" i="178"/>
  <c r="BA278" i="178"/>
  <c r="BE278" i="178"/>
  <c r="BI278" i="178"/>
  <c r="BL278" i="178"/>
  <c r="BN278" i="178"/>
  <c r="BN277" i="178"/>
  <c r="BL277" i="178"/>
  <c r="AS277" i="178"/>
  <c r="BA277" i="178"/>
  <c r="BI277" i="178"/>
  <c r="AU277" i="178"/>
  <c r="BC277" i="178"/>
  <c r="AW277" i="178"/>
  <c r="BE277" i="178"/>
  <c r="AY277" i="178"/>
  <c r="BG277" i="178"/>
  <c r="AS273" i="178"/>
  <c r="AW273" i="178"/>
  <c r="BA273" i="178"/>
  <c r="BE273" i="178"/>
  <c r="BI273" i="178"/>
  <c r="AU273" i="178"/>
  <c r="AY273" i="178"/>
  <c r="BC273" i="178"/>
  <c r="BG273" i="178"/>
  <c r="BL273" i="178"/>
  <c r="BN273" i="178"/>
  <c r="BL271" i="178"/>
  <c r="BN271" i="178"/>
  <c r="AY271" i="178"/>
  <c r="BG271" i="178"/>
  <c r="AS271" i="178"/>
  <c r="BA271" i="178"/>
  <c r="BI271" i="178"/>
  <c r="AU271" i="178"/>
  <c r="BC271" i="178"/>
  <c r="AW271" i="178"/>
  <c r="BE271" i="178"/>
  <c r="AU270" i="178"/>
  <c r="AY270" i="178"/>
  <c r="BC270" i="178"/>
  <c r="BG270" i="178"/>
  <c r="AS270" i="178"/>
  <c r="AW270" i="178"/>
  <c r="BA270" i="178"/>
  <c r="BE270" i="178"/>
  <c r="BI270" i="178"/>
  <c r="BN270" i="178"/>
  <c r="BL270" i="178"/>
  <c r="BN272" i="178"/>
  <c r="BL272" i="178"/>
  <c r="AW272" i="178"/>
  <c r="BE272" i="178"/>
  <c r="AY272" i="178"/>
  <c r="BG272" i="178"/>
  <c r="AS272" i="178"/>
  <c r="BA272" i="178"/>
  <c r="BI272" i="178"/>
  <c r="AU272" i="178"/>
  <c r="BC272" i="178"/>
  <c r="AS269" i="178"/>
  <c r="AW269" i="178"/>
  <c r="BA269" i="178"/>
  <c r="BE269" i="178"/>
  <c r="BI269" i="178"/>
  <c r="AU269" i="178"/>
  <c r="AY269" i="178"/>
  <c r="BC269" i="178"/>
  <c r="BG269" i="178"/>
  <c r="BL269" i="178"/>
  <c r="BN269" i="178"/>
  <c r="AS260" i="178"/>
  <c r="AW260" i="178"/>
  <c r="BA260" i="178"/>
  <c r="BE260" i="178"/>
  <c r="BI260" i="178"/>
  <c r="BN260" i="178"/>
  <c r="AU260" i="178"/>
  <c r="AY260" i="178"/>
  <c r="BC260" i="178"/>
  <c r="BG260" i="178"/>
  <c r="BL260" i="178"/>
  <c r="BL259" i="178"/>
  <c r="AS259" i="178"/>
  <c r="AW259" i="178"/>
  <c r="BA259" i="178"/>
  <c r="BE259" i="178"/>
  <c r="BI259" i="178"/>
  <c r="BN259" i="178"/>
  <c r="BC259" i="178"/>
  <c r="BG259" i="178"/>
  <c r="AU259" i="178"/>
  <c r="AY259" i="178"/>
  <c r="BL254" i="178"/>
  <c r="AS254" i="178"/>
  <c r="AW254" i="178"/>
  <c r="BA254" i="178"/>
  <c r="BE254" i="178"/>
  <c r="BI254" i="178"/>
  <c r="BN254" i="178"/>
  <c r="AY254" i="178"/>
  <c r="BC254" i="178"/>
  <c r="BG254" i="178"/>
  <c r="AU254" i="178"/>
  <c r="AU253" i="178"/>
  <c r="AY253" i="178"/>
  <c r="BC253" i="178"/>
  <c r="BG253" i="178"/>
  <c r="BL253" i="178"/>
  <c r="AS253" i="178"/>
  <c r="AW253" i="178"/>
  <c r="BA253" i="178"/>
  <c r="BE253" i="178"/>
  <c r="BI253" i="178"/>
  <c r="BN253" i="178"/>
  <c r="BN255" i="178"/>
  <c r="AU255" i="178"/>
  <c r="AY255" i="178"/>
  <c r="BC255" i="178"/>
  <c r="BG255" i="178"/>
  <c r="BL255" i="178"/>
  <c r="AW255" i="178"/>
  <c r="BA255" i="178"/>
  <c r="BE255" i="178"/>
  <c r="BI255" i="178"/>
  <c r="AS255" i="178"/>
  <c r="BN247" i="178"/>
  <c r="AU247" i="178"/>
  <c r="AY247" i="178"/>
  <c r="BC247" i="178"/>
  <c r="BG247" i="178"/>
  <c r="BL247" i="178"/>
  <c r="AS247" i="178"/>
  <c r="BI247" i="178"/>
  <c r="AW247" i="178"/>
  <c r="BA247" i="178"/>
  <c r="BE247" i="178"/>
  <c r="AS246" i="178"/>
  <c r="AW246" i="178"/>
  <c r="BA246" i="178"/>
  <c r="BE246" i="178"/>
  <c r="BI246" i="178"/>
  <c r="BN246" i="178"/>
  <c r="AU246" i="178"/>
  <c r="AY246" i="178"/>
  <c r="BC246" i="178"/>
  <c r="BG246" i="178"/>
  <c r="BL246" i="178"/>
  <c r="BL245" i="178"/>
  <c r="AS245" i="178"/>
  <c r="AW245" i="178"/>
  <c r="BA245" i="178"/>
  <c r="BE245" i="178"/>
  <c r="BI245" i="178"/>
  <c r="BN245" i="178"/>
  <c r="BG245" i="178"/>
  <c r="AU245" i="178"/>
  <c r="AY245" i="178"/>
  <c r="BC245" i="178"/>
  <c r="AU248" i="178"/>
  <c r="AY248" i="178"/>
  <c r="BC248" i="178"/>
  <c r="BG248" i="178"/>
  <c r="BL248" i="178"/>
  <c r="AS248" i="178"/>
  <c r="AW248" i="178"/>
  <c r="BA248" i="178"/>
  <c r="BE248" i="178"/>
  <c r="BI248" i="178"/>
  <c r="BN248" i="178"/>
  <c r="BN241" i="178"/>
  <c r="AU241" i="178"/>
  <c r="AY241" i="178"/>
  <c r="BC241" i="178"/>
  <c r="BG241" i="178"/>
  <c r="BL241" i="178"/>
  <c r="BA241" i="178"/>
  <c r="BE241" i="178"/>
  <c r="AS241" i="178"/>
  <c r="BI241" i="178"/>
  <c r="AW241" i="178"/>
  <c r="AS240" i="178"/>
  <c r="AW240" i="178"/>
  <c r="BA240" i="178"/>
  <c r="BE240" i="178"/>
  <c r="BI240" i="178"/>
  <c r="BN240" i="178"/>
  <c r="AU240" i="178"/>
  <c r="AY240" i="178"/>
  <c r="BC240" i="178"/>
  <c r="BG240" i="178"/>
  <c r="BL240" i="178"/>
  <c r="BL238" i="178"/>
  <c r="AS238" i="178"/>
  <c r="AW238" i="178"/>
  <c r="BA238" i="178"/>
  <c r="BE238" i="178"/>
  <c r="BI238" i="178"/>
  <c r="BN238" i="178"/>
  <c r="AY238" i="178"/>
  <c r="BC238" i="178"/>
  <c r="BG238" i="178"/>
  <c r="AU238" i="178"/>
  <c r="AU237" i="178"/>
  <c r="AY237" i="178"/>
  <c r="BC237" i="178"/>
  <c r="BG237" i="178"/>
  <c r="BL237" i="178"/>
  <c r="AS237" i="178"/>
  <c r="AW237" i="178"/>
  <c r="BA237" i="178"/>
  <c r="BE237" i="178"/>
  <c r="BI237" i="178"/>
  <c r="BN237" i="178"/>
  <c r="BL215" i="178"/>
  <c r="AS215" i="178"/>
  <c r="AW215" i="178"/>
  <c r="BA215" i="178"/>
  <c r="BE215" i="178"/>
  <c r="BI215" i="178"/>
  <c r="BN215" i="178"/>
  <c r="AY215" i="178"/>
  <c r="BC215" i="178"/>
  <c r="BG215" i="178"/>
  <c r="AU215" i="178"/>
  <c r="AU214" i="178"/>
  <c r="AY214" i="178"/>
  <c r="BC214" i="178"/>
  <c r="BG214" i="178"/>
  <c r="BL214" i="178"/>
  <c r="AS214" i="178"/>
  <c r="AW214" i="178"/>
  <c r="BA214" i="178"/>
  <c r="BE214" i="178"/>
  <c r="BI214" i="178"/>
  <c r="BN214" i="178"/>
  <c r="BN210" i="178"/>
  <c r="AU210" i="178"/>
  <c r="AY210" i="178"/>
  <c r="BC210" i="178"/>
  <c r="BG210" i="178"/>
  <c r="BL210" i="178"/>
  <c r="AW210" i="178"/>
  <c r="BA210" i="178"/>
  <c r="BE210" i="178"/>
  <c r="AS210" i="178"/>
  <c r="BI210" i="178"/>
  <c r="AS209" i="178"/>
  <c r="AW209" i="178"/>
  <c r="BA209" i="178"/>
  <c r="BE209" i="178"/>
  <c r="BI209" i="178"/>
  <c r="BN209" i="178"/>
  <c r="AU209" i="178"/>
  <c r="AY209" i="178"/>
  <c r="BC209" i="178"/>
  <c r="BG209" i="178"/>
  <c r="BL209" i="178"/>
  <c r="BL211" i="178"/>
  <c r="AS211" i="178"/>
  <c r="AW211" i="178"/>
  <c r="BA211" i="178"/>
  <c r="BE211" i="178"/>
  <c r="BI211" i="178"/>
  <c r="BN211" i="178"/>
  <c r="AU211" i="178"/>
  <c r="AY211" i="178"/>
  <c r="BC211" i="178"/>
  <c r="BG211" i="178"/>
  <c r="AU150" i="178"/>
  <c r="AY150" i="178"/>
  <c r="BC150" i="178"/>
  <c r="BG150" i="178"/>
  <c r="AS150" i="178"/>
  <c r="AW150" i="178"/>
  <c r="BA150" i="178"/>
  <c r="BE150" i="178"/>
  <c r="BL150" i="178"/>
  <c r="BI150" i="178"/>
  <c r="BN150" i="178"/>
  <c r="BN149" i="178"/>
  <c r="BL149" i="178"/>
  <c r="AY149" i="178"/>
  <c r="BG149" i="178"/>
  <c r="AS149" i="178"/>
  <c r="BA149" i="178"/>
  <c r="BI149" i="178"/>
  <c r="AU149" i="178"/>
  <c r="BC149" i="178"/>
  <c r="AW149" i="178"/>
  <c r="BE149" i="178"/>
  <c r="BL143" i="178"/>
  <c r="BN143" i="178"/>
  <c r="AS143" i="178"/>
  <c r="BA143" i="178"/>
  <c r="BI143" i="178"/>
  <c r="AU143" i="178"/>
  <c r="BC143" i="178"/>
  <c r="AW143" i="178"/>
  <c r="BE143" i="178"/>
  <c r="AY143" i="178"/>
  <c r="BG143" i="178"/>
  <c r="AU142" i="178"/>
  <c r="AY142" i="178"/>
  <c r="BC142" i="178"/>
  <c r="BG142" i="178"/>
  <c r="AS142" i="178"/>
  <c r="AW142" i="178"/>
  <c r="BA142" i="178"/>
  <c r="BE142" i="178"/>
  <c r="BI142" i="178"/>
  <c r="BL142" i="178"/>
  <c r="BN142" i="178"/>
  <c r="AS115" i="178"/>
  <c r="AW115" i="178"/>
  <c r="BA115" i="178"/>
  <c r="BE115" i="178"/>
  <c r="BI115" i="178"/>
  <c r="AU115" i="178"/>
  <c r="AY115" i="178"/>
  <c r="BC115" i="178"/>
  <c r="BG115" i="178"/>
  <c r="BL115" i="178"/>
  <c r="BN115" i="178"/>
  <c r="BL114" i="178"/>
  <c r="BN114" i="178"/>
  <c r="AS114" i="178"/>
  <c r="BA114" i="178"/>
  <c r="BI114" i="178"/>
  <c r="AU114" i="178"/>
  <c r="BC114" i="178"/>
  <c r="AW114" i="178"/>
  <c r="BE114" i="178"/>
  <c r="AY114" i="178"/>
  <c r="BG114" i="178"/>
  <c r="AU113" i="178"/>
  <c r="AY113" i="178"/>
  <c r="BC113" i="178"/>
  <c r="BG113" i="178"/>
  <c r="AS113" i="178"/>
  <c r="AW113" i="178"/>
  <c r="BA113" i="178"/>
  <c r="BE113" i="178"/>
  <c r="BI113" i="178"/>
  <c r="BL113" i="178"/>
  <c r="BN113" i="178"/>
  <c r="BN112" i="178"/>
  <c r="BL112" i="178"/>
  <c r="AY112" i="178"/>
  <c r="BG112" i="178"/>
  <c r="AS112" i="178"/>
  <c r="BA112" i="178"/>
  <c r="BI112" i="178"/>
  <c r="AU112" i="178"/>
  <c r="BC112" i="178"/>
  <c r="AW112" i="178"/>
  <c r="BE112" i="178"/>
  <c r="AS117" i="178"/>
  <c r="AW117" i="178"/>
  <c r="BA117" i="178"/>
  <c r="BE117" i="178"/>
  <c r="BI117" i="178"/>
  <c r="AU117" i="178"/>
  <c r="AY117" i="178"/>
  <c r="BC117" i="178"/>
  <c r="BG117" i="178"/>
  <c r="BN117" i="178"/>
  <c r="BL117" i="178"/>
  <c r="BL116" i="178"/>
  <c r="BN116" i="178"/>
  <c r="AW116" i="178"/>
  <c r="BE116" i="178"/>
  <c r="AY116" i="178"/>
  <c r="BG116" i="178"/>
  <c r="AS116" i="178"/>
  <c r="BA116" i="178"/>
  <c r="BI116" i="178"/>
  <c r="AU116" i="178"/>
  <c r="BC116" i="178"/>
  <c r="AU111" i="178"/>
  <c r="AY111" i="178"/>
  <c r="BC111" i="178"/>
  <c r="BG111" i="178"/>
  <c r="BL111" i="178"/>
  <c r="AS111" i="178"/>
  <c r="AW111" i="178"/>
  <c r="BA111" i="178"/>
  <c r="BE111" i="178"/>
  <c r="BI111" i="178"/>
  <c r="BN111" i="178"/>
  <c r="BN106" i="178"/>
  <c r="AU106" i="178"/>
  <c r="AY106" i="178"/>
  <c r="BC106" i="178"/>
  <c r="BG106" i="178"/>
  <c r="BL106" i="178"/>
  <c r="BA106" i="178"/>
  <c r="BE106" i="178"/>
  <c r="AS106" i="178"/>
  <c r="BI106" i="178"/>
  <c r="AW106" i="178"/>
  <c r="AS109" i="178"/>
  <c r="AW109" i="178"/>
  <c r="BA109" i="178"/>
  <c r="BE109" i="178"/>
  <c r="BI109" i="178"/>
  <c r="BN109" i="178"/>
  <c r="AU109" i="178"/>
  <c r="AY109" i="178"/>
  <c r="BC109" i="178"/>
  <c r="BG109" i="178"/>
  <c r="BL109" i="178"/>
  <c r="BL105" i="178"/>
  <c r="AS105" i="178"/>
  <c r="AW105" i="178"/>
  <c r="BA105" i="178"/>
  <c r="BE105" i="178"/>
  <c r="BI105" i="178"/>
  <c r="BN105" i="178"/>
  <c r="AY105" i="178"/>
  <c r="BC105" i="178"/>
  <c r="BG105" i="178"/>
  <c r="AU105" i="178"/>
  <c r="AU104" i="178"/>
  <c r="AY104" i="178"/>
  <c r="BC104" i="178"/>
  <c r="BG104" i="178"/>
  <c r="BL104" i="178"/>
  <c r="AS104" i="178"/>
  <c r="AW104" i="178"/>
  <c r="BA104" i="178"/>
  <c r="BE104" i="178"/>
  <c r="BI104" i="178"/>
  <c r="BN104" i="178"/>
  <c r="BN103" i="178"/>
  <c r="AU103" i="178"/>
  <c r="AY103" i="178"/>
  <c r="BC103" i="178"/>
  <c r="BG103" i="178"/>
  <c r="BL103" i="178"/>
  <c r="AW103" i="178"/>
  <c r="BA103" i="178"/>
  <c r="BE103" i="178"/>
  <c r="AS103" i="178"/>
  <c r="BI103" i="178"/>
  <c r="AS102" i="178"/>
  <c r="AW102" i="178"/>
  <c r="BA102" i="178"/>
  <c r="BE102" i="178"/>
  <c r="BI102" i="178"/>
  <c r="BN102" i="178"/>
  <c r="AU102" i="178"/>
  <c r="AY102" i="178"/>
  <c r="BC102" i="178"/>
  <c r="BG102" i="178"/>
  <c r="BL102" i="178"/>
  <c r="BL108" i="178"/>
  <c r="AS108" i="178"/>
  <c r="AW108" i="178"/>
  <c r="BA108" i="178"/>
  <c r="BE108" i="178"/>
  <c r="BI108" i="178"/>
  <c r="BN108" i="178"/>
  <c r="AU108" i="178"/>
  <c r="AY108" i="178"/>
  <c r="BC108" i="178"/>
  <c r="BG108" i="178"/>
  <c r="AU107" i="178"/>
  <c r="AY107" i="178"/>
  <c r="BC107" i="178"/>
  <c r="BG107" i="178"/>
  <c r="BL107" i="178"/>
  <c r="AS107" i="178"/>
  <c r="AW107" i="178"/>
  <c r="BA107" i="178"/>
  <c r="BE107" i="178"/>
  <c r="BI107" i="178"/>
  <c r="BN107" i="178"/>
  <c r="BN101" i="178"/>
  <c r="AU101" i="178"/>
  <c r="AY101" i="178"/>
  <c r="BC101" i="178"/>
  <c r="BG101" i="178"/>
  <c r="BL101" i="178"/>
  <c r="AS101" i="178"/>
  <c r="BI101" i="178"/>
  <c r="AW101" i="178"/>
  <c r="BA101" i="178"/>
  <c r="BE101" i="178"/>
  <c r="AS96" i="178"/>
  <c r="AW96" i="178"/>
  <c r="BA96" i="178"/>
  <c r="BE96" i="178"/>
  <c r="BI96" i="178"/>
  <c r="BN96" i="178"/>
  <c r="AU96" i="178"/>
  <c r="AY96" i="178"/>
  <c r="BC96" i="178"/>
  <c r="BG96" i="178"/>
  <c r="BL96" i="178"/>
  <c r="BL95" i="178"/>
  <c r="AS95" i="178"/>
  <c r="AW95" i="178"/>
  <c r="BA95" i="178"/>
  <c r="BE95" i="178"/>
  <c r="BI95" i="178"/>
  <c r="BN95" i="178"/>
  <c r="BG95" i="178"/>
  <c r="AU95" i="178"/>
  <c r="AY95" i="178"/>
  <c r="BC95" i="178"/>
  <c r="AU94" i="178"/>
  <c r="AY94" i="178"/>
  <c r="BC94" i="178"/>
  <c r="BG94" i="178"/>
  <c r="BL94" i="178"/>
  <c r="AS94" i="178"/>
  <c r="AW94" i="178"/>
  <c r="BA94" i="178"/>
  <c r="BE94" i="178"/>
  <c r="BI94" i="178"/>
  <c r="BN94" i="178"/>
  <c r="BN93" i="178"/>
  <c r="AU93" i="178"/>
  <c r="AY93" i="178"/>
  <c r="BC93" i="178"/>
  <c r="BG93" i="178"/>
  <c r="BL93" i="178"/>
  <c r="BE93" i="178"/>
  <c r="AS93" i="178"/>
  <c r="BI93" i="178"/>
  <c r="AW93" i="178"/>
  <c r="BA93" i="178"/>
  <c r="AS98" i="178"/>
  <c r="AW98" i="178"/>
  <c r="BA98" i="178"/>
  <c r="BE98" i="178"/>
  <c r="BI98" i="178"/>
  <c r="BN98" i="178"/>
  <c r="AU98" i="178"/>
  <c r="AY98" i="178"/>
  <c r="BC98" i="178"/>
  <c r="BG98" i="178"/>
  <c r="BL98" i="178"/>
  <c r="BL97" i="178"/>
  <c r="AS97" i="178"/>
  <c r="AW97" i="178"/>
  <c r="BA97" i="178"/>
  <c r="BE97" i="178"/>
  <c r="BI97" i="178"/>
  <c r="BN97" i="178"/>
  <c r="BC97" i="178"/>
  <c r="BG97" i="178"/>
  <c r="AU97" i="178"/>
  <c r="AY97" i="178"/>
  <c r="AU89" i="178"/>
  <c r="AY89" i="178"/>
  <c r="BC89" i="178"/>
  <c r="BG89" i="178"/>
  <c r="BL89" i="178"/>
  <c r="AS89" i="178"/>
  <c r="AW89" i="178"/>
  <c r="BA89" i="178"/>
  <c r="BE89" i="178"/>
  <c r="BI89" i="178"/>
  <c r="BN89" i="178"/>
  <c r="BN88" i="178"/>
  <c r="AU88" i="178"/>
  <c r="AY88" i="178"/>
  <c r="BC88" i="178"/>
  <c r="BG88" i="178"/>
  <c r="BL88" i="178"/>
  <c r="BA88" i="178"/>
  <c r="BE88" i="178"/>
  <c r="AS88" i="178"/>
  <c r="BI88" i="178"/>
  <c r="AW88" i="178"/>
  <c r="AS87" i="178"/>
  <c r="AW87" i="178"/>
  <c r="BA87" i="178"/>
  <c r="BE87" i="178"/>
  <c r="BI87" i="178"/>
  <c r="BN87" i="178"/>
  <c r="AU87" i="178"/>
  <c r="AY87" i="178"/>
  <c r="BC87" i="178"/>
  <c r="BG87" i="178"/>
  <c r="BL87" i="178"/>
  <c r="BL86" i="178"/>
  <c r="AS86" i="178"/>
  <c r="AW86" i="178"/>
  <c r="BA86" i="178"/>
  <c r="BE86" i="178"/>
  <c r="BI86" i="178"/>
  <c r="BN86" i="178"/>
  <c r="AY86" i="178"/>
  <c r="BC86" i="178"/>
  <c r="BG86" i="178"/>
  <c r="AU86" i="178"/>
  <c r="AU91" i="178"/>
  <c r="AY91" i="178"/>
  <c r="BC91" i="178"/>
  <c r="BG91" i="178"/>
  <c r="BL91" i="178"/>
  <c r="AS91" i="178"/>
  <c r="AW91" i="178"/>
  <c r="BA91" i="178"/>
  <c r="BE91" i="178"/>
  <c r="BI91" i="178"/>
  <c r="BN91" i="178"/>
  <c r="BN90" i="178"/>
  <c r="AU90" i="178"/>
  <c r="AY90" i="178"/>
  <c r="BC90" i="178"/>
  <c r="BG90" i="178"/>
  <c r="BL90" i="178"/>
  <c r="AW90" i="178"/>
  <c r="BA90" i="178"/>
  <c r="BE90" i="178"/>
  <c r="AS90" i="178"/>
  <c r="BI90" i="178"/>
  <c r="BN70" i="178"/>
  <c r="AU70" i="178"/>
  <c r="AY70" i="178"/>
  <c r="BC70" i="178"/>
  <c r="BG70" i="178"/>
  <c r="BL70" i="178"/>
  <c r="BE70" i="178"/>
  <c r="AS70" i="178"/>
  <c r="BI70" i="178"/>
  <c r="AW70" i="178"/>
  <c r="BA70" i="178"/>
  <c r="AS71" i="178"/>
  <c r="AW71" i="178"/>
  <c r="BA71" i="178"/>
  <c r="BE71" i="178"/>
  <c r="BI71" i="178"/>
  <c r="BN71" i="178"/>
  <c r="AU71" i="178"/>
  <c r="AY71" i="178"/>
  <c r="BC71" i="178"/>
  <c r="BG71" i="178"/>
  <c r="BL71" i="178"/>
  <c r="AU64" i="178"/>
  <c r="AY64" i="178"/>
  <c r="BC64" i="178"/>
  <c r="BG64" i="178"/>
  <c r="BL64" i="178"/>
  <c r="AS64" i="178"/>
  <c r="AW64" i="178"/>
  <c r="BA64" i="178"/>
  <c r="BE64" i="178"/>
  <c r="BI64" i="178"/>
  <c r="BN64" i="178"/>
  <c r="BN62" i="178"/>
  <c r="AU62" i="178"/>
  <c r="AY62" i="178"/>
  <c r="BC62" i="178"/>
  <c r="BG62" i="178"/>
  <c r="BL62" i="178"/>
  <c r="AW62" i="178"/>
  <c r="BA62" i="178"/>
  <c r="BE62" i="178"/>
  <c r="BI62" i="178"/>
  <c r="AS62" i="178"/>
  <c r="AS61" i="178"/>
  <c r="AW61" i="178"/>
  <c r="BA61" i="178"/>
  <c r="BE61" i="178"/>
  <c r="BI61" i="178"/>
  <c r="BN61" i="178"/>
  <c r="AU61" i="178"/>
  <c r="AY61" i="178"/>
  <c r="BC61" i="178"/>
  <c r="BG61" i="178"/>
  <c r="BL61" i="178"/>
  <c r="BL63" i="178"/>
  <c r="AS63" i="178"/>
  <c r="AW63" i="178"/>
  <c r="BA63" i="178"/>
  <c r="BE63" i="178"/>
  <c r="BI63" i="178"/>
  <c r="BN63" i="178"/>
  <c r="AU63" i="178"/>
  <c r="AY63" i="178"/>
  <c r="BC63" i="178"/>
  <c r="BG63" i="178"/>
  <c r="AU60" i="178"/>
  <c r="AY60" i="178"/>
  <c r="BC60" i="178"/>
  <c r="BG60" i="178"/>
  <c r="BL60" i="178"/>
  <c r="AS60" i="178"/>
  <c r="AW60" i="178"/>
  <c r="BA60" i="178"/>
  <c r="BE60" i="178"/>
  <c r="BI60" i="178"/>
  <c r="BN60" i="178"/>
  <c r="AU52" i="178"/>
  <c r="AY52" i="178"/>
  <c r="BC52" i="178"/>
  <c r="BG52" i="178"/>
  <c r="BL52" i="178"/>
  <c r="AS52" i="178"/>
  <c r="AW52" i="178"/>
  <c r="BA52" i="178"/>
  <c r="BE52" i="178"/>
  <c r="BI52" i="178"/>
  <c r="BN52" i="178"/>
  <c r="BN53" i="178"/>
  <c r="AU53" i="178"/>
  <c r="AY53" i="178"/>
  <c r="BC53" i="178"/>
  <c r="BG53" i="178"/>
  <c r="BL53" i="178"/>
  <c r="BE53" i="178"/>
  <c r="AS53" i="178"/>
  <c r="BI53" i="178"/>
  <c r="AW53" i="178"/>
  <c r="BA53" i="178"/>
  <c r="AS50" i="178"/>
  <c r="AW50" i="178"/>
  <c r="BA50" i="178"/>
  <c r="BE50" i="178"/>
  <c r="BI50" i="178"/>
  <c r="BN50" i="178"/>
  <c r="AU50" i="178"/>
  <c r="AY50" i="178"/>
  <c r="BC50" i="178"/>
  <c r="BG50" i="178"/>
  <c r="BL50" i="178"/>
  <c r="BL51" i="178"/>
  <c r="AS51" i="178"/>
  <c r="AW51" i="178"/>
  <c r="BA51" i="178"/>
  <c r="BE51" i="178"/>
  <c r="BI51" i="178"/>
  <c r="BN51" i="178"/>
  <c r="BC51" i="178"/>
  <c r="BG51" i="178"/>
  <c r="AU51" i="178"/>
  <c r="AY51" i="178"/>
  <c r="BN47" i="178"/>
  <c r="AU47" i="178"/>
  <c r="AY47" i="178"/>
  <c r="BC47" i="178"/>
  <c r="BG47" i="178"/>
  <c r="BL47" i="178"/>
  <c r="BA47" i="178"/>
  <c r="BE47" i="178"/>
  <c r="AS47" i="178"/>
  <c r="BI47" i="178"/>
  <c r="AW47" i="178"/>
  <c r="AS46" i="178"/>
  <c r="AW46" i="178"/>
  <c r="BA46" i="178"/>
  <c r="BE46" i="178"/>
  <c r="BI46" i="178"/>
  <c r="BN46" i="178"/>
  <c r="AU46" i="178"/>
  <c r="AY46" i="178"/>
  <c r="BC46" i="178"/>
  <c r="BG46" i="178"/>
  <c r="BL46" i="178"/>
  <c r="AS43" i="178"/>
  <c r="AW43" i="178"/>
  <c r="BA43" i="178"/>
  <c r="BE43" i="178"/>
  <c r="BI43" i="178"/>
  <c r="BN43" i="178"/>
  <c r="AU43" i="178"/>
  <c r="AY43" i="178"/>
  <c r="BC43" i="178"/>
  <c r="BG43" i="178"/>
  <c r="BL43" i="178"/>
  <c r="AU42" i="178"/>
  <c r="AY42" i="178"/>
  <c r="BC42" i="178"/>
  <c r="BG42" i="178"/>
  <c r="BL42" i="178"/>
  <c r="AS42" i="178"/>
  <c r="AW42" i="178"/>
  <c r="BA42" i="178"/>
  <c r="BE42" i="178"/>
  <c r="BI42" i="178"/>
  <c r="BN42" i="178"/>
  <c r="BN41" i="178"/>
  <c r="AU41" i="178"/>
  <c r="AY41" i="178"/>
  <c r="BC41" i="178"/>
  <c r="BG41" i="178"/>
  <c r="BL41" i="178"/>
  <c r="AS41" i="178"/>
  <c r="BI41" i="178"/>
  <c r="AW41" i="178"/>
  <c r="BA41" i="178"/>
  <c r="BE41" i="178"/>
  <c r="AS40" i="178"/>
  <c r="AW40" i="178"/>
  <c r="BA40" i="178"/>
  <c r="BE40" i="178"/>
  <c r="BI40" i="178"/>
  <c r="BN40" i="178"/>
  <c r="AU40" i="178"/>
  <c r="AY40" i="178"/>
  <c r="BC40" i="178"/>
  <c r="BG40" i="178"/>
  <c r="BL40" i="178"/>
  <c r="BL39" i="178"/>
  <c r="AS39" i="178"/>
  <c r="AW39" i="178"/>
  <c r="BA39" i="178"/>
  <c r="BE39" i="178"/>
  <c r="BI39" i="178"/>
  <c r="BN39" i="178"/>
  <c r="BG39" i="178"/>
  <c r="AU39" i="178"/>
  <c r="AY39" i="178"/>
  <c r="BC39" i="178"/>
  <c r="AU38" i="178"/>
  <c r="AY38" i="178"/>
  <c r="BC38" i="178"/>
  <c r="BG38" i="178"/>
  <c r="BL38" i="178"/>
  <c r="AS38" i="178"/>
  <c r="AW38" i="178"/>
  <c r="BA38" i="178"/>
  <c r="BE38" i="178"/>
  <c r="BI38" i="178"/>
  <c r="BN38" i="178"/>
  <c r="AU34" i="178"/>
  <c r="AY34" i="178"/>
  <c r="BC34" i="178"/>
  <c r="BG34" i="178"/>
  <c r="BL34" i="178"/>
  <c r="AS34" i="178"/>
  <c r="AW34" i="178"/>
  <c r="BA34" i="178"/>
  <c r="BE34" i="178"/>
  <c r="BI34" i="178"/>
  <c r="BN34" i="178"/>
  <c r="BN33" i="178"/>
  <c r="AU33" i="178"/>
  <c r="AY33" i="178"/>
  <c r="BC33" i="178"/>
  <c r="BG33" i="178"/>
  <c r="BL33" i="178"/>
  <c r="BA33" i="178"/>
  <c r="BE33" i="178"/>
  <c r="AS33" i="178"/>
  <c r="BI33" i="178"/>
  <c r="AW33" i="178"/>
  <c r="BN32" i="178"/>
  <c r="AU32" i="178"/>
  <c r="AY32" i="178"/>
  <c r="BC32" i="178"/>
  <c r="BG32" i="178"/>
  <c r="BL32" i="178"/>
  <c r="AW32" i="178"/>
  <c r="BA32" i="178"/>
  <c r="BE32" i="178"/>
  <c r="AS32" i="178"/>
  <c r="BI32" i="178"/>
  <c r="BL31" i="178"/>
  <c r="AS31" i="178"/>
  <c r="AW31" i="178"/>
  <c r="BA31" i="178"/>
  <c r="BE31" i="178"/>
  <c r="BI31" i="178"/>
  <c r="BN31" i="178"/>
  <c r="AU31" i="178"/>
  <c r="AY31" i="178"/>
  <c r="BC31" i="178"/>
  <c r="BG31" i="178"/>
  <c r="AS30" i="178"/>
  <c r="AW30" i="178"/>
  <c r="BA30" i="178"/>
  <c r="BE30" i="178"/>
  <c r="BI30" i="178"/>
  <c r="AU30" i="178"/>
  <c r="AY30" i="178"/>
  <c r="BC30" i="178"/>
  <c r="BG30" i="178"/>
  <c r="BL30" i="178"/>
  <c r="BN30" i="178"/>
  <c r="BL28" i="178"/>
  <c r="BN28" i="178"/>
  <c r="AY28" i="178"/>
  <c r="BG28" i="178"/>
  <c r="AS28" i="178"/>
  <c r="BA28" i="178"/>
  <c r="BI28" i="178"/>
  <c r="AU28" i="178"/>
  <c r="BC28" i="178"/>
  <c r="BE28" i="178"/>
  <c r="AW28" i="178"/>
  <c r="BN25" i="178"/>
  <c r="BL25" i="178"/>
  <c r="AW25" i="178"/>
  <c r="BE25" i="178"/>
  <c r="AY25" i="178"/>
  <c r="BG25" i="178"/>
  <c r="AS25" i="178"/>
  <c r="BA25" i="178"/>
  <c r="BI25" i="178"/>
  <c r="AU25" i="178"/>
  <c r="BC25" i="178"/>
  <c r="AS24" i="178"/>
  <c r="AW24" i="178"/>
  <c r="BA24" i="178"/>
  <c r="BE24" i="178"/>
  <c r="BI24" i="178"/>
  <c r="AU24" i="178"/>
  <c r="AY24" i="178"/>
  <c r="BC24" i="178"/>
  <c r="BG24" i="178"/>
  <c r="BL24" i="178"/>
  <c r="BN24" i="178"/>
  <c r="BL26" i="178"/>
  <c r="BN26" i="178"/>
  <c r="AU26" i="178"/>
  <c r="BC26" i="178"/>
  <c r="AW26" i="178"/>
  <c r="BE26" i="178"/>
  <c r="AY26" i="178"/>
  <c r="BG26" i="178"/>
  <c r="BA26" i="178"/>
  <c r="BI26" i="178"/>
  <c r="AS26" i="178"/>
  <c r="AU23" i="178"/>
  <c r="AY23" i="178"/>
  <c r="BC23" i="178"/>
  <c r="BG23" i="178"/>
  <c r="AS23" i="178"/>
  <c r="AW23" i="178"/>
  <c r="BA23" i="178"/>
  <c r="BE23" i="178"/>
  <c r="BI23" i="178"/>
  <c r="BL23" i="178"/>
  <c r="BN23" i="178"/>
  <c r="BN27" i="178"/>
  <c r="BL27" i="178"/>
  <c r="AS27" i="178"/>
  <c r="BA27" i="178"/>
  <c r="BI27" i="178"/>
  <c r="AU27" i="178"/>
  <c r="BC27" i="178"/>
  <c r="AW27" i="178"/>
  <c r="BE27" i="178"/>
  <c r="AY27" i="178"/>
  <c r="BG27" i="178"/>
  <c r="AS21" i="178"/>
  <c r="AW21" i="178"/>
  <c r="BA21" i="178"/>
  <c r="BE21" i="178"/>
  <c r="BI21" i="178"/>
  <c r="AU21" i="178"/>
  <c r="AY21" i="178"/>
  <c r="BC21" i="178"/>
  <c r="BG21" i="178"/>
  <c r="BL21" i="178"/>
  <c r="BN21" i="178"/>
  <c r="BL20" i="178"/>
  <c r="BN20" i="178"/>
  <c r="AY20" i="178"/>
  <c r="BG20" i="178"/>
  <c r="AS20" i="178"/>
  <c r="BA20" i="178"/>
  <c r="BI20" i="178"/>
  <c r="AU20" i="178"/>
  <c r="BC20" i="178"/>
  <c r="AW20" i="178"/>
  <c r="BE20" i="178"/>
  <c r="AU18" i="178"/>
  <c r="AY18" i="178"/>
  <c r="BC18" i="178"/>
  <c r="BG18" i="178"/>
  <c r="AS18" i="178"/>
  <c r="AW18" i="178"/>
  <c r="BA18" i="178"/>
  <c r="BE18" i="178"/>
  <c r="BI18" i="178"/>
  <c r="BN18" i="178"/>
  <c r="BL18" i="178"/>
  <c r="AS19" i="178"/>
  <c r="AW19" i="178"/>
  <c r="BA19" i="178"/>
  <c r="BE19" i="178"/>
  <c r="BI19" i="178"/>
  <c r="AU19" i="178"/>
  <c r="AY19" i="178"/>
  <c r="BC19" i="178"/>
  <c r="BG19" i="178"/>
  <c r="BL19" i="178"/>
  <c r="BN19" i="178"/>
  <c r="BL22" i="178"/>
  <c r="BN22" i="178"/>
  <c r="AU22" i="178"/>
  <c r="BC22" i="178"/>
  <c r="AW22" i="178"/>
  <c r="BE22" i="178"/>
  <c r="AY22" i="178"/>
  <c r="BG22" i="178"/>
  <c r="AS22" i="178"/>
  <c r="BA22" i="178"/>
  <c r="BI22" i="178"/>
  <c r="AS7" i="178"/>
  <c r="AW7" i="178"/>
  <c r="BA7" i="178"/>
  <c r="BE7" i="178"/>
  <c r="BI7" i="178"/>
  <c r="BN7" i="178"/>
  <c r="AU7" i="178"/>
  <c r="AY7" i="178"/>
  <c r="BC7" i="178"/>
  <c r="BG7" i="178"/>
  <c r="BL7" i="178"/>
  <c r="BL11" i="178"/>
  <c r="AS11" i="178"/>
  <c r="AW11" i="178"/>
  <c r="BA11" i="178"/>
  <c r="BE11" i="178"/>
  <c r="BI11" i="178"/>
  <c r="BN11" i="178"/>
  <c r="BC11" i="178"/>
  <c r="BG11" i="178"/>
  <c r="AU11" i="178"/>
  <c r="AY11" i="178"/>
  <c r="AU6" i="178"/>
  <c r="AY6" i="178"/>
  <c r="BC6" i="178"/>
  <c r="BG6" i="178"/>
  <c r="BL6" i="178"/>
  <c r="AS6" i="178"/>
  <c r="AW6" i="178"/>
  <c r="BA6" i="178"/>
  <c r="BE6" i="178"/>
  <c r="BI6" i="178"/>
  <c r="BN6" i="178"/>
  <c r="BN9" i="178"/>
  <c r="AU9" i="178"/>
  <c r="AY9" i="178"/>
  <c r="BC9" i="178"/>
  <c r="BG9" i="178"/>
  <c r="BL9" i="178"/>
  <c r="BA9" i="178"/>
  <c r="BE9" i="178"/>
  <c r="AS9" i="178"/>
  <c r="BI9" i="178"/>
  <c r="AW9" i="178"/>
  <c r="AS5" i="178"/>
  <c r="AW5" i="178"/>
  <c r="BA5" i="178"/>
  <c r="BE5" i="178"/>
  <c r="BI5" i="178"/>
  <c r="BN5" i="178"/>
  <c r="AU5" i="178"/>
  <c r="AY5" i="178"/>
  <c r="BC5" i="178"/>
  <c r="BG5" i="178"/>
  <c r="BL5" i="178"/>
  <c r="BL4" i="178"/>
  <c r="AS4" i="178"/>
  <c r="AW4" i="178"/>
  <c r="BA4" i="178"/>
  <c r="BE4" i="178"/>
  <c r="BI4" i="178"/>
  <c r="BN4" i="178"/>
  <c r="AY4" i="178"/>
  <c r="BC4" i="178"/>
  <c r="BG4" i="178"/>
  <c r="AU4" i="178"/>
  <c r="AU10" i="178"/>
  <c r="AY10" i="178"/>
  <c r="BC10" i="178"/>
  <c r="BG10" i="178"/>
  <c r="BL10" i="178"/>
  <c r="AS10" i="178"/>
  <c r="AW10" i="178"/>
  <c r="BA10" i="178"/>
  <c r="BE10" i="178"/>
  <c r="BI10" i="178"/>
  <c r="BN10" i="178"/>
  <c r="BN8" i="178"/>
  <c r="AU8" i="178"/>
  <c r="AY8" i="178"/>
  <c r="BC8" i="178"/>
  <c r="BG8" i="178"/>
  <c r="BL8" i="178"/>
  <c r="AW8" i="178"/>
  <c r="BA8" i="178"/>
  <c r="BE8" i="178"/>
  <c r="BI8" i="178"/>
  <c r="AS8" i="178"/>
  <c r="BN279" i="178"/>
  <c r="AU279" i="178"/>
  <c r="AY279" i="178"/>
  <c r="BC279" i="178"/>
  <c r="BG279" i="178"/>
  <c r="BL279" i="178"/>
  <c r="BA279" i="178"/>
  <c r="BE279" i="178"/>
  <c r="AS279" i="178"/>
  <c r="BI279" i="178"/>
  <c r="AW279" i="178"/>
  <c r="AS208" i="178"/>
  <c r="AW208" i="178"/>
  <c r="BA208" i="178"/>
  <c r="BE208" i="178"/>
  <c r="BI208" i="178"/>
  <c r="BN208" i="178"/>
  <c r="AU208" i="178"/>
  <c r="AY208" i="178"/>
  <c r="BC208" i="178"/>
  <c r="BG208" i="178"/>
  <c r="BL208" i="178"/>
  <c r="BL207" i="178"/>
  <c r="AS207" i="178"/>
  <c r="AW207" i="178"/>
  <c r="BA207" i="178"/>
  <c r="BE207" i="178"/>
  <c r="BI207" i="178"/>
  <c r="BN207" i="178"/>
  <c r="AY207" i="178"/>
  <c r="BC207" i="178"/>
  <c r="BG207" i="178"/>
  <c r="AU207" i="178"/>
  <c r="BN147" i="178"/>
  <c r="AU147" i="178"/>
  <c r="AY147" i="178"/>
  <c r="BC147" i="178"/>
  <c r="BG147" i="178"/>
  <c r="BL147" i="178"/>
  <c r="AS147" i="178"/>
  <c r="BI147" i="178"/>
  <c r="AW147" i="178"/>
  <c r="BA147" i="178"/>
  <c r="BE147" i="178"/>
  <c r="AU425" i="178"/>
  <c r="AY425" i="178"/>
  <c r="BC425" i="178"/>
  <c r="BG425" i="178"/>
  <c r="BL425" i="178"/>
  <c r="BN425" i="178"/>
  <c r="AS425" i="178"/>
  <c r="BA425" i="178"/>
  <c r="BI425" i="178"/>
  <c r="AW425" i="178"/>
  <c r="BE425" i="178"/>
  <c r="BN134" i="178"/>
  <c r="AU134" i="178"/>
  <c r="AY134" i="178"/>
  <c r="BC134" i="178"/>
  <c r="BG134" i="178"/>
  <c r="BL134" i="178"/>
  <c r="AS134" i="178"/>
  <c r="BI134" i="178"/>
  <c r="AW134" i="178"/>
  <c r="BA134" i="178"/>
  <c r="BE134" i="178"/>
  <c r="AS434" i="178"/>
  <c r="AW434" i="178"/>
  <c r="BN434" i="178"/>
  <c r="AY434" i="178"/>
  <c r="BC434" i="178"/>
  <c r="BG434" i="178"/>
  <c r="BL434" i="178"/>
  <c r="BI434" i="178"/>
  <c r="AU434" i="178"/>
  <c r="BA434" i="178"/>
  <c r="BE434" i="178"/>
  <c r="U172" i="178"/>
  <c r="V172" i="178"/>
  <c r="U164" i="178"/>
  <c r="V164" i="178"/>
  <c r="U364" i="178"/>
  <c r="V364" i="178"/>
  <c r="U424" i="178"/>
  <c r="V424" i="178"/>
  <c r="U359" i="178"/>
  <c r="V359" i="178"/>
  <c r="U156" i="178"/>
  <c r="V156" i="178"/>
  <c r="V373" i="178"/>
  <c r="V433" i="178"/>
  <c r="V198" i="178"/>
  <c r="V362" i="178"/>
  <c r="V166" i="178"/>
  <c r="V162" i="178"/>
  <c r="V155" i="178"/>
  <c r="V463" i="178"/>
  <c r="U463" i="178"/>
  <c r="V470" i="178"/>
  <c r="U470" i="178"/>
  <c r="U143" i="178"/>
  <c r="V143" i="178"/>
  <c r="V326" i="178"/>
  <c r="U326" i="178"/>
  <c r="V318" i="178"/>
  <c r="U318" i="178"/>
  <c r="V307" i="178"/>
  <c r="U307" i="178"/>
  <c r="V300" i="178"/>
  <c r="U300" i="178"/>
  <c r="V284" i="178"/>
  <c r="U284" i="178"/>
  <c r="V271" i="178"/>
  <c r="U271" i="178"/>
  <c r="V254" i="178"/>
  <c r="U254" i="178"/>
  <c r="V245" i="178"/>
  <c r="U245" i="178"/>
  <c r="V238" i="178"/>
  <c r="U238" i="178"/>
  <c r="V215" i="178"/>
  <c r="U215" i="178"/>
  <c r="U115" i="178"/>
  <c r="V115" i="178"/>
  <c r="U109" i="178"/>
  <c r="V109" i="178"/>
  <c r="U96" i="178"/>
  <c r="V96" i="178"/>
  <c r="U87" i="178"/>
  <c r="V87" i="178"/>
  <c r="U46" i="178"/>
  <c r="V46" i="178"/>
  <c r="U40" i="178"/>
  <c r="V40" i="178"/>
  <c r="U28" i="178"/>
  <c r="V28" i="178"/>
  <c r="U20" i="178"/>
  <c r="V20" i="178"/>
  <c r="U4" i="178"/>
  <c r="V4" i="178"/>
  <c r="U469" i="178"/>
  <c r="U457" i="178"/>
  <c r="U452" i="178"/>
  <c r="U446" i="178"/>
  <c r="U327" i="178"/>
  <c r="U319" i="178"/>
  <c r="U302" i="178"/>
  <c r="U282" i="178"/>
  <c r="U273" i="178"/>
  <c r="U246" i="178"/>
  <c r="U240" i="178"/>
  <c r="U459" i="178"/>
  <c r="U453" i="178"/>
  <c r="U447" i="178"/>
  <c r="U440" i="178"/>
  <c r="V338" i="178"/>
  <c r="U338" i="178"/>
  <c r="V330" i="178"/>
  <c r="U330" i="178"/>
  <c r="V325" i="178"/>
  <c r="U325" i="178"/>
  <c r="V301" i="178"/>
  <c r="U301" i="178"/>
  <c r="V288" i="178"/>
  <c r="U288" i="178"/>
  <c r="V274" i="178"/>
  <c r="U274" i="178"/>
  <c r="V259" i="178"/>
  <c r="U259" i="178"/>
  <c r="V211" i="178"/>
  <c r="U211" i="178"/>
  <c r="V150" i="178"/>
  <c r="U150" i="178"/>
  <c r="U208" i="178"/>
  <c r="V208" i="178"/>
  <c r="U340" i="178"/>
  <c r="U329" i="178"/>
  <c r="U328" i="178"/>
  <c r="U322" i="178"/>
  <c r="U320" i="178"/>
  <c r="U306" i="178"/>
  <c r="U298" i="178"/>
  <c r="U286" i="178"/>
  <c r="U287" i="178"/>
  <c r="U278" i="178"/>
  <c r="U270" i="178"/>
  <c r="U253" i="178"/>
  <c r="U248" i="178"/>
  <c r="U237" i="178"/>
  <c r="U214" i="178"/>
  <c r="U149" i="178"/>
  <c r="U117" i="178"/>
  <c r="V117" i="178"/>
  <c r="U102" i="178"/>
  <c r="V102" i="178"/>
  <c r="U98" i="178"/>
  <c r="V98" i="178"/>
  <c r="U71" i="178"/>
  <c r="V71" i="178"/>
  <c r="U61" i="178"/>
  <c r="V61" i="178"/>
  <c r="U50" i="178"/>
  <c r="V50" i="178"/>
  <c r="U43" i="178"/>
  <c r="V43" i="178"/>
  <c r="U26" i="178"/>
  <c r="V26" i="178"/>
  <c r="U22" i="178"/>
  <c r="V22" i="178"/>
  <c r="U11" i="178"/>
  <c r="V11" i="178"/>
  <c r="V114" i="178"/>
  <c r="V116" i="178"/>
  <c r="V105" i="178"/>
  <c r="V108" i="178"/>
  <c r="V95" i="178"/>
  <c r="V97" i="178"/>
  <c r="V86" i="178"/>
  <c r="V63" i="178"/>
  <c r="V51" i="178"/>
  <c r="V39" i="178"/>
  <c r="V31" i="178"/>
  <c r="V23" i="178"/>
  <c r="V18" i="178"/>
  <c r="V6" i="178"/>
  <c r="V10" i="178"/>
  <c r="V207" i="178"/>
  <c r="U134" i="178"/>
  <c r="AT141" i="178"/>
  <c r="BL343" i="178"/>
  <c r="BI180" i="178"/>
  <c r="BI183" i="178"/>
  <c r="BI216" i="178"/>
  <c r="BI179" i="178"/>
  <c r="BI182" i="178"/>
  <c r="BI221" i="178"/>
  <c r="BI224" i="178"/>
  <c r="BI236" i="178"/>
  <c r="BI219" i="178"/>
  <c r="BI206" i="178"/>
  <c r="BI223" i="178"/>
  <c r="BH292" i="178"/>
  <c r="BJ141" i="178"/>
  <c r="BI178" i="178"/>
  <c r="BF141" i="178"/>
  <c r="BI176" i="178"/>
  <c r="BI181" i="178"/>
  <c r="BI220" i="178"/>
  <c r="BI213" i="178"/>
  <c r="BI222" i="178"/>
  <c r="BI239" i="178"/>
  <c r="U468" i="178"/>
  <c r="V472" i="178"/>
  <c r="BH139" i="178"/>
  <c r="BK178" i="178"/>
  <c r="BK181" i="178"/>
  <c r="BK183" i="178"/>
  <c r="BK206" i="178"/>
  <c r="BK222" i="178"/>
  <c r="BK236" i="178"/>
  <c r="V370" i="178"/>
  <c r="BK182" i="178"/>
  <c r="BK220" i="178"/>
  <c r="BK219" i="178"/>
  <c r="BK213" i="178"/>
  <c r="BK224" i="178"/>
  <c r="BK239" i="178"/>
  <c r="BM176" i="178"/>
  <c r="BM179" i="178"/>
  <c r="BM181" i="178"/>
  <c r="BM183" i="178"/>
  <c r="BM213" i="178"/>
  <c r="BM221" i="178"/>
  <c r="BJ169" i="178"/>
  <c r="BK176" i="178"/>
  <c r="BK179" i="178"/>
  <c r="BK180" i="178"/>
  <c r="BK216" i="178"/>
  <c r="BK221" i="178"/>
  <c r="BK223" i="178"/>
  <c r="BH304" i="178"/>
  <c r="BM178" i="178"/>
  <c r="BM180" i="178"/>
  <c r="BM182" i="178"/>
  <c r="BM220" i="178"/>
  <c r="BM216" i="178"/>
  <c r="BM206" i="178"/>
  <c r="AX297" i="178"/>
  <c r="BF297" i="178"/>
  <c r="BM297" i="178"/>
  <c r="U304" i="178"/>
  <c r="BJ168" i="178"/>
  <c r="BJ212" i="178"/>
  <c r="BH295" i="178"/>
  <c r="BA316" i="178"/>
  <c r="BJ184" i="178"/>
  <c r="BJ153" i="178"/>
  <c r="BH297" i="178"/>
  <c r="BK472" i="178"/>
  <c r="BK160" i="178"/>
  <c r="V100" i="178"/>
  <c r="AT297" i="178"/>
  <c r="BJ297" i="178"/>
  <c r="BH309" i="178"/>
  <c r="BH341" i="178"/>
  <c r="BH439" i="178"/>
  <c r="BM140" i="178"/>
  <c r="S297" i="178"/>
  <c r="BA297" i="178" s="1"/>
  <c r="BK297" i="178"/>
  <c r="BM342" i="178"/>
  <c r="V352" i="178"/>
  <c r="V353" i="178"/>
  <c r="BK458" i="178"/>
  <c r="BK461" i="178"/>
  <c r="V118" i="178"/>
  <c r="V153" i="178"/>
  <c r="V184" i="178"/>
  <c r="V212" i="178"/>
  <c r="V168" i="178"/>
  <c r="V169" i="178"/>
  <c r="AY176" i="178"/>
  <c r="BG176" i="178"/>
  <c r="AY178" i="178"/>
  <c r="BG178" i="178"/>
  <c r="AY179" i="178"/>
  <c r="BG179" i="178"/>
  <c r="AY180" i="178"/>
  <c r="BG180" i="178"/>
  <c r="AY181" i="178"/>
  <c r="BG181" i="178"/>
  <c r="AY182" i="178"/>
  <c r="BG182" i="178"/>
  <c r="AY183" i="178"/>
  <c r="BG183" i="178"/>
  <c r="AY220" i="178"/>
  <c r="BG220" i="178"/>
  <c r="AY219" i="178"/>
  <c r="BG219" i="178"/>
  <c r="BM219" i="178"/>
  <c r="AY216" i="178"/>
  <c r="BG216" i="178"/>
  <c r="AY213" i="178"/>
  <c r="BG213" i="178"/>
  <c r="AY206" i="178"/>
  <c r="BG206" i="178"/>
  <c r="AY221" i="178"/>
  <c r="BG221" i="178"/>
  <c r="AY222" i="178"/>
  <c r="BG222" i="178"/>
  <c r="BM222" i="178"/>
  <c r="AY223" i="178"/>
  <c r="BG223" i="178"/>
  <c r="BM223" i="178"/>
  <c r="AY224" i="178"/>
  <c r="BG224" i="178"/>
  <c r="BM224" i="178"/>
  <c r="AY236" i="178"/>
  <c r="BG236" i="178"/>
  <c r="BM236" i="178"/>
  <c r="AY239" i="178"/>
  <c r="BG239" i="178"/>
  <c r="BM239" i="178"/>
  <c r="AX315" i="178"/>
  <c r="BK316" i="178"/>
  <c r="BH343" i="178"/>
  <c r="BH344" i="178"/>
  <c r="BH346" i="178"/>
  <c r="BH352" i="178"/>
  <c r="BH353" i="178"/>
  <c r="BH354" i="178"/>
  <c r="BH355" i="178"/>
  <c r="U445" i="178"/>
  <c r="U448" i="178"/>
  <c r="U451" i="178"/>
  <c r="U454" i="178"/>
  <c r="V458" i="178"/>
  <c r="U461" i="178"/>
  <c r="BK421" i="178"/>
  <c r="V2" i="178"/>
  <c r="V3" i="178"/>
  <c r="BJ140" i="178"/>
  <c r="BH84" i="178"/>
  <c r="BH85" i="178"/>
  <c r="BH92" i="178"/>
  <c r="BH99" i="178"/>
  <c r="BH100" i="178"/>
  <c r="BH110" i="178"/>
  <c r="BH118" i="178"/>
  <c r="BB141" i="178"/>
  <c r="S84" i="178"/>
  <c r="S85" i="178"/>
  <c r="BI85" i="178" s="1"/>
  <c r="S92" i="178"/>
  <c r="BI92" i="178" s="1"/>
  <c r="S99" i="178"/>
  <c r="BL99" i="178" s="1"/>
  <c r="S110" i="178"/>
  <c r="AT140" i="178"/>
  <c r="BH176" i="178"/>
  <c r="AT176" i="178"/>
  <c r="BB176" i="178"/>
  <c r="BJ176" i="178"/>
  <c r="BH178" i="178"/>
  <c r="AT178" i="178"/>
  <c r="BB178" i="178"/>
  <c r="BJ178" i="178"/>
  <c r="BH179" i="178"/>
  <c r="AT179" i="178"/>
  <c r="BB179" i="178"/>
  <c r="BJ179" i="178"/>
  <c r="BH180" i="178"/>
  <c r="AT180" i="178"/>
  <c r="BB180" i="178"/>
  <c r="BJ180" i="178"/>
  <c r="BH181" i="178"/>
  <c r="AT181" i="178"/>
  <c r="BB181" i="178"/>
  <c r="BJ181" i="178"/>
  <c r="BH182" i="178"/>
  <c r="AT182" i="178"/>
  <c r="BB182" i="178"/>
  <c r="BJ182" i="178"/>
  <c r="BH183" i="178"/>
  <c r="AT183" i="178"/>
  <c r="BB183" i="178"/>
  <c r="BJ183" i="178"/>
  <c r="BH220" i="178"/>
  <c r="AT220" i="178"/>
  <c r="BB220" i="178"/>
  <c r="BJ220" i="178"/>
  <c r="BH219" i="178"/>
  <c r="AT219" i="178"/>
  <c r="BB219" i="178"/>
  <c r="BJ219" i="178"/>
  <c r="BH216" i="178"/>
  <c r="AT216" i="178"/>
  <c r="BB216" i="178"/>
  <c r="BJ216" i="178"/>
  <c r="BH213" i="178"/>
  <c r="AT213" i="178"/>
  <c r="BB213" i="178"/>
  <c r="BJ213" i="178"/>
  <c r="BH206" i="178"/>
  <c r="AT206" i="178"/>
  <c r="BB206" i="178"/>
  <c r="BJ206" i="178"/>
  <c r="BH221" i="178"/>
  <c r="AT221" i="178"/>
  <c r="BB221" i="178"/>
  <c r="BJ221" i="178"/>
  <c r="BH222" i="178"/>
  <c r="AT222" i="178"/>
  <c r="BB222" i="178"/>
  <c r="BJ222" i="178"/>
  <c r="BH223" i="178"/>
  <c r="AT223" i="178"/>
  <c r="BB223" i="178"/>
  <c r="BJ223" i="178"/>
  <c r="BH224" i="178"/>
  <c r="AT224" i="178"/>
  <c r="BB224" i="178"/>
  <c r="BJ224" i="178"/>
  <c r="BH236" i="178"/>
  <c r="AT236" i="178"/>
  <c r="BB236" i="178"/>
  <c r="BJ236" i="178"/>
  <c r="BH239" i="178"/>
  <c r="AT239" i="178"/>
  <c r="BB239" i="178"/>
  <c r="BJ239" i="178"/>
  <c r="U297" i="178"/>
  <c r="S304" i="178"/>
  <c r="BL304" i="178" s="1"/>
  <c r="AT304" i="178"/>
  <c r="BJ304" i="178"/>
  <c r="U309" i="178"/>
  <c r="BF316" i="178"/>
  <c r="S352" i="178"/>
  <c r="BL352" i="178" s="1"/>
  <c r="V354" i="178"/>
  <c r="BK304" i="178"/>
  <c r="AS316" i="178"/>
  <c r="BI316" i="178"/>
  <c r="BH342" i="178"/>
  <c r="V346" i="178"/>
  <c r="S353" i="178"/>
  <c r="BL353" i="178" s="1"/>
  <c r="V355" i="178"/>
  <c r="AX304" i="178"/>
  <c r="BF304" i="178"/>
  <c r="BM304" i="178"/>
  <c r="BL354" i="178"/>
  <c r="BM264" i="178"/>
  <c r="BM395" i="178"/>
  <c r="BH258" i="178"/>
  <c r="BH160" i="178"/>
  <c r="BH421" i="178"/>
  <c r="AT421" i="178"/>
  <c r="BB421" i="178"/>
  <c r="BJ421" i="178"/>
  <c r="BG421" i="178"/>
  <c r="BM100" i="178"/>
  <c r="BM118" i="178"/>
  <c r="V84" i="178"/>
  <c r="V92" i="178"/>
  <c r="V99" i="178"/>
  <c r="S100" i="178"/>
  <c r="BL100" i="178" s="1"/>
  <c r="V110" i="178"/>
  <c r="S118" i="178"/>
  <c r="BI118" i="178" s="1"/>
  <c r="AX140" i="178"/>
  <c r="U176" i="178"/>
  <c r="U178" i="178"/>
  <c r="U179" i="178"/>
  <c r="U180" i="178"/>
  <c r="U181" i="178"/>
  <c r="U182" i="178"/>
  <c r="U183" i="178"/>
  <c r="U220" i="178"/>
  <c r="U219" i="178"/>
  <c r="U216" i="178"/>
  <c r="U213" i="178"/>
  <c r="U206" i="178"/>
  <c r="U221" i="178"/>
  <c r="U222" i="178"/>
  <c r="U223" i="178"/>
  <c r="U224" i="178"/>
  <c r="U236" i="178"/>
  <c r="U239" i="178"/>
  <c r="S292" i="178"/>
  <c r="BG292" i="178" s="1"/>
  <c r="AT292" i="178"/>
  <c r="BB292" i="178"/>
  <c r="BJ292" i="178"/>
  <c r="S295" i="178"/>
  <c r="AT295" i="178"/>
  <c r="BB295" i="178"/>
  <c r="BJ295" i="178"/>
  <c r="AX309" i="178"/>
  <c r="BH315" i="178"/>
  <c r="BF315" i="178"/>
  <c r="S315" i="178"/>
  <c r="BC315" i="178" s="1"/>
  <c r="BM315" i="178"/>
  <c r="BM2" i="178"/>
  <c r="BH3" i="178"/>
  <c r="V85" i="178"/>
  <c r="BM84" i="178"/>
  <c r="BM85" i="178"/>
  <c r="BM92" i="178"/>
  <c r="BM99" i="178"/>
  <c r="BM110" i="178"/>
  <c r="BB140" i="178"/>
  <c r="BM141" i="178"/>
  <c r="AX141" i="178"/>
  <c r="AU176" i="178"/>
  <c r="AU178" i="178"/>
  <c r="AU179" i="178"/>
  <c r="AU180" i="178"/>
  <c r="AU181" i="178"/>
  <c r="AU182" i="178"/>
  <c r="AU183" i="178"/>
  <c r="AU220" i="178"/>
  <c r="AU219" i="178"/>
  <c r="AU216" i="178"/>
  <c r="AU213" i="178"/>
  <c r="AU206" i="178"/>
  <c r="AU221" i="178"/>
  <c r="AU222" i="178"/>
  <c r="AU223" i="178"/>
  <c r="AU224" i="178"/>
  <c r="AU236" i="178"/>
  <c r="AU239" i="178"/>
  <c r="BK292" i="178"/>
  <c r="BK295" i="178"/>
  <c r="S309" i="178"/>
  <c r="BL309" i="178" s="1"/>
  <c r="AT309" i="178"/>
  <c r="BB309" i="178"/>
  <c r="BJ309" i="178"/>
  <c r="BF309" i="178"/>
  <c r="BF140" i="178"/>
  <c r="BC176" i="178"/>
  <c r="BC178" i="178"/>
  <c r="BC179" i="178"/>
  <c r="BC180" i="178"/>
  <c r="BC181" i="178"/>
  <c r="BC182" i="178"/>
  <c r="BC183" i="178"/>
  <c r="BC220" i="178"/>
  <c r="BC219" i="178"/>
  <c r="BC216" i="178"/>
  <c r="BC213" i="178"/>
  <c r="BC206" i="178"/>
  <c r="BC221" i="178"/>
  <c r="BC222" i="178"/>
  <c r="BC223" i="178"/>
  <c r="BC224" i="178"/>
  <c r="BC236" i="178"/>
  <c r="BC239" i="178"/>
  <c r="U292" i="178"/>
  <c r="BM292" i="178"/>
  <c r="U295" i="178"/>
  <c r="BM295" i="178"/>
  <c r="BB297" i="178"/>
  <c r="BB304" i="178"/>
  <c r="BK309" i="178"/>
  <c r="BM309" i="178"/>
  <c r="BK315" i="178"/>
  <c r="AW316" i="178"/>
  <c r="BE316" i="178"/>
  <c r="AX342" i="178"/>
  <c r="BM344" i="178"/>
  <c r="BL346" i="178"/>
  <c r="BL355" i="178"/>
  <c r="BK445" i="178"/>
  <c r="BK448" i="178"/>
  <c r="BK451" i="178"/>
  <c r="BK454" i="178"/>
  <c r="V464" i="178"/>
  <c r="BK468" i="178"/>
  <c r="V481" i="178"/>
  <c r="AX341" i="178"/>
  <c r="AT342" i="178"/>
  <c r="BB342" i="178"/>
  <c r="BJ342" i="178"/>
  <c r="BF342" i="178"/>
  <c r="BM352" i="178"/>
  <c r="BM354" i="178"/>
  <c r="V439" i="178"/>
  <c r="BK464" i="178"/>
  <c r="BK481" i="178"/>
  <c r="AT341" i="178"/>
  <c r="BB341" i="178"/>
  <c r="BJ341" i="178"/>
  <c r="BF341" i="178"/>
  <c r="BM439" i="178"/>
  <c r="AT315" i="178"/>
  <c r="BB315" i="178"/>
  <c r="BJ315" i="178"/>
  <c r="BH316" i="178"/>
  <c r="AT316" i="178"/>
  <c r="BB316" i="178"/>
  <c r="BJ316" i="178"/>
  <c r="AX316" i="178"/>
  <c r="BM316" i="178"/>
  <c r="S341" i="178"/>
  <c r="AU341" i="178" s="1"/>
  <c r="BM341" i="178"/>
  <c r="BM343" i="178"/>
  <c r="BM346" i="178"/>
  <c r="BM353" i="178"/>
  <c r="BM355" i="178"/>
  <c r="S439" i="178"/>
  <c r="BI439" i="178" s="1"/>
  <c r="BK258" i="178"/>
  <c r="AU160" i="178"/>
  <c r="BB160" i="178"/>
  <c r="AY160" i="178"/>
  <c r="BG160" i="178"/>
  <c r="BM160" i="178"/>
  <c r="BC160" i="178"/>
  <c r="AT160" i="178"/>
  <c r="BJ160" i="178"/>
  <c r="BE421" i="178"/>
  <c r="AX421" i="178"/>
  <c r="BF421" i="178"/>
  <c r="BM421" i="178"/>
  <c r="AW421" i="178"/>
  <c r="BM370" i="178"/>
  <c r="S139" i="178"/>
  <c r="BC139" i="178" s="1"/>
  <c r="AT139" i="178"/>
  <c r="BB139" i="178"/>
  <c r="BJ139" i="178"/>
  <c r="BM139" i="178"/>
  <c r="U139" i="178"/>
  <c r="AX139" i="178"/>
  <c r="BF139" i="178"/>
  <c r="BK139" i="178"/>
  <c r="BM3" i="178"/>
  <c r="AV2" i="178"/>
  <c r="BD2" i="178"/>
  <c r="S3" i="178"/>
  <c r="AR3" i="178"/>
  <c r="AZ3" i="178"/>
  <c r="BK3" i="178"/>
  <c r="BJ3" i="178"/>
  <c r="BF3" i="178"/>
  <c r="BB3" i="178"/>
  <c r="AX3" i="178"/>
  <c r="AT3" i="178"/>
  <c r="Q484" i="178"/>
  <c r="BK2" i="178"/>
  <c r="BJ2" i="178"/>
  <c r="BF2" i="178"/>
  <c r="BB2" i="178"/>
  <c r="AX2" i="178"/>
  <c r="AT2" i="178"/>
  <c r="S2" i="178"/>
  <c r="AR2" i="178"/>
  <c r="AZ2" i="178"/>
  <c r="BH2" i="178"/>
  <c r="AV3" i="178"/>
  <c r="BD3" i="178"/>
  <c r="U140" i="178"/>
  <c r="BK140" i="178"/>
  <c r="U141" i="178"/>
  <c r="BK141" i="178"/>
  <c r="BK153" i="178"/>
  <c r="BK184" i="178"/>
  <c r="BK212" i="178"/>
  <c r="BK168" i="178"/>
  <c r="BK169" i="178"/>
  <c r="AX176" i="178"/>
  <c r="BF176" i="178"/>
  <c r="BN176" i="178"/>
  <c r="AX178" i="178"/>
  <c r="BF178" i="178"/>
  <c r="BN178" i="178"/>
  <c r="AX179" i="178"/>
  <c r="BF179" i="178"/>
  <c r="BN179" i="178"/>
  <c r="AX180" i="178"/>
  <c r="BF180" i="178"/>
  <c r="BN180" i="178"/>
  <c r="AX181" i="178"/>
  <c r="BF181" i="178"/>
  <c r="BN181" i="178"/>
  <c r="AX182" i="178"/>
  <c r="BF182" i="178"/>
  <c r="BN182" i="178"/>
  <c r="AX183" i="178"/>
  <c r="BF183" i="178"/>
  <c r="BN183" i="178"/>
  <c r="AX220" i="178"/>
  <c r="BF220" i="178"/>
  <c r="BN220" i="178"/>
  <c r="AX219" i="178"/>
  <c r="BF219" i="178"/>
  <c r="BN219" i="178"/>
  <c r="AX216" i="178"/>
  <c r="BF216" i="178"/>
  <c r="BN216" i="178"/>
  <c r="AX213" i="178"/>
  <c r="BF213" i="178"/>
  <c r="BN213" i="178"/>
  <c r="AX206" i="178"/>
  <c r="BF206" i="178"/>
  <c r="BN206" i="178"/>
  <c r="AX221" i="178"/>
  <c r="BF221" i="178"/>
  <c r="BN221" i="178"/>
  <c r="AX222" i="178"/>
  <c r="BF222" i="178"/>
  <c r="BN222" i="178"/>
  <c r="AX223" i="178"/>
  <c r="BF223" i="178"/>
  <c r="BN223" i="178"/>
  <c r="AX224" i="178"/>
  <c r="BF224" i="178"/>
  <c r="BN224" i="178"/>
  <c r="AX236" i="178"/>
  <c r="BF236" i="178"/>
  <c r="BN236" i="178"/>
  <c r="AX239" i="178"/>
  <c r="BF239" i="178"/>
  <c r="BN239" i="178"/>
  <c r="AX292" i="178"/>
  <c r="BF292" i="178"/>
  <c r="AX295" i="178"/>
  <c r="BF295" i="178"/>
  <c r="V315" i="178"/>
  <c r="U315" i="178"/>
  <c r="BL316" i="178"/>
  <c r="BG316" i="178"/>
  <c r="BC316" i="178"/>
  <c r="AY316" i="178"/>
  <c r="AU316" i="178"/>
  <c r="BB84" i="178"/>
  <c r="BJ84" i="178"/>
  <c r="AT99" i="178"/>
  <c r="AX99" i="178"/>
  <c r="BB99" i="178"/>
  <c r="BF99" i="178"/>
  <c r="BJ99" i="178"/>
  <c r="AX100" i="178"/>
  <c r="BB100" i="178"/>
  <c r="BF100" i="178"/>
  <c r="BJ100" i="178"/>
  <c r="AT118" i="178"/>
  <c r="AX118" i="178"/>
  <c r="BB118" i="178"/>
  <c r="BF118" i="178"/>
  <c r="BJ118" i="178"/>
  <c r="AR140" i="178"/>
  <c r="AV140" i="178"/>
  <c r="AZ140" i="178"/>
  <c r="BD140" i="178"/>
  <c r="BH140" i="178"/>
  <c r="AR184" i="178"/>
  <c r="AV184" i="178"/>
  <c r="AZ184" i="178"/>
  <c r="BD184" i="178"/>
  <c r="BH184" i="178"/>
  <c r="AR212" i="178"/>
  <c r="AV212" i="178"/>
  <c r="AZ212" i="178"/>
  <c r="BD212" i="178"/>
  <c r="BH212" i="178"/>
  <c r="AR168" i="178"/>
  <c r="AV168" i="178"/>
  <c r="AZ168" i="178"/>
  <c r="BD168" i="178"/>
  <c r="BH168" i="178"/>
  <c r="AR169" i="178"/>
  <c r="AV169" i="178"/>
  <c r="AZ169" i="178"/>
  <c r="BD169" i="178"/>
  <c r="BH169" i="178"/>
  <c r="V316" i="178"/>
  <c r="U316" i="178"/>
  <c r="AT84" i="178"/>
  <c r="AX84" i="178"/>
  <c r="BF84" i="178"/>
  <c r="AT85" i="178"/>
  <c r="AX85" i="178"/>
  <c r="BB85" i="178"/>
  <c r="BF85" i="178"/>
  <c r="BJ85" i="178"/>
  <c r="AT92" i="178"/>
  <c r="AX92" i="178"/>
  <c r="BB92" i="178"/>
  <c r="BF92" i="178"/>
  <c r="BJ92" i="178"/>
  <c r="AT100" i="178"/>
  <c r="AT110" i="178"/>
  <c r="AX110" i="178"/>
  <c r="BB110" i="178"/>
  <c r="BF110" i="178"/>
  <c r="BJ110" i="178"/>
  <c r="AR141" i="178"/>
  <c r="AV141" i="178"/>
  <c r="AZ141" i="178"/>
  <c r="BD141" i="178"/>
  <c r="BH141" i="178"/>
  <c r="AR153" i="178"/>
  <c r="AV153" i="178"/>
  <c r="AZ153" i="178"/>
  <c r="BD153" i="178"/>
  <c r="BH153" i="178"/>
  <c r="BK84" i="178"/>
  <c r="BK85" i="178"/>
  <c r="BK92" i="178"/>
  <c r="BK99" i="178"/>
  <c r="BK100" i="178"/>
  <c r="BK110" i="178"/>
  <c r="BK118" i="178"/>
  <c r="S140" i="178"/>
  <c r="S141" i="178"/>
  <c r="S153" i="178"/>
  <c r="BM153" i="178"/>
  <c r="S184" i="178"/>
  <c r="BM184" i="178"/>
  <c r="S212" i="178"/>
  <c r="BM212" i="178"/>
  <c r="S168" i="178"/>
  <c r="BM168" i="178"/>
  <c r="S169" i="178"/>
  <c r="BM169" i="178"/>
  <c r="AR176" i="178"/>
  <c r="AV176" i="178"/>
  <c r="AZ176" i="178"/>
  <c r="BD176" i="178"/>
  <c r="BL176" i="178"/>
  <c r="AR178" i="178"/>
  <c r="AV178" i="178"/>
  <c r="AZ178" i="178"/>
  <c r="BD178" i="178"/>
  <c r="BL178" i="178"/>
  <c r="AR179" i="178"/>
  <c r="AV179" i="178"/>
  <c r="AZ179" i="178"/>
  <c r="BD179" i="178"/>
  <c r="BL179" i="178"/>
  <c r="AR180" i="178"/>
  <c r="AV180" i="178"/>
  <c r="AZ180" i="178"/>
  <c r="BD180" i="178"/>
  <c r="BL180" i="178"/>
  <c r="AR181" i="178"/>
  <c r="AV181" i="178"/>
  <c r="AZ181" i="178"/>
  <c r="BD181" i="178"/>
  <c r="BL181" i="178"/>
  <c r="AR182" i="178"/>
  <c r="AV182" i="178"/>
  <c r="AZ182" i="178"/>
  <c r="BD182" i="178"/>
  <c r="BL182" i="178"/>
  <c r="AR183" i="178"/>
  <c r="AV183" i="178"/>
  <c r="AZ183" i="178"/>
  <c r="BD183" i="178"/>
  <c r="BL183" i="178"/>
  <c r="AR220" i="178"/>
  <c r="AV220" i="178"/>
  <c r="AZ220" i="178"/>
  <c r="BD220" i="178"/>
  <c r="BL220" i="178"/>
  <c r="AR219" i="178"/>
  <c r="AV219" i="178"/>
  <c r="AZ219" i="178"/>
  <c r="BD219" i="178"/>
  <c r="BL219" i="178"/>
  <c r="AR216" i="178"/>
  <c r="AV216" i="178"/>
  <c r="AZ216" i="178"/>
  <c r="BD216" i="178"/>
  <c r="BL216" i="178"/>
  <c r="AR213" i="178"/>
  <c r="AV213" i="178"/>
  <c r="AZ213" i="178"/>
  <c r="BD213" i="178"/>
  <c r="BL213" i="178"/>
  <c r="AR206" i="178"/>
  <c r="AV206" i="178"/>
  <c r="AZ206" i="178"/>
  <c r="BD206" i="178"/>
  <c r="BL206" i="178"/>
  <c r="AR221" i="178"/>
  <c r="AV221" i="178"/>
  <c r="AZ221" i="178"/>
  <c r="BD221" i="178"/>
  <c r="BL221" i="178"/>
  <c r="AR222" i="178"/>
  <c r="AV222" i="178"/>
  <c r="AZ222" i="178"/>
  <c r="BD222" i="178"/>
  <c r="BL222" i="178"/>
  <c r="AR223" i="178"/>
  <c r="AV223" i="178"/>
  <c r="AZ223" i="178"/>
  <c r="BD223" i="178"/>
  <c r="BL223" i="178"/>
  <c r="AR224" i="178"/>
  <c r="AV224" i="178"/>
  <c r="AZ224" i="178"/>
  <c r="BD224" i="178"/>
  <c r="BL224" i="178"/>
  <c r="AR236" i="178"/>
  <c r="AV236" i="178"/>
  <c r="AZ236" i="178"/>
  <c r="BD236" i="178"/>
  <c r="BL236" i="178"/>
  <c r="AR239" i="178"/>
  <c r="AV239" i="178"/>
  <c r="AZ239" i="178"/>
  <c r="BD239" i="178"/>
  <c r="BL239" i="178"/>
  <c r="AR292" i="178"/>
  <c r="AV292" i="178"/>
  <c r="AZ292" i="178"/>
  <c r="BD292" i="178"/>
  <c r="AR295" i="178"/>
  <c r="AV295" i="178"/>
  <c r="AZ295" i="178"/>
  <c r="BD295" i="178"/>
  <c r="BN316" i="178"/>
  <c r="S225" i="178"/>
  <c r="BM36" i="178"/>
  <c r="S36" i="178"/>
  <c r="BH36" i="178"/>
  <c r="BD36" i="178"/>
  <c r="AZ36" i="178"/>
  <c r="AV36" i="178"/>
  <c r="AR36" i="178"/>
  <c r="BK36" i="178"/>
  <c r="BJ36" i="178"/>
  <c r="BF36" i="178"/>
  <c r="BB36" i="178"/>
  <c r="AX36" i="178"/>
  <c r="AT36" i="178"/>
  <c r="BJ358" i="178"/>
  <c r="BF358" i="178"/>
  <c r="BB358" i="178"/>
  <c r="AX358" i="178"/>
  <c r="AT358" i="178"/>
  <c r="BM358" i="178"/>
  <c r="S358" i="178"/>
  <c r="BH358" i="178"/>
  <c r="BD358" i="178"/>
  <c r="AZ358" i="178"/>
  <c r="AV358" i="178"/>
  <c r="AR358" i="178"/>
  <c r="BK358" i="178"/>
  <c r="BM397" i="178"/>
  <c r="S397" i="178"/>
  <c r="BH397" i="178"/>
  <c r="BD397" i="178"/>
  <c r="AZ397" i="178"/>
  <c r="AV397" i="178"/>
  <c r="AR397" i="178"/>
  <c r="BK397" i="178"/>
  <c r="BJ397" i="178"/>
  <c r="BF397" i="178"/>
  <c r="BB397" i="178"/>
  <c r="AX397" i="178"/>
  <c r="AT397" i="178"/>
  <c r="BJ45" i="178"/>
  <c r="BF45" i="178"/>
  <c r="BB45" i="178"/>
  <c r="AX45" i="178"/>
  <c r="AT45" i="178"/>
  <c r="BM45" i="178"/>
  <c r="S45" i="178"/>
  <c r="BH45" i="178"/>
  <c r="BD45" i="178"/>
  <c r="AZ45" i="178"/>
  <c r="AV45" i="178"/>
  <c r="AR45" i="178"/>
  <c r="BK45" i="178"/>
  <c r="BJ422" i="178"/>
  <c r="BF422" i="178"/>
  <c r="BB422" i="178"/>
  <c r="AX422" i="178"/>
  <c r="AT422" i="178"/>
  <c r="BM422" i="178"/>
  <c r="S422" i="178"/>
  <c r="BH422" i="178"/>
  <c r="BD422" i="178"/>
  <c r="AZ422" i="178"/>
  <c r="AV422" i="178"/>
  <c r="AR422" i="178"/>
  <c r="BK422" i="178"/>
  <c r="AR84" i="178"/>
  <c r="AV84" i="178"/>
  <c r="AZ84" i="178"/>
  <c r="BD84" i="178"/>
  <c r="AR85" i="178"/>
  <c r="AV85" i="178"/>
  <c r="AZ85" i="178"/>
  <c r="BD85" i="178"/>
  <c r="AR92" i="178"/>
  <c r="AV92" i="178"/>
  <c r="AZ92" i="178"/>
  <c r="BD92" i="178"/>
  <c r="AR99" i="178"/>
  <c r="AV99" i="178"/>
  <c r="AZ99" i="178"/>
  <c r="BD99" i="178"/>
  <c r="AR100" i="178"/>
  <c r="AV100" i="178"/>
  <c r="AZ100" i="178"/>
  <c r="BD100" i="178"/>
  <c r="AR110" i="178"/>
  <c r="AV110" i="178"/>
  <c r="AZ110" i="178"/>
  <c r="BD110" i="178"/>
  <c r="AR118" i="178"/>
  <c r="AV118" i="178"/>
  <c r="AZ118" i="178"/>
  <c r="BD118" i="178"/>
  <c r="AT153" i="178"/>
  <c r="AX153" i="178"/>
  <c r="BB153" i="178"/>
  <c r="BF153" i="178"/>
  <c r="AT184" i="178"/>
  <c r="AX184" i="178"/>
  <c r="BB184" i="178"/>
  <c r="BF184" i="178"/>
  <c r="AT212" i="178"/>
  <c r="AX212" i="178"/>
  <c r="BB212" i="178"/>
  <c r="BF212" i="178"/>
  <c r="AT168" i="178"/>
  <c r="AX168" i="178"/>
  <c r="BB168" i="178"/>
  <c r="BF168" i="178"/>
  <c r="AT169" i="178"/>
  <c r="AX169" i="178"/>
  <c r="BB169" i="178"/>
  <c r="BF169" i="178"/>
  <c r="AS176" i="178"/>
  <c r="AW176" i="178"/>
  <c r="BA176" i="178"/>
  <c r="BE176" i="178"/>
  <c r="AS178" i="178"/>
  <c r="AW178" i="178"/>
  <c r="BA178" i="178"/>
  <c r="BE178" i="178"/>
  <c r="AS179" i="178"/>
  <c r="AW179" i="178"/>
  <c r="BA179" i="178"/>
  <c r="BE179" i="178"/>
  <c r="AS180" i="178"/>
  <c r="AW180" i="178"/>
  <c r="BA180" i="178"/>
  <c r="BE180" i="178"/>
  <c r="AS181" i="178"/>
  <c r="AW181" i="178"/>
  <c r="BA181" i="178"/>
  <c r="BE181" i="178"/>
  <c r="AS182" i="178"/>
  <c r="AW182" i="178"/>
  <c r="BA182" i="178"/>
  <c r="BE182" i="178"/>
  <c r="AS183" i="178"/>
  <c r="AW183" i="178"/>
  <c r="BA183" i="178"/>
  <c r="BE183" i="178"/>
  <c r="AS220" i="178"/>
  <c r="AW220" i="178"/>
  <c r="BA220" i="178"/>
  <c r="BE220" i="178"/>
  <c r="AS219" i="178"/>
  <c r="AW219" i="178"/>
  <c r="BA219" i="178"/>
  <c r="BE219" i="178"/>
  <c r="AS216" i="178"/>
  <c r="AW216" i="178"/>
  <c r="BA216" i="178"/>
  <c r="BE216" i="178"/>
  <c r="AS213" i="178"/>
  <c r="AW213" i="178"/>
  <c r="BA213" i="178"/>
  <c r="BE213" i="178"/>
  <c r="AS206" i="178"/>
  <c r="AW206" i="178"/>
  <c r="BA206" i="178"/>
  <c r="BE206" i="178"/>
  <c r="AS221" i="178"/>
  <c r="AW221" i="178"/>
  <c r="BA221" i="178"/>
  <c r="BE221" i="178"/>
  <c r="AS222" i="178"/>
  <c r="AW222" i="178"/>
  <c r="BA222" i="178"/>
  <c r="BE222" i="178"/>
  <c r="AS223" i="178"/>
  <c r="AW223" i="178"/>
  <c r="BA223" i="178"/>
  <c r="BE223" i="178"/>
  <c r="AS224" i="178"/>
  <c r="AW224" i="178"/>
  <c r="BA224" i="178"/>
  <c r="BE224" i="178"/>
  <c r="AS236" i="178"/>
  <c r="AW236" i="178"/>
  <c r="BA236" i="178"/>
  <c r="BE236" i="178"/>
  <c r="AS239" i="178"/>
  <c r="AW239" i="178"/>
  <c r="BA239" i="178"/>
  <c r="BE239" i="178"/>
  <c r="AS342" i="178"/>
  <c r="AW342" i="178"/>
  <c r="BA342" i="178"/>
  <c r="BE342" i="178"/>
  <c r="BI342" i="178"/>
  <c r="AS343" i="178"/>
  <c r="AW343" i="178"/>
  <c r="BA343" i="178"/>
  <c r="BE343" i="178"/>
  <c r="BI343" i="178"/>
  <c r="AS344" i="178"/>
  <c r="AW344" i="178"/>
  <c r="BA344" i="178"/>
  <c r="BE344" i="178"/>
  <c r="BI344" i="178"/>
  <c r="AS346" i="178"/>
  <c r="AW346" i="178"/>
  <c r="BA346" i="178"/>
  <c r="BE346" i="178"/>
  <c r="BI346" i="178"/>
  <c r="AS354" i="178"/>
  <c r="AW354" i="178"/>
  <c r="BA354" i="178"/>
  <c r="BE354" i="178"/>
  <c r="BI354" i="178"/>
  <c r="AS355" i="178"/>
  <c r="AW355" i="178"/>
  <c r="BA355" i="178"/>
  <c r="BE355" i="178"/>
  <c r="BI355" i="178"/>
  <c r="AR228" i="178"/>
  <c r="AV228" i="178"/>
  <c r="AZ228" i="178"/>
  <c r="BD228" i="178"/>
  <c r="BH228" i="178"/>
  <c r="AR445" i="178"/>
  <c r="AV445" i="178"/>
  <c r="AZ445" i="178"/>
  <c r="BD445" i="178"/>
  <c r="BH445" i="178"/>
  <c r="AR448" i="178"/>
  <c r="AV448" i="178"/>
  <c r="AZ448" i="178"/>
  <c r="BD448" i="178"/>
  <c r="BH448" i="178"/>
  <c r="AR451" i="178"/>
  <c r="AV451" i="178"/>
  <c r="AZ451" i="178"/>
  <c r="BD451" i="178"/>
  <c r="BH451" i="178"/>
  <c r="AR454" i="178"/>
  <c r="AV454" i="178"/>
  <c r="AZ454" i="178"/>
  <c r="BD454" i="178"/>
  <c r="BH454" i="178"/>
  <c r="AR458" i="178"/>
  <c r="AV458" i="178"/>
  <c r="AZ458" i="178"/>
  <c r="BD458" i="178"/>
  <c r="BH458" i="178"/>
  <c r="AR461" i="178"/>
  <c r="AV461" i="178"/>
  <c r="AZ461" i="178"/>
  <c r="BD461" i="178"/>
  <c r="BH461" i="178"/>
  <c r="AR464" i="178"/>
  <c r="AV464" i="178"/>
  <c r="AZ464" i="178"/>
  <c r="BD464" i="178"/>
  <c r="BH464" i="178"/>
  <c r="AR468" i="178"/>
  <c r="AV468" i="178"/>
  <c r="AZ468" i="178"/>
  <c r="BD468" i="178"/>
  <c r="BH468" i="178"/>
  <c r="AR472" i="178"/>
  <c r="AV472" i="178"/>
  <c r="AZ472" i="178"/>
  <c r="BD472" i="178"/>
  <c r="BH472" i="178"/>
  <c r="AR481" i="178"/>
  <c r="AV481" i="178"/>
  <c r="AZ481" i="178"/>
  <c r="BD481" i="178"/>
  <c r="BH481" i="178"/>
  <c r="BN342" i="178"/>
  <c r="AT343" i="178"/>
  <c r="AX343" i="178"/>
  <c r="BB343" i="178"/>
  <c r="BF343" i="178"/>
  <c r="BJ343" i="178"/>
  <c r="BN343" i="178"/>
  <c r="AT344" i="178"/>
  <c r="AX344" i="178"/>
  <c r="BB344" i="178"/>
  <c r="BF344" i="178"/>
  <c r="BJ344" i="178"/>
  <c r="BN344" i="178"/>
  <c r="AT346" i="178"/>
  <c r="AX346" i="178"/>
  <c r="BB346" i="178"/>
  <c r="BF346" i="178"/>
  <c r="BJ346" i="178"/>
  <c r="BN346" i="178"/>
  <c r="AT352" i="178"/>
  <c r="AX352" i="178"/>
  <c r="BB352" i="178"/>
  <c r="BF352" i="178"/>
  <c r="BJ352" i="178"/>
  <c r="AT353" i="178"/>
  <c r="AX353" i="178"/>
  <c r="BB353" i="178"/>
  <c r="BF353" i="178"/>
  <c r="BJ353" i="178"/>
  <c r="AT354" i="178"/>
  <c r="AX354" i="178"/>
  <c r="BB354" i="178"/>
  <c r="BF354" i="178"/>
  <c r="BJ354" i="178"/>
  <c r="BN354" i="178"/>
  <c r="AT355" i="178"/>
  <c r="AX355" i="178"/>
  <c r="BB355" i="178"/>
  <c r="BF355" i="178"/>
  <c r="BJ355" i="178"/>
  <c r="BN355" i="178"/>
  <c r="S228" i="178"/>
  <c r="BM228" i="178"/>
  <c r="AT439" i="178"/>
  <c r="AX439" i="178"/>
  <c r="BB439" i="178"/>
  <c r="BF439" i="178"/>
  <c r="BJ439" i="178"/>
  <c r="S445" i="178"/>
  <c r="BM445" i="178"/>
  <c r="S448" i="178"/>
  <c r="BM448" i="178"/>
  <c r="S451" i="178"/>
  <c r="BM451" i="178"/>
  <c r="S454" i="178"/>
  <c r="BM454" i="178"/>
  <c r="S458" i="178"/>
  <c r="BM458" i="178"/>
  <c r="S461" i="178"/>
  <c r="BM461" i="178"/>
  <c r="S464" i="178"/>
  <c r="BM464" i="178"/>
  <c r="S468" i="178"/>
  <c r="BM468" i="178"/>
  <c r="S472" i="178"/>
  <c r="BM472" i="178"/>
  <c r="S481" i="178"/>
  <c r="BM481" i="178"/>
  <c r="U341" i="178"/>
  <c r="BK341" i="178"/>
  <c r="U342" i="178"/>
  <c r="AU342" i="178"/>
  <c r="AY342" i="178"/>
  <c r="BC342" i="178"/>
  <c r="BG342" i="178"/>
  <c r="BK342" i="178"/>
  <c r="U343" i="178"/>
  <c r="AU343" i="178"/>
  <c r="AY343" i="178"/>
  <c r="BC343" i="178"/>
  <c r="BG343" i="178"/>
  <c r="BK343" i="178"/>
  <c r="U344" i="178"/>
  <c r="AU344" i="178"/>
  <c r="AY344" i="178"/>
  <c r="BC344" i="178"/>
  <c r="BG344" i="178"/>
  <c r="BK344" i="178"/>
  <c r="AU346" i="178"/>
  <c r="AY346" i="178"/>
  <c r="BC346" i="178"/>
  <c r="BG346" i="178"/>
  <c r="BK346" i="178"/>
  <c r="BK352" i="178"/>
  <c r="BK353" i="178"/>
  <c r="AU354" i="178"/>
  <c r="AY354" i="178"/>
  <c r="BC354" i="178"/>
  <c r="BG354" i="178"/>
  <c r="BK354" i="178"/>
  <c r="AU355" i="178"/>
  <c r="AY355" i="178"/>
  <c r="BC355" i="178"/>
  <c r="BG355" i="178"/>
  <c r="BK355" i="178"/>
  <c r="AT228" i="178"/>
  <c r="AX228" i="178"/>
  <c r="BB228" i="178"/>
  <c r="BF228" i="178"/>
  <c r="BJ228" i="178"/>
  <c r="BK439" i="178"/>
  <c r="AT445" i="178"/>
  <c r="AX445" i="178"/>
  <c r="BB445" i="178"/>
  <c r="BF445" i="178"/>
  <c r="BJ445" i="178"/>
  <c r="AT448" i="178"/>
  <c r="AX448" i="178"/>
  <c r="BB448" i="178"/>
  <c r="BF448" i="178"/>
  <c r="BJ448" i="178"/>
  <c r="AT451" i="178"/>
  <c r="AX451" i="178"/>
  <c r="BB451" i="178"/>
  <c r="BF451" i="178"/>
  <c r="BJ451" i="178"/>
  <c r="AT454" i="178"/>
  <c r="AX454" i="178"/>
  <c r="BB454" i="178"/>
  <c r="BF454" i="178"/>
  <c r="BJ454" i="178"/>
  <c r="AT458" i="178"/>
  <c r="AX458" i="178"/>
  <c r="BB458" i="178"/>
  <c r="BF458" i="178"/>
  <c r="BJ458" i="178"/>
  <c r="AT461" i="178"/>
  <c r="AX461" i="178"/>
  <c r="BB461" i="178"/>
  <c r="BF461" i="178"/>
  <c r="BJ461" i="178"/>
  <c r="AT464" i="178"/>
  <c r="AX464" i="178"/>
  <c r="BB464" i="178"/>
  <c r="BF464" i="178"/>
  <c r="BJ464" i="178"/>
  <c r="AT468" i="178"/>
  <c r="AX468" i="178"/>
  <c r="BB468" i="178"/>
  <c r="BF468" i="178"/>
  <c r="BJ468" i="178"/>
  <c r="AT472" i="178"/>
  <c r="AX472" i="178"/>
  <c r="BB472" i="178"/>
  <c r="BF472" i="178"/>
  <c r="BJ472" i="178"/>
  <c r="AT481" i="178"/>
  <c r="AX481" i="178"/>
  <c r="BB481" i="178"/>
  <c r="BF481" i="178"/>
  <c r="BJ481" i="178"/>
  <c r="AR297" i="178"/>
  <c r="AV297" i="178"/>
  <c r="AZ297" i="178"/>
  <c r="BD297" i="178"/>
  <c r="AR304" i="178"/>
  <c r="AV304" i="178"/>
  <c r="AZ304" i="178"/>
  <c r="BD304" i="178"/>
  <c r="AR309" i="178"/>
  <c r="AV309" i="178"/>
  <c r="AZ309" i="178"/>
  <c r="BD309" i="178"/>
  <c r="AR315" i="178"/>
  <c r="AV315" i="178"/>
  <c r="AZ315" i="178"/>
  <c r="BD315" i="178"/>
  <c r="AR316" i="178"/>
  <c r="AV316" i="178"/>
  <c r="AZ316" i="178"/>
  <c r="BD316" i="178"/>
  <c r="AR341" i="178"/>
  <c r="AV341" i="178"/>
  <c r="AZ341" i="178"/>
  <c r="BD341" i="178"/>
  <c r="AR342" i="178"/>
  <c r="AV342" i="178"/>
  <c r="AZ342" i="178"/>
  <c r="BD342" i="178"/>
  <c r="AR343" i="178"/>
  <c r="AV343" i="178"/>
  <c r="AZ343" i="178"/>
  <c r="BD343" i="178"/>
  <c r="AR344" i="178"/>
  <c r="AV344" i="178"/>
  <c r="AZ344" i="178"/>
  <c r="BD344" i="178"/>
  <c r="AR346" i="178"/>
  <c r="AV346" i="178"/>
  <c r="AZ346" i="178"/>
  <c r="BD346" i="178"/>
  <c r="AR352" i="178"/>
  <c r="AV352" i="178"/>
  <c r="AZ352" i="178"/>
  <c r="BD352" i="178"/>
  <c r="AR353" i="178"/>
  <c r="AV353" i="178"/>
  <c r="AZ353" i="178"/>
  <c r="BD353" i="178"/>
  <c r="AR354" i="178"/>
  <c r="AV354" i="178"/>
  <c r="AZ354" i="178"/>
  <c r="BD354" i="178"/>
  <c r="AR355" i="178"/>
  <c r="AV355" i="178"/>
  <c r="AZ355" i="178"/>
  <c r="BD355" i="178"/>
  <c r="AR439" i="178"/>
  <c r="AV439" i="178"/>
  <c r="AZ439" i="178"/>
  <c r="BD439" i="178"/>
  <c r="BK261" i="178"/>
  <c r="BJ261" i="178"/>
  <c r="BF261" i="178"/>
  <c r="BB261" i="178"/>
  <c r="AX261" i="178"/>
  <c r="AT261" i="178"/>
  <c r="BM261" i="178"/>
  <c r="S261" i="178"/>
  <c r="BH261" i="178"/>
  <c r="BD261" i="178"/>
  <c r="AZ261" i="178"/>
  <c r="AV261" i="178"/>
  <c r="AR261" i="178"/>
  <c r="BK158" i="178"/>
  <c r="BJ158" i="178"/>
  <c r="BF158" i="178"/>
  <c r="BB158" i="178"/>
  <c r="AX158" i="178"/>
  <c r="AT158" i="178"/>
  <c r="BM158" i="178"/>
  <c r="S158" i="178"/>
  <c r="BH158" i="178"/>
  <c r="BD158" i="178"/>
  <c r="AZ158" i="178"/>
  <c r="AV158" i="178"/>
  <c r="AR158" i="178"/>
  <c r="S258" i="178"/>
  <c r="BM258" i="178"/>
  <c r="AT264" i="178"/>
  <c r="AX264" i="178"/>
  <c r="BB264" i="178"/>
  <c r="BF264" i="178"/>
  <c r="BJ264" i="178"/>
  <c r="AT395" i="178"/>
  <c r="AX395" i="178"/>
  <c r="BB395" i="178"/>
  <c r="BF395" i="178"/>
  <c r="BJ395" i="178"/>
  <c r="AT258" i="178"/>
  <c r="AX258" i="178"/>
  <c r="BB258" i="178"/>
  <c r="BF258" i="178"/>
  <c r="BJ258" i="178"/>
  <c r="BK264" i="178"/>
  <c r="BK395" i="178"/>
  <c r="AR264" i="178"/>
  <c r="AV264" i="178"/>
  <c r="AZ264" i="178"/>
  <c r="BD264" i="178"/>
  <c r="BH264" i="178"/>
  <c r="AR395" i="178"/>
  <c r="AV395" i="178"/>
  <c r="AZ395" i="178"/>
  <c r="BD395" i="178"/>
  <c r="BH395" i="178"/>
  <c r="AR258" i="178"/>
  <c r="AV258" i="178"/>
  <c r="AZ258" i="178"/>
  <c r="BD258" i="178"/>
  <c r="S264" i="178"/>
  <c r="S395" i="178"/>
  <c r="U160" i="178"/>
  <c r="AX160" i="178"/>
  <c r="BF160" i="178"/>
  <c r="BN160" i="178"/>
  <c r="AS160" i="178"/>
  <c r="AW160" i="178"/>
  <c r="BA160" i="178"/>
  <c r="BE160" i="178"/>
  <c r="BI160" i="178"/>
  <c r="AR160" i="178"/>
  <c r="AV160" i="178"/>
  <c r="AZ160" i="178"/>
  <c r="BD160" i="178"/>
  <c r="AU421" i="178"/>
  <c r="BC421" i="178"/>
  <c r="AY421" i="178"/>
  <c r="BL421" i="178"/>
  <c r="BN421" i="178"/>
  <c r="AS421" i="178"/>
  <c r="BA421" i="178"/>
  <c r="BI421" i="178"/>
  <c r="AT370" i="178"/>
  <c r="AX370" i="178"/>
  <c r="BB370" i="178"/>
  <c r="BF370" i="178"/>
  <c r="BJ370" i="178"/>
  <c r="BK370" i="178"/>
  <c r="AR370" i="178"/>
  <c r="AV370" i="178"/>
  <c r="AZ370" i="178"/>
  <c r="BD370" i="178"/>
  <c r="BH370" i="178"/>
  <c r="AR421" i="178"/>
  <c r="AV421" i="178"/>
  <c r="AZ421" i="178"/>
  <c r="BD421" i="178"/>
  <c r="S370" i="178"/>
  <c r="AR139" i="178"/>
  <c r="AV139" i="178"/>
  <c r="AZ139" i="178"/>
  <c r="BD139" i="178"/>
  <c r="O594" i="55"/>
  <c r="P594" i="55"/>
  <c r="Q594" i="55"/>
  <c r="R594" i="55"/>
  <c r="C624" i="78"/>
  <c r="B84" i="70"/>
  <c r="G84" i="70"/>
  <c r="H84" i="70" s="1"/>
  <c r="J84" i="70"/>
  <c r="L84" i="70"/>
  <c r="O593" i="55"/>
  <c r="P593" i="55"/>
  <c r="Q593" i="55"/>
  <c r="R593" i="55"/>
  <c r="C623" i="78"/>
  <c r="F84" i="70"/>
  <c r="D84" i="70"/>
  <c r="E84" i="70"/>
  <c r="O592" i="55"/>
  <c r="P592" i="55"/>
  <c r="Q592" i="55"/>
  <c r="R592" i="55"/>
  <c r="C622" i="78"/>
  <c r="O182" i="55"/>
  <c r="X224" i="178" s="1"/>
  <c r="P182" i="55"/>
  <c r="Y224" i="178" s="1"/>
  <c r="Q182" i="55"/>
  <c r="AA224" i="178" s="1"/>
  <c r="AB224" i="178" s="1"/>
  <c r="R182" i="55"/>
  <c r="C201" i="78"/>
  <c r="F49" i="177"/>
  <c r="H49" i="177"/>
  <c r="J49" i="177" s="1"/>
  <c r="O49" i="177" s="1"/>
  <c r="E49" i="177"/>
  <c r="G49" i="177" s="1"/>
  <c r="C49" i="177"/>
  <c r="B49" i="177"/>
  <c r="F48" i="177"/>
  <c r="F50" i="177" s="1"/>
  <c r="H48" i="177"/>
  <c r="E48" i="177"/>
  <c r="G48" i="177" s="1"/>
  <c r="C48" i="177"/>
  <c r="B48" i="177"/>
  <c r="J47" i="177"/>
  <c r="O47" i="177"/>
  <c r="H47" i="177"/>
  <c r="G47" i="177"/>
  <c r="B47" i="177"/>
  <c r="I47" i="177" s="1"/>
  <c r="N47" i="177" s="1"/>
  <c r="F46" i="177"/>
  <c r="H46" i="177" s="1"/>
  <c r="J46" i="177" s="1"/>
  <c r="O46" i="177" s="1"/>
  <c r="E46" i="177"/>
  <c r="G46" i="177" s="1"/>
  <c r="C46" i="177"/>
  <c r="B46" i="177"/>
  <c r="F45" i="177"/>
  <c r="E45" i="177"/>
  <c r="G45" i="177" s="1"/>
  <c r="C45" i="177"/>
  <c r="B45" i="177"/>
  <c r="H44" i="177"/>
  <c r="F44" i="177"/>
  <c r="E44" i="177"/>
  <c r="C44" i="177"/>
  <c r="B44" i="177"/>
  <c r="F43" i="177"/>
  <c r="H43" i="177"/>
  <c r="J43" i="177" s="1"/>
  <c r="E43" i="177"/>
  <c r="C43" i="177"/>
  <c r="B43" i="177"/>
  <c r="F42" i="177"/>
  <c r="H42" i="177" s="1"/>
  <c r="J42" i="177" s="1"/>
  <c r="E42" i="177"/>
  <c r="C42" i="177"/>
  <c r="B42" i="177"/>
  <c r="F41" i="177"/>
  <c r="E41" i="177"/>
  <c r="G41" i="177" s="1"/>
  <c r="C41" i="177"/>
  <c r="B41" i="177"/>
  <c r="F40" i="177"/>
  <c r="H40" i="177" s="1"/>
  <c r="E40" i="177"/>
  <c r="G40" i="177" s="1"/>
  <c r="I40" i="177" s="1"/>
  <c r="N40" i="177" s="1"/>
  <c r="C40" i="177"/>
  <c r="B40" i="177"/>
  <c r="F39" i="177"/>
  <c r="E39" i="177"/>
  <c r="G39" i="177"/>
  <c r="C39" i="177"/>
  <c r="B39" i="177"/>
  <c r="B50" i="177" s="1"/>
  <c r="F38" i="177"/>
  <c r="E38" i="177"/>
  <c r="C38" i="177"/>
  <c r="B38" i="177"/>
  <c r="O24" i="177"/>
  <c r="O25" i="177" s="1"/>
  <c r="N20" i="177"/>
  <c r="N21" i="177" s="1"/>
  <c r="N34" i="177" s="1"/>
  <c r="O11" i="177"/>
  <c r="N6" i="177"/>
  <c r="J44" i="177"/>
  <c r="O44" i="177" s="1"/>
  <c r="C50" i="177"/>
  <c r="G38" i="177"/>
  <c r="H39" i="177"/>
  <c r="J39" i="177"/>
  <c r="O39" i="177" s="1"/>
  <c r="H41" i="177"/>
  <c r="J41" i="177"/>
  <c r="O41" i="177" s="1"/>
  <c r="H45" i="177"/>
  <c r="J45" i="177" s="1"/>
  <c r="O45" i="177" s="1"/>
  <c r="H38" i="177"/>
  <c r="J38" i="177" s="1"/>
  <c r="O38" i="177" s="1"/>
  <c r="G42" i="177"/>
  <c r="G43" i="177"/>
  <c r="I43" i="177"/>
  <c r="G44" i="177"/>
  <c r="I44" i="177"/>
  <c r="N44" i="177" s="1"/>
  <c r="C170" i="78"/>
  <c r="O629" i="55"/>
  <c r="P629" i="55"/>
  <c r="Q629" i="55"/>
  <c r="R629" i="55"/>
  <c r="O630" i="55"/>
  <c r="P630" i="55"/>
  <c r="Q630" i="55"/>
  <c r="R630" i="55"/>
  <c r="C660" i="78"/>
  <c r="C661" i="78"/>
  <c r="O402" i="55"/>
  <c r="P402" i="55"/>
  <c r="Q402" i="55"/>
  <c r="R402" i="55"/>
  <c r="C432" i="78"/>
  <c r="J6" i="70"/>
  <c r="L6" i="70"/>
  <c r="O192" i="55"/>
  <c r="O211" i="55"/>
  <c r="N5" i="183" s="1"/>
  <c r="P192" i="55"/>
  <c r="P211" i="55"/>
  <c r="O5" i="183" s="1"/>
  <c r="Q192" i="55"/>
  <c r="Q211" i="55"/>
  <c r="P5" i="183" s="1"/>
  <c r="T5" i="183" s="1"/>
  <c r="G6" i="70"/>
  <c r="H6" i="70" s="1"/>
  <c r="F6" i="70"/>
  <c r="D6" i="70"/>
  <c r="E6" i="70"/>
  <c r="O210" i="55"/>
  <c r="P210" i="55"/>
  <c r="Q210" i="55"/>
  <c r="R210" i="55"/>
  <c r="R211" i="55"/>
  <c r="C233" i="78"/>
  <c r="C234" i="78"/>
  <c r="C216" i="78"/>
  <c r="O159" i="55"/>
  <c r="P159" i="55"/>
  <c r="Q159" i="55"/>
  <c r="R159" i="55"/>
  <c r="C178" i="78"/>
  <c r="O158" i="55"/>
  <c r="P158" i="55"/>
  <c r="Q158" i="55"/>
  <c r="R158" i="55"/>
  <c r="O156" i="55"/>
  <c r="P156" i="55"/>
  <c r="Q156" i="55"/>
  <c r="R156" i="55"/>
  <c r="O155" i="55"/>
  <c r="P155" i="55"/>
  <c r="Q155" i="55"/>
  <c r="R155" i="55"/>
  <c r="C177" i="78"/>
  <c r="C174" i="78"/>
  <c r="C175" i="78"/>
  <c r="O131" i="55"/>
  <c r="P131" i="55"/>
  <c r="Q131" i="55"/>
  <c r="O464" i="55"/>
  <c r="P464" i="55"/>
  <c r="Q464" i="55"/>
  <c r="O533" i="55"/>
  <c r="P533" i="55"/>
  <c r="Q533" i="55"/>
  <c r="O571" i="55"/>
  <c r="P571" i="55"/>
  <c r="Q571" i="55"/>
  <c r="O758" i="55"/>
  <c r="P758" i="55"/>
  <c r="Q758" i="55"/>
  <c r="O759" i="55"/>
  <c r="P759" i="55"/>
  <c r="Q759" i="55"/>
  <c r="O760" i="55"/>
  <c r="P760" i="55"/>
  <c r="Q760" i="55"/>
  <c r="O130" i="55"/>
  <c r="P130" i="55"/>
  <c r="Q130" i="55"/>
  <c r="O132" i="55"/>
  <c r="P132" i="55"/>
  <c r="Q132" i="55"/>
  <c r="O280" i="55"/>
  <c r="P280" i="55"/>
  <c r="Q280" i="55"/>
  <c r="O400" i="55"/>
  <c r="P400" i="55"/>
  <c r="Q400" i="55"/>
  <c r="O427" i="55"/>
  <c r="P427" i="55"/>
  <c r="Q427" i="55"/>
  <c r="O468" i="55"/>
  <c r="N50" i="183" s="1"/>
  <c r="P468" i="55"/>
  <c r="O50" i="183" s="1"/>
  <c r="Q468" i="55"/>
  <c r="P50" i="183" s="1"/>
  <c r="T50" i="183" s="1"/>
  <c r="O469" i="55"/>
  <c r="N51" i="183" s="1"/>
  <c r="P469" i="55"/>
  <c r="O51" i="183" s="1"/>
  <c r="Q469" i="55"/>
  <c r="P51" i="183" s="1"/>
  <c r="T51" i="183" s="1"/>
  <c r="O596" i="55"/>
  <c r="N110" i="183" s="1"/>
  <c r="P596" i="55"/>
  <c r="O110" i="183" s="1"/>
  <c r="Q596" i="55"/>
  <c r="P110" i="183" s="1"/>
  <c r="T110" i="183" s="1"/>
  <c r="O751" i="55"/>
  <c r="P751" i="55"/>
  <c r="Q751" i="55"/>
  <c r="O757" i="55"/>
  <c r="P757" i="55"/>
  <c r="Q757" i="55"/>
  <c r="O765" i="55"/>
  <c r="P765" i="55"/>
  <c r="Q765" i="55"/>
  <c r="O23" i="55"/>
  <c r="P23" i="55"/>
  <c r="Q23" i="55"/>
  <c r="O25" i="55"/>
  <c r="P25" i="55"/>
  <c r="Q25" i="55"/>
  <c r="O36" i="55"/>
  <c r="X12" i="178" s="1"/>
  <c r="P36" i="55"/>
  <c r="Y12" i="178" s="1"/>
  <c r="Q36" i="55"/>
  <c r="AA12" i="178" s="1"/>
  <c r="AB12" i="178" s="1"/>
  <c r="O49" i="55"/>
  <c r="P49" i="55"/>
  <c r="Q49" i="55"/>
  <c r="O53" i="55"/>
  <c r="P53" i="55"/>
  <c r="Q53" i="55"/>
  <c r="O56" i="55"/>
  <c r="P56" i="55"/>
  <c r="Q56" i="55"/>
  <c r="O57" i="55"/>
  <c r="P57" i="55"/>
  <c r="Q57" i="55"/>
  <c r="O58" i="55"/>
  <c r="P58" i="55"/>
  <c r="Q58" i="55"/>
  <c r="O65" i="55"/>
  <c r="P65" i="55"/>
  <c r="Q65" i="55"/>
  <c r="O71" i="55"/>
  <c r="P71" i="55"/>
  <c r="Q71" i="55"/>
  <c r="O72" i="55"/>
  <c r="P72" i="55"/>
  <c r="Q72" i="55"/>
  <c r="O73" i="55"/>
  <c r="P73" i="55"/>
  <c r="Q73" i="55"/>
  <c r="O74" i="55"/>
  <c r="P74" i="55"/>
  <c r="Q74" i="55"/>
  <c r="O95" i="55"/>
  <c r="P95" i="55"/>
  <c r="Q95" i="55"/>
  <c r="O96" i="55"/>
  <c r="P96" i="55"/>
  <c r="Q96" i="55"/>
  <c r="O114" i="55"/>
  <c r="P114" i="55"/>
  <c r="Q114" i="55"/>
  <c r="O115" i="55"/>
  <c r="X56" i="178" s="1"/>
  <c r="P115" i="55"/>
  <c r="Y56" i="178" s="1"/>
  <c r="Q115" i="55"/>
  <c r="AA56" i="178" s="1"/>
  <c r="AB56" i="178" s="1"/>
  <c r="O151" i="55"/>
  <c r="P151" i="55"/>
  <c r="Q151" i="55"/>
  <c r="O169" i="55"/>
  <c r="P169" i="55"/>
  <c r="Q169" i="55"/>
  <c r="O184" i="55"/>
  <c r="P184" i="55"/>
  <c r="Q184" i="55"/>
  <c r="O186" i="55"/>
  <c r="P186" i="55"/>
  <c r="Q186" i="55"/>
  <c r="O251" i="55"/>
  <c r="P251" i="55"/>
  <c r="Q251" i="55"/>
  <c r="O190" i="55"/>
  <c r="P190" i="55"/>
  <c r="Q190" i="55"/>
  <c r="O199" i="55"/>
  <c r="P199" i="55"/>
  <c r="Q199" i="55"/>
  <c r="O203" i="55"/>
  <c r="P203" i="55"/>
  <c r="Q203" i="55"/>
  <c r="O205" i="55"/>
  <c r="P205" i="55"/>
  <c r="Q205" i="55"/>
  <c r="O208" i="55"/>
  <c r="P208" i="55"/>
  <c r="Q208" i="55"/>
  <c r="O209" i="55"/>
  <c r="P209" i="55"/>
  <c r="Q209" i="55"/>
  <c r="O215" i="55"/>
  <c r="P215" i="55"/>
  <c r="Q215" i="55"/>
  <c r="O229" i="55"/>
  <c r="P229" i="55"/>
  <c r="Q229" i="55"/>
  <c r="O248" i="55"/>
  <c r="P248" i="55"/>
  <c r="Q248" i="55"/>
  <c r="O249" i="55"/>
  <c r="P249" i="55"/>
  <c r="Q249" i="55"/>
  <c r="O300" i="55"/>
  <c r="P300" i="55"/>
  <c r="Q300" i="55"/>
  <c r="O301" i="55"/>
  <c r="P301" i="55"/>
  <c r="Q301" i="55"/>
  <c r="O323" i="55"/>
  <c r="P323" i="55"/>
  <c r="Q323" i="55"/>
  <c r="O335" i="55"/>
  <c r="P335" i="55"/>
  <c r="Q335" i="55"/>
  <c r="O337" i="55"/>
  <c r="P337" i="55"/>
  <c r="Q337" i="55"/>
  <c r="O338" i="55"/>
  <c r="P338" i="55"/>
  <c r="Q338" i="55"/>
  <c r="O360" i="55"/>
  <c r="P360" i="55"/>
  <c r="Q360" i="55"/>
  <c r="O372" i="55"/>
  <c r="P372" i="55"/>
  <c r="Q372" i="55"/>
  <c r="O374" i="55"/>
  <c r="P374" i="55"/>
  <c r="Q374" i="55"/>
  <c r="O399" i="55"/>
  <c r="X227" i="178" s="1"/>
  <c r="P399" i="55"/>
  <c r="Y227" i="178" s="1"/>
  <c r="Q399" i="55"/>
  <c r="AA227" i="178" s="1"/>
  <c r="AB227" i="178" s="1"/>
  <c r="O509" i="55"/>
  <c r="P509" i="55"/>
  <c r="Q509" i="55"/>
  <c r="O525" i="55"/>
  <c r="P525" i="55"/>
  <c r="Q525" i="55"/>
  <c r="O530" i="55"/>
  <c r="P530" i="55"/>
  <c r="Q530" i="55"/>
  <c r="O544" i="55"/>
  <c r="P544" i="55"/>
  <c r="Q544" i="55"/>
  <c r="O547" i="55"/>
  <c r="P547" i="55"/>
  <c r="Q547" i="55"/>
  <c r="O555" i="55"/>
  <c r="P555" i="55"/>
  <c r="Q555" i="55"/>
  <c r="O584" i="55"/>
  <c r="P584" i="55"/>
  <c r="Q584" i="55"/>
  <c r="O585" i="55"/>
  <c r="P585" i="55"/>
  <c r="Q585" i="55"/>
  <c r="O586" i="55"/>
  <c r="P586" i="55"/>
  <c r="Q586" i="55"/>
  <c r="O611" i="55"/>
  <c r="P611" i="55"/>
  <c r="Q611" i="55"/>
  <c r="O619" i="55"/>
  <c r="P619" i="55"/>
  <c r="Q619" i="55"/>
  <c r="O626" i="55"/>
  <c r="P626" i="55"/>
  <c r="Q626" i="55"/>
  <c r="O627" i="55"/>
  <c r="P627" i="55"/>
  <c r="Q627" i="55"/>
  <c r="O628" i="55"/>
  <c r="P628" i="55"/>
  <c r="Q628" i="55"/>
  <c r="O636" i="55"/>
  <c r="P636" i="55"/>
  <c r="Q636" i="55"/>
  <c r="O637" i="55"/>
  <c r="P637" i="55"/>
  <c r="Q637" i="55"/>
  <c r="O641" i="55"/>
  <c r="P641" i="55"/>
  <c r="Q641" i="55"/>
  <c r="O642" i="55"/>
  <c r="P642" i="55"/>
  <c r="Q642" i="55"/>
  <c r="O655" i="55"/>
  <c r="P655" i="55"/>
  <c r="Q655" i="55"/>
  <c r="O657" i="55"/>
  <c r="P657" i="55"/>
  <c r="Q657" i="55"/>
  <c r="O658" i="55"/>
  <c r="P658" i="55"/>
  <c r="Q658" i="55"/>
  <c r="O713" i="55"/>
  <c r="P713" i="55"/>
  <c r="Q713" i="55"/>
  <c r="O730" i="55"/>
  <c r="P730" i="55"/>
  <c r="Q730" i="55"/>
  <c r="O731" i="55"/>
  <c r="P731" i="55"/>
  <c r="Q731" i="55"/>
  <c r="O741" i="55"/>
  <c r="P741" i="55"/>
  <c r="Q741" i="55"/>
  <c r="O795" i="55"/>
  <c r="P795" i="55"/>
  <c r="Q795" i="55"/>
  <c r="O798" i="55"/>
  <c r="P798" i="55"/>
  <c r="Q798" i="55"/>
  <c r="O20" i="55"/>
  <c r="P20" i="55"/>
  <c r="Q20" i="55"/>
  <c r="O27" i="55"/>
  <c r="P27" i="55"/>
  <c r="Q27" i="55"/>
  <c r="O28" i="55"/>
  <c r="P28" i="55"/>
  <c r="Q28" i="55"/>
  <c r="O30" i="55"/>
  <c r="P30" i="55"/>
  <c r="Q30" i="55"/>
  <c r="O31" i="55"/>
  <c r="P31" i="55"/>
  <c r="Q31" i="55"/>
  <c r="O32" i="55"/>
  <c r="P32" i="55"/>
  <c r="Q32" i="55"/>
  <c r="O34" i="55"/>
  <c r="P34" i="55"/>
  <c r="Q34" i="55"/>
  <c r="O35" i="55"/>
  <c r="P35" i="55"/>
  <c r="Q35" i="55"/>
  <c r="O38" i="55"/>
  <c r="P38" i="55"/>
  <c r="Q38" i="55"/>
  <c r="O43" i="55"/>
  <c r="P43" i="55"/>
  <c r="Q43" i="55"/>
  <c r="O46" i="55"/>
  <c r="P46" i="55"/>
  <c r="Q46" i="55"/>
  <c r="O50" i="55"/>
  <c r="P50" i="55"/>
  <c r="Q50" i="55"/>
  <c r="O54" i="55"/>
  <c r="P54" i="55"/>
  <c r="Q54" i="55"/>
  <c r="O55" i="55"/>
  <c r="P55" i="55"/>
  <c r="Q55" i="55"/>
  <c r="O62" i="55"/>
  <c r="P62" i="55"/>
  <c r="Q62" i="55"/>
  <c r="O63" i="55"/>
  <c r="P63" i="55"/>
  <c r="Q63" i="55"/>
  <c r="O67" i="55"/>
  <c r="P67" i="55"/>
  <c r="Q67" i="55"/>
  <c r="O69" i="55"/>
  <c r="P69" i="55"/>
  <c r="Q69" i="55"/>
  <c r="O75" i="55"/>
  <c r="P75" i="55"/>
  <c r="Q75" i="55"/>
  <c r="O76" i="55"/>
  <c r="P76" i="55"/>
  <c r="Q76" i="55"/>
  <c r="O77" i="55"/>
  <c r="X35" i="178" s="1"/>
  <c r="P77" i="55"/>
  <c r="Y35" i="178" s="1"/>
  <c r="Q77" i="55"/>
  <c r="AA35" i="178" s="1"/>
  <c r="AB35" i="178" s="1"/>
  <c r="O85" i="55"/>
  <c r="P85" i="55"/>
  <c r="Q85" i="55"/>
  <c r="O94" i="55"/>
  <c r="P94" i="55"/>
  <c r="Q94" i="55"/>
  <c r="O161" i="55"/>
  <c r="P161" i="55"/>
  <c r="Q161" i="55"/>
  <c r="O113" i="55"/>
  <c r="P113" i="55"/>
  <c r="Q113" i="55"/>
  <c r="O146" i="55"/>
  <c r="P146" i="55"/>
  <c r="Q146" i="55"/>
  <c r="O164" i="55"/>
  <c r="P164" i="55"/>
  <c r="Q164" i="55"/>
  <c r="O188" i="55"/>
  <c r="P188" i="55"/>
  <c r="Q188" i="55"/>
  <c r="O189" i="55"/>
  <c r="P189" i="55"/>
  <c r="Q189" i="55"/>
  <c r="O191" i="55"/>
  <c r="P191" i="55"/>
  <c r="Q191" i="55"/>
  <c r="O193" i="55"/>
  <c r="P193" i="55"/>
  <c r="Q193" i="55"/>
  <c r="O218" i="55"/>
  <c r="P218" i="55"/>
  <c r="Q218" i="55"/>
  <c r="O219" i="55"/>
  <c r="P219" i="55"/>
  <c r="Q219" i="55"/>
  <c r="O239" i="55"/>
  <c r="P239" i="55"/>
  <c r="Q239" i="55"/>
  <c r="O240" i="55"/>
  <c r="P240" i="55"/>
  <c r="Q240" i="55"/>
  <c r="O245" i="55"/>
  <c r="P245" i="55"/>
  <c r="Q245" i="55"/>
  <c r="O246" i="55"/>
  <c r="N12" i="183" s="1"/>
  <c r="P246" i="55"/>
  <c r="O12" i="183" s="1"/>
  <c r="Q246" i="55"/>
  <c r="P12" i="183" s="1"/>
  <c r="T12" i="183" s="1"/>
  <c r="O247" i="55"/>
  <c r="N13" i="183" s="1"/>
  <c r="P247" i="55"/>
  <c r="O13" i="183" s="1"/>
  <c r="Q247" i="55"/>
  <c r="P13" i="183" s="1"/>
  <c r="T13" i="183" s="1"/>
  <c r="O250" i="55"/>
  <c r="P250" i="55"/>
  <c r="Q250" i="55"/>
  <c r="O264" i="55"/>
  <c r="P264" i="55"/>
  <c r="Q264" i="55"/>
  <c r="O325" i="55"/>
  <c r="P325" i="55"/>
  <c r="Q325" i="55"/>
  <c r="O329" i="55"/>
  <c r="P329" i="55"/>
  <c r="Q329" i="55"/>
  <c r="O330" i="55"/>
  <c r="P330" i="55"/>
  <c r="Q330" i="55"/>
  <c r="O331" i="55"/>
  <c r="P331" i="55"/>
  <c r="Q331" i="55"/>
  <c r="O332" i="55"/>
  <c r="P332" i="55"/>
  <c r="Q332" i="55"/>
  <c r="O333" i="55"/>
  <c r="P333" i="55"/>
  <c r="Q333" i="55"/>
  <c r="O334" i="55"/>
  <c r="P334" i="55"/>
  <c r="Q334" i="55"/>
  <c r="O336" i="55"/>
  <c r="P336" i="55"/>
  <c r="Q336" i="55"/>
  <c r="O371" i="55"/>
  <c r="P371" i="55"/>
  <c r="Q371" i="55"/>
  <c r="O375" i="55"/>
  <c r="P375" i="55"/>
  <c r="Q375" i="55"/>
  <c r="O383" i="55"/>
  <c r="P383" i="55"/>
  <c r="Q383" i="55"/>
  <c r="O392" i="55"/>
  <c r="P392" i="55"/>
  <c r="Q392" i="55"/>
  <c r="O403" i="55"/>
  <c r="P403" i="55"/>
  <c r="Q403" i="55"/>
  <c r="O404" i="55"/>
  <c r="X234" i="178" s="1"/>
  <c r="P404" i="55"/>
  <c r="Y234" i="178" s="1"/>
  <c r="Q404" i="55"/>
  <c r="AA234" i="178" s="1"/>
  <c r="AB234" i="178" s="1"/>
  <c r="O610" i="55"/>
  <c r="P610" i="55"/>
  <c r="Q610" i="55"/>
  <c r="O632" i="55"/>
  <c r="P632" i="55"/>
  <c r="Q632" i="55"/>
  <c r="O635" i="55"/>
  <c r="P635" i="55"/>
  <c r="Q635" i="55"/>
  <c r="O654" i="55"/>
  <c r="P654" i="55"/>
  <c r="Q654" i="55"/>
  <c r="O656" i="55"/>
  <c r="P656" i="55"/>
  <c r="Q656" i="55"/>
  <c r="O706" i="55"/>
  <c r="N127" i="183" s="1"/>
  <c r="P706" i="55"/>
  <c r="O127" i="183" s="1"/>
  <c r="Q706" i="55"/>
  <c r="P127" i="183" s="1"/>
  <c r="T127" i="183" s="1"/>
  <c r="O714" i="55"/>
  <c r="N129" i="183" s="1"/>
  <c r="P714" i="55"/>
  <c r="O129" i="183" s="1"/>
  <c r="Q714" i="55"/>
  <c r="P129" i="183" s="1"/>
  <c r="T129" i="183" s="1"/>
  <c r="O740" i="55"/>
  <c r="P740" i="55"/>
  <c r="Q740" i="55"/>
  <c r="O742" i="55"/>
  <c r="P742" i="55"/>
  <c r="Q742" i="55"/>
  <c r="O790" i="55"/>
  <c r="P790" i="55"/>
  <c r="Q790" i="55"/>
  <c r="O796" i="55"/>
  <c r="P796" i="55"/>
  <c r="Q796" i="55"/>
  <c r="O101" i="55"/>
  <c r="P101" i="55"/>
  <c r="Q101" i="55"/>
  <c r="O140" i="55"/>
  <c r="X65" i="178" s="1"/>
  <c r="P140" i="55"/>
  <c r="Y65" i="178" s="1"/>
  <c r="Q140" i="55"/>
  <c r="AA65" i="178" s="1"/>
  <c r="AB65" i="178" s="1"/>
  <c r="O143" i="55"/>
  <c r="X66" i="178" s="1"/>
  <c r="P143" i="55"/>
  <c r="Y66" i="178" s="1"/>
  <c r="Q143" i="55"/>
  <c r="AA66" i="178" s="1"/>
  <c r="AB66" i="178" s="1"/>
  <c r="O157" i="55"/>
  <c r="P157" i="55"/>
  <c r="Q157" i="55"/>
  <c r="O216" i="55"/>
  <c r="P216" i="55"/>
  <c r="Q216" i="55"/>
  <c r="O279" i="55"/>
  <c r="N13" i="70" s="1"/>
  <c r="P279" i="55"/>
  <c r="O13" i="70" s="1"/>
  <c r="Q279" i="55"/>
  <c r="O363" i="55"/>
  <c r="P363" i="55"/>
  <c r="Q363" i="55"/>
  <c r="O366" i="55"/>
  <c r="P366" i="55"/>
  <c r="Q366" i="55"/>
  <c r="O417" i="55"/>
  <c r="P417" i="55"/>
  <c r="Q417" i="55"/>
  <c r="O448" i="55"/>
  <c r="N43" i="183" s="1"/>
  <c r="P448" i="55"/>
  <c r="O43" i="183" s="1"/>
  <c r="Q448" i="55"/>
  <c r="P43" i="183" s="1"/>
  <c r="T43" i="183" s="1"/>
  <c r="O534" i="55"/>
  <c r="P534" i="55"/>
  <c r="Q534" i="55"/>
  <c r="O535" i="55"/>
  <c r="P535" i="55"/>
  <c r="Q535" i="55"/>
  <c r="O541" i="55"/>
  <c r="P541" i="55"/>
  <c r="Q541" i="55"/>
  <c r="O542" i="55"/>
  <c r="P542" i="55"/>
  <c r="Q542" i="55"/>
  <c r="O543" i="55"/>
  <c r="P543" i="55"/>
  <c r="Q543" i="55"/>
  <c r="O554" i="55"/>
  <c r="P554" i="55"/>
  <c r="Q554" i="55"/>
  <c r="O564" i="55"/>
  <c r="P564" i="55"/>
  <c r="Q564" i="55"/>
  <c r="O565" i="55"/>
  <c r="P565" i="55"/>
  <c r="Q565" i="55"/>
  <c r="O567" i="55"/>
  <c r="P567" i="55"/>
  <c r="Q567" i="55"/>
  <c r="O568" i="55"/>
  <c r="P568" i="55"/>
  <c r="Q568" i="55"/>
  <c r="O569" i="55"/>
  <c r="P569" i="55"/>
  <c r="Q569" i="55"/>
  <c r="O570" i="55"/>
  <c r="P570" i="55"/>
  <c r="Q570" i="55"/>
  <c r="O572" i="55"/>
  <c r="P572" i="55"/>
  <c r="Q572" i="55"/>
  <c r="O573" i="55"/>
  <c r="P573" i="55"/>
  <c r="Q573" i="55"/>
  <c r="O575" i="55"/>
  <c r="P575" i="55"/>
  <c r="Q575" i="55"/>
  <c r="O576" i="55"/>
  <c r="N76" i="70" s="1"/>
  <c r="P576" i="55"/>
  <c r="O76" i="70" s="1"/>
  <c r="Q576" i="55"/>
  <c r="P76" i="70" s="1"/>
  <c r="O709" i="55"/>
  <c r="P709" i="55"/>
  <c r="Q709" i="55"/>
  <c r="O712" i="55"/>
  <c r="P712" i="55"/>
  <c r="Q712" i="55"/>
  <c r="O135" i="55"/>
  <c r="P135" i="55"/>
  <c r="Q135" i="55"/>
  <c r="O282" i="55"/>
  <c r="X151" i="178" s="1"/>
  <c r="P282" i="55"/>
  <c r="Y151" i="178" s="1"/>
  <c r="Q282" i="55"/>
  <c r="AA151" i="178" s="1"/>
  <c r="AB151" i="178" s="1"/>
  <c r="O294" i="55"/>
  <c r="N24" i="183" s="1"/>
  <c r="P294" i="55"/>
  <c r="O24" i="183" s="1"/>
  <c r="Q294" i="55"/>
  <c r="P24" i="183" s="1"/>
  <c r="T24" i="183" s="1"/>
  <c r="O296" i="55"/>
  <c r="N25" i="183" s="1"/>
  <c r="P296" i="55"/>
  <c r="O25" i="183" s="1"/>
  <c r="Q296" i="55"/>
  <c r="P25" i="183" s="1"/>
  <c r="T25" i="183" s="1"/>
  <c r="O302" i="55"/>
  <c r="P302" i="55"/>
  <c r="Q302" i="55"/>
  <c r="O367" i="55"/>
  <c r="P367" i="55"/>
  <c r="Q367" i="55"/>
  <c r="O413" i="55"/>
  <c r="P413" i="55"/>
  <c r="Q413" i="55"/>
  <c r="O414" i="55"/>
  <c r="P414" i="55"/>
  <c r="Q414" i="55"/>
  <c r="O459" i="55"/>
  <c r="P459" i="55"/>
  <c r="Q459" i="55"/>
  <c r="O477" i="55"/>
  <c r="X249" i="178" s="1"/>
  <c r="P477" i="55"/>
  <c r="Y249" i="178" s="1"/>
  <c r="Q477" i="55"/>
  <c r="AA249" i="178" s="1"/>
  <c r="AB249" i="178" s="1"/>
  <c r="O545" i="55"/>
  <c r="P545" i="55"/>
  <c r="Q545" i="55"/>
  <c r="O546" i="55"/>
  <c r="P546" i="55"/>
  <c r="Q546" i="55"/>
  <c r="O550" i="55"/>
  <c r="P550" i="55"/>
  <c r="Q550" i="55"/>
  <c r="O553" i="55"/>
  <c r="P553" i="55"/>
  <c r="Q553" i="55"/>
  <c r="O574" i="55"/>
  <c r="P574" i="55"/>
  <c r="Q574" i="55"/>
  <c r="O577" i="55"/>
  <c r="N102" i="183" s="1"/>
  <c r="P577" i="55"/>
  <c r="O102" i="183" s="1"/>
  <c r="Q577" i="55"/>
  <c r="P102" i="183" s="1"/>
  <c r="T102" i="183" s="1"/>
  <c r="O580" i="55"/>
  <c r="N105" i="183" s="1"/>
  <c r="P580" i="55"/>
  <c r="O105" i="183" s="1"/>
  <c r="Q580" i="55"/>
  <c r="P105" i="183" s="1"/>
  <c r="T105" i="183" s="1"/>
  <c r="O581" i="55"/>
  <c r="P581" i="55"/>
  <c r="Q581" i="55"/>
  <c r="O797" i="55"/>
  <c r="P797" i="55"/>
  <c r="Q797" i="55"/>
  <c r="O794" i="55"/>
  <c r="P794" i="55"/>
  <c r="Q794" i="55"/>
  <c r="O791" i="55"/>
  <c r="P791" i="55"/>
  <c r="Q791" i="55"/>
  <c r="O788" i="55"/>
  <c r="P788" i="55"/>
  <c r="Q788" i="55"/>
  <c r="O787" i="55"/>
  <c r="P787" i="55"/>
  <c r="Q787" i="55"/>
  <c r="O786" i="55"/>
  <c r="P786" i="55"/>
  <c r="Q786" i="55"/>
  <c r="O785" i="55"/>
  <c r="P785" i="55"/>
  <c r="Q785" i="55"/>
  <c r="O783" i="55"/>
  <c r="P783" i="55"/>
  <c r="Q783" i="55"/>
  <c r="O781" i="55"/>
  <c r="P781" i="55"/>
  <c r="Q781" i="55"/>
  <c r="O780" i="55"/>
  <c r="P780" i="55"/>
  <c r="Q780" i="55"/>
  <c r="O792" i="55"/>
  <c r="P792" i="55"/>
  <c r="Q792" i="55"/>
  <c r="O779" i="55"/>
  <c r="P779" i="55"/>
  <c r="Q779" i="55"/>
  <c r="O778" i="55"/>
  <c r="P778" i="55"/>
  <c r="Q778" i="55"/>
  <c r="O772" i="55"/>
  <c r="P772" i="55"/>
  <c r="Q772" i="55"/>
  <c r="O768" i="55"/>
  <c r="P768" i="55"/>
  <c r="Q768" i="55"/>
  <c r="O767" i="55"/>
  <c r="N132" i="183" s="1"/>
  <c r="P767" i="55"/>
  <c r="O132" i="183" s="1"/>
  <c r="Q767" i="55"/>
  <c r="P132" i="183" s="1"/>
  <c r="T132" i="183" s="1"/>
  <c r="O766" i="55"/>
  <c r="P766" i="55"/>
  <c r="Q766" i="55"/>
  <c r="O764" i="55"/>
  <c r="P764" i="55"/>
  <c r="Q764" i="55"/>
  <c r="O763" i="55"/>
  <c r="P763" i="55"/>
  <c r="Q763" i="55"/>
  <c r="O762" i="55"/>
  <c r="P762" i="55"/>
  <c r="Q762" i="55"/>
  <c r="O761" i="55"/>
  <c r="P761" i="55"/>
  <c r="Q761" i="55"/>
  <c r="O750" i="55"/>
  <c r="P750" i="55"/>
  <c r="Q750" i="55"/>
  <c r="O747" i="55"/>
  <c r="P747" i="55"/>
  <c r="Q747" i="55"/>
  <c r="O746" i="55"/>
  <c r="P746" i="55"/>
  <c r="Q746" i="55"/>
  <c r="O739" i="55"/>
  <c r="P739" i="55"/>
  <c r="Q739" i="55"/>
  <c r="O732" i="55"/>
  <c r="P732" i="55"/>
  <c r="Q732" i="55"/>
  <c r="O720" i="55"/>
  <c r="P720" i="55"/>
  <c r="Q720" i="55"/>
  <c r="O719" i="55"/>
  <c r="P719" i="55"/>
  <c r="Q719" i="55"/>
  <c r="O716" i="55"/>
  <c r="P716" i="55"/>
  <c r="Q716" i="55"/>
  <c r="O715" i="55"/>
  <c r="P715" i="55"/>
  <c r="Q715" i="55"/>
  <c r="O711" i="55"/>
  <c r="P711" i="55"/>
  <c r="Q711" i="55"/>
  <c r="O710" i="55"/>
  <c r="P710" i="55"/>
  <c r="Q710" i="55"/>
  <c r="O708" i="55"/>
  <c r="X427" i="178" s="1"/>
  <c r="P708" i="55"/>
  <c r="Y427" i="178" s="1"/>
  <c r="Q708" i="55"/>
  <c r="AA427" i="178" s="1"/>
  <c r="AB427" i="178" s="1"/>
  <c r="O707" i="55"/>
  <c r="X426" i="178" s="1"/>
  <c r="P707" i="55"/>
  <c r="Y426" i="178" s="1"/>
  <c r="Q707" i="55"/>
  <c r="AA426" i="178" s="1"/>
  <c r="AB426" i="178" s="1"/>
  <c r="O700" i="55"/>
  <c r="P700" i="55"/>
  <c r="Q700" i="55"/>
  <c r="O699" i="55"/>
  <c r="P699" i="55"/>
  <c r="Q699" i="55"/>
  <c r="O697" i="55"/>
  <c r="P697" i="55"/>
  <c r="Q697" i="55"/>
  <c r="O591" i="55"/>
  <c r="P591" i="55"/>
  <c r="Q591" i="55"/>
  <c r="O649" i="55"/>
  <c r="P649" i="55"/>
  <c r="Q649" i="55"/>
  <c r="O698" i="55"/>
  <c r="P698" i="55"/>
  <c r="Q698" i="55"/>
  <c r="O696" i="55"/>
  <c r="P696" i="55"/>
  <c r="Q696" i="55"/>
  <c r="O695" i="55"/>
  <c r="P695" i="55"/>
  <c r="Q695" i="55"/>
  <c r="O693" i="55"/>
  <c r="P693" i="55"/>
  <c r="Q693" i="55"/>
  <c r="O692" i="55"/>
  <c r="P692" i="55"/>
  <c r="Q692" i="55"/>
  <c r="O691" i="55"/>
  <c r="P691" i="55"/>
  <c r="Q691" i="55"/>
  <c r="O690" i="55"/>
  <c r="N100" i="70" s="1"/>
  <c r="P690" i="55"/>
  <c r="O100" i="70" s="1"/>
  <c r="Q690" i="55"/>
  <c r="O689" i="55"/>
  <c r="N98" i="70" s="1"/>
  <c r="P689" i="55"/>
  <c r="O98" i="70" s="1"/>
  <c r="Q689" i="55"/>
  <c r="P99" i="70" s="1"/>
  <c r="O688" i="55"/>
  <c r="P688" i="55"/>
  <c r="O96" i="70" s="1"/>
  <c r="Q688" i="55"/>
  <c r="P96" i="70" s="1"/>
  <c r="O102" i="55"/>
  <c r="P102" i="55"/>
  <c r="Q102" i="55"/>
  <c r="O745" i="55"/>
  <c r="P745" i="55"/>
  <c r="Q745" i="55"/>
  <c r="O587" i="55"/>
  <c r="P587" i="55"/>
  <c r="Q587" i="55"/>
  <c r="O684" i="55"/>
  <c r="P684" i="55"/>
  <c r="Q684" i="55"/>
  <c r="O683" i="55"/>
  <c r="P683" i="55"/>
  <c r="Q683" i="55"/>
  <c r="O675" i="55"/>
  <c r="P675" i="55"/>
  <c r="Q675" i="55"/>
  <c r="O674" i="55"/>
  <c r="P674" i="55"/>
  <c r="Q674" i="55"/>
  <c r="O673" i="55"/>
  <c r="P673" i="55"/>
  <c r="Q673" i="55"/>
  <c r="O672" i="55"/>
  <c r="P672" i="55"/>
  <c r="Q672" i="55"/>
  <c r="O671" i="55"/>
  <c r="P671" i="55"/>
  <c r="Q671" i="55"/>
  <c r="O670" i="55"/>
  <c r="P670" i="55"/>
  <c r="Q670" i="55"/>
  <c r="O669" i="55"/>
  <c r="P669" i="55"/>
  <c r="Q669" i="55"/>
  <c r="O668" i="55"/>
  <c r="P668" i="55"/>
  <c r="Q668" i="55"/>
  <c r="O667" i="55"/>
  <c r="P667" i="55"/>
  <c r="Q667" i="55"/>
  <c r="O653" i="55"/>
  <c r="P653" i="55"/>
  <c r="Q653" i="55"/>
  <c r="O648" i="55"/>
  <c r="P648" i="55"/>
  <c r="Q648" i="55"/>
  <c r="O647" i="55"/>
  <c r="P647" i="55"/>
  <c r="Q647" i="55"/>
  <c r="O646" i="55"/>
  <c r="P646" i="55"/>
  <c r="Q646" i="55"/>
  <c r="O644" i="55"/>
  <c r="P644" i="55"/>
  <c r="Q644" i="55"/>
  <c r="O643" i="55"/>
  <c r="P643" i="55"/>
  <c r="Q643" i="55"/>
  <c r="O612" i="55"/>
  <c r="P612" i="55"/>
  <c r="Q612" i="55"/>
  <c r="O583" i="55"/>
  <c r="P583" i="55"/>
  <c r="Q583" i="55"/>
  <c r="O582" i="55"/>
  <c r="X348" i="178" s="1"/>
  <c r="P582" i="55"/>
  <c r="Y348" i="178" s="1"/>
  <c r="Q582" i="55"/>
  <c r="AA348" i="178" s="1"/>
  <c r="AB348" i="178" s="1"/>
  <c r="O579" i="55"/>
  <c r="P579" i="55"/>
  <c r="Q579" i="55"/>
  <c r="O578" i="55"/>
  <c r="P578" i="55"/>
  <c r="Q578" i="55"/>
  <c r="O566" i="55"/>
  <c r="P566" i="55"/>
  <c r="Q566" i="55"/>
  <c r="O561" i="55"/>
  <c r="P561" i="55"/>
  <c r="Q561" i="55"/>
  <c r="O560" i="55"/>
  <c r="P560" i="55"/>
  <c r="Q560" i="55"/>
  <c r="O559" i="55"/>
  <c r="P559" i="55"/>
  <c r="Q559" i="55"/>
  <c r="O558" i="55"/>
  <c r="P558" i="55"/>
  <c r="Q558" i="55"/>
  <c r="O557" i="55"/>
  <c r="P557" i="55"/>
  <c r="Q557" i="55"/>
  <c r="O556" i="55"/>
  <c r="P556" i="55"/>
  <c r="Q556" i="55"/>
  <c r="O552" i="55"/>
  <c r="P552" i="55"/>
  <c r="Q552" i="55"/>
  <c r="O551" i="55"/>
  <c r="P551" i="55"/>
  <c r="Q551" i="55"/>
  <c r="O563" i="55"/>
  <c r="P563" i="55"/>
  <c r="Q563" i="55"/>
  <c r="O562" i="55"/>
  <c r="P562" i="55"/>
  <c r="Q562" i="55"/>
  <c r="O589" i="55"/>
  <c r="P589" i="55"/>
  <c r="Q589" i="55"/>
  <c r="O590" i="55"/>
  <c r="P590" i="55"/>
  <c r="Q590" i="55"/>
  <c r="O549" i="55"/>
  <c r="N84" i="183" s="1"/>
  <c r="P549" i="55"/>
  <c r="O84" i="183" s="1"/>
  <c r="Q549" i="55"/>
  <c r="P84" i="183" s="1"/>
  <c r="T84" i="183" s="1"/>
  <c r="O548" i="55"/>
  <c r="P548" i="55"/>
  <c r="Q548" i="55"/>
  <c r="O540" i="55"/>
  <c r="P540" i="55"/>
  <c r="Q540" i="55"/>
  <c r="O539" i="55"/>
  <c r="P539" i="55"/>
  <c r="Q539" i="55"/>
  <c r="O538" i="55"/>
  <c r="X283" i="178" s="1"/>
  <c r="P538" i="55"/>
  <c r="Y283" i="178" s="1"/>
  <c r="Q538" i="55"/>
  <c r="AA283" i="178" s="1"/>
  <c r="AB283" i="178" s="1"/>
  <c r="O536" i="55"/>
  <c r="P536" i="55"/>
  <c r="Q536" i="55"/>
  <c r="O532" i="55"/>
  <c r="P532" i="55"/>
  <c r="Q532" i="55"/>
  <c r="O531" i="55"/>
  <c r="P531" i="55"/>
  <c r="Q531" i="55"/>
  <c r="O529" i="55"/>
  <c r="P529" i="55"/>
  <c r="Q529" i="55"/>
  <c r="O527" i="55"/>
  <c r="P527" i="55"/>
  <c r="Q527" i="55"/>
  <c r="O526" i="55"/>
  <c r="P526" i="55"/>
  <c r="Q526" i="55"/>
  <c r="O524" i="55"/>
  <c r="P524" i="55"/>
  <c r="Q524" i="55"/>
  <c r="O523" i="55"/>
  <c r="P523" i="55"/>
  <c r="Q523" i="55"/>
  <c r="O522" i="55"/>
  <c r="P522" i="55"/>
  <c r="Q522" i="55"/>
  <c r="O521" i="55"/>
  <c r="P521" i="55"/>
  <c r="Q521" i="55"/>
  <c r="O520" i="55"/>
  <c r="P520" i="55"/>
  <c r="Q520" i="55"/>
  <c r="O519" i="55"/>
  <c r="P519" i="55"/>
  <c r="Q519" i="55"/>
  <c r="O518" i="55"/>
  <c r="P518" i="55"/>
  <c r="Q518" i="55"/>
  <c r="O514" i="55"/>
  <c r="P514" i="55"/>
  <c r="Q514" i="55"/>
  <c r="O513" i="55"/>
  <c r="P513" i="55"/>
  <c r="Q513" i="55"/>
  <c r="O512" i="55"/>
  <c r="P512" i="55"/>
  <c r="Q512" i="55"/>
  <c r="O511" i="55"/>
  <c r="P511" i="55"/>
  <c r="Q511" i="55"/>
  <c r="O510" i="55"/>
  <c r="P510" i="55"/>
  <c r="Q510" i="55"/>
  <c r="O471" i="55"/>
  <c r="P471" i="55"/>
  <c r="Q471" i="55"/>
  <c r="O467" i="55"/>
  <c r="P467" i="55"/>
  <c r="Q467" i="55"/>
  <c r="O452" i="55"/>
  <c r="P452" i="55"/>
  <c r="Q452" i="55"/>
  <c r="O449" i="55"/>
  <c r="N44" i="183" s="1"/>
  <c r="P449" i="55"/>
  <c r="O44" i="183" s="1"/>
  <c r="Q449" i="55"/>
  <c r="P44" i="183" s="1"/>
  <c r="T44" i="183" s="1"/>
  <c r="O416" i="55"/>
  <c r="P416" i="55"/>
  <c r="Q416" i="55"/>
  <c r="O415" i="55"/>
  <c r="P415" i="55"/>
  <c r="Q415" i="55"/>
  <c r="O412" i="55"/>
  <c r="P412" i="55"/>
  <c r="Q412" i="55"/>
  <c r="O409" i="55"/>
  <c r="P409" i="55"/>
  <c r="Q409" i="55"/>
  <c r="O407" i="55"/>
  <c r="P407" i="55"/>
  <c r="Q407" i="55"/>
  <c r="O391" i="55"/>
  <c r="P391" i="55"/>
  <c r="Q391" i="55"/>
  <c r="O389" i="55"/>
  <c r="P389" i="55"/>
  <c r="Q389" i="55"/>
  <c r="O388" i="55"/>
  <c r="P388" i="55"/>
  <c r="Q388" i="55"/>
  <c r="O386" i="55"/>
  <c r="P386" i="55"/>
  <c r="Q386" i="55"/>
  <c r="O385" i="55"/>
  <c r="P385" i="55"/>
  <c r="Q385" i="55"/>
  <c r="O384" i="55"/>
  <c r="P384" i="55"/>
  <c r="Q384" i="55"/>
  <c r="O382" i="55"/>
  <c r="X226" i="178" s="1"/>
  <c r="P382" i="55"/>
  <c r="Y226" i="178" s="1"/>
  <c r="Q382" i="55"/>
  <c r="AA226" i="178" s="1"/>
  <c r="AB226" i="178" s="1"/>
  <c r="O381" i="55"/>
  <c r="X218" i="178" s="1"/>
  <c r="P381" i="55"/>
  <c r="Y218" i="178" s="1"/>
  <c r="Q381" i="55"/>
  <c r="AA218" i="178" s="1"/>
  <c r="AB218" i="178" s="1"/>
  <c r="O380" i="55"/>
  <c r="X217" i="178" s="1"/>
  <c r="P380" i="55"/>
  <c r="Y217" i="178" s="1"/>
  <c r="Q380" i="55"/>
  <c r="AA217" i="178" s="1"/>
  <c r="AB217" i="178" s="1"/>
  <c r="O379" i="55"/>
  <c r="P379" i="55"/>
  <c r="Q379" i="55"/>
  <c r="O378" i="55"/>
  <c r="P378" i="55"/>
  <c r="Q378" i="55"/>
  <c r="O373" i="55"/>
  <c r="P373" i="55"/>
  <c r="Q373" i="55"/>
  <c r="O370" i="55"/>
  <c r="P370" i="55"/>
  <c r="Q370" i="55"/>
  <c r="O369" i="55"/>
  <c r="X205" i="178" s="1"/>
  <c r="P369" i="55"/>
  <c r="Y205" i="178" s="1"/>
  <c r="Q369" i="55"/>
  <c r="AA205" i="178" s="1"/>
  <c r="AB205" i="178" s="1"/>
  <c r="O368" i="55"/>
  <c r="P368" i="55"/>
  <c r="Q368" i="55"/>
  <c r="O365" i="55"/>
  <c r="P365" i="55"/>
  <c r="Q365" i="55"/>
  <c r="O364" i="55"/>
  <c r="P364" i="55"/>
  <c r="Q364" i="55"/>
  <c r="O362" i="55"/>
  <c r="P362" i="55"/>
  <c r="Q362" i="55"/>
  <c r="O361" i="55"/>
  <c r="P361" i="55"/>
  <c r="Q361" i="55"/>
  <c r="O340" i="55"/>
  <c r="P340" i="55"/>
  <c r="Q340" i="55"/>
  <c r="O339" i="55"/>
  <c r="P339" i="55"/>
  <c r="Q339" i="55"/>
  <c r="O327" i="55"/>
  <c r="P327" i="55"/>
  <c r="Q327" i="55"/>
  <c r="O326" i="55"/>
  <c r="P326" i="55"/>
  <c r="Q326" i="55"/>
  <c r="O320" i="55"/>
  <c r="P320" i="55"/>
  <c r="Q320" i="55"/>
  <c r="O319" i="55"/>
  <c r="P319" i="55"/>
  <c r="Q319" i="55"/>
  <c r="O310" i="55"/>
  <c r="P310" i="55"/>
  <c r="Q310" i="55"/>
  <c r="O309" i="55"/>
  <c r="P309" i="55"/>
  <c r="Q309" i="55"/>
  <c r="O303" i="55"/>
  <c r="N27" i="183" s="1"/>
  <c r="P303" i="55"/>
  <c r="O27" i="183" s="1"/>
  <c r="Q303" i="55"/>
  <c r="P27" i="183" s="1"/>
  <c r="T27" i="183" s="1"/>
  <c r="O284" i="55"/>
  <c r="P284" i="55"/>
  <c r="Q284" i="55"/>
  <c r="O283" i="55"/>
  <c r="X152" i="178" s="1"/>
  <c r="P283" i="55"/>
  <c r="Q283" i="55"/>
  <c r="AA152" i="178" s="1"/>
  <c r="AB152" i="178" s="1"/>
  <c r="O281" i="55"/>
  <c r="P281" i="55"/>
  <c r="Q281" i="55"/>
  <c r="P16" i="70" s="1"/>
  <c r="O277" i="55"/>
  <c r="P277" i="55"/>
  <c r="Q277" i="55"/>
  <c r="O276" i="55"/>
  <c r="P276" i="55"/>
  <c r="Q276" i="55"/>
  <c r="O275" i="55"/>
  <c r="P275" i="55"/>
  <c r="Q275" i="55"/>
  <c r="O262" i="55"/>
  <c r="P262" i="55"/>
  <c r="Q262" i="55"/>
  <c r="O261" i="55"/>
  <c r="P261" i="55"/>
  <c r="Q261" i="55"/>
  <c r="O257" i="55"/>
  <c r="P257" i="55"/>
  <c r="Q257" i="55"/>
  <c r="O265" i="55"/>
  <c r="P265" i="55"/>
  <c r="Q265" i="55"/>
  <c r="O241" i="55"/>
  <c r="P241" i="55"/>
  <c r="Q241" i="55"/>
  <c r="O242" i="55"/>
  <c r="P242" i="55"/>
  <c r="Q242" i="55"/>
  <c r="O238" i="55"/>
  <c r="P238" i="55"/>
  <c r="Q238" i="55"/>
  <c r="O233" i="55"/>
  <c r="P233" i="55"/>
  <c r="Q233" i="55"/>
  <c r="O232" i="55"/>
  <c r="X315" i="178" s="1"/>
  <c r="P232" i="55"/>
  <c r="Y315" i="178" s="1"/>
  <c r="Q232" i="55"/>
  <c r="AA315" i="178" s="1"/>
  <c r="AB315" i="178" s="1"/>
  <c r="O217" i="55"/>
  <c r="P217" i="55"/>
  <c r="Q217" i="55"/>
  <c r="O200" i="55"/>
  <c r="N4" i="183" s="1"/>
  <c r="P200" i="55"/>
  <c r="O4" i="183" s="1"/>
  <c r="Q200" i="55"/>
  <c r="P4" i="183" s="1"/>
  <c r="T4" i="183" s="1"/>
  <c r="O198" i="55"/>
  <c r="P198" i="55"/>
  <c r="Q198" i="55"/>
  <c r="O187" i="55"/>
  <c r="P187" i="55"/>
  <c r="Q187" i="55"/>
  <c r="O694" i="55"/>
  <c r="P694" i="55"/>
  <c r="Q694" i="55"/>
  <c r="O181" i="55"/>
  <c r="X223" i="178" s="1"/>
  <c r="P181" i="55"/>
  <c r="Y223" i="178" s="1"/>
  <c r="Q181" i="55"/>
  <c r="AA223" i="178" s="1"/>
  <c r="AB223" i="178" s="1"/>
  <c r="O180" i="55"/>
  <c r="X222" i="178" s="1"/>
  <c r="P180" i="55"/>
  <c r="Y222" i="178" s="1"/>
  <c r="Q180" i="55"/>
  <c r="AA222" i="178" s="1"/>
  <c r="AB222" i="178" s="1"/>
  <c r="O588" i="55"/>
  <c r="P588" i="55"/>
  <c r="Q588" i="55"/>
  <c r="O220" i="55"/>
  <c r="P220" i="55"/>
  <c r="Q220" i="55"/>
  <c r="O160" i="55"/>
  <c r="X206" i="178" s="1"/>
  <c r="P160" i="55"/>
  <c r="Y206" i="178" s="1"/>
  <c r="Q160" i="55"/>
  <c r="AA206" i="178" s="1"/>
  <c r="AB206" i="178" s="1"/>
  <c r="O163" i="55"/>
  <c r="P163" i="55"/>
  <c r="Q163" i="55"/>
  <c r="O165" i="55"/>
  <c r="X216" i="178" s="1"/>
  <c r="P165" i="55"/>
  <c r="Y216" i="178" s="1"/>
  <c r="Q165" i="55"/>
  <c r="AA216" i="178" s="1"/>
  <c r="AB216" i="178" s="1"/>
  <c r="O176" i="55"/>
  <c r="P176" i="55"/>
  <c r="Q176" i="55"/>
  <c r="O175" i="55"/>
  <c r="P175" i="55"/>
  <c r="Q175" i="55"/>
  <c r="O174" i="55"/>
  <c r="P174" i="55"/>
  <c r="Q174" i="55"/>
  <c r="O177" i="55"/>
  <c r="P177" i="55"/>
  <c r="Q177" i="55"/>
  <c r="O152" i="55"/>
  <c r="P152" i="55"/>
  <c r="Q152" i="55"/>
  <c r="O150" i="55"/>
  <c r="P150" i="55"/>
  <c r="Q150" i="55"/>
  <c r="O149" i="55"/>
  <c r="P149" i="55"/>
  <c r="Q149" i="55"/>
  <c r="O148" i="55"/>
  <c r="P148" i="55"/>
  <c r="Q148" i="55"/>
  <c r="O147" i="55"/>
  <c r="P147" i="55"/>
  <c r="Q147" i="55"/>
  <c r="O145" i="55"/>
  <c r="X67" i="178" s="1"/>
  <c r="P145" i="55"/>
  <c r="Y67" i="178" s="1"/>
  <c r="Q145" i="55"/>
  <c r="AA67" i="178" s="1"/>
  <c r="AB67" i="178" s="1"/>
  <c r="O142" i="55"/>
  <c r="P142" i="55"/>
  <c r="Q142" i="55"/>
  <c r="O139" i="55"/>
  <c r="P139" i="55"/>
  <c r="Q139" i="55"/>
  <c r="O138" i="55"/>
  <c r="P138" i="55"/>
  <c r="Q138" i="55"/>
  <c r="O134" i="55"/>
  <c r="P134" i="55"/>
  <c r="Q134" i="55"/>
  <c r="O133" i="55"/>
  <c r="P133" i="55"/>
  <c r="Q133" i="55"/>
  <c r="O162" i="55"/>
  <c r="P162" i="55"/>
  <c r="Q162" i="55"/>
  <c r="O154" i="55"/>
  <c r="P154" i="55"/>
  <c r="Q154" i="55"/>
  <c r="O125" i="55"/>
  <c r="P125" i="55"/>
  <c r="Q125" i="55"/>
  <c r="O117" i="55"/>
  <c r="P117" i="55"/>
  <c r="Q117" i="55"/>
  <c r="O112" i="55"/>
  <c r="P112" i="55"/>
  <c r="Q112" i="55"/>
  <c r="O111" i="55"/>
  <c r="P111" i="55"/>
  <c r="Q111" i="55"/>
  <c r="O108" i="55"/>
  <c r="P108" i="55"/>
  <c r="Q108" i="55"/>
  <c r="O100" i="55"/>
  <c r="P100" i="55"/>
  <c r="Q100" i="55"/>
  <c r="O99" i="55"/>
  <c r="P99" i="55"/>
  <c r="Q99" i="55"/>
  <c r="O98" i="55"/>
  <c r="P98" i="55"/>
  <c r="Q98" i="55"/>
  <c r="O97" i="55"/>
  <c r="X134" i="178" s="1"/>
  <c r="P97" i="55"/>
  <c r="Y134" i="178" s="1"/>
  <c r="Q97" i="55"/>
  <c r="O82" i="55"/>
  <c r="P82" i="55"/>
  <c r="Q82" i="55"/>
  <c r="O26" i="55"/>
  <c r="P26" i="55"/>
  <c r="Q26" i="55"/>
  <c r="O15" i="55"/>
  <c r="P15" i="55"/>
  <c r="Q15" i="55"/>
  <c r="O14" i="55"/>
  <c r="P14" i="55"/>
  <c r="Q14" i="55"/>
  <c r="C728" i="78"/>
  <c r="R696" i="55"/>
  <c r="R698" i="55"/>
  <c r="R649" i="55"/>
  <c r="R591" i="55"/>
  <c r="R697" i="55"/>
  <c r="R650" i="55"/>
  <c r="O38" i="95"/>
  <c r="C38" i="95"/>
  <c r="D38" i="95"/>
  <c r="E38" i="95"/>
  <c r="F38" i="95"/>
  <c r="G38" i="95"/>
  <c r="H38" i="95"/>
  <c r="I38" i="95"/>
  <c r="J38" i="95"/>
  <c r="K38" i="95"/>
  <c r="L38" i="95"/>
  <c r="M38" i="95"/>
  <c r="N38" i="95"/>
  <c r="C618" i="78"/>
  <c r="R588" i="55"/>
  <c r="C200" i="78"/>
  <c r="C727" i="78"/>
  <c r="R181" i="55"/>
  <c r="R694" i="55"/>
  <c r="C677" i="78"/>
  <c r="C678" i="78"/>
  <c r="R646" i="55"/>
  <c r="R647" i="55"/>
  <c r="R150" i="55"/>
  <c r="C169" i="78"/>
  <c r="R163" i="55"/>
  <c r="R160" i="55"/>
  <c r="C184" i="78"/>
  <c r="C182" i="78"/>
  <c r="C778" i="78"/>
  <c r="R742" i="55"/>
  <c r="R732" i="55"/>
  <c r="R739" i="55"/>
  <c r="R740" i="55"/>
  <c r="R741" i="55"/>
  <c r="C774" i="78"/>
  <c r="C775" i="78"/>
  <c r="C776" i="78"/>
  <c r="C777" i="78"/>
  <c r="R375" i="55"/>
  <c r="C406" i="78"/>
  <c r="R339" i="55"/>
  <c r="C369" i="78"/>
  <c r="C366" i="78"/>
  <c r="R336" i="55"/>
  <c r="R82" i="55"/>
  <c r="C99" i="78"/>
  <c r="C100" i="78"/>
  <c r="C16" i="78"/>
  <c r="R14" i="55"/>
  <c r="C15" i="78"/>
  <c r="R15" i="55"/>
  <c r="R745" i="55"/>
  <c r="R102" i="55"/>
  <c r="R587" i="55"/>
  <c r="R684" i="55"/>
  <c r="C617" i="78"/>
  <c r="C121" i="78"/>
  <c r="C716" i="78"/>
  <c r="C715" i="78"/>
  <c r="C118" i="78"/>
  <c r="C119" i="78"/>
  <c r="C120" i="78"/>
  <c r="R99" i="55"/>
  <c r="R100" i="55"/>
  <c r="R101" i="55"/>
  <c r="J30" i="70"/>
  <c r="K30" i="70" s="1"/>
  <c r="L30" i="70"/>
  <c r="M30" i="70" s="1"/>
  <c r="G30" i="70"/>
  <c r="H30" i="70" s="1"/>
  <c r="F30" i="70"/>
  <c r="D30" i="70"/>
  <c r="E30" i="70"/>
  <c r="B30" i="70"/>
  <c r="C83" i="78"/>
  <c r="C372" i="78"/>
  <c r="C262" i="78"/>
  <c r="R241" i="55"/>
  <c r="R242" i="55"/>
  <c r="R251" i="55"/>
  <c r="C87" i="78"/>
  <c r="C183" i="78"/>
  <c r="R164" i="55"/>
  <c r="R335" i="55"/>
  <c r="R245" i="55"/>
  <c r="R193" i="55"/>
  <c r="R250" i="55"/>
  <c r="C270" i="78"/>
  <c r="C212" i="78"/>
  <c r="C275" i="78"/>
  <c r="C213" i="78"/>
  <c r="C276" i="78"/>
  <c r="J13" i="70"/>
  <c r="K13" i="70" s="1"/>
  <c r="L13" i="70"/>
  <c r="M13" i="70" s="1"/>
  <c r="G13" i="70"/>
  <c r="I13" i="70" s="1"/>
  <c r="D13" i="70"/>
  <c r="E13" i="70"/>
  <c r="B13" i="70"/>
  <c r="C308" i="78"/>
  <c r="R279" i="55"/>
  <c r="P13" i="70"/>
  <c r="R627" i="55"/>
  <c r="C658" i="78"/>
  <c r="R586" i="55"/>
  <c r="R585" i="55"/>
  <c r="C615" i="78"/>
  <c r="R360" i="55"/>
  <c r="C391" i="78"/>
  <c r="R338" i="55"/>
  <c r="C368" i="78"/>
  <c r="R334" i="55"/>
  <c r="C364" i="78"/>
  <c r="R333" i="55"/>
  <c r="C363" i="78"/>
  <c r="C362" i="78"/>
  <c r="R332" i="55"/>
  <c r="R208" i="55"/>
  <c r="C231" i="78"/>
  <c r="R72" i="55"/>
  <c r="C89" i="78"/>
  <c r="C75" i="78"/>
  <c r="R63" i="55"/>
  <c r="C61" i="78"/>
  <c r="R50" i="55"/>
  <c r="R628" i="55"/>
  <c r="R73" i="55"/>
  <c r="R372" i="55"/>
  <c r="R374" i="55"/>
  <c r="R209" i="55"/>
  <c r="R74" i="55"/>
  <c r="C659" i="78"/>
  <c r="C90" i="78"/>
  <c r="C365" i="78"/>
  <c r="C403" i="78"/>
  <c r="C405" i="78"/>
  <c r="C232" i="78"/>
  <c r="C235" i="78"/>
  <c r="C91" i="78"/>
  <c r="C92" i="78"/>
  <c r="R371" i="55"/>
  <c r="C402" i="78"/>
  <c r="C731" i="78"/>
  <c r="C680" i="78"/>
  <c r="C621" i="78"/>
  <c r="C730" i="78"/>
  <c r="C681" i="78"/>
  <c r="C729" i="78"/>
  <c r="J98" i="70"/>
  <c r="L98" i="70"/>
  <c r="J99" i="70"/>
  <c r="L99" i="70"/>
  <c r="J100" i="70"/>
  <c r="L100" i="70"/>
  <c r="G100" i="70"/>
  <c r="H100" i="70" s="1"/>
  <c r="F100" i="70"/>
  <c r="D100" i="70"/>
  <c r="E100" i="70"/>
  <c r="G98" i="70"/>
  <c r="H98" i="70" s="1"/>
  <c r="G99" i="70"/>
  <c r="F99" i="70"/>
  <c r="F98" i="70"/>
  <c r="D98" i="70"/>
  <c r="E98" i="70"/>
  <c r="D99" i="70"/>
  <c r="E99" i="70"/>
  <c r="B98" i="70"/>
  <c r="B99" i="70"/>
  <c r="B100" i="70"/>
  <c r="C723" i="78"/>
  <c r="R689" i="55"/>
  <c r="R690" i="55"/>
  <c r="J96" i="70"/>
  <c r="L96" i="70"/>
  <c r="M96" i="70" s="1"/>
  <c r="J97" i="70"/>
  <c r="K97" i="70" s="1"/>
  <c r="L97" i="70"/>
  <c r="G96" i="70"/>
  <c r="G97" i="70"/>
  <c r="I97" i="70" s="1"/>
  <c r="F97" i="70"/>
  <c r="F96" i="70"/>
  <c r="D96" i="70"/>
  <c r="E96" i="70"/>
  <c r="D97" i="70"/>
  <c r="E97" i="70"/>
  <c r="B96" i="70"/>
  <c r="B97" i="70"/>
  <c r="B102" i="70"/>
  <c r="N97" i="70"/>
  <c r="R688" i="55"/>
  <c r="N96" i="70"/>
  <c r="J76" i="70"/>
  <c r="K76" i="70" s="1"/>
  <c r="L76" i="70"/>
  <c r="J77" i="70"/>
  <c r="L77" i="70"/>
  <c r="G76" i="70"/>
  <c r="I76" i="70" s="1"/>
  <c r="G77" i="70"/>
  <c r="I77" i="70" s="1"/>
  <c r="F77" i="70"/>
  <c r="F76" i="70"/>
  <c r="D76" i="70"/>
  <c r="E76" i="70"/>
  <c r="D77" i="70"/>
  <c r="E77" i="70"/>
  <c r="B76" i="70"/>
  <c r="B77" i="70"/>
  <c r="J39" i="70"/>
  <c r="L39" i="70"/>
  <c r="G39" i="70"/>
  <c r="I39" i="70" s="1"/>
  <c r="F39" i="70"/>
  <c r="D39" i="70"/>
  <c r="E39" i="70"/>
  <c r="B39" i="70"/>
  <c r="C562" i="78"/>
  <c r="J74" i="70"/>
  <c r="L74" i="70"/>
  <c r="J75" i="70"/>
  <c r="L75" i="70"/>
  <c r="G74" i="70"/>
  <c r="H74" i="70" s="1"/>
  <c r="G75" i="70"/>
  <c r="F75" i="70"/>
  <c r="F74" i="70"/>
  <c r="D74" i="70"/>
  <c r="E74" i="70"/>
  <c r="D75" i="70"/>
  <c r="E75" i="70"/>
  <c r="B74" i="70"/>
  <c r="B75" i="70"/>
  <c r="R53" i="55"/>
  <c r="C424" i="78"/>
  <c r="O394" i="55"/>
  <c r="P394" i="55"/>
  <c r="Q394" i="55"/>
  <c r="R394" i="55"/>
  <c r="R337" i="55"/>
  <c r="C367" i="78"/>
  <c r="C612" i="78"/>
  <c r="R582" i="55"/>
  <c r="R176" i="55"/>
  <c r="C194" i="78"/>
  <c r="C195" i="78"/>
  <c r="J9" i="70"/>
  <c r="L9" i="70"/>
  <c r="G9" i="70"/>
  <c r="H9" i="70" s="1"/>
  <c r="F9" i="70"/>
  <c r="D9" i="70"/>
  <c r="E9" i="70"/>
  <c r="B9" i="70"/>
  <c r="J11" i="70"/>
  <c r="K11" i="70" s="1"/>
  <c r="L11" i="70"/>
  <c r="M11" i="70" s="1"/>
  <c r="G11" i="70"/>
  <c r="H11" i="70" s="1"/>
  <c r="D11" i="70"/>
  <c r="E11" i="70"/>
  <c r="B11" i="70"/>
  <c r="C607" i="78"/>
  <c r="R577" i="55"/>
  <c r="C606" i="78"/>
  <c r="R576" i="55"/>
  <c r="C361" i="78"/>
  <c r="R331" i="55"/>
  <c r="C360" i="78"/>
  <c r="R330" i="55"/>
  <c r="C359" i="78"/>
  <c r="R329" i="55"/>
  <c r="R191" i="55"/>
  <c r="C214" i="78"/>
  <c r="R186" i="55"/>
  <c r="C207" i="78"/>
  <c r="O185" i="55"/>
  <c r="P185" i="55"/>
  <c r="Q185" i="55"/>
  <c r="R185" i="55"/>
  <c r="C206" i="78"/>
  <c r="R146" i="55"/>
  <c r="C165" i="78"/>
  <c r="R151" i="55"/>
  <c r="R62" i="55"/>
  <c r="C74" i="78"/>
  <c r="C69" i="78"/>
  <c r="R57" i="55"/>
  <c r="R56" i="55"/>
  <c r="C68" i="78"/>
  <c r="R276" i="55"/>
  <c r="R277" i="55"/>
  <c r="C305" i="78"/>
  <c r="C306" i="78"/>
  <c r="R147" i="55"/>
  <c r="R165" i="55"/>
  <c r="C166" i="78"/>
  <c r="C179" i="78"/>
  <c r="R139" i="55"/>
  <c r="R415" i="55"/>
  <c r="C445" i="78"/>
  <c r="R220" i="55"/>
  <c r="C244" i="78"/>
  <c r="R578" i="55"/>
  <c r="C608" i="78"/>
  <c r="R180" i="55"/>
  <c r="C199" i="78"/>
  <c r="O473" i="55"/>
  <c r="P473" i="55"/>
  <c r="Q473" i="55"/>
  <c r="R473" i="55"/>
  <c r="C503" i="78"/>
  <c r="O472" i="55"/>
  <c r="P472" i="55"/>
  <c r="Q472" i="55"/>
  <c r="R472" i="55"/>
  <c r="C502" i="78"/>
  <c r="R416" i="55"/>
  <c r="C446" i="78"/>
  <c r="O677" i="55"/>
  <c r="P677" i="55"/>
  <c r="Q677" i="55"/>
  <c r="R677" i="55"/>
  <c r="R791" i="55"/>
  <c r="R148" i="55"/>
  <c r="R149" i="55"/>
  <c r="R152" i="55"/>
  <c r="C708" i="78"/>
  <c r="C827" i="78"/>
  <c r="C167" i="78"/>
  <c r="C168" i="78"/>
  <c r="C171" i="78"/>
  <c r="F94" i="70"/>
  <c r="D94" i="70"/>
  <c r="E94" i="70"/>
  <c r="F93" i="70"/>
  <c r="F92" i="70"/>
  <c r="G91" i="70"/>
  <c r="J91" i="70"/>
  <c r="L91" i="70"/>
  <c r="G92" i="70"/>
  <c r="I92" i="70" s="1"/>
  <c r="J92" i="70"/>
  <c r="L92" i="70"/>
  <c r="G93" i="70"/>
  <c r="H93" i="70" s="1"/>
  <c r="J93" i="70"/>
  <c r="L93" i="70"/>
  <c r="M93" i="70" s="1"/>
  <c r="G94" i="70"/>
  <c r="H94" i="70" s="1"/>
  <c r="J94" i="70"/>
  <c r="L94" i="70"/>
  <c r="M94" i="70" s="1"/>
  <c r="G95" i="70"/>
  <c r="H95" i="70" s="1"/>
  <c r="J95" i="70"/>
  <c r="L95" i="70"/>
  <c r="F91" i="70"/>
  <c r="F90" i="70"/>
  <c r="D91" i="70"/>
  <c r="E91" i="70"/>
  <c r="G89" i="70"/>
  <c r="H89" i="70" s="1"/>
  <c r="J89" i="70"/>
  <c r="L89" i="70"/>
  <c r="D89" i="70"/>
  <c r="E89" i="70"/>
  <c r="F89" i="70"/>
  <c r="F88" i="70"/>
  <c r="F87" i="70"/>
  <c r="B89" i="70"/>
  <c r="B90" i="70"/>
  <c r="B91" i="70"/>
  <c r="B92" i="70"/>
  <c r="B93" i="70"/>
  <c r="B94" i="70"/>
  <c r="O729" i="55"/>
  <c r="P729" i="55"/>
  <c r="Q729" i="55"/>
  <c r="R729" i="55"/>
  <c r="C765" i="78"/>
  <c r="O727" i="55"/>
  <c r="P727" i="55"/>
  <c r="Q727" i="55"/>
  <c r="R727" i="55"/>
  <c r="C763" i="78"/>
  <c r="O722" i="55"/>
  <c r="P722" i="55"/>
  <c r="Q722" i="55"/>
  <c r="R722" i="55"/>
  <c r="C758" i="78"/>
  <c r="R644" i="55"/>
  <c r="C675" i="78"/>
  <c r="R219" i="55"/>
  <c r="C243" i="78"/>
  <c r="C164" i="78"/>
  <c r="R145" i="55"/>
  <c r="R249" i="55"/>
  <c r="R190" i="55"/>
  <c r="R192" i="55"/>
  <c r="R248" i="55"/>
  <c r="G12" i="70"/>
  <c r="I12" i="70" s="1"/>
  <c r="J12" i="70"/>
  <c r="K12" i="70" s="1"/>
  <c r="L12" i="70"/>
  <c r="M12" i="70" s="1"/>
  <c r="D12" i="70"/>
  <c r="E12" i="70"/>
  <c r="B12" i="70"/>
  <c r="C274" i="78"/>
  <c r="C215" i="78"/>
  <c r="C273" i="78"/>
  <c r="C95" i="78"/>
  <c r="C272" i="78"/>
  <c r="C271" i="78"/>
  <c r="R247" i="55"/>
  <c r="R246" i="55"/>
  <c r="R798" i="55"/>
  <c r="C834" i="78"/>
  <c r="R730" i="55"/>
  <c r="C766" i="78"/>
  <c r="R637" i="55"/>
  <c r="C668" i="78"/>
  <c r="R626" i="55"/>
  <c r="C657" i="78"/>
  <c r="C433" i="78"/>
  <c r="C434" i="78"/>
  <c r="O401" i="55"/>
  <c r="P401" i="55"/>
  <c r="Q401" i="55"/>
  <c r="R401" i="55"/>
  <c r="R403" i="55"/>
  <c r="R404" i="55"/>
  <c r="C431" i="78"/>
  <c r="O201" i="55"/>
  <c r="P201" i="55"/>
  <c r="Q201" i="55"/>
  <c r="R201" i="55"/>
  <c r="C211" i="78"/>
  <c r="R169" i="55"/>
  <c r="C189" i="78"/>
  <c r="C614" i="78"/>
  <c r="R584" i="55"/>
  <c r="C62" i="78"/>
  <c r="R43" i="55"/>
  <c r="C47" i="78"/>
  <c r="R38" i="55"/>
  <c r="R790" i="55"/>
  <c r="C826" i="78"/>
  <c r="C707" i="78"/>
  <c r="O676" i="55"/>
  <c r="P676" i="55"/>
  <c r="Q676" i="55"/>
  <c r="R676" i="55"/>
  <c r="O179" i="55"/>
  <c r="P179" i="55"/>
  <c r="Q179" i="55"/>
  <c r="R179" i="55"/>
  <c r="C198" i="78"/>
  <c r="C600" i="78"/>
  <c r="R570" i="55"/>
  <c r="R574" i="55"/>
  <c r="C604" i="78"/>
  <c r="C711" i="78"/>
  <c r="C712" i="78"/>
  <c r="C713" i="78"/>
  <c r="O680" i="55"/>
  <c r="P680" i="55"/>
  <c r="Q680" i="55"/>
  <c r="R680" i="55"/>
  <c r="O681" i="55"/>
  <c r="P681" i="55"/>
  <c r="Q681" i="55"/>
  <c r="R681" i="55"/>
  <c r="O682" i="55"/>
  <c r="P682" i="55"/>
  <c r="Q682" i="55"/>
  <c r="R682" i="55"/>
  <c r="O443" i="55"/>
  <c r="P443" i="55"/>
  <c r="Q443" i="55"/>
  <c r="R443" i="55"/>
  <c r="J68" i="70"/>
  <c r="L68" i="70"/>
  <c r="J69" i="70"/>
  <c r="L69" i="70"/>
  <c r="J70" i="70"/>
  <c r="L70" i="70"/>
  <c r="G68" i="70"/>
  <c r="H68" i="70" s="1"/>
  <c r="G69" i="70"/>
  <c r="H69" i="70" s="1"/>
  <c r="G70" i="70"/>
  <c r="H70" i="70" s="1"/>
  <c r="F70" i="70"/>
  <c r="F69" i="70"/>
  <c r="F68" i="70"/>
  <c r="D68" i="70"/>
  <c r="E68" i="70"/>
  <c r="D69" i="70"/>
  <c r="E69" i="70"/>
  <c r="D70" i="70"/>
  <c r="E70" i="70"/>
  <c r="B69" i="70"/>
  <c r="B68" i="70"/>
  <c r="B70" i="70"/>
  <c r="R571" i="55"/>
  <c r="C601" i="78"/>
  <c r="R566" i="55"/>
  <c r="C596" i="78"/>
  <c r="O444" i="55"/>
  <c r="P444" i="55"/>
  <c r="Q444" i="55"/>
  <c r="R444" i="55"/>
  <c r="O445" i="55"/>
  <c r="P445" i="55"/>
  <c r="Q445" i="55"/>
  <c r="R445" i="55"/>
  <c r="O446" i="55"/>
  <c r="P446" i="55"/>
  <c r="Q446" i="55"/>
  <c r="R446" i="55"/>
  <c r="C476" i="78"/>
  <c r="C473" i="78"/>
  <c r="O144" i="55"/>
  <c r="P144" i="55"/>
  <c r="Q144" i="55"/>
  <c r="R144" i="55"/>
  <c r="C163" i="78"/>
  <c r="J71" i="70"/>
  <c r="L71" i="70"/>
  <c r="J72" i="70"/>
  <c r="L72" i="70"/>
  <c r="M72" i="70" s="1"/>
  <c r="D71" i="70"/>
  <c r="E71" i="70"/>
  <c r="D72" i="70"/>
  <c r="E72" i="70"/>
  <c r="G71" i="70"/>
  <c r="H71" i="70" s="1"/>
  <c r="G72" i="70"/>
  <c r="H72" i="70" s="1"/>
  <c r="F72" i="70"/>
  <c r="B72" i="70"/>
  <c r="B71" i="70"/>
  <c r="C602" i="78"/>
  <c r="R572" i="55"/>
  <c r="J73" i="70"/>
  <c r="L73" i="70"/>
  <c r="G73" i="70"/>
  <c r="I73" i="70" s="1"/>
  <c r="F73" i="70"/>
  <c r="D73" i="70"/>
  <c r="E73" i="70"/>
  <c r="B73" i="70"/>
  <c r="R573" i="55"/>
  <c r="C603" i="78"/>
  <c r="R636" i="55"/>
  <c r="C667" i="78"/>
  <c r="R635" i="55"/>
  <c r="C666" i="78"/>
  <c r="R95" i="55"/>
  <c r="C114" i="78"/>
  <c r="R94" i="55"/>
  <c r="C113" i="78"/>
  <c r="R184" i="55"/>
  <c r="C205" i="78"/>
  <c r="C59" i="78"/>
  <c r="O48" i="55"/>
  <c r="P48" i="55"/>
  <c r="Q48" i="55"/>
  <c r="R48" i="55"/>
  <c r="R564" i="55"/>
  <c r="R143" i="55"/>
  <c r="C594" i="78"/>
  <c r="C162" i="78"/>
  <c r="J47" i="70"/>
  <c r="L47" i="70"/>
  <c r="G47" i="70"/>
  <c r="H47" i="70" s="1"/>
  <c r="F47" i="70"/>
  <c r="F46" i="70"/>
  <c r="D47" i="70"/>
  <c r="E47" i="70"/>
  <c r="B47" i="70"/>
  <c r="R140" i="55"/>
  <c r="J59" i="70"/>
  <c r="L59" i="70"/>
  <c r="G59" i="70"/>
  <c r="F59" i="70"/>
  <c r="D59" i="70"/>
  <c r="E59" i="70"/>
  <c r="B59" i="70"/>
  <c r="J25" i="70"/>
  <c r="L25" i="70"/>
  <c r="G25" i="70"/>
  <c r="I25" i="70" s="1"/>
  <c r="F25" i="70"/>
  <c r="D25" i="70"/>
  <c r="E25" i="70"/>
  <c r="B25" i="70"/>
  <c r="F63" i="70"/>
  <c r="J65" i="70"/>
  <c r="L65" i="70"/>
  <c r="J66" i="70"/>
  <c r="L66" i="70"/>
  <c r="J67" i="70"/>
  <c r="L67" i="70"/>
  <c r="G65" i="70"/>
  <c r="H65" i="70" s="1"/>
  <c r="G66" i="70"/>
  <c r="H66" i="70" s="1"/>
  <c r="G67" i="70"/>
  <c r="H67" i="70" s="1"/>
  <c r="B65" i="70"/>
  <c r="B66" i="70"/>
  <c r="B67" i="70"/>
  <c r="R555" i="55"/>
  <c r="C585" i="78"/>
  <c r="F67" i="70"/>
  <c r="F65" i="70"/>
  <c r="F66" i="70"/>
  <c r="D65" i="70"/>
  <c r="E65" i="70"/>
  <c r="D66" i="70"/>
  <c r="E66" i="70"/>
  <c r="D67" i="70"/>
  <c r="E67" i="70"/>
  <c r="J3" i="70"/>
  <c r="L3" i="70"/>
  <c r="J7" i="70"/>
  <c r="K7" i="70" s="1"/>
  <c r="L7" i="70"/>
  <c r="M7" i="70" s="1"/>
  <c r="J8" i="70"/>
  <c r="K8" i="70" s="1"/>
  <c r="L8" i="70"/>
  <c r="M8" i="70" s="1"/>
  <c r="J10" i="70"/>
  <c r="K10" i="70" s="1"/>
  <c r="L10" i="70"/>
  <c r="M10" i="70" s="1"/>
  <c r="J14" i="70"/>
  <c r="K14" i="70" s="1"/>
  <c r="L14" i="70"/>
  <c r="M14" i="70" s="1"/>
  <c r="J15" i="70"/>
  <c r="K15" i="70" s="1"/>
  <c r="L15" i="70"/>
  <c r="M15" i="70" s="1"/>
  <c r="J16" i="70"/>
  <c r="K16" i="70" s="1"/>
  <c r="L16" i="70"/>
  <c r="M16" i="70" s="1"/>
  <c r="J17" i="70"/>
  <c r="L17" i="70"/>
  <c r="M17" i="70" s="1"/>
  <c r="J18" i="70"/>
  <c r="K18" i="70" s="1"/>
  <c r="L18" i="70"/>
  <c r="M18" i="70" s="1"/>
  <c r="J19" i="70"/>
  <c r="L19" i="70"/>
  <c r="J20" i="70"/>
  <c r="L20" i="70"/>
  <c r="J21" i="70"/>
  <c r="L21" i="70"/>
  <c r="J22" i="70"/>
  <c r="K22" i="70" s="1"/>
  <c r="L22" i="70"/>
  <c r="J23" i="70"/>
  <c r="L23" i="70"/>
  <c r="J24" i="70"/>
  <c r="L24" i="70"/>
  <c r="J26" i="70"/>
  <c r="L26" i="70"/>
  <c r="J27" i="70"/>
  <c r="L27" i="70"/>
  <c r="J28" i="70"/>
  <c r="L28" i="70"/>
  <c r="M28" i="70" s="1"/>
  <c r="J29" i="70"/>
  <c r="L29" i="70"/>
  <c r="J31" i="70"/>
  <c r="K31" i="70" s="1"/>
  <c r="L31" i="70"/>
  <c r="M31" i="70" s="1"/>
  <c r="J32" i="70"/>
  <c r="L32" i="70"/>
  <c r="J33" i="70"/>
  <c r="L33" i="70"/>
  <c r="J34" i="70"/>
  <c r="L34" i="70"/>
  <c r="J80" i="70"/>
  <c r="L80" i="70"/>
  <c r="M80" i="70" s="1"/>
  <c r="J81" i="70"/>
  <c r="L81" i="70"/>
  <c r="J35" i="70"/>
  <c r="L35" i="70"/>
  <c r="M35" i="70" s="1"/>
  <c r="J36" i="70"/>
  <c r="L36" i="70"/>
  <c r="J37" i="70"/>
  <c r="L37" i="70"/>
  <c r="M37" i="70" s="1"/>
  <c r="J78" i="70"/>
  <c r="L78" i="70"/>
  <c r="J79" i="70"/>
  <c r="K79" i="70" s="1"/>
  <c r="L79" i="70"/>
  <c r="M79" i="70" s="1"/>
  <c r="J82" i="70"/>
  <c r="L82" i="70"/>
  <c r="J83" i="70"/>
  <c r="L83" i="70"/>
  <c r="M83" i="70" s="1"/>
  <c r="J38" i="70"/>
  <c r="L38" i="70"/>
  <c r="J40" i="70"/>
  <c r="L40" i="70"/>
  <c r="J41" i="70"/>
  <c r="L41" i="70"/>
  <c r="J42" i="70"/>
  <c r="L42" i="70"/>
  <c r="J43" i="70"/>
  <c r="L43" i="70"/>
  <c r="J44" i="70"/>
  <c r="L44" i="70"/>
  <c r="J45" i="70"/>
  <c r="L45" i="70"/>
  <c r="J46" i="70"/>
  <c r="K46" i="70" s="1"/>
  <c r="L46" i="70"/>
  <c r="M46" i="70" s="1"/>
  <c r="J48" i="70"/>
  <c r="L48" i="70"/>
  <c r="J49" i="70"/>
  <c r="L49" i="70"/>
  <c r="J50" i="70"/>
  <c r="L50" i="70"/>
  <c r="J51" i="70"/>
  <c r="L51" i="70"/>
  <c r="J52" i="70"/>
  <c r="L52" i="70"/>
  <c r="J53" i="70"/>
  <c r="L53" i="70"/>
  <c r="J54" i="70"/>
  <c r="L54" i="70"/>
  <c r="J55" i="70"/>
  <c r="L55" i="70"/>
  <c r="J56" i="70"/>
  <c r="L56" i="70"/>
  <c r="J57" i="70"/>
  <c r="L57" i="70"/>
  <c r="J58" i="70"/>
  <c r="L58" i="70"/>
  <c r="J60" i="70"/>
  <c r="L60" i="70"/>
  <c r="J61" i="70"/>
  <c r="L61" i="70"/>
  <c r="J62" i="70"/>
  <c r="L62" i="70"/>
  <c r="J63" i="70"/>
  <c r="K63" i="70" s="1"/>
  <c r="L63" i="70"/>
  <c r="J64" i="70"/>
  <c r="L64" i="70"/>
  <c r="J85" i="70"/>
  <c r="L85" i="70"/>
  <c r="J86" i="70"/>
  <c r="L86" i="70"/>
  <c r="J87" i="70"/>
  <c r="K87" i="70" s="1"/>
  <c r="L87" i="70"/>
  <c r="J88" i="70"/>
  <c r="K88" i="70" s="1"/>
  <c r="L88" i="70"/>
  <c r="M88" i="70" s="1"/>
  <c r="J90" i="70"/>
  <c r="K90" i="70" s="1"/>
  <c r="L90" i="70"/>
  <c r="J101" i="70"/>
  <c r="K101" i="70" s="1"/>
  <c r="L101" i="70"/>
  <c r="M101" i="70" s="1"/>
  <c r="J102" i="70"/>
  <c r="K102" i="70" s="1"/>
  <c r="L102" i="70"/>
  <c r="M102" i="70" s="1"/>
  <c r="J103" i="70"/>
  <c r="K103" i="70" s="1"/>
  <c r="L103" i="70"/>
  <c r="M103" i="70" s="1"/>
  <c r="J104" i="70"/>
  <c r="K104" i="70" s="1"/>
  <c r="L104" i="70"/>
  <c r="M104" i="70" s="1"/>
  <c r="J105" i="70"/>
  <c r="L105" i="70"/>
  <c r="J106" i="70"/>
  <c r="L106" i="70"/>
  <c r="J107" i="70"/>
  <c r="L107" i="70"/>
  <c r="L2" i="70"/>
  <c r="J2" i="70"/>
  <c r="G50" i="70"/>
  <c r="G51" i="70"/>
  <c r="H51" i="70" s="1"/>
  <c r="F51" i="70"/>
  <c r="F50" i="70"/>
  <c r="D50" i="70"/>
  <c r="E50" i="70"/>
  <c r="D51" i="70"/>
  <c r="E51" i="70"/>
  <c r="B51" i="70"/>
  <c r="B50" i="70"/>
  <c r="G56" i="70"/>
  <c r="G57" i="70"/>
  <c r="H57" i="70" s="1"/>
  <c r="F57" i="70"/>
  <c r="F56" i="70"/>
  <c r="D56" i="70"/>
  <c r="E56" i="70"/>
  <c r="D57" i="70"/>
  <c r="E57" i="70"/>
  <c r="B56" i="70"/>
  <c r="B57" i="70"/>
  <c r="C577" i="78"/>
  <c r="R547" i="55"/>
  <c r="O645" i="55"/>
  <c r="P645" i="55"/>
  <c r="Q645" i="55"/>
  <c r="R645" i="55"/>
  <c r="C676" i="78"/>
  <c r="O728" i="55"/>
  <c r="P728" i="55"/>
  <c r="Q728" i="55"/>
  <c r="R728" i="55"/>
  <c r="C764" i="78"/>
  <c r="O726" i="55"/>
  <c r="P726" i="55"/>
  <c r="Q726" i="55"/>
  <c r="R726" i="55"/>
  <c r="C762" i="78"/>
  <c r="R544" i="55"/>
  <c r="C574" i="78"/>
  <c r="R369" i="55"/>
  <c r="C400" i="78"/>
  <c r="R368" i="55"/>
  <c r="C399" i="78"/>
  <c r="O411" i="55"/>
  <c r="P411" i="55"/>
  <c r="Q411" i="55"/>
  <c r="R411" i="55"/>
  <c r="C441" i="78"/>
  <c r="C442" i="78"/>
  <c r="R370" i="55"/>
  <c r="C401" i="78"/>
  <c r="R673" i="55"/>
  <c r="R674" i="55"/>
  <c r="C705" i="78"/>
  <c r="C704" i="78"/>
  <c r="C158" i="78"/>
  <c r="C160" i="78"/>
  <c r="O141" i="55"/>
  <c r="P141" i="55"/>
  <c r="Q141" i="55"/>
  <c r="R141" i="55"/>
  <c r="R134" i="55"/>
  <c r="C153" i="78"/>
  <c r="R562" i="55"/>
  <c r="R589" i="55"/>
  <c r="R590" i="55"/>
  <c r="R563" i="55"/>
  <c r="R556" i="55"/>
  <c r="R233" i="55"/>
  <c r="R232" i="55"/>
  <c r="R561" i="55"/>
  <c r="R560" i="55"/>
  <c r="C592" i="78"/>
  <c r="C619" i="78"/>
  <c r="C620" i="78"/>
  <c r="C593" i="78"/>
  <c r="C586" i="78"/>
  <c r="C257" i="78"/>
  <c r="C256" i="78"/>
  <c r="C591" i="78"/>
  <c r="C590" i="78"/>
  <c r="R683" i="55"/>
  <c r="C714" i="78"/>
  <c r="C304" i="78"/>
  <c r="C587" i="78"/>
  <c r="R557" i="55"/>
  <c r="C656" i="78"/>
  <c r="C652" i="78"/>
  <c r="C653" i="78"/>
  <c r="C654" i="78"/>
  <c r="C655" i="78"/>
  <c r="O625" i="55"/>
  <c r="P625" i="55"/>
  <c r="Q625" i="55"/>
  <c r="R625" i="55"/>
  <c r="O621" i="55"/>
  <c r="P621" i="55"/>
  <c r="Q621" i="55"/>
  <c r="R621" i="55"/>
  <c r="O622" i="55"/>
  <c r="P622" i="55"/>
  <c r="Q622" i="55"/>
  <c r="R622" i="55"/>
  <c r="O623" i="55"/>
  <c r="P623" i="55"/>
  <c r="Q623" i="55"/>
  <c r="R623" i="55"/>
  <c r="O624" i="55"/>
  <c r="P624" i="55"/>
  <c r="Q624" i="55"/>
  <c r="R624" i="55"/>
  <c r="R786" i="55"/>
  <c r="O393" i="55"/>
  <c r="P393" i="55"/>
  <c r="Q393" i="55"/>
  <c r="R393" i="55"/>
  <c r="R785" i="55"/>
  <c r="R672" i="55"/>
  <c r="R142" i="55"/>
  <c r="R788" i="55"/>
  <c r="R787" i="55"/>
  <c r="C822" i="78"/>
  <c r="C423" i="78"/>
  <c r="C821" i="78"/>
  <c r="C703" i="78"/>
  <c r="C161" i="78"/>
  <c r="C824" i="78"/>
  <c r="C823" i="78"/>
  <c r="C181" i="78"/>
  <c r="R675" i="55"/>
  <c r="C706" i="78"/>
  <c r="G58" i="70"/>
  <c r="H58" i="70" s="1"/>
  <c r="F58" i="70"/>
  <c r="D58" i="70"/>
  <c r="E58" i="70"/>
  <c r="B58" i="70"/>
  <c r="C578" i="78"/>
  <c r="R548" i="55"/>
  <c r="G43" i="70"/>
  <c r="F43" i="70"/>
  <c r="D43" i="70"/>
  <c r="E43" i="70"/>
  <c r="B43" i="70"/>
  <c r="R540" i="55"/>
  <c r="C570" i="78"/>
  <c r="G42" i="70"/>
  <c r="H42" i="70" s="1"/>
  <c r="D42" i="70"/>
  <c r="E42" i="70"/>
  <c r="F42" i="70"/>
  <c r="B42" i="70"/>
  <c r="C569" i="78"/>
  <c r="R539" i="55"/>
  <c r="G107" i="70"/>
  <c r="H107" i="70" s="1"/>
  <c r="F107" i="70"/>
  <c r="D107" i="70"/>
  <c r="E107" i="70"/>
  <c r="B107" i="70"/>
  <c r="C803" i="78"/>
  <c r="R767" i="55"/>
  <c r="G28" i="70"/>
  <c r="I28" i="70" s="1"/>
  <c r="G27" i="70"/>
  <c r="I27" i="70" s="1"/>
  <c r="F28" i="70"/>
  <c r="D28" i="70"/>
  <c r="E28" i="70"/>
  <c r="B28" i="70"/>
  <c r="G26" i="70"/>
  <c r="I26" i="70" s="1"/>
  <c r="F26" i="70"/>
  <c r="D26" i="70"/>
  <c r="E26" i="70"/>
  <c r="B26" i="70"/>
  <c r="G54" i="70"/>
  <c r="H54" i="70" s="1"/>
  <c r="G55" i="70"/>
  <c r="H55" i="70" s="1"/>
  <c r="F55" i="70"/>
  <c r="F54" i="70"/>
  <c r="D54" i="70"/>
  <c r="E54" i="70"/>
  <c r="D55" i="70"/>
  <c r="E55" i="70"/>
  <c r="B54" i="70"/>
  <c r="B55" i="70"/>
  <c r="G48" i="70"/>
  <c r="G49" i="70"/>
  <c r="H49" i="70" s="1"/>
  <c r="F49" i="70"/>
  <c r="F48" i="70"/>
  <c r="D48" i="70"/>
  <c r="E48" i="70"/>
  <c r="D49" i="70"/>
  <c r="E49" i="70"/>
  <c r="B48" i="70"/>
  <c r="B49" i="70"/>
  <c r="G52" i="70"/>
  <c r="I52" i="70" s="1"/>
  <c r="G53" i="70"/>
  <c r="H53" i="70" s="1"/>
  <c r="F53" i="70"/>
  <c r="F52" i="70"/>
  <c r="D52" i="70"/>
  <c r="E52" i="70"/>
  <c r="D53" i="70"/>
  <c r="E53" i="70"/>
  <c r="B52" i="70"/>
  <c r="B53" i="70"/>
  <c r="G46" i="70"/>
  <c r="H46" i="70" s="1"/>
  <c r="D46" i="70"/>
  <c r="E46" i="70"/>
  <c r="B46" i="70"/>
  <c r="G44" i="70"/>
  <c r="I44" i="70" s="1"/>
  <c r="G45" i="70"/>
  <c r="H45" i="70" s="1"/>
  <c r="F45" i="70"/>
  <c r="F44" i="70"/>
  <c r="D44" i="70"/>
  <c r="E44" i="70"/>
  <c r="D45" i="70"/>
  <c r="E45" i="70"/>
  <c r="B44" i="70"/>
  <c r="B45" i="70"/>
  <c r="G2" i="70"/>
  <c r="H2" i="70" s="1"/>
  <c r="G3" i="70"/>
  <c r="H3" i="70" s="1"/>
  <c r="F3" i="70"/>
  <c r="F2" i="70"/>
  <c r="D2" i="70"/>
  <c r="E2" i="70"/>
  <c r="D3" i="70"/>
  <c r="E3" i="70"/>
  <c r="B3" i="70"/>
  <c r="B2" i="70"/>
  <c r="G29" i="70"/>
  <c r="I29" i="70" s="1"/>
  <c r="F29" i="70"/>
  <c r="D29" i="70"/>
  <c r="E29" i="70"/>
  <c r="B29" i="70"/>
  <c r="G24" i="70"/>
  <c r="H24" i="70" s="1"/>
  <c r="F24" i="70"/>
  <c r="D24" i="70"/>
  <c r="E24" i="70"/>
  <c r="B24" i="70"/>
  <c r="G63" i="70"/>
  <c r="G64" i="70"/>
  <c r="H64" i="70" s="1"/>
  <c r="F64" i="70"/>
  <c r="D63" i="70"/>
  <c r="E63" i="70"/>
  <c r="D64" i="70"/>
  <c r="E64" i="70"/>
  <c r="B63" i="70"/>
  <c r="B64" i="70"/>
  <c r="C584" i="78"/>
  <c r="R554" i="55"/>
  <c r="G60" i="70"/>
  <c r="I60" i="70" s="1"/>
  <c r="G61" i="70"/>
  <c r="H61" i="70" s="1"/>
  <c r="G62" i="70"/>
  <c r="I62" i="70" s="1"/>
  <c r="F62" i="70"/>
  <c r="F61" i="70"/>
  <c r="F60" i="70"/>
  <c r="D60" i="70"/>
  <c r="E60" i="70"/>
  <c r="D61" i="70"/>
  <c r="E61" i="70"/>
  <c r="D62" i="70"/>
  <c r="E62" i="70"/>
  <c r="B60" i="70"/>
  <c r="B61" i="70"/>
  <c r="B62" i="70"/>
  <c r="R546" i="55"/>
  <c r="C576" i="78"/>
  <c r="C575" i="78"/>
  <c r="R545" i="55"/>
  <c r="R541" i="55"/>
  <c r="R542" i="55"/>
  <c r="C572" i="78"/>
  <c r="C571" i="78"/>
  <c r="R414" i="55"/>
  <c r="C444" i="78"/>
  <c r="R413" i="55"/>
  <c r="C443" i="78"/>
  <c r="R412" i="55"/>
  <c r="R392" i="55"/>
  <c r="C422" i="78"/>
  <c r="C421" i="78"/>
  <c r="R391" i="55"/>
  <c r="O328" i="55"/>
  <c r="P328" i="55"/>
  <c r="Q328" i="55"/>
  <c r="R328" i="55"/>
  <c r="C358" i="78"/>
  <c r="C77" i="78"/>
  <c r="R65" i="55"/>
  <c r="C64" i="78"/>
  <c r="R49" i="55"/>
  <c r="C60" i="78"/>
  <c r="C45" i="78"/>
  <c r="R36" i="55"/>
  <c r="C38" i="78"/>
  <c r="R28" i="55"/>
  <c r="C34" i="78"/>
  <c r="O24" i="55"/>
  <c r="P24" i="55"/>
  <c r="Q24" i="55"/>
  <c r="R24" i="55"/>
  <c r="C33" i="78"/>
  <c r="R23" i="55"/>
  <c r="R619" i="55"/>
  <c r="C650" i="78"/>
  <c r="R399" i="55"/>
  <c r="R26" i="55"/>
  <c r="C36" i="78"/>
  <c r="R25" i="55"/>
  <c r="C35" i="78"/>
  <c r="G86" i="70"/>
  <c r="F86" i="70"/>
  <c r="D86" i="70"/>
  <c r="E86" i="70"/>
  <c r="B86" i="70"/>
  <c r="C239" i="78"/>
  <c r="R215" i="55"/>
  <c r="C552" i="78"/>
  <c r="C553" i="78"/>
  <c r="C554" i="78"/>
  <c r="R522" i="55"/>
  <c r="R523" i="55"/>
  <c r="R524" i="55"/>
  <c r="G41" i="70"/>
  <c r="H41" i="70" s="1"/>
  <c r="F41" i="70"/>
  <c r="D41" i="70"/>
  <c r="E41" i="70"/>
  <c r="G40" i="70"/>
  <c r="F40" i="70"/>
  <c r="D40" i="70"/>
  <c r="E40" i="70"/>
  <c r="B40" i="70"/>
  <c r="B41" i="70"/>
  <c r="R538" i="55"/>
  <c r="C568" i="78"/>
  <c r="C581" i="78"/>
  <c r="C582" i="78"/>
  <c r="R551" i="55"/>
  <c r="R552" i="55"/>
  <c r="C710" i="78"/>
  <c r="O679" i="55"/>
  <c r="P679" i="55"/>
  <c r="Q679" i="55"/>
  <c r="R679" i="55"/>
  <c r="R203" i="55"/>
  <c r="C226" i="78"/>
  <c r="C79" i="78"/>
  <c r="C81" i="78"/>
  <c r="O59" i="55"/>
  <c r="P59" i="55"/>
  <c r="Q59" i="55"/>
  <c r="R59" i="55"/>
  <c r="O61" i="55"/>
  <c r="P61" i="55"/>
  <c r="Q61" i="55"/>
  <c r="R61" i="55"/>
  <c r="R67" i="55"/>
  <c r="R69" i="55"/>
  <c r="C339" i="78"/>
  <c r="R309" i="55"/>
  <c r="C709" i="78"/>
  <c r="O678" i="55"/>
  <c r="P678" i="55"/>
  <c r="Q678" i="55"/>
  <c r="R678" i="55"/>
  <c r="C230" i="78"/>
  <c r="C567" i="78"/>
  <c r="O537" i="55"/>
  <c r="N64" i="183" s="1"/>
  <c r="P537" i="55"/>
  <c r="O64" i="183" s="1"/>
  <c r="Q537" i="55"/>
  <c r="P64" i="183" s="1"/>
  <c r="T64" i="183" s="1"/>
  <c r="R537" i="55"/>
  <c r="L33" i="95"/>
  <c r="M33" i="95"/>
  <c r="N33" i="95"/>
  <c r="O33" i="95"/>
  <c r="L34" i="95"/>
  <c r="M34" i="95"/>
  <c r="N34" i="95"/>
  <c r="O34" i="95"/>
  <c r="L35" i="95"/>
  <c r="M35" i="95"/>
  <c r="N35" i="95"/>
  <c r="O35" i="95"/>
  <c r="L36" i="95"/>
  <c r="M36" i="95"/>
  <c r="N36" i="95"/>
  <c r="O36" i="95"/>
  <c r="L37" i="95"/>
  <c r="M37" i="95"/>
  <c r="N37" i="95"/>
  <c r="O37" i="95"/>
  <c r="L39" i="95"/>
  <c r="M39" i="95"/>
  <c r="N39" i="95"/>
  <c r="O39" i="95"/>
  <c r="H34" i="95"/>
  <c r="I34" i="95"/>
  <c r="J34" i="95"/>
  <c r="K34" i="95"/>
  <c r="H35" i="95"/>
  <c r="I35" i="95"/>
  <c r="J35" i="95"/>
  <c r="K35" i="95"/>
  <c r="H36" i="95"/>
  <c r="I36" i="95"/>
  <c r="J36" i="95"/>
  <c r="K36" i="95"/>
  <c r="H37" i="95"/>
  <c r="I37" i="95"/>
  <c r="J37" i="95"/>
  <c r="K37" i="95"/>
  <c r="H39" i="95"/>
  <c r="I39" i="95"/>
  <c r="J39" i="95"/>
  <c r="K39" i="95"/>
  <c r="H40" i="95"/>
  <c r="I40" i="95"/>
  <c r="J40" i="95"/>
  <c r="K40" i="95"/>
  <c r="L14" i="95"/>
  <c r="M14" i="95"/>
  <c r="N14" i="95"/>
  <c r="O14" i="95"/>
  <c r="L15" i="95"/>
  <c r="M15" i="95"/>
  <c r="N15" i="95"/>
  <c r="O15" i="95"/>
  <c r="L16" i="95"/>
  <c r="M16" i="95"/>
  <c r="N16" i="95"/>
  <c r="O16" i="95"/>
  <c r="L17" i="95"/>
  <c r="M17" i="95"/>
  <c r="N17" i="95"/>
  <c r="O17" i="95"/>
  <c r="L18" i="95"/>
  <c r="M18" i="95"/>
  <c r="N18" i="95"/>
  <c r="O18" i="95"/>
  <c r="L19" i="95"/>
  <c r="M19" i="95"/>
  <c r="N19" i="95"/>
  <c r="O19" i="95"/>
  <c r="L20" i="95"/>
  <c r="M20" i="95"/>
  <c r="N20" i="95"/>
  <c r="O20" i="95"/>
  <c r="L21" i="95"/>
  <c r="M21" i="95"/>
  <c r="N21" i="95"/>
  <c r="O21" i="95"/>
  <c r="L22" i="95"/>
  <c r="M22" i="95"/>
  <c r="N22" i="95"/>
  <c r="O22" i="95"/>
  <c r="D14" i="95"/>
  <c r="E14" i="95"/>
  <c r="F14" i="95"/>
  <c r="G14" i="95"/>
  <c r="D15" i="95"/>
  <c r="E15" i="95"/>
  <c r="F15" i="95"/>
  <c r="G15" i="95"/>
  <c r="D16" i="95"/>
  <c r="E16" i="95"/>
  <c r="F16" i="95"/>
  <c r="G16" i="95"/>
  <c r="D17" i="95"/>
  <c r="E17" i="95"/>
  <c r="F17" i="95"/>
  <c r="G17" i="95"/>
  <c r="D18" i="95"/>
  <c r="E18" i="95"/>
  <c r="F18" i="95"/>
  <c r="G18" i="95"/>
  <c r="D19" i="95"/>
  <c r="E19" i="95"/>
  <c r="F19" i="95"/>
  <c r="G19" i="95"/>
  <c r="D20" i="95"/>
  <c r="E20" i="95"/>
  <c r="F20" i="95"/>
  <c r="G20" i="95"/>
  <c r="D21" i="95"/>
  <c r="E21" i="95"/>
  <c r="F21" i="95"/>
  <c r="G21" i="95"/>
  <c r="D22" i="95"/>
  <c r="E22" i="95"/>
  <c r="F22" i="95"/>
  <c r="G22" i="95"/>
  <c r="L6" i="95"/>
  <c r="M6" i="95"/>
  <c r="N6" i="95"/>
  <c r="O6" i="95"/>
  <c r="L7" i="95"/>
  <c r="M7" i="95"/>
  <c r="N7" i="95"/>
  <c r="O7" i="95"/>
  <c r="R30" i="55"/>
  <c r="C43" i="78"/>
  <c r="R34" i="55"/>
  <c r="C561" i="78"/>
  <c r="C563" i="78"/>
  <c r="R531" i="55"/>
  <c r="C559" i="78"/>
  <c r="R530" i="55"/>
  <c r="O5" i="55"/>
  <c r="P5" i="55"/>
  <c r="Q5" i="55"/>
  <c r="R5" i="55"/>
  <c r="O6" i="55"/>
  <c r="P6" i="55"/>
  <c r="Q6" i="55"/>
  <c r="R6" i="55"/>
  <c r="O7" i="55"/>
  <c r="P7" i="55"/>
  <c r="Q7" i="55"/>
  <c r="R7" i="55"/>
  <c r="O8" i="55"/>
  <c r="P8" i="55"/>
  <c r="Q8" i="55"/>
  <c r="R8" i="55"/>
  <c r="O9" i="55"/>
  <c r="P9" i="55"/>
  <c r="Q9" i="55"/>
  <c r="R9" i="55"/>
  <c r="O10" i="55"/>
  <c r="P10" i="55"/>
  <c r="Q10" i="55"/>
  <c r="R10" i="55"/>
  <c r="O11" i="55"/>
  <c r="P11" i="55"/>
  <c r="Q11" i="55"/>
  <c r="R11" i="55"/>
  <c r="O12" i="55"/>
  <c r="P12" i="55"/>
  <c r="Q12" i="55"/>
  <c r="R12" i="55"/>
  <c r="O13" i="55"/>
  <c r="P13" i="55"/>
  <c r="Q13" i="55"/>
  <c r="R13" i="55"/>
  <c r="O16" i="55"/>
  <c r="P16" i="55"/>
  <c r="Q16" i="55"/>
  <c r="R16" i="55"/>
  <c r="C5" i="78"/>
  <c r="C6" i="78"/>
  <c r="C7" i="78"/>
  <c r="C8" i="78"/>
  <c r="C9" i="78"/>
  <c r="C10" i="78"/>
  <c r="C11" i="78"/>
  <c r="C12" i="78"/>
  <c r="C13" i="78"/>
  <c r="C14" i="78"/>
  <c r="C17" i="78"/>
  <c r="C18" i="78"/>
  <c r="C19" i="78"/>
  <c r="C20" i="78"/>
  <c r="C21" i="78"/>
  <c r="C22" i="78"/>
  <c r="C23" i="78"/>
  <c r="C96" i="78"/>
  <c r="C264" i="78"/>
  <c r="O237" i="55"/>
  <c r="P237" i="55"/>
  <c r="Q237" i="55"/>
  <c r="R237" i="55"/>
  <c r="C204" i="78"/>
  <c r="O183" i="55"/>
  <c r="P183" i="55"/>
  <c r="Q183" i="55"/>
  <c r="R183" i="55"/>
  <c r="C88" i="78"/>
  <c r="R71" i="55"/>
  <c r="R529" i="55"/>
  <c r="C560" i="78"/>
  <c r="C564" i="78"/>
  <c r="C565" i="78"/>
  <c r="R534" i="55"/>
  <c r="R535" i="55"/>
  <c r="R216" i="55"/>
  <c r="C240" i="78"/>
  <c r="R533" i="55"/>
  <c r="C303" i="78"/>
  <c r="O274" i="55"/>
  <c r="P274" i="55"/>
  <c r="Q274" i="55"/>
  <c r="R274" i="55"/>
  <c r="R205" i="55"/>
  <c r="C228" i="78"/>
  <c r="R536" i="55"/>
  <c r="C566" i="78"/>
  <c r="C241" i="78"/>
  <c r="R217" i="55"/>
  <c r="O136" i="55"/>
  <c r="P136" i="55"/>
  <c r="Q136" i="55"/>
  <c r="R136" i="55"/>
  <c r="O137" i="55"/>
  <c r="P137" i="55"/>
  <c r="Q137" i="55"/>
  <c r="R137" i="55"/>
  <c r="R138" i="55"/>
  <c r="C155" i="78"/>
  <c r="C156" i="78"/>
  <c r="C157" i="78"/>
  <c r="C397" i="78"/>
  <c r="R366" i="55"/>
  <c r="F27" i="70"/>
  <c r="D27" i="70"/>
  <c r="E27" i="70"/>
  <c r="B27" i="70"/>
  <c r="C396" i="78"/>
  <c r="R365" i="55"/>
  <c r="R364" i="55"/>
  <c r="C395" i="78"/>
  <c r="R363" i="55"/>
  <c r="C394" i="78"/>
  <c r="C393" i="78"/>
  <c r="R362" i="55"/>
  <c r="R326" i="55"/>
  <c r="C356" i="78"/>
  <c r="C357" i="78"/>
  <c r="G82" i="70"/>
  <c r="I82" i="70" s="1"/>
  <c r="G83" i="70"/>
  <c r="H83" i="70" s="1"/>
  <c r="F83" i="70"/>
  <c r="F82" i="70"/>
  <c r="D82" i="70"/>
  <c r="E82" i="70"/>
  <c r="D83" i="70"/>
  <c r="E83" i="70"/>
  <c r="B83" i="70"/>
  <c r="B82" i="70"/>
  <c r="O620" i="55"/>
  <c r="P620" i="55"/>
  <c r="Q620" i="55"/>
  <c r="R620" i="55"/>
  <c r="C651" i="78"/>
  <c r="C557" i="78"/>
  <c r="R525" i="55"/>
  <c r="C555" i="78"/>
  <c r="R3" i="55"/>
  <c r="R4" i="55"/>
  <c r="R55" i="55"/>
  <c r="R17" i="55"/>
  <c r="R18" i="55"/>
  <c r="R19" i="55"/>
  <c r="R20" i="55"/>
  <c r="R27" i="55"/>
  <c r="R21" i="55"/>
  <c r="R22" i="55"/>
  <c r="R31" i="55"/>
  <c r="R32" i="55"/>
  <c r="R33" i="55"/>
  <c r="R35" i="55"/>
  <c r="R37" i="55"/>
  <c r="R39" i="55"/>
  <c r="R40" i="55"/>
  <c r="R41" i="55"/>
  <c r="R42" i="55"/>
  <c r="R44" i="55"/>
  <c r="R45" i="55"/>
  <c r="R46" i="55"/>
  <c r="R47" i="55"/>
  <c r="R54" i="55"/>
  <c r="R58" i="55"/>
  <c r="R70" i="55"/>
  <c r="R78" i="55"/>
  <c r="R79" i="55"/>
  <c r="R80" i="55"/>
  <c r="R81" i="55"/>
  <c r="R76" i="55"/>
  <c r="R77" i="55"/>
  <c r="R75" i="55"/>
  <c r="R188" i="55"/>
  <c r="R189" i="55"/>
  <c r="R187" i="55"/>
  <c r="R239" i="55"/>
  <c r="R240" i="55"/>
  <c r="R238" i="55"/>
  <c r="R83" i="55"/>
  <c r="R84" i="55"/>
  <c r="R85" i="55"/>
  <c r="R86" i="55"/>
  <c r="R97" i="55"/>
  <c r="R87" i="55"/>
  <c r="R98" i="55"/>
  <c r="R88" i="55"/>
  <c r="R89" i="55"/>
  <c r="R90" i="55"/>
  <c r="R91" i="55"/>
  <c r="R96" i="55"/>
  <c r="R92" i="55"/>
  <c r="R93" i="55"/>
  <c r="R103" i="55"/>
  <c r="R104" i="55"/>
  <c r="R105" i="55"/>
  <c r="R106" i="55"/>
  <c r="R107" i="55"/>
  <c r="R108" i="55"/>
  <c r="R109" i="55"/>
  <c r="R110" i="55"/>
  <c r="R161" i="55"/>
  <c r="R111" i="55"/>
  <c r="R112" i="55"/>
  <c r="R113" i="55"/>
  <c r="R114" i="55"/>
  <c r="R115" i="55"/>
  <c r="R116" i="55"/>
  <c r="R117" i="55"/>
  <c r="R118" i="55"/>
  <c r="R119" i="55"/>
  <c r="R120" i="55"/>
  <c r="R121" i="55"/>
  <c r="R122" i="55"/>
  <c r="R123" i="55"/>
  <c r="R124" i="55"/>
  <c r="R125" i="55"/>
  <c r="R154" i="55"/>
  <c r="R126" i="55"/>
  <c r="R127" i="55"/>
  <c r="R128" i="55"/>
  <c r="R129" i="55"/>
  <c r="R130" i="55"/>
  <c r="R131" i="55"/>
  <c r="R132" i="55"/>
  <c r="R170" i="55"/>
  <c r="R171" i="55"/>
  <c r="R172" i="55"/>
  <c r="R173" i="55"/>
  <c r="R177" i="55"/>
  <c r="R174" i="55"/>
  <c r="R175" i="55"/>
  <c r="R162" i="55"/>
  <c r="R133" i="55"/>
  <c r="R275" i="55"/>
  <c r="R797" i="55"/>
  <c r="R278" i="55"/>
  <c r="R194" i="55"/>
  <c r="R195" i="55"/>
  <c r="R196" i="55"/>
  <c r="R197" i="55"/>
  <c r="R198" i="55"/>
  <c r="R199" i="55"/>
  <c r="R200" i="55"/>
  <c r="R207" i="55"/>
  <c r="R202" i="55"/>
  <c r="R204" i="55"/>
  <c r="R206" i="55"/>
  <c r="R212" i="55"/>
  <c r="R213" i="55"/>
  <c r="R214" i="55"/>
  <c r="R218" i="55"/>
  <c r="R221" i="55"/>
  <c r="R222" i="55"/>
  <c r="R223" i="55"/>
  <c r="R224" i="55"/>
  <c r="R225" i="55"/>
  <c r="R226" i="55"/>
  <c r="R227" i="55"/>
  <c r="R228" i="55"/>
  <c r="R229" i="55"/>
  <c r="R230" i="55"/>
  <c r="R231" i="55"/>
  <c r="R234" i="55"/>
  <c r="R235" i="55"/>
  <c r="R236" i="55"/>
  <c r="R243" i="55"/>
  <c r="R244" i="55"/>
  <c r="R252" i="55"/>
  <c r="R253" i="55"/>
  <c r="R254" i="55"/>
  <c r="R264" i="55"/>
  <c r="R255" i="55"/>
  <c r="R265" i="55"/>
  <c r="R256" i="55"/>
  <c r="R257" i="55"/>
  <c r="R258" i="55"/>
  <c r="R259" i="55"/>
  <c r="R260" i="55"/>
  <c r="R261" i="55"/>
  <c r="R262" i="55"/>
  <c r="R263" i="55"/>
  <c r="R269" i="55"/>
  <c r="R648" i="55"/>
  <c r="R272" i="55"/>
  <c r="R273" i="55"/>
  <c r="R280" i="55"/>
  <c r="R281" i="55"/>
  <c r="R282" i="55"/>
  <c r="R283" i="55"/>
  <c r="R284" i="55"/>
  <c r="R285" i="55"/>
  <c r="R286" i="55"/>
  <c r="R287" i="55"/>
  <c r="R288" i="55"/>
  <c r="R289" i="55"/>
  <c r="R290" i="55"/>
  <c r="R291" i="55"/>
  <c r="R292" i="55"/>
  <c r="R293" i="55"/>
  <c r="R294" i="55"/>
  <c r="R295" i="55"/>
  <c r="R296" i="55"/>
  <c r="R297" i="55"/>
  <c r="R298" i="55"/>
  <c r="R299" i="55"/>
  <c r="R300" i="55"/>
  <c r="R301" i="55"/>
  <c r="R304" i="55"/>
  <c r="R305" i="55"/>
  <c r="R306" i="55"/>
  <c r="R307" i="55"/>
  <c r="R308" i="55"/>
  <c r="R310" i="55"/>
  <c r="R311" i="55"/>
  <c r="R312" i="55"/>
  <c r="R313" i="55"/>
  <c r="R314" i="55"/>
  <c r="R315" i="55"/>
  <c r="R316" i="55"/>
  <c r="R317" i="55"/>
  <c r="R318" i="55"/>
  <c r="R319" i="55"/>
  <c r="R320" i="55"/>
  <c r="R321" i="55"/>
  <c r="R322" i="55"/>
  <c r="R323" i="55"/>
  <c r="R324" i="55"/>
  <c r="R325" i="55"/>
  <c r="R327" i="55"/>
  <c r="R340" i="55"/>
  <c r="R341" i="55"/>
  <c r="R342" i="55"/>
  <c r="R343" i="55"/>
  <c r="R344" i="55"/>
  <c r="R345" i="55"/>
  <c r="R346" i="55"/>
  <c r="R347" i="55"/>
  <c r="R348" i="55"/>
  <c r="R349" i="55"/>
  <c r="R350" i="55"/>
  <c r="R351" i="55"/>
  <c r="R352" i="55"/>
  <c r="R353" i="55"/>
  <c r="R354" i="55"/>
  <c r="R355" i="55"/>
  <c r="R356" i="55"/>
  <c r="R357" i="55"/>
  <c r="R358" i="55"/>
  <c r="R359" i="55"/>
  <c r="R361" i="55"/>
  <c r="R373" i="55"/>
  <c r="R376" i="55"/>
  <c r="R377" i="55"/>
  <c r="R378" i="55"/>
  <c r="R379" i="55"/>
  <c r="R380" i="55"/>
  <c r="R381" i="55"/>
  <c r="R382" i="55"/>
  <c r="R383" i="55"/>
  <c r="R384" i="55"/>
  <c r="R385" i="55"/>
  <c r="R386" i="55"/>
  <c r="R387" i="55"/>
  <c r="R388" i="55"/>
  <c r="R389" i="55"/>
  <c r="R390" i="55"/>
  <c r="R400" i="55"/>
  <c r="R405" i="55"/>
  <c r="R406" i="55"/>
  <c r="R407" i="55"/>
  <c r="R408" i="55"/>
  <c r="R409" i="55"/>
  <c r="R410" i="55"/>
  <c r="R419" i="55"/>
  <c r="R420" i="55"/>
  <c r="R421" i="55"/>
  <c r="R422" i="55"/>
  <c r="R423" i="55"/>
  <c r="R424" i="55"/>
  <c r="R425" i="55"/>
  <c r="R426" i="55"/>
  <c r="R427" i="55"/>
  <c r="R428" i="55"/>
  <c r="R429" i="55"/>
  <c r="R430" i="55"/>
  <c r="R431" i="55"/>
  <c r="R432" i="55"/>
  <c r="R433" i="55"/>
  <c r="R434" i="55"/>
  <c r="R435" i="55"/>
  <c r="R436" i="55"/>
  <c r="R528" i="55"/>
  <c r="R437" i="55"/>
  <c r="R438" i="55"/>
  <c r="R439" i="55"/>
  <c r="R440" i="55"/>
  <c r="R441" i="55"/>
  <c r="R442" i="55"/>
  <c r="R568" i="55"/>
  <c r="R569" i="55"/>
  <c r="R447" i="55"/>
  <c r="R448" i="55"/>
  <c r="R449" i="55"/>
  <c r="R450" i="55"/>
  <c r="R451" i="55"/>
  <c r="R452" i="55"/>
  <c r="R453" i="55"/>
  <c r="R454" i="55"/>
  <c r="R455" i="55"/>
  <c r="R456" i="55"/>
  <c r="R457" i="55"/>
  <c r="R458" i="55"/>
  <c r="R459" i="55"/>
  <c r="R460" i="55"/>
  <c r="R461" i="55"/>
  <c r="R462" i="55"/>
  <c r="R463" i="55"/>
  <c r="R464" i="55"/>
  <c r="R465" i="55"/>
  <c r="R466" i="55"/>
  <c r="R467" i="55"/>
  <c r="R468" i="55"/>
  <c r="R469" i="55"/>
  <c r="R470" i="55"/>
  <c r="R471" i="55"/>
  <c r="R558" i="55"/>
  <c r="R559" i="55"/>
  <c r="R474" i="55"/>
  <c r="R475" i="55"/>
  <c r="R476" i="55"/>
  <c r="R477" i="55"/>
  <c r="R478" i="55"/>
  <c r="R479" i="55"/>
  <c r="R480" i="55"/>
  <c r="R481" i="55"/>
  <c r="R482" i="55"/>
  <c r="R483" i="55"/>
  <c r="R484" i="55"/>
  <c r="R485" i="55"/>
  <c r="R486" i="55"/>
  <c r="R487" i="55"/>
  <c r="R580" i="55"/>
  <c r="R581" i="55"/>
  <c r="R488" i="55"/>
  <c r="R489" i="55"/>
  <c r="R490" i="55"/>
  <c r="R491" i="55"/>
  <c r="R492" i="55"/>
  <c r="R493" i="55"/>
  <c r="R494" i="55"/>
  <c r="R495" i="55"/>
  <c r="R496" i="55"/>
  <c r="R497" i="55"/>
  <c r="R498" i="55"/>
  <c r="R499" i="55"/>
  <c r="R500" i="55"/>
  <c r="R532" i="55"/>
  <c r="R501" i="55"/>
  <c r="R502" i="55"/>
  <c r="R503" i="55"/>
  <c r="R504" i="55"/>
  <c r="R505" i="55"/>
  <c r="R506" i="55"/>
  <c r="R507" i="55"/>
  <c r="R508" i="55"/>
  <c r="R509" i="55"/>
  <c r="R510" i="55"/>
  <c r="R511" i="55"/>
  <c r="R512" i="55"/>
  <c r="R513" i="55"/>
  <c r="R514" i="55"/>
  <c r="R515" i="55"/>
  <c r="R579" i="55"/>
  <c r="R516" i="55"/>
  <c r="R517" i="55"/>
  <c r="R518" i="55"/>
  <c r="R519" i="55"/>
  <c r="R520" i="55"/>
  <c r="R521" i="55"/>
  <c r="R583" i="55"/>
  <c r="R595" i="55"/>
  <c r="R596" i="55"/>
  <c r="R597" i="55"/>
  <c r="R598" i="55"/>
  <c r="R599" i="55"/>
  <c r="R600" i="55"/>
  <c r="R601" i="55"/>
  <c r="R602" i="55"/>
  <c r="R603" i="55"/>
  <c r="R604" i="55"/>
  <c r="R605" i="55"/>
  <c r="R606" i="55"/>
  <c r="R607" i="55"/>
  <c r="R608" i="55"/>
  <c r="R609" i="55"/>
  <c r="R610" i="55"/>
  <c r="R611" i="55"/>
  <c r="R612" i="55"/>
  <c r="R613" i="55"/>
  <c r="R614" i="55"/>
  <c r="R615" i="55"/>
  <c r="R616" i="55"/>
  <c r="R617" i="55"/>
  <c r="R618" i="55"/>
  <c r="R632" i="55"/>
  <c r="R633" i="55"/>
  <c r="R634" i="55"/>
  <c r="R639" i="55"/>
  <c r="R640" i="55"/>
  <c r="R641" i="55"/>
  <c r="R642" i="55"/>
  <c r="R643" i="55"/>
  <c r="R651" i="55"/>
  <c r="R652" i="55"/>
  <c r="R653" i="55"/>
  <c r="R654" i="55"/>
  <c r="R655" i="55"/>
  <c r="R656" i="55"/>
  <c r="R657" i="55"/>
  <c r="R658" i="55"/>
  <c r="R659" i="55"/>
  <c r="R660" i="55"/>
  <c r="R661" i="55"/>
  <c r="R662" i="55"/>
  <c r="R663" i="55"/>
  <c r="R664" i="55"/>
  <c r="R665" i="55"/>
  <c r="R666" i="55"/>
  <c r="R667" i="55"/>
  <c r="R668" i="55"/>
  <c r="R669" i="55"/>
  <c r="R670" i="55"/>
  <c r="R671" i="55"/>
  <c r="R695" i="55"/>
  <c r="R685" i="55"/>
  <c r="R691" i="55"/>
  <c r="R686" i="55"/>
  <c r="R687" i="55"/>
  <c r="R693" i="55"/>
  <c r="R692" i="55"/>
  <c r="R699" i="55"/>
  <c r="R700" i="55"/>
  <c r="R701" i="55"/>
  <c r="R702" i="55"/>
  <c r="R705" i="55"/>
  <c r="R706" i="55"/>
  <c r="R707" i="55"/>
  <c r="R708" i="55"/>
  <c r="R709" i="55"/>
  <c r="R710" i="55"/>
  <c r="R711" i="55"/>
  <c r="R712" i="55"/>
  <c r="R713" i="55"/>
  <c r="R714" i="55"/>
  <c r="R715" i="55"/>
  <c r="R716" i="55"/>
  <c r="R717" i="55"/>
  <c r="R731" i="55"/>
  <c r="R718" i="55"/>
  <c r="R719" i="55"/>
  <c r="R720" i="55"/>
  <c r="R721" i="55"/>
  <c r="R723" i="55"/>
  <c r="R724" i="55"/>
  <c r="R725" i="55"/>
  <c r="R746" i="55"/>
  <c r="R747" i="55"/>
  <c r="R748" i="55"/>
  <c r="R749" i="55"/>
  <c r="R750" i="55"/>
  <c r="R751" i="55"/>
  <c r="R752" i="55"/>
  <c r="R753" i="55"/>
  <c r="R754" i="55"/>
  <c r="R755" i="55"/>
  <c r="R756" i="55"/>
  <c r="R757" i="55"/>
  <c r="R758" i="55"/>
  <c r="R759" i="55"/>
  <c r="R760" i="55"/>
  <c r="R761" i="55"/>
  <c r="R762" i="55"/>
  <c r="R763" i="55"/>
  <c r="R764" i="55"/>
  <c r="R765" i="55"/>
  <c r="R766" i="55"/>
  <c r="R768" i="55"/>
  <c r="R769" i="55"/>
  <c r="R770" i="55"/>
  <c r="R771" i="55"/>
  <c r="R772" i="55"/>
  <c r="R773" i="55"/>
  <c r="R774" i="55"/>
  <c r="R775" i="55"/>
  <c r="R776" i="55"/>
  <c r="R777" i="55"/>
  <c r="R778" i="55"/>
  <c r="R779" i="55"/>
  <c r="R792" i="55"/>
  <c r="R780" i="55"/>
  <c r="R781" i="55"/>
  <c r="R782" i="55"/>
  <c r="R783" i="55"/>
  <c r="R794" i="55"/>
  <c r="R795" i="55"/>
  <c r="R796" i="55"/>
  <c r="R526" i="55"/>
  <c r="R527" i="55"/>
  <c r="R302" i="55"/>
  <c r="R367" i="55"/>
  <c r="R135" i="55"/>
  <c r="R567" i="55"/>
  <c r="R417" i="55"/>
  <c r="R575" i="55"/>
  <c r="R157" i="55"/>
  <c r="R549" i="55"/>
  <c r="R800" i="55"/>
  <c r="R303" i="55"/>
  <c r="R801" i="55"/>
  <c r="R802" i="55"/>
  <c r="R803" i="55"/>
  <c r="R553" i="55"/>
  <c r="R550" i="55"/>
  <c r="R804" i="55"/>
  <c r="R543" i="55"/>
  <c r="R565" i="55"/>
  <c r="R805" i="55"/>
  <c r="R806" i="55"/>
  <c r="R807" i="55"/>
  <c r="R808" i="55"/>
  <c r="R809" i="55"/>
  <c r="R2" i="55"/>
  <c r="G105" i="70"/>
  <c r="H105" i="70" s="1"/>
  <c r="G106" i="70"/>
  <c r="I106" i="70" s="1"/>
  <c r="G38" i="70"/>
  <c r="I38" i="70" s="1"/>
  <c r="D38" i="70"/>
  <c r="E38" i="70"/>
  <c r="F38" i="70"/>
  <c r="B38" i="70"/>
  <c r="N30" i="70"/>
  <c r="O30" i="70"/>
  <c r="P30" i="70"/>
  <c r="O800" i="55"/>
  <c r="P800" i="55"/>
  <c r="Q800" i="55"/>
  <c r="O801" i="55"/>
  <c r="P801" i="55"/>
  <c r="Q801" i="55"/>
  <c r="O802" i="55"/>
  <c r="P802" i="55"/>
  <c r="Q802" i="55"/>
  <c r="O803" i="55"/>
  <c r="P803" i="55"/>
  <c r="Q803" i="55"/>
  <c r="O804" i="55"/>
  <c r="P804" i="55"/>
  <c r="Q804" i="55"/>
  <c r="C842" i="78"/>
  <c r="C573" i="78"/>
  <c r="C595" i="78"/>
  <c r="C839" i="78"/>
  <c r="C840" i="78"/>
  <c r="C841" i="78"/>
  <c r="C583" i="78"/>
  <c r="C580" i="78"/>
  <c r="C159" i="78"/>
  <c r="C447" i="78"/>
  <c r="C605" i="78"/>
  <c r="C176" i="78"/>
  <c r="C579" i="78"/>
  <c r="C836" i="78"/>
  <c r="C333" i="78"/>
  <c r="C837" i="78"/>
  <c r="C838" i="78"/>
  <c r="C556" i="78"/>
  <c r="C332" i="78"/>
  <c r="C398" i="78"/>
  <c r="C154" i="78"/>
  <c r="C597" i="78"/>
  <c r="F95" i="70"/>
  <c r="D95" i="70"/>
  <c r="E95" i="70"/>
  <c r="B95" i="70"/>
  <c r="C533" i="78"/>
  <c r="C534" i="78"/>
  <c r="C535" i="78"/>
  <c r="C536" i="78"/>
  <c r="C537" i="78"/>
  <c r="C538" i="78"/>
  <c r="C97" i="78"/>
  <c r="C98" i="78"/>
  <c r="C2" i="78"/>
  <c r="C3" i="78"/>
  <c r="C4" i="78"/>
  <c r="O508" i="55"/>
  <c r="P508" i="55"/>
  <c r="Q508" i="55"/>
  <c r="O503" i="55"/>
  <c r="P503" i="55"/>
  <c r="Q503" i="55"/>
  <c r="O504" i="55"/>
  <c r="P504" i="55"/>
  <c r="Q504" i="55"/>
  <c r="O505" i="55"/>
  <c r="P505" i="55"/>
  <c r="Q505" i="55"/>
  <c r="O506" i="55"/>
  <c r="P506" i="55"/>
  <c r="Q506" i="55"/>
  <c r="O507" i="55"/>
  <c r="P507" i="55"/>
  <c r="Q507" i="55"/>
  <c r="O78" i="55"/>
  <c r="P78" i="55"/>
  <c r="Q78" i="55"/>
  <c r="O79" i="55"/>
  <c r="P79" i="55"/>
  <c r="Q79" i="55"/>
  <c r="O80" i="55"/>
  <c r="P80" i="55"/>
  <c r="Q80" i="55"/>
  <c r="O81" i="55"/>
  <c r="P81" i="55"/>
  <c r="Q81" i="55"/>
  <c r="L40" i="95"/>
  <c r="M40" i="95"/>
  <c r="N40" i="95"/>
  <c r="O40" i="95"/>
  <c r="K33" i="95"/>
  <c r="J33" i="95"/>
  <c r="I33" i="95"/>
  <c r="H33" i="95"/>
  <c r="D34" i="95"/>
  <c r="E34" i="95"/>
  <c r="F34" i="95"/>
  <c r="G34" i="95"/>
  <c r="D35" i="95"/>
  <c r="E35" i="95"/>
  <c r="F35" i="95"/>
  <c r="G35" i="95"/>
  <c r="D36" i="95"/>
  <c r="E36" i="95"/>
  <c r="F36" i="95"/>
  <c r="G36" i="95"/>
  <c r="D37" i="95"/>
  <c r="E37" i="95"/>
  <c r="F37" i="95"/>
  <c r="G37" i="95"/>
  <c r="D39" i="95"/>
  <c r="E39" i="95"/>
  <c r="F39" i="95"/>
  <c r="G39" i="95"/>
  <c r="D40" i="95"/>
  <c r="E40" i="95"/>
  <c r="F40" i="95"/>
  <c r="G40" i="95"/>
  <c r="G33" i="95"/>
  <c r="F33" i="95"/>
  <c r="E33" i="95"/>
  <c r="D33" i="95"/>
  <c r="L28" i="95"/>
  <c r="M28" i="95"/>
  <c r="N28" i="95"/>
  <c r="O28" i="95"/>
  <c r="O27" i="95"/>
  <c r="O30" i="95" s="1"/>
  <c r="N27" i="95"/>
  <c r="N30" i="95" s="1"/>
  <c r="M27" i="95"/>
  <c r="M30" i="95" s="1"/>
  <c r="L27" i="95"/>
  <c r="L30" i="95" s="1"/>
  <c r="H28" i="95"/>
  <c r="I28" i="95"/>
  <c r="J28" i="95"/>
  <c r="K28" i="95"/>
  <c r="K27" i="95"/>
  <c r="J27" i="95"/>
  <c r="I27" i="95"/>
  <c r="H27" i="95"/>
  <c r="D28" i="95"/>
  <c r="E28" i="95"/>
  <c r="F28" i="95"/>
  <c r="R28" i="95" s="1"/>
  <c r="G28" i="95"/>
  <c r="G27" i="95"/>
  <c r="G30" i="95" s="1"/>
  <c r="F27" i="95"/>
  <c r="F30" i="95" s="1"/>
  <c r="E27" i="95"/>
  <c r="E30" i="95" s="1"/>
  <c r="D27" i="95"/>
  <c r="D30" i="95" s="1"/>
  <c r="L5" i="95"/>
  <c r="M5" i="95"/>
  <c r="N5" i="95"/>
  <c r="O5" i="95"/>
  <c r="O4" i="95"/>
  <c r="N4" i="95"/>
  <c r="M4" i="95"/>
  <c r="C13" i="3" s="1"/>
  <c r="L4" i="95"/>
  <c r="O13" i="95"/>
  <c r="O12" i="95"/>
  <c r="N13" i="95"/>
  <c r="N12" i="95"/>
  <c r="M13" i="95"/>
  <c r="M12" i="95"/>
  <c r="L13" i="95"/>
  <c r="L12" i="95"/>
  <c r="H5" i="95"/>
  <c r="I5" i="95"/>
  <c r="J5" i="95"/>
  <c r="K5" i="95"/>
  <c r="H6" i="95"/>
  <c r="I6" i="95"/>
  <c r="J6" i="95"/>
  <c r="K6" i="95"/>
  <c r="H7" i="95"/>
  <c r="I7" i="95"/>
  <c r="J7" i="95"/>
  <c r="K7" i="95"/>
  <c r="K4" i="95"/>
  <c r="J4" i="95"/>
  <c r="I4" i="95"/>
  <c r="C12" i="3" s="1"/>
  <c r="H4" i="95"/>
  <c r="K22" i="95"/>
  <c r="K13" i="95"/>
  <c r="K14" i="95"/>
  <c r="K15" i="95"/>
  <c r="K16" i="95"/>
  <c r="K17" i="95"/>
  <c r="K18" i="95"/>
  <c r="K19" i="95"/>
  <c r="K20" i="95"/>
  <c r="K21" i="95"/>
  <c r="K12" i="95"/>
  <c r="J13" i="95"/>
  <c r="J14" i="95"/>
  <c r="J15" i="95"/>
  <c r="J16" i="95"/>
  <c r="J17" i="95"/>
  <c r="J18" i="95"/>
  <c r="J19" i="95"/>
  <c r="J20" i="95"/>
  <c r="J21" i="95"/>
  <c r="J22" i="95"/>
  <c r="J12" i="95"/>
  <c r="I13" i="95"/>
  <c r="I14" i="95"/>
  <c r="I15" i="95"/>
  <c r="I16" i="95"/>
  <c r="I17" i="95"/>
  <c r="I18" i="95"/>
  <c r="I19" i="95"/>
  <c r="I20" i="95"/>
  <c r="I21" i="95"/>
  <c r="I22" i="95"/>
  <c r="H22" i="95"/>
  <c r="H13" i="95"/>
  <c r="H14" i="95"/>
  <c r="H15" i="95"/>
  <c r="H16" i="95"/>
  <c r="H17" i="95"/>
  <c r="H18" i="95"/>
  <c r="H19" i="95"/>
  <c r="H20" i="95"/>
  <c r="H21" i="95"/>
  <c r="I12" i="95"/>
  <c r="H12" i="95"/>
  <c r="D5" i="95"/>
  <c r="E5" i="95"/>
  <c r="F5" i="95"/>
  <c r="G5" i="95"/>
  <c r="D6" i="95"/>
  <c r="E6" i="95"/>
  <c r="F6" i="95"/>
  <c r="G6" i="95"/>
  <c r="D7" i="95"/>
  <c r="E7" i="95"/>
  <c r="F7" i="95"/>
  <c r="G7" i="95"/>
  <c r="G4" i="95"/>
  <c r="F4" i="95"/>
  <c r="E4" i="95"/>
  <c r="D4" i="95"/>
  <c r="G13" i="95"/>
  <c r="F13" i="95"/>
  <c r="G12" i="95"/>
  <c r="F12" i="95"/>
  <c r="E13" i="95"/>
  <c r="E12" i="95"/>
  <c r="D12" i="95"/>
  <c r="D13" i="95"/>
  <c r="C613" i="78"/>
  <c r="O170" i="55"/>
  <c r="P170" i="55"/>
  <c r="Q170" i="55"/>
  <c r="C149" i="78"/>
  <c r="C150" i="78"/>
  <c r="C151" i="78"/>
  <c r="C548" i="78"/>
  <c r="C549" i="78"/>
  <c r="C550" i="78"/>
  <c r="C551" i="78"/>
  <c r="C392" i="78"/>
  <c r="C112" i="78"/>
  <c r="P93" i="55"/>
  <c r="C785" i="78"/>
  <c r="P749" i="55"/>
  <c r="P721" i="55"/>
  <c r="C757" i="78"/>
  <c r="C192" i="78"/>
  <c r="C143" i="78"/>
  <c r="C307" i="78"/>
  <c r="C759" i="78"/>
  <c r="C760" i="78"/>
  <c r="C761" i="78"/>
  <c r="P724" i="55"/>
  <c r="P725" i="55"/>
  <c r="P723" i="55"/>
  <c r="C419" i="78"/>
  <c r="C420" i="78"/>
  <c r="C152" i="78"/>
  <c r="C674" i="78"/>
  <c r="C833" i="78"/>
  <c r="P390" i="55"/>
  <c r="P278" i="55"/>
  <c r="C546" i="78"/>
  <c r="C547" i="78"/>
  <c r="P516" i="55"/>
  <c r="P517" i="55"/>
  <c r="C523" i="78"/>
  <c r="C524" i="78"/>
  <c r="C525" i="78"/>
  <c r="C526" i="78"/>
  <c r="P493" i="55"/>
  <c r="P494" i="55"/>
  <c r="P495" i="55"/>
  <c r="P496" i="55"/>
  <c r="C518" i="78"/>
  <c r="C519" i="78"/>
  <c r="C520" i="78"/>
  <c r="C521" i="78"/>
  <c r="C522" i="78"/>
  <c r="P488" i="55"/>
  <c r="P489" i="55"/>
  <c r="P490" i="55"/>
  <c r="P491" i="55"/>
  <c r="P492" i="55"/>
  <c r="C417" i="78"/>
  <c r="C418" i="78"/>
  <c r="P387" i="55"/>
  <c r="P288" i="55"/>
  <c r="C318" i="78"/>
  <c r="C317" i="78"/>
  <c r="P287" i="55"/>
  <c r="C296" i="78"/>
  <c r="P269" i="55"/>
  <c r="C287" i="78"/>
  <c r="C259" i="78"/>
  <c r="C260" i="78"/>
  <c r="P235" i="55"/>
  <c r="P236" i="55"/>
  <c r="C350" i="78"/>
  <c r="D7" i="70"/>
  <c r="E7" i="70"/>
  <c r="D8" i="70"/>
  <c r="E8" i="70"/>
  <c r="D10" i="70"/>
  <c r="E10" i="70"/>
  <c r="D14" i="70"/>
  <c r="E14" i="70"/>
  <c r="D15" i="70"/>
  <c r="E15" i="70"/>
  <c r="D16" i="70"/>
  <c r="E16" i="70"/>
  <c r="D17" i="70"/>
  <c r="E17" i="70"/>
  <c r="D18" i="70"/>
  <c r="E18" i="70"/>
  <c r="D19" i="70"/>
  <c r="E19" i="70"/>
  <c r="D20" i="70"/>
  <c r="E20" i="70"/>
  <c r="D21" i="70"/>
  <c r="E21" i="70"/>
  <c r="D22" i="70"/>
  <c r="E22" i="70"/>
  <c r="D23" i="70"/>
  <c r="E23" i="70"/>
  <c r="D31" i="70"/>
  <c r="E31" i="70"/>
  <c r="D32" i="70"/>
  <c r="E32" i="70"/>
  <c r="D33" i="70"/>
  <c r="E33" i="70"/>
  <c r="D34" i="70"/>
  <c r="E34" i="70"/>
  <c r="D80" i="70"/>
  <c r="E80" i="70"/>
  <c r="D81" i="70"/>
  <c r="E81" i="70"/>
  <c r="D35" i="70"/>
  <c r="E35" i="70"/>
  <c r="D36" i="70"/>
  <c r="E36" i="70"/>
  <c r="D37" i="70"/>
  <c r="E37" i="70"/>
  <c r="D78" i="70"/>
  <c r="E78" i="70"/>
  <c r="D79" i="70"/>
  <c r="E79" i="70"/>
  <c r="D85" i="70"/>
  <c r="E85" i="70"/>
  <c r="D87" i="70"/>
  <c r="E87" i="70"/>
  <c r="D88" i="70"/>
  <c r="E88" i="70"/>
  <c r="D90" i="70"/>
  <c r="E90" i="70"/>
  <c r="D92" i="70"/>
  <c r="E92" i="70"/>
  <c r="D93" i="70"/>
  <c r="E93" i="70"/>
  <c r="D101" i="70"/>
  <c r="E101" i="70"/>
  <c r="D102" i="70"/>
  <c r="E102" i="70"/>
  <c r="D103" i="70"/>
  <c r="E103" i="70"/>
  <c r="D104" i="70"/>
  <c r="E104" i="70"/>
  <c r="D105" i="70"/>
  <c r="E105" i="70"/>
  <c r="D106" i="70"/>
  <c r="E106" i="70"/>
  <c r="B7" i="70"/>
  <c r="B8" i="70"/>
  <c r="B10" i="70"/>
  <c r="B14" i="70"/>
  <c r="B15" i="70"/>
  <c r="B16" i="70"/>
  <c r="B17" i="70"/>
  <c r="B18" i="70"/>
  <c r="B19" i="70"/>
  <c r="B20" i="70"/>
  <c r="B21" i="70"/>
  <c r="B22" i="70"/>
  <c r="B23" i="70"/>
  <c r="B31" i="70"/>
  <c r="B32" i="70"/>
  <c r="B33" i="70"/>
  <c r="B34" i="70"/>
  <c r="B80" i="70"/>
  <c r="B81" i="70"/>
  <c r="B35" i="70"/>
  <c r="B36" i="70"/>
  <c r="B37" i="70"/>
  <c r="B78" i="70"/>
  <c r="B79" i="70"/>
  <c r="B85" i="70"/>
  <c r="B87" i="70"/>
  <c r="B88" i="70"/>
  <c r="B101" i="70"/>
  <c r="B103" i="70"/>
  <c r="B104" i="70"/>
  <c r="B105" i="70"/>
  <c r="B106" i="70"/>
  <c r="G85" i="70"/>
  <c r="I85" i="70" s="1"/>
  <c r="F85" i="70"/>
  <c r="G33" i="70"/>
  <c r="H33" i="70" s="1"/>
  <c r="F33" i="70"/>
  <c r="C673" i="78"/>
  <c r="C543" i="78"/>
  <c r="G36" i="70"/>
  <c r="I36" i="70" s="1"/>
  <c r="F36" i="70"/>
  <c r="C542" i="78"/>
  <c r="C545" i="78"/>
  <c r="P515" i="55"/>
  <c r="G78" i="70"/>
  <c r="I78" i="70" s="1"/>
  <c r="G79" i="70"/>
  <c r="H79" i="70" s="1"/>
  <c r="C609" i="78"/>
  <c r="G37" i="70"/>
  <c r="I37" i="70" s="1"/>
  <c r="F37" i="70"/>
  <c r="C544" i="78"/>
  <c r="C720" i="78"/>
  <c r="P687" i="55"/>
  <c r="C726" i="78"/>
  <c r="C725" i="78"/>
  <c r="C137" i="78"/>
  <c r="C138" i="78"/>
  <c r="C188" i="78"/>
  <c r="C27" i="78"/>
  <c r="C67" i="78"/>
  <c r="C84" i="78"/>
  <c r="C85" i="78"/>
  <c r="C263" i="78"/>
  <c r="C148" i="78"/>
  <c r="C122" i="78"/>
  <c r="C672" i="78"/>
  <c r="C647" i="78"/>
  <c r="C646" i="78"/>
  <c r="C517" i="78"/>
  <c r="C371" i="78"/>
  <c r="C224" i="78"/>
  <c r="C135" i="78"/>
  <c r="P615" i="55"/>
  <c r="P616" i="55"/>
  <c r="P487" i="55"/>
  <c r="P341" i="55"/>
  <c r="P207" i="55"/>
  <c r="P129" i="55"/>
  <c r="P116" i="55"/>
  <c r="P103" i="55"/>
  <c r="P18" i="55"/>
  <c r="P45" i="55"/>
  <c r="C56" i="78"/>
  <c r="C315" i="78"/>
  <c r="F17" i="70"/>
  <c r="G31" i="70"/>
  <c r="H31" i="70" s="1"/>
  <c r="G32" i="70"/>
  <c r="H32" i="70" s="1"/>
  <c r="G34" i="70"/>
  <c r="H34" i="70" s="1"/>
  <c r="G80" i="70"/>
  <c r="H80" i="70" s="1"/>
  <c r="G81" i="70"/>
  <c r="H81" i="70" s="1"/>
  <c r="G87" i="70"/>
  <c r="H87" i="70" s="1"/>
  <c r="G88" i="70"/>
  <c r="H88" i="70" s="1"/>
  <c r="G90" i="70"/>
  <c r="H90" i="70" s="1"/>
  <c r="G101" i="70"/>
  <c r="I101" i="70" s="1"/>
  <c r="G102" i="70"/>
  <c r="H102" i="70" s="1"/>
  <c r="G103" i="70"/>
  <c r="I103" i="70" s="1"/>
  <c r="G104" i="70"/>
  <c r="H104" i="70" s="1"/>
  <c r="G35" i="70"/>
  <c r="I35" i="70" s="1"/>
  <c r="G19" i="70"/>
  <c r="H19" i="70" s="1"/>
  <c r="G20" i="70"/>
  <c r="H20" i="70" s="1"/>
  <c r="G21" i="70"/>
  <c r="H21" i="70" s="1"/>
  <c r="C52" i="78"/>
  <c r="P47" i="55"/>
  <c r="P41" i="55"/>
  <c r="C41" i="78"/>
  <c r="C42" i="78"/>
  <c r="C44" i="78"/>
  <c r="C46" i="78"/>
  <c r="C48" i="78"/>
  <c r="C49" i="78"/>
  <c r="C50" i="78"/>
  <c r="C51" i="78"/>
  <c r="C54" i="78"/>
  <c r="C55" i="78"/>
  <c r="C57" i="78"/>
  <c r="C58" i="78"/>
  <c r="C129" i="78"/>
  <c r="F21" i="70"/>
  <c r="F20" i="70"/>
  <c r="F19" i="70"/>
  <c r="F35" i="70"/>
  <c r="C540" i="78"/>
  <c r="C541" i="78"/>
  <c r="C313" i="78"/>
  <c r="C314" i="78"/>
  <c r="P213" i="55"/>
  <c r="P214" i="55"/>
  <c r="C735" i="78"/>
  <c r="C736" i="78"/>
  <c r="C734" i="78"/>
  <c r="C531" i="78"/>
  <c r="C93" i="78"/>
  <c r="C94" i="78"/>
  <c r="C209" i="78"/>
  <c r="C210" i="78"/>
  <c r="C266" i="78"/>
  <c r="C267" i="78"/>
  <c r="P501" i="55"/>
  <c r="C265" i="78"/>
  <c r="C208" i="78"/>
  <c r="C388" i="78"/>
  <c r="C389" i="78"/>
  <c r="C390" i="78"/>
  <c r="P359" i="55"/>
  <c r="P357" i="55"/>
  <c r="P358" i="55"/>
  <c r="P321" i="55"/>
  <c r="C352" i="78"/>
  <c r="F81" i="70"/>
  <c r="F80" i="70"/>
  <c r="C316" i="78"/>
  <c r="P286" i="55"/>
  <c r="C507" i="78"/>
  <c r="P299" i="55"/>
  <c r="C329" i="78"/>
  <c r="P502" i="55"/>
  <c r="C532" i="78"/>
  <c r="C528" i="78"/>
  <c r="P497" i="55"/>
  <c r="P499" i="55"/>
  <c r="P500" i="55"/>
  <c r="C529" i="78"/>
  <c r="C530" i="78"/>
  <c r="C527" i="78"/>
  <c r="C351" i="78"/>
  <c r="C36" i="95"/>
  <c r="C286" i="78"/>
  <c r="C285" i="78"/>
  <c r="P260" i="55"/>
  <c r="C501" i="78"/>
  <c r="C755" i="78"/>
  <c r="C702" i="78"/>
  <c r="C819" i="78"/>
  <c r="C416" i="78"/>
  <c r="C539" i="78"/>
  <c r="C690" i="78"/>
  <c r="P659" i="55"/>
  <c r="C302" i="78"/>
  <c r="P273" i="55"/>
  <c r="P44" i="55"/>
  <c r="C756" i="78"/>
  <c r="C611" i="78"/>
  <c r="C610" i="78"/>
  <c r="P460" i="55"/>
  <c r="C294" i="78"/>
  <c r="C832" i="78"/>
  <c r="P775" i="55"/>
  <c r="C811" i="78"/>
  <c r="C771" i="78"/>
  <c r="C768" i="78"/>
  <c r="C331" i="78"/>
  <c r="P717" i="55"/>
  <c r="C753" i="78"/>
  <c r="C490" i="78"/>
  <c r="C688" i="78"/>
  <c r="C689" i="78"/>
  <c r="P634" i="55"/>
  <c r="C665" i="78"/>
  <c r="C645" i="78"/>
  <c r="P614" i="55"/>
  <c r="C510" i="78"/>
  <c r="P480" i="55"/>
  <c r="C509" i="78"/>
  <c r="P479" i="55"/>
  <c r="P428" i="55"/>
  <c r="C458" i="78"/>
  <c r="C452" i="78"/>
  <c r="P422" i="55"/>
  <c r="P421" i="55"/>
  <c r="C451" i="78"/>
  <c r="C353" i="78"/>
  <c r="P322" i="55"/>
  <c r="C370" i="78"/>
  <c r="C289" i="78"/>
  <c r="P263" i="55"/>
  <c r="C288" i="78"/>
  <c r="P226" i="55"/>
  <c r="C250" i="78"/>
  <c r="C248" i="78"/>
  <c r="C249" i="78"/>
  <c r="P225" i="55"/>
  <c r="P224" i="55"/>
  <c r="C227" i="78"/>
  <c r="P204" i="55"/>
  <c r="C203" i="78"/>
  <c r="P123" i="55"/>
  <c r="C142" i="78"/>
  <c r="P122" i="55"/>
  <c r="C141" i="78"/>
  <c r="C134" i="78"/>
  <c r="C133" i="78"/>
  <c r="C330" i="78"/>
  <c r="P70" i="55"/>
  <c r="C82" i="78"/>
  <c r="C70" i="78"/>
  <c r="C65" i="78"/>
  <c r="P42" i="55"/>
  <c r="P40" i="55"/>
  <c r="P39" i="55"/>
  <c r="P33" i="55"/>
  <c r="C40" i="78"/>
  <c r="C24" i="78"/>
  <c r="C25" i="78"/>
  <c r="C28" i="78"/>
  <c r="C73" i="78"/>
  <c r="C26" i="78"/>
  <c r="C29" i="78"/>
  <c r="C30" i="78"/>
  <c r="P4" i="55"/>
  <c r="P2" i="55"/>
  <c r="P3" i="55"/>
  <c r="P17" i="55"/>
  <c r="C225" i="78"/>
  <c r="P202" i="55"/>
  <c r="P498" i="55"/>
  <c r="C297" i="78"/>
  <c r="C298" i="78"/>
  <c r="C513" i="78"/>
  <c r="C514" i="78"/>
  <c r="C515" i="78"/>
  <c r="C516" i="78"/>
  <c r="P230" i="55"/>
  <c r="P231" i="55"/>
  <c r="C254" i="78"/>
  <c r="C255" i="78"/>
  <c r="C801" i="78"/>
  <c r="C217" i="78"/>
  <c r="P618" i="55"/>
  <c r="C649" i="78"/>
  <c r="P206" i="55"/>
  <c r="C588" i="78"/>
  <c r="C589" i="78"/>
  <c r="C497" i="78"/>
  <c r="C505" i="78"/>
  <c r="C504" i="78"/>
  <c r="C258" i="78"/>
  <c r="P234" i="55"/>
  <c r="C295" i="78"/>
  <c r="C37" i="78"/>
  <c r="C31" i="78"/>
  <c r="C32" i="78"/>
  <c r="C66" i="78"/>
  <c r="C71" i="78"/>
  <c r="P19" i="55"/>
  <c r="P21" i="55"/>
  <c r="P22" i="55"/>
  <c r="C269" i="78"/>
  <c r="P244" i="55"/>
  <c r="O11" i="183" s="1"/>
  <c r="F34" i="70"/>
  <c r="C747" i="78"/>
  <c r="C738" i="78"/>
  <c r="C693" i="78"/>
  <c r="C640" i="78"/>
  <c r="C500" i="78"/>
  <c r="C408" i="78"/>
  <c r="C450" i="78"/>
  <c r="C754" i="78"/>
  <c r="P718" i="55"/>
  <c r="C805" i="78"/>
  <c r="P769" i="55"/>
  <c r="C670" i="78"/>
  <c r="C671" i="78"/>
  <c r="F106" i="70"/>
  <c r="F105" i="70"/>
  <c r="C798" i="78"/>
  <c r="C799" i="78"/>
  <c r="C800" i="78"/>
  <c r="C512" i="78"/>
  <c r="C511" i="78"/>
  <c r="P482" i="55"/>
  <c r="P484" i="55"/>
  <c r="P481" i="55"/>
  <c r="P486" i="55"/>
  <c r="P483" i="55"/>
  <c r="P485" i="55"/>
  <c r="C493" i="78"/>
  <c r="C348" i="78"/>
  <c r="P318" i="55"/>
  <c r="C320" i="78"/>
  <c r="C321" i="78"/>
  <c r="G17" i="3"/>
  <c r="G16" i="3"/>
  <c r="G15" i="3"/>
  <c r="G12" i="3"/>
  <c r="G11" i="3"/>
  <c r="I9" i="3"/>
  <c r="H9" i="3"/>
  <c r="C33" i="95"/>
  <c r="C506" i="78"/>
  <c r="P476" i="55"/>
  <c r="O55" i="183" s="1"/>
  <c r="C35" i="95"/>
  <c r="C18" i="95"/>
  <c r="C202" i="78"/>
  <c r="C806" i="78"/>
  <c r="C807" i="78"/>
  <c r="C465" i="78"/>
  <c r="C498" i="78"/>
  <c r="C499" i="78"/>
  <c r="C454" i="78"/>
  <c r="C437" i="78"/>
  <c r="C435" i="78"/>
  <c r="C436" i="78"/>
  <c r="C438" i="78"/>
  <c r="C439" i="78"/>
  <c r="C440" i="78"/>
  <c r="C387" i="78"/>
  <c r="P356" i="55"/>
  <c r="P410" i="55"/>
  <c r="C683" i="78"/>
  <c r="C794" i="78"/>
  <c r="C795" i="78"/>
  <c r="C796" i="78"/>
  <c r="C793" i="78"/>
  <c r="C797" i="78"/>
  <c r="P121" i="55"/>
  <c r="G17" i="70"/>
  <c r="I17" i="70" s="1"/>
  <c r="G18" i="70"/>
  <c r="H18" i="70" s="1"/>
  <c r="C261" i="78"/>
  <c r="C196" i="78"/>
  <c r="C193" i="78"/>
  <c r="C349" i="78"/>
  <c r="C279" i="78"/>
  <c r="C737" i="78"/>
  <c r="C488" i="78"/>
  <c r="C489" i="78"/>
  <c r="C477" i="78"/>
  <c r="C478" i="78"/>
  <c r="C479" i="78"/>
  <c r="C599" i="78"/>
  <c r="C475" i="78"/>
  <c r="C634" i="78"/>
  <c r="C449" i="78"/>
  <c r="C252" i="78"/>
  <c r="C251" i="78"/>
  <c r="C413" i="78"/>
  <c r="C140" i="78"/>
  <c r="C648" i="78"/>
  <c r="C312" i="78"/>
  <c r="C220" i="78"/>
  <c r="C830" i="78"/>
  <c r="C831" i="78"/>
  <c r="C752" i="78"/>
  <c r="C751" i="78"/>
  <c r="C328" i="78"/>
  <c r="C327" i="78"/>
  <c r="C663" i="78"/>
  <c r="C664" i="78"/>
  <c r="C190" i="78"/>
  <c r="P470" i="55"/>
  <c r="P771" i="55"/>
  <c r="P701" i="55"/>
  <c r="P298" i="55"/>
  <c r="P297" i="55"/>
  <c r="P474" i="55"/>
  <c r="P475" i="55"/>
  <c r="O54" i="183" s="1"/>
  <c r="P633" i="55"/>
  <c r="P617" i="55"/>
  <c r="P458" i="55"/>
  <c r="P447" i="55"/>
  <c r="P419" i="55"/>
  <c r="P408" i="55"/>
  <c r="P254" i="55"/>
  <c r="P228" i="55"/>
  <c r="P227" i="55"/>
  <c r="P197" i="55"/>
  <c r="P171" i="55"/>
  <c r="C139" i="78"/>
  <c r="P120" i="55"/>
  <c r="C19" i="95"/>
  <c r="C20" i="95"/>
  <c r="C17" i="95"/>
  <c r="C16" i="95"/>
  <c r="C628" i="78"/>
  <c r="C629" i="78"/>
  <c r="C630" i="78"/>
  <c r="C631" i="78"/>
  <c r="C632" i="78"/>
  <c r="C633" i="78"/>
  <c r="P598" i="55"/>
  <c r="P599" i="55"/>
  <c r="P600" i="55"/>
  <c r="P601" i="55"/>
  <c r="P602" i="55"/>
  <c r="P603" i="55"/>
  <c r="C792" i="78"/>
  <c r="C818" i="78"/>
  <c r="P782" i="55"/>
  <c r="P295" i="55"/>
  <c r="C846" i="78"/>
  <c r="C627" i="78"/>
  <c r="C325" i="78"/>
  <c r="C323" i="78"/>
  <c r="C283" i="78"/>
  <c r="C237" i="78"/>
  <c r="C238" i="78"/>
  <c r="P258" i="55"/>
  <c r="P118" i="55"/>
  <c r="P119" i="55"/>
  <c r="F32" i="70"/>
  <c r="C494" i="78"/>
  <c r="P293" i="55"/>
  <c r="P597" i="55"/>
  <c r="G22" i="70"/>
  <c r="H22" i="70" s="1"/>
  <c r="G23" i="70"/>
  <c r="H23" i="70" s="1"/>
  <c r="F23" i="70"/>
  <c r="F22" i="70"/>
  <c r="C495" i="78"/>
  <c r="C496" i="78"/>
  <c r="P465" i="55"/>
  <c r="P466" i="55"/>
  <c r="G10" i="70"/>
  <c r="H10" i="70" s="1"/>
  <c r="C28" i="95"/>
  <c r="C27" i="95"/>
  <c r="P37" i="55"/>
  <c r="P83" i="55"/>
  <c r="P84" i="55"/>
  <c r="P86" i="55"/>
  <c r="P87" i="55"/>
  <c r="P88" i="55"/>
  <c r="P89" i="55"/>
  <c r="P90" i="55"/>
  <c r="P91" i="55"/>
  <c r="P92" i="55"/>
  <c r="P104" i="55"/>
  <c r="P105" i="55"/>
  <c r="P106" i="55"/>
  <c r="P107" i="55"/>
  <c r="P109" i="55"/>
  <c r="P110" i="55"/>
  <c r="P124" i="55"/>
  <c r="P126" i="55"/>
  <c r="P127" i="55"/>
  <c r="P128" i="55"/>
  <c r="P172" i="55"/>
  <c r="P173" i="55"/>
  <c r="P194" i="55"/>
  <c r="P195" i="55"/>
  <c r="P196" i="55"/>
  <c r="P212" i="55"/>
  <c r="P221" i="55"/>
  <c r="P222" i="55"/>
  <c r="O9" i="183" s="1"/>
  <c r="P223" i="55"/>
  <c r="P243" i="55"/>
  <c r="P252" i="55"/>
  <c r="P253" i="55"/>
  <c r="P255" i="55"/>
  <c r="P256" i="55"/>
  <c r="P259" i="55"/>
  <c r="P272" i="55"/>
  <c r="O14" i="183" s="1"/>
  <c r="P478" i="55"/>
  <c r="P285" i="55"/>
  <c r="P289" i="55"/>
  <c r="P290" i="55"/>
  <c r="P291" i="55"/>
  <c r="P292" i="55"/>
  <c r="P304" i="55"/>
  <c r="P305" i="55"/>
  <c r="P306" i="55"/>
  <c r="P307" i="55"/>
  <c r="P308" i="55"/>
  <c r="P311" i="55"/>
  <c r="P312" i="55"/>
  <c r="P313" i="55"/>
  <c r="P314" i="55"/>
  <c r="P315" i="55"/>
  <c r="P316" i="55"/>
  <c r="P317" i="55"/>
  <c r="P324" i="55"/>
  <c r="P342" i="55"/>
  <c r="P343" i="55"/>
  <c r="P344" i="55"/>
  <c r="P345" i="55"/>
  <c r="P346" i="55"/>
  <c r="P347" i="55"/>
  <c r="P348" i="55"/>
  <c r="P349" i="55"/>
  <c r="P350" i="55"/>
  <c r="P351" i="55"/>
  <c r="P352" i="55"/>
  <c r="P353" i="55"/>
  <c r="P354" i="55"/>
  <c r="P355" i="55"/>
  <c r="P376" i="55"/>
  <c r="P377" i="55"/>
  <c r="P405" i="55"/>
  <c r="P406" i="55"/>
  <c r="P420" i="55"/>
  <c r="P423" i="55"/>
  <c r="P424" i="55"/>
  <c r="P425" i="55"/>
  <c r="P426" i="55"/>
  <c r="P756" i="55"/>
  <c r="P429" i="55"/>
  <c r="P430" i="55"/>
  <c r="P431" i="55"/>
  <c r="P432" i="55"/>
  <c r="P433" i="55"/>
  <c r="P434" i="55"/>
  <c r="P435" i="55"/>
  <c r="P436" i="55"/>
  <c r="P528" i="55"/>
  <c r="P437" i="55"/>
  <c r="O33" i="183" s="1"/>
  <c r="P438" i="55"/>
  <c r="P439" i="55"/>
  <c r="P440" i="55"/>
  <c r="O38" i="183" s="1"/>
  <c r="P441" i="55"/>
  <c r="P442" i="55"/>
  <c r="P450" i="55"/>
  <c r="P451" i="55"/>
  <c r="P453" i="55"/>
  <c r="P454" i="55"/>
  <c r="P455" i="55"/>
  <c r="P456" i="55"/>
  <c r="O46" i="183" s="1"/>
  <c r="P457" i="55"/>
  <c r="P461" i="55"/>
  <c r="P462" i="55"/>
  <c r="P463" i="55"/>
  <c r="P595" i="55"/>
  <c r="P604" i="55"/>
  <c r="P605" i="55"/>
  <c r="P606" i="55"/>
  <c r="P607" i="55"/>
  <c r="P608" i="55"/>
  <c r="P609" i="55"/>
  <c r="P613" i="55"/>
  <c r="P639" i="55"/>
  <c r="P640" i="55"/>
  <c r="P651" i="55"/>
  <c r="P652" i="55"/>
  <c r="P660" i="55"/>
  <c r="P661" i="55"/>
  <c r="P662" i="55"/>
  <c r="P663" i="55"/>
  <c r="P664" i="55"/>
  <c r="P665" i="55"/>
  <c r="P666" i="55"/>
  <c r="P685" i="55"/>
  <c r="O101" i="70"/>
  <c r="P686" i="55"/>
  <c r="P702" i="55"/>
  <c r="P705" i="55"/>
  <c r="P748" i="55"/>
  <c r="P752" i="55"/>
  <c r="P753" i="55"/>
  <c r="P754" i="55"/>
  <c r="P755" i="55"/>
  <c r="P770" i="55"/>
  <c r="P773" i="55"/>
  <c r="P774" i="55"/>
  <c r="P776" i="55"/>
  <c r="P777" i="55"/>
  <c r="P805" i="55"/>
  <c r="P806" i="55"/>
  <c r="P807" i="55"/>
  <c r="P808" i="55"/>
  <c r="P809" i="55"/>
  <c r="N4" i="51"/>
  <c r="N6" i="51"/>
  <c r="K4" i="51"/>
  <c r="K6" i="51"/>
  <c r="J4" i="51"/>
  <c r="J6" i="51"/>
  <c r="M4" i="51"/>
  <c r="M6" i="51"/>
  <c r="I4" i="51"/>
  <c r="I6" i="51"/>
  <c r="H4" i="51"/>
  <c r="H6" i="51"/>
  <c r="G4" i="51"/>
  <c r="G6" i="51"/>
  <c r="F4" i="51"/>
  <c r="F6" i="51"/>
  <c r="E4" i="51"/>
  <c r="E6" i="51"/>
  <c r="D4" i="51"/>
  <c r="D6" i="51"/>
  <c r="Q721" i="55"/>
  <c r="Q93" i="55"/>
  <c r="Q749" i="55"/>
  <c r="Q724" i="55"/>
  <c r="Q725" i="55"/>
  <c r="Q723" i="55"/>
  <c r="Q490" i="55"/>
  <c r="Q390" i="55"/>
  <c r="Q517" i="55"/>
  <c r="Q496" i="55"/>
  <c r="Q488" i="55"/>
  <c r="Q269" i="55"/>
  <c r="Q491" i="55"/>
  <c r="Q387" i="55"/>
  <c r="Q492" i="55"/>
  <c r="Q287" i="55"/>
  <c r="Q516" i="55"/>
  <c r="Q495" i="55"/>
  <c r="Q493" i="55"/>
  <c r="Q288" i="55"/>
  <c r="Q494" i="55"/>
  <c r="Q489" i="55"/>
  <c r="Q278" i="55"/>
  <c r="Q235" i="55"/>
  <c r="Q236" i="55"/>
  <c r="Q515" i="55"/>
  <c r="Q687" i="55"/>
  <c r="Q18" i="55"/>
  <c r="Q616" i="55"/>
  <c r="Q103" i="55"/>
  <c r="Q129" i="55"/>
  <c r="Q116" i="55"/>
  <c r="Q341" i="55"/>
  <c r="Q487" i="55"/>
  <c r="Q207" i="55"/>
  <c r="Q615" i="55"/>
  <c r="Q45" i="55"/>
  <c r="Q47" i="55"/>
  <c r="Q41" i="55"/>
  <c r="Q213" i="55"/>
  <c r="Q214" i="55"/>
  <c r="Q501" i="55"/>
  <c r="Q359" i="55"/>
  <c r="Q357" i="55"/>
  <c r="Q358" i="55"/>
  <c r="Q321" i="55"/>
  <c r="Q286" i="55"/>
  <c r="Q299" i="55"/>
  <c r="Q502" i="55"/>
  <c r="Q499" i="55"/>
  <c r="Q497" i="55"/>
  <c r="Q500" i="55"/>
  <c r="Q260" i="55"/>
  <c r="Q44" i="55"/>
  <c r="Q273" i="55"/>
  <c r="Q659" i="55"/>
  <c r="Q460" i="55"/>
  <c r="Q717" i="55"/>
  <c r="Q775" i="55"/>
  <c r="Q226" i="55"/>
  <c r="Q634" i="55"/>
  <c r="Q422" i="55"/>
  <c r="Q614" i="55"/>
  <c r="Q428" i="55"/>
  <c r="Q224" i="55"/>
  <c r="Q480" i="55"/>
  <c r="Q479" i="55"/>
  <c r="Q421" i="55"/>
  <c r="Q322" i="55"/>
  <c r="Q263" i="55"/>
  <c r="Q225" i="55"/>
  <c r="Q204" i="55"/>
  <c r="Q123" i="55"/>
  <c r="Q122" i="55"/>
  <c r="Q40" i="55"/>
  <c r="Q2" i="55"/>
  <c r="Q3" i="55"/>
  <c r="Q17" i="55"/>
  <c r="Q70" i="55"/>
  <c r="Q39" i="55"/>
  <c r="Q42" i="55"/>
  <c r="Q33" i="55"/>
  <c r="Q4" i="55"/>
  <c r="Q202" i="55"/>
  <c r="Q498" i="55"/>
  <c r="Q230" i="55"/>
  <c r="Q231" i="55"/>
  <c r="Q618" i="55"/>
  <c r="Q206" i="55"/>
  <c r="Q234" i="55"/>
  <c r="Q19" i="55"/>
  <c r="Q21" i="55"/>
  <c r="Q22" i="55"/>
  <c r="Q244" i="55"/>
  <c r="P11" i="183" s="1"/>
  <c r="T11" i="183" s="1"/>
  <c r="Q718" i="55"/>
  <c r="Q769" i="55"/>
  <c r="Q482" i="55"/>
  <c r="Q486" i="55"/>
  <c r="Q481" i="55"/>
  <c r="Q483" i="55"/>
  <c r="Q484" i="55"/>
  <c r="Q485" i="55"/>
  <c r="Q318" i="55"/>
  <c r="Q476" i="55"/>
  <c r="P55" i="183" s="1"/>
  <c r="T55" i="183" s="1"/>
  <c r="Q410" i="55"/>
  <c r="Q356" i="55"/>
  <c r="Q121" i="55"/>
  <c r="Q470" i="55"/>
  <c r="Q771" i="55"/>
  <c r="Q254" i="55"/>
  <c r="Q120" i="55"/>
  <c r="Q408" i="55"/>
  <c r="Q227" i="55"/>
  <c r="Q297" i="55"/>
  <c r="Q701" i="55"/>
  <c r="Q474" i="55"/>
  <c r="Q633" i="55"/>
  <c r="Q298" i="55"/>
  <c r="Q458" i="55"/>
  <c r="Q197" i="55"/>
  <c r="Q171" i="55"/>
  <c r="Q475" i="55"/>
  <c r="P54" i="183" s="1"/>
  <c r="T54" i="183" s="1"/>
  <c r="Q447" i="55"/>
  <c r="Q617" i="55"/>
  <c r="Q419" i="55"/>
  <c r="Q228" i="55"/>
  <c r="Q600" i="55"/>
  <c r="Q598" i="55"/>
  <c r="Q601" i="55"/>
  <c r="Q599" i="55"/>
  <c r="Q602" i="55"/>
  <c r="Q603" i="55"/>
  <c r="Q782" i="55"/>
  <c r="Q119" i="55"/>
  <c r="Q295" i="55"/>
  <c r="Q258" i="55"/>
  <c r="Q118" i="55"/>
  <c r="Q293" i="55"/>
  <c r="Q597" i="55"/>
  <c r="Q465" i="55"/>
  <c r="Q466" i="55"/>
  <c r="Q87" i="55"/>
  <c r="Q110" i="55"/>
  <c r="Q124" i="55"/>
  <c r="Q172" i="55"/>
  <c r="Q194" i="55"/>
  <c r="Q285" i="55"/>
  <c r="Q312" i="55"/>
  <c r="Q347" i="55"/>
  <c r="Q355" i="55"/>
  <c r="Q433" i="55"/>
  <c r="Q440" i="55"/>
  <c r="P38" i="183" s="1"/>
  <c r="T38" i="183" s="1"/>
  <c r="Q451" i="55"/>
  <c r="Q462" i="55"/>
  <c r="Q607" i="55"/>
  <c r="Q89" i="55"/>
  <c r="Q126" i="55"/>
  <c r="Q221" i="55"/>
  <c r="Q304" i="55"/>
  <c r="Q315" i="55"/>
  <c r="Q343" i="55"/>
  <c r="Q350" i="55"/>
  <c r="Q420" i="55"/>
  <c r="Q426" i="55"/>
  <c r="Q436" i="55"/>
  <c r="Q441" i="55"/>
  <c r="Q454" i="55"/>
  <c r="Q609" i="55"/>
  <c r="Q660" i="55"/>
  <c r="Q37" i="55"/>
  <c r="Q83" i="55"/>
  <c r="Q86" i="55"/>
  <c r="Q105" i="55"/>
  <c r="Q478" i="55"/>
  <c r="Q307" i="55"/>
  <c r="Q345" i="55"/>
  <c r="Q353" i="55"/>
  <c r="Q377" i="55"/>
  <c r="Q405" i="55"/>
  <c r="Q423" i="55"/>
  <c r="Q429" i="55"/>
  <c r="Q431" i="55"/>
  <c r="Q438" i="55"/>
  <c r="Q457" i="55"/>
  <c r="Q605" i="55"/>
  <c r="Q640" i="55"/>
  <c r="Q84" i="55"/>
  <c r="Q92" i="55"/>
  <c r="Q106" i="55"/>
  <c r="Q109" i="55"/>
  <c r="Q223" i="55"/>
  <c r="Q255" i="55"/>
  <c r="Q311" i="55"/>
  <c r="Q324" i="55"/>
  <c r="Q346" i="55"/>
  <c r="Q354" i="55"/>
  <c r="Q406" i="55"/>
  <c r="Q424" i="55"/>
  <c r="Q432" i="55"/>
  <c r="Q439" i="55"/>
  <c r="Q450" i="55"/>
  <c r="Q461" i="55"/>
  <c r="Q606" i="55"/>
  <c r="Q613" i="55"/>
  <c r="Q651" i="55"/>
  <c r="Q663" i="55"/>
  <c r="Q664" i="55"/>
  <c r="Q686" i="55"/>
  <c r="Q88" i="55"/>
  <c r="Q196" i="55"/>
  <c r="Q243" i="55"/>
  <c r="Q256" i="55"/>
  <c r="Q289" i="55"/>
  <c r="Q292" i="55"/>
  <c r="Q314" i="55"/>
  <c r="Q342" i="55"/>
  <c r="Q349" i="55"/>
  <c r="Q435" i="55"/>
  <c r="Q453" i="55"/>
  <c r="Q595" i="55"/>
  <c r="Q665" i="55"/>
  <c r="Q754" i="55"/>
  <c r="Q777" i="55"/>
  <c r="Q809" i="55"/>
  <c r="Q705" i="55"/>
  <c r="Q807" i="55"/>
  <c r="Q90" i="55"/>
  <c r="Q127" i="55"/>
  <c r="Q222" i="55"/>
  <c r="P9" i="183" s="1"/>
  <c r="T9" i="183" s="1"/>
  <c r="Q252" i="55"/>
  <c r="Q290" i="55"/>
  <c r="Q305" i="55"/>
  <c r="Q308" i="55"/>
  <c r="Q316" i="55"/>
  <c r="Q344" i="55"/>
  <c r="Q351" i="55"/>
  <c r="Q376" i="55"/>
  <c r="Q528" i="55"/>
  <c r="Q442" i="55"/>
  <c r="Q455" i="55"/>
  <c r="Q702" i="55"/>
  <c r="Q755" i="55"/>
  <c r="Q773" i="55"/>
  <c r="Q808" i="55"/>
  <c r="Q173" i="55"/>
  <c r="Q195" i="55"/>
  <c r="Q317" i="55"/>
  <c r="Q639" i="55"/>
  <c r="Q434" i="55"/>
  <c r="Q805" i="55"/>
  <c r="Q463" i="55"/>
  <c r="Q753" i="55"/>
  <c r="Q104" i="55"/>
  <c r="Q259" i="55"/>
  <c r="Q352" i="55"/>
  <c r="Q437" i="55"/>
  <c r="P33" i="183" s="1"/>
  <c r="T33" i="183" s="1"/>
  <c r="Q662" i="55"/>
  <c r="Q348" i="55"/>
  <c r="Q748" i="55"/>
  <c r="Q774" i="55"/>
  <c r="Q608" i="55"/>
  <c r="Q661" i="55"/>
  <c r="Q306" i="55"/>
  <c r="Q313" i="55"/>
  <c r="Q604" i="55"/>
  <c r="Q107" i="55"/>
  <c r="Q756" i="55"/>
  <c r="Q752" i="55"/>
  <c r="Q291" i="55"/>
  <c r="Q456" i="55"/>
  <c r="P46" i="183" s="1"/>
  <c r="T46" i="183" s="1"/>
  <c r="Q770" i="55"/>
  <c r="Q212" i="55"/>
  <c r="Q425" i="55"/>
  <c r="Q652" i="55"/>
  <c r="Q666" i="55"/>
  <c r="Q685" i="55"/>
  <c r="P101" i="70"/>
  <c r="Q806" i="55"/>
  <c r="Q253" i="55"/>
  <c r="Q272" i="55"/>
  <c r="P14" i="183" s="1"/>
  <c r="T14" i="183" s="1"/>
  <c r="Q430" i="55"/>
  <c r="Q91" i="55"/>
  <c r="Q128" i="55"/>
  <c r="Q776" i="55"/>
  <c r="C4" i="51"/>
  <c r="C6" i="51"/>
  <c r="L4" i="51"/>
  <c r="L6" i="51"/>
  <c r="O721" i="55"/>
  <c r="O93" i="55"/>
  <c r="O749" i="55"/>
  <c r="O724" i="55"/>
  <c r="O725" i="55"/>
  <c r="O723" i="55"/>
  <c r="O390" i="55"/>
  <c r="O517" i="55"/>
  <c r="O496" i="55"/>
  <c r="O488" i="55"/>
  <c r="O494" i="55"/>
  <c r="O489" i="55"/>
  <c r="O287" i="55"/>
  <c r="O490" i="55"/>
  <c r="O493" i="55"/>
  <c r="O288" i="55"/>
  <c r="O269" i="55"/>
  <c r="O491" i="55"/>
  <c r="O387" i="55"/>
  <c r="O278" i="55"/>
  <c r="O492" i="55"/>
  <c r="O516" i="55"/>
  <c r="O495" i="55"/>
  <c r="O235" i="55"/>
  <c r="O236" i="55"/>
  <c r="O515" i="55"/>
  <c r="O687" i="55"/>
  <c r="O616" i="55"/>
  <c r="O129" i="55"/>
  <c r="O487" i="55"/>
  <c r="O207" i="55"/>
  <c r="O615" i="55"/>
  <c r="O116" i="55"/>
  <c r="O341" i="55"/>
  <c r="O18" i="55"/>
  <c r="O103" i="55"/>
  <c r="O45" i="55"/>
  <c r="O47" i="55"/>
  <c r="O41" i="55"/>
  <c r="O652" i="55"/>
  <c r="O436" i="55"/>
  <c r="O609" i="55"/>
  <c r="O118" i="55"/>
  <c r="O771" i="55"/>
  <c r="O475" i="55"/>
  <c r="N54" i="183" s="1"/>
  <c r="O484" i="55"/>
  <c r="O769" i="55"/>
  <c r="O19" i="55"/>
  <c r="O206" i="55"/>
  <c r="O3" i="55"/>
  <c r="O122" i="55"/>
  <c r="O224" i="55"/>
  <c r="O497" i="55"/>
  <c r="O358" i="55"/>
  <c r="O606" i="55"/>
  <c r="O197" i="55"/>
  <c r="O470" i="55"/>
  <c r="O356" i="55"/>
  <c r="O486" i="55"/>
  <c r="O718" i="55"/>
  <c r="O2" i="55"/>
  <c r="O659" i="55"/>
  <c r="O500" i="55"/>
  <c r="O214" i="55"/>
  <c r="O441" i="55"/>
  <c r="O439" i="55"/>
  <c r="O351" i="55"/>
  <c r="O603" i="55"/>
  <c r="O228" i="55"/>
  <c r="O298" i="55"/>
  <c r="O482" i="55"/>
  <c r="O244" i="55"/>
  <c r="N11" i="183" s="1"/>
  <c r="O230" i="55"/>
  <c r="O33" i="55"/>
  <c r="O17" i="55"/>
  <c r="O204" i="55"/>
  <c r="O226" i="55"/>
  <c r="O322" i="55"/>
  <c r="O273" i="55"/>
  <c r="O502" i="55"/>
  <c r="O357" i="55"/>
  <c r="O213" i="55"/>
  <c r="O600" i="55"/>
  <c r="O419" i="55"/>
  <c r="O485" i="55"/>
  <c r="O21" i="55"/>
  <c r="O234" i="55"/>
  <c r="O231" i="55"/>
  <c r="O123" i="55"/>
  <c r="O263" i="55"/>
  <c r="O480" i="55"/>
  <c r="O321" i="55"/>
  <c r="O304" i="55"/>
  <c r="O406" i="55"/>
  <c r="O305" i="55"/>
  <c r="O437" i="55"/>
  <c r="N33" i="183" s="1"/>
  <c r="O465" i="55"/>
  <c r="O602" i="55"/>
  <c r="O617" i="55"/>
  <c r="O227" i="55"/>
  <c r="O481" i="55"/>
  <c r="O498" i="55"/>
  <c r="O40" i="55"/>
  <c r="O39" i="55"/>
  <c r="O421" i="55"/>
  <c r="O717" i="55"/>
  <c r="O44" i="55"/>
  <c r="O260" i="55"/>
  <c r="O754" i="55"/>
  <c r="O285" i="55"/>
  <c r="O306" i="55"/>
  <c r="O466" i="55"/>
  <c r="O408" i="55"/>
  <c r="O4" i="55"/>
  <c r="O422" i="55"/>
  <c r="O428" i="55"/>
  <c r="O299" i="55"/>
  <c r="O172" i="55"/>
  <c r="O702" i="55"/>
  <c r="O259" i="55"/>
  <c r="O86" i="55"/>
  <c r="O318" i="55"/>
  <c r="O70" i="55"/>
  <c r="O479" i="55"/>
  <c r="O634" i="55"/>
  <c r="O775" i="55"/>
  <c r="O460" i="55"/>
  <c r="O359" i="55"/>
  <c r="O501" i="55"/>
  <c r="O805" i="55"/>
  <c r="O607" i="55"/>
  <c r="O258" i="55"/>
  <c r="O447" i="55"/>
  <c r="O483" i="55"/>
  <c r="O22" i="55"/>
  <c r="O618" i="55"/>
  <c r="O42" i="55"/>
  <c r="O202" i="55"/>
  <c r="O614" i="55"/>
  <c r="O225" i="55"/>
  <c r="O499" i="55"/>
  <c r="O286" i="55"/>
  <c r="O354" i="55"/>
  <c r="O313" i="55"/>
  <c r="O293" i="55"/>
  <c r="O599" i="55"/>
  <c r="O474" i="55"/>
  <c r="O410" i="55"/>
  <c r="O453" i="55"/>
  <c r="O651" i="55"/>
  <c r="O748" i="55"/>
  <c r="O604" i="55"/>
  <c r="O377" i="55"/>
  <c r="O597" i="55"/>
  <c r="O295" i="55"/>
  <c r="O598" i="55"/>
  <c r="O171" i="55"/>
  <c r="O124" i="55"/>
  <c r="O752" i="55"/>
  <c r="O173" i="55"/>
  <c r="O478" i="55"/>
  <c r="O782" i="55"/>
  <c r="O701" i="55"/>
  <c r="O297" i="55"/>
  <c r="O120" i="55"/>
  <c r="O256" i="55"/>
  <c r="O462" i="55"/>
  <c r="O84" i="55"/>
  <c r="O686" i="55"/>
  <c r="O352" i="55"/>
  <c r="O528" i="55"/>
  <c r="O119" i="55"/>
  <c r="O601" i="55"/>
  <c r="O254" i="55"/>
  <c r="O458" i="55"/>
  <c r="O633" i="55"/>
  <c r="O121" i="55"/>
  <c r="O476" i="55"/>
  <c r="N55" i="183" s="1"/>
  <c r="O665" i="55"/>
  <c r="O342" i="55"/>
  <c r="O777" i="55"/>
  <c r="O666" i="55"/>
  <c r="O315" i="55"/>
  <c r="O221" i="55"/>
  <c r="O89" i="55"/>
  <c r="O461" i="55"/>
  <c r="O456" i="55"/>
  <c r="N46" i="183" s="1"/>
  <c r="O291" i="55"/>
  <c r="O455" i="55"/>
  <c r="O290" i="55"/>
  <c r="O608" i="55"/>
  <c r="O605" i="55"/>
  <c r="O405" i="55"/>
  <c r="O307" i="55"/>
  <c r="O83" i="55"/>
  <c r="O349" i="55"/>
  <c r="O808" i="55"/>
  <c r="O243" i="55"/>
  <c r="O806" i="55"/>
  <c r="O440" i="55"/>
  <c r="N38" i="183" s="1"/>
  <c r="O194" i="55"/>
  <c r="O454" i="55"/>
  <c r="O450" i="55"/>
  <c r="O660" i="55"/>
  <c r="O128" i="55"/>
  <c r="O442" i="55"/>
  <c r="O376" i="55"/>
  <c r="O127" i="55"/>
  <c r="O463" i="55"/>
  <c r="O195" i="55"/>
  <c r="O457" i="55"/>
  <c r="O595" i="55"/>
  <c r="O685" i="55"/>
  <c r="O87" i="55"/>
  <c r="O433" i="55"/>
  <c r="O420" i="55"/>
  <c r="O432" i="55"/>
  <c r="O346" i="55"/>
  <c r="O255" i="55"/>
  <c r="O109" i="55"/>
  <c r="O451" i="55"/>
  <c r="O110" i="55"/>
  <c r="O705" i="55"/>
  <c r="O640" i="55"/>
  <c r="O430" i="55"/>
  <c r="O253" i="55"/>
  <c r="O107" i="55"/>
  <c r="O344" i="55"/>
  <c r="O252" i="55"/>
  <c r="O272" i="55"/>
  <c r="N14" i="183" s="1"/>
  <c r="O438" i="55"/>
  <c r="O353" i="55"/>
  <c r="O773" i="55"/>
  <c r="O776" i="55"/>
  <c r="O314" i="55"/>
  <c r="O289" i="55"/>
  <c r="O663" i="55"/>
  <c r="O355" i="55"/>
  <c r="O126" i="55"/>
  <c r="O664" i="55"/>
  <c r="O106" i="55"/>
  <c r="O426" i="55"/>
  <c r="O807" i="55"/>
  <c r="O756" i="55"/>
  <c r="O104" i="55"/>
  <c r="O434" i="55"/>
  <c r="O348" i="55"/>
  <c r="O431" i="55"/>
  <c r="O345" i="55"/>
  <c r="O37" i="55"/>
  <c r="O755" i="55"/>
  <c r="O770" i="55"/>
  <c r="O292" i="55"/>
  <c r="O662" i="55"/>
  <c r="O350" i="55"/>
  <c r="O347" i="55"/>
  <c r="O424" i="55"/>
  <c r="O324" i="55"/>
  <c r="O223" i="55"/>
  <c r="O92" i="55"/>
  <c r="O639" i="55"/>
  <c r="O317" i="55"/>
  <c r="O91" i="55"/>
  <c r="O316" i="55"/>
  <c r="O222" i="55"/>
  <c r="N9" i="183" s="1"/>
  <c r="O90" i="55"/>
  <c r="O429" i="55"/>
  <c r="O105" i="55"/>
  <c r="O196" i="55"/>
  <c r="O753" i="55"/>
  <c r="O88" i="55"/>
  <c r="O435" i="55"/>
  <c r="O809" i="55"/>
  <c r="O312" i="55"/>
  <c r="O343" i="55"/>
  <c r="O661" i="55"/>
  <c r="O774" i="55"/>
  <c r="O613" i="55"/>
  <c r="O311" i="55"/>
  <c r="O212" i="55"/>
  <c r="O308" i="55"/>
  <c r="O425" i="55"/>
  <c r="O423" i="55"/>
  <c r="C336" i="78"/>
  <c r="C334" i="78"/>
  <c r="C281" i="78"/>
  <c r="C268" i="78"/>
  <c r="C236" i="78"/>
  <c r="C223" i="78"/>
  <c r="C301" i="78"/>
  <c r="G14" i="70"/>
  <c r="H14" i="70" s="1"/>
  <c r="C626" i="78"/>
  <c r="C972" i="78"/>
  <c r="C987" i="78"/>
  <c r="C931" i="78"/>
  <c r="C928" i="78"/>
  <c r="C927" i="78"/>
  <c r="C926" i="78"/>
  <c r="C924" i="78"/>
  <c r="C1027" i="78"/>
  <c r="C1026" i="78"/>
  <c r="C1025" i="78"/>
  <c r="C1024" i="78"/>
  <c r="C1023" i="78"/>
  <c r="C1022" i="78"/>
  <c r="C1021" i="78"/>
  <c r="C1020" i="78"/>
  <c r="C1019" i="78"/>
  <c r="C1018" i="78"/>
  <c r="C1017" i="78"/>
  <c r="C1016" i="78"/>
  <c r="C1015" i="78"/>
  <c r="C1014" i="78"/>
  <c r="C1013" i="78"/>
  <c r="C1012" i="78"/>
  <c r="C1011" i="78"/>
  <c r="C1010" i="78"/>
  <c r="C1009" i="78"/>
  <c r="C1008" i="78"/>
  <c r="C1007" i="78"/>
  <c r="C1006" i="78"/>
  <c r="C1005" i="78"/>
  <c r="C1004" i="78"/>
  <c r="C429" i="78"/>
  <c r="C694" i="78"/>
  <c r="C173" i="78"/>
  <c r="C144" i="78"/>
  <c r="C383" i="78"/>
  <c r="C932" i="78"/>
  <c r="C467" i="78"/>
  <c r="C786" i="78"/>
  <c r="C802" i="78"/>
  <c r="C682" i="78"/>
  <c r="C385" i="78"/>
  <c r="C904" i="78"/>
  <c r="C903" i="78"/>
  <c r="C894" i="78"/>
  <c r="C893" i="78"/>
  <c r="C891" i="78"/>
  <c r="C870" i="78"/>
  <c r="C864" i="78"/>
  <c r="C492" i="78"/>
  <c r="C491" i="78"/>
  <c r="C455" i="78"/>
  <c r="C246" i="78"/>
  <c r="C219" i="78"/>
  <c r="C218" i="78"/>
  <c r="C687" i="78"/>
  <c r="C635" i="78"/>
  <c r="C685" i="78"/>
  <c r="C382" i="78"/>
  <c r="C616" i="78"/>
  <c r="C282" i="78"/>
  <c r="C280" i="78"/>
  <c r="C466" i="78"/>
  <c r="C245" i="78"/>
  <c r="C146" i="78"/>
  <c r="C1003" i="78"/>
  <c r="C1002" i="78"/>
  <c r="C1001" i="78"/>
  <c r="C1000" i="78"/>
  <c r="C994" i="78"/>
  <c r="C991" i="78"/>
  <c r="C983" i="78"/>
  <c r="C783" i="78"/>
  <c r="C782" i="78"/>
  <c r="C290" i="78"/>
  <c r="C974" i="78"/>
  <c r="C380" i="78"/>
  <c r="C695" i="78"/>
  <c r="C341" i="78"/>
  <c r="C933" i="78"/>
  <c r="C982" i="78"/>
  <c r="C981" i="78"/>
  <c r="C980" i="78"/>
  <c r="C979" i="78"/>
  <c r="C978" i="78"/>
  <c r="C977" i="78"/>
  <c r="C976" i="78"/>
  <c r="C975" i="78"/>
  <c r="C973" i="78"/>
  <c r="C971" i="78"/>
  <c r="C970" i="78"/>
  <c r="C969" i="78"/>
  <c r="C968" i="78"/>
  <c r="C967" i="78"/>
  <c r="C883" i="78"/>
  <c r="C882" i="78"/>
  <c r="C881" i="78"/>
  <c r="C880" i="78"/>
  <c r="C879" i="78"/>
  <c r="C878" i="78"/>
  <c r="C877" i="78"/>
  <c r="C876" i="78"/>
  <c r="C875" i="78"/>
  <c r="C874" i="78"/>
  <c r="C873" i="78"/>
  <c r="C872" i="78"/>
  <c r="C871" i="78"/>
  <c r="C480" i="78"/>
  <c r="C922" i="78"/>
  <c r="C750" i="78"/>
  <c r="C941" i="78"/>
  <c r="C940" i="78"/>
  <c r="C939" i="78"/>
  <c r="C938" i="78"/>
  <c r="C925" i="78"/>
  <c r="C942" i="78"/>
  <c r="C106" i="78"/>
  <c r="C116" i="78"/>
  <c r="C105" i="78"/>
  <c r="C407" i="78"/>
  <c r="C147" i="78"/>
  <c r="C132" i="78"/>
  <c r="C309" i="78"/>
  <c r="C644" i="78"/>
  <c r="C643" i="78"/>
  <c r="C641" i="78"/>
  <c r="C104" i="78"/>
  <c r="C103" i="78"/>
  <c r="C943" i="78"/>
  <c r="C414" i="78"/>
  <c r="C638" i="78"/>
  <c r="C637" i="78"/>
  <c r="C311" i="78"/>
  <c r="C310" i="78"/>
  <c r="C996" i="78"/>
  <c r="C128" i="78"/>
  <c r="C804" i="78"/>
  <c r="C965" i="78"/>
  <c r="C964" i="78"/>
  <c r="C963" i="78"/>
  <c r="C344" i="78"/>
  <c r="C946" i="78"/>
  <c r="C945" i="78"/>
  <c r="C901" i="78"/>
  <c r="C906" i="78"/>
  <c r="C699" i="78"/>
  <c r="C691" i="78"/>
  <c r="C415" i="78"/>
  <c r="C428" i="78"/>
  <c r="C412" i="78"/>
  <c r="C337" i="78"/>
  <c r="C335" i="78"/>
  <c r="C784" i="78"/>
  <c r="C719" i="78"/>
  <c r="C692" i="78"/>
  <c r="C817" i="78"/>
  <c r="C126" i="78"/>
  <c r="C378" i="78"/>
  <c r="C749" i="78"/>
  <c r="C748" i="78"/>
  <c r="C102" i="78"/>
  <c r="C253" i="78"/>
  <c r="C247" i="78"/>
  <c r="C791" i="78"/>
  <c r="C790" i="78"/>
  <c r="C789" i="78"/>
  <c r="C787" i="78"/>
  <c r="C920" i="78"/>
  <c r="C919" i="78"/>
  <c r="C892" i="78"/>
  <c r="C890" i="78"/>
  <c r="C889" i="78"/>
  <c r="C888" i="78"/>
  <c r="C887" i="78"/>
  <c r="C886" i="78"/>
  <c r="C885" i="78"/>
  <c r="C884" i="78"/>
  <c r="C381" i="78"/>
  <c r="C732" i="78"/>
  <c r="C844" i="78"/>
  <c r="C815" i="78"/>
  <c r="C813" i="78"/>
  <c r="C700" i="78"/>
  <c r="C636" i="78"/>
  <c r="C386" i="78"/>
  <c r="C384" i="78"/>
  <c r="C342" i="78"/>
  <c r="C340" i="78"/>
  <c r="C474" i="78"/>
  <c r="C379" i="78"/>
  <c r="C377" i="78"/>
  <c r="C376" i="78"/>
  <c r="C457" i="78"/>
  <c r="C456" i="78"/>
  <c r="C855" i="78"/>
  <c r="C854" i="78"/>
  <c r="C853" i="78"/>
  <c r="C852" i="78"/>
  <c r="C851" i="78"/>
  <c r="C850" i="78"/>
  <c r="C849" i="78"/>
  <c r="C848" i="78"/>
  <c r="C696" i="78"/>
  <c r="C845" i="78"/>
  <c r="C462" i="78"/>
  <c r="C733" i="78"/>
  <c r="C101" i="78"/>
  <c r="C242" i="78"/>
  <c r="C843" i="78"/>
  <c r="C859" i="78"/>
  <c r="C995" i="78"/>
  <c r="C993" i="78"/>
  <c r="C990" i="78"/>
  <c r="C899" i="78"/>
  <c r="C898" i="78"/>
  <c r="C897" i="78"/>
  <c r="C896" i="78"/>
  <c r="C895" i="78"/>
  <c r="C136" i="78"/>
  <c r="C642" i="78"/>
  <c r="C828" i="78"/>
  <c r="C686" i="78"/>
  <c r="C481" i="78"/>
  <c r="C322" i="78"/>
  <c r="C277" i="78"/>
  <c r="C953" i="78"/>
  <c r="C951" i="78"/>
  <c r="C905" i="78"/>
  <c r="C902" i="78"/>
  <c r="C900" i="78"/>
  <c r="C863" i="78"/>
  <c r="C862" i="78"/>
  <c r="C558" i="78"/>
  <c r="C464" i="78"/>
  <c r="C463" i="78"/>
  <c r="C453" i="78"/>
  <c r="C847" i="78"/>
  <c r="C187" i="78"/>
  <c r="C744" i="78"/>
  <c r="C131" i="78"/>
  <c r="C319" i="78"/>
  <c r="C999" i="78"/>
  <c r="C997" i="78"/>
  <c r="C992" i="78"/>
  <c r="C746" i="78"/>
  <c r="C966" i="78"/>
  <c r="C145" i="78"/>
  <c r="C812" i="78"/>
  <c r="C810" i="78"/>
  <c r="C809" i="78"/>
  <c r="C482" i="78"/>
  <c r="C718" i="78"/>
  <c r="C717" i="78"/>
  <c r="C487" i="78"/>
  <c r="C486" i="78"/>
  <c r="C485" i="78"/>
  <c r="C484" i="78"/>
  <c r="C483" i="78"/>
  <c r="C130" i="78"/>
  <c r="C180" i="78"/>
  <c r="C918" i="78"/>
  <c r="C917" i="78"/>
  <c r="C916" i="78"/>
  <c r="C915" i="78"/>
  <c r="C914" i="78"/>
  <c r="C913" i="78"/>
  <c r="C869" i="78"/>
  <c r="C868" i="78"/>
  <c r="C867" i="78"/>
  <c r="C866" i="78"/>
  <c r="C865" i="78"/>
  <c r="C861" i="78"/>
  <c r="C860" i="78"/>
  <c r="C808" i="78"/>
  <c r="C125" i="78"/>
  <c r="C324" i="78"/>
  <c r="C326" i="78"/>
  <c r="C767" i="78"/>
  <c r="C355" i="78"/>
  <c r="C284" i="78"/>
  <c r="C788" i="78"/>
  <c r="C930" i="78"/>
  <c r="C929" i="78"/>
  <c r="C923" i="78"/>
  <c r="C921" i="78"/>
  <c r="C912" i="78"/>
  <c r="C911" i="78"/>
  <c r="C910" i="78"/>
  <c r="C909" i="78"/>
  <c r="C908" i="78"/>
  <c r="C907" i="78"/>
  <c r="C858" i="78"/>
  <c r="C857" i="78"/>
  <c r="C856" i="78"/>
  <c r="C684" i="78"/>
  <c r="C598" i="78"/>
  <c r="C472" i="78"/>
  <c r="C222" i="78"/>
  <c r="C221" i="78"/>
  <c r="C107" i="78"/>
  <c r="C117" i="78"/>
  <c r="C86" i="78"/>
  <c r="C698" i="78"/>
  <c r="C697" i="78"/>
  <c r="C411" i="78"/>
  <c r="C959" i="78"/>
  <c r="C958" i="78"/>
  <c r="C957" i="78"/>
  <c r="C956" i="78"/>
  <c r="C955" i="78"/>
  <c r="C954" i="78"/>
  <c r="C952" i="78"/>
  <c r="C950" i="78"/>
  <c r="C949" i="78"/>
  <c r="C948" i="78"/>
  <c r="C947" i="78"/>
  <c r="C742" i="78"/>
  <c r="C373" i="78"/>
  <c r="C508" i="78"/>
  <c r="C989" i="78"/>
  <c r="C988" i="78"/>
  <c r="C986" i="78"/>
  <c r="C985" i="78"/>
  <c r="C984" i="78"/>
  <c r="C944" i="78"/>
  <c r="C937" i="78"/>
  <c r="C278" i="78"/>
  <c r="C430" i="78"/>
  <c r="C701" i="78"/>
  <c r="C679" i="78"/>
  <c r="C814" i="78"/>
  <c r="C124" i="78"/>
  <c r="C404" i="78"/>
  <c r="C721" i="78"/>
  <c r="C724" i="78"/>
  <c r="C722" i="78"/>
  <c r="C461" i="78"/>
  <c r="C460" i="78"/>
  <c r="C127" i="78"/>
  <c r="C229" i="78"/>
  <c r="C470" i="78"/>
  <c r="C469" i="78"/>
  <c r="C625" i="78"/>
  <c r="C459" i="78"/>
  <c r="C741" i="78"/>
  <c r="C816" i="78"/>
  <c r="C998" i="78"/>
  <c r="C468" i="78"/>
  <c r="C962" i="78"/>
  <c r="C961" i="78"/>
  <c r="C960" i="78"/>
  <c r="C343" i="78"/>
  <c r="C354" i="78"/>
  <c r="C347" i="78"/>
  <c r="C410" i="78"/>
  <c r="C409" i="78"/>
  <c r="C936" i="78"/>
  <c r="C935" i="78"/>
  <c r="C934" i="78"/>
  <c r="C745" i="78"/>
  <c r="C639" i="78"/>
  <c r="C375" i="78"/>
  <c r="C374" i="78"/>
  <c r="C471" i="78"/>
  <c r="C338" i="78"/>
  <c r="C123" i="78"/>
  <c r="C346" i="78"/>
  <c r="C345" i="78"/>
  <c r="C743" i="78"/>
  <c r="C191" i="78"/>
  <c r="C111" i="78"/>
  <c r="C115" i="78"/>
  <c r="C110" i="78"/>
  <c r="C109" i="78"/>
  <c r="C108" i="78"/>
  <c r="C7" i="3"/>
  <c r="H27" i="3" s="1"/>
  <c r="C15" i="95"/>
  <c r="C5" i="95"/>
  <c r="C6" i="95"/>
  <c r="C7" i="95"/>
  <c r="C37" i="95"/>
  <c r="C39" i="95"/>
  <c r="C40" i="95"/>
  <c r="C13" i="95"/>
  <c r="C14" i="95"/>
  <c r="C21" i="95"/>
  <c r="C22" i="95"/>
  <c r="C12" i="95"/>
  <c r="C4" i="95"/>
  <c r="G7" i="70"/>
  <c r="I7" i="70" s="1"/>
  <c r="G8" i="70"/>
  <c r="H8" i="70" s="1"/>
  <c r="G15" i="70"/>
  <c r="H15" i="70" s="1"/>
  <c r="G16" i="70"/>
  <c r="B9" i="3"/>
  <c r="O39" i="70"/>
  <c r="N39" i="70"/>
  <c r="P39" i="70"/>
  <c r="P12" i="70"/>
  <c r="O12" i="70"/>
  <c r="P74" i="70"/>
  <c r="P75" i="70"/>
  <c r="O75" i="70"/>
  <c r="O74" i="70"/>
  <c r="N75" i="70"/>
  <c r="N74" i="70"/>
  <c r="N12" i="70"/>
  <c r="P86" i="70"/>
  <c r="O55" i="70"/>
  <c r="O107" i="70"/>
  <c r="N42" i="70"/>
  <c r="P71" i="70"/>
  <c r="P9" i="70"/>
  <c r="P62" i="70"/>
  <c r="N95" i="70"/>
  <c r="N20" i="70"/>
  <c r="O89" i="70"/>
  <c r="N26" i="70"/>
  <c r="N55" i="70"/>
  <c r="P66" i="70"/>
  <c r="P73" i="70"/>
  <c r="P69" i="70"/>
  <c r="P11" i="70"/>
  <c r="O41" i="70"/>
  <c r="O46" i="70"/>
  <c r="O43" i="70"/>
  <c r="O67" i="70"/>
  <c r="O73" i="70"/>
  <c r="O68" i="70"/>
  <c r="O11" i="70"/>
  <c r="P32" i="70"/>
  <c r="P95" i="70"/>
  <c r="O24" i="70"/>
  <c r="N36" i="70"/>
  <c r="P90" i="70"/>
  <c r="P92" i="70"/>
  <c r="P93" i="70"/>
  <c r="O104" i="70"/>
  <c r="O93" i="70"/>
  <c r="N49" i="70"/>
  <c r="P26" i="70"/>
  <c r="N107" i="70"/>
  <c r="N43" i="70"/>
  <c r="O58" i="70"/>
  <c r="N11" i="70"/>
  <c r="P106" i="70"/>
  <c r="M92" i="70"/>
  <c r="N86" i="70"/>
  <c r="O9" i="70"/>
  <c r="P105" i="70"/>
  <c r="N9" i="70"/>
  <c r="P10" i="70"/>
  <c r="K67" i="70"/>
  <c r="N50" i="70"/>
  <c r="P36" i="70"/>
  <c r="O51" i="70"/>
  <c r="K47" i="70"/>
  <c r="K73" i="70"/>
  <c r="N104" i="70"/>
  <c r="P87" i="70"/>
  <c r="P79" i="70"/>
  <c r="P35" i="70"/>
  <c r="N18" i="70"/>
  <c r="N35" i="70"/>
  <c r="N22" i="70"/>
  <c r="N81" i="70"/>
  <c r="N17" i="70"/>
  <c r="N21" i="70"/>
  <c r="N80" i="70"/>
  <c r="P80" i="70"/>
  <c r="N106" i="70"/>
  <c r="N105" i="70"/>
  <c r="N14" i="70"/>
  <c r="O102" i="70"/>
  <c r="N31" i="70"/>
  <c r="N102" i="70"/>
  <c r="N33" i="70"/>
  <c r="N32" i="70"/>
  <c r="N103" i="70"/>
  <c r="N79" i="70"/>
  <c r="N78" i="70"/>
  <c r="P19" i="70"/>
  <c r="N8" i="70"/>
  <c r="N92" i="70"/>
  <c r="N23" i="70"/>
  <c r="N34" i="70"/>
  <c r="N19" i="70"/>
  <c r="N37" i="70"/>
  <c r="P14" i="70"/>
  <c r="P85" i="70"/>
  <c r="N7" i="70"/>
  <c r="P17" i="70"/>
  <c r="P81" i="70"/>
  <c r="P33" i="70"/>
  <c r="O48" i="70"/>
  <c r="P18" i="70"/>
  <c r="P102" i="70"/>
  <c r="P103" i="70"/>
  <c r="O87" i="70"/>
  <c r="N101" i="70"/>
  <c r="O14" i="70"/>
  <c r="N25" i="70"/>
  <c r="P78" i="70"/>
  <c r="O85" i="70"/>
  <c r="N15" i="70"/>
  <c r="N85" i="70"/>
  <c r="P7" i="70"/>
  <c r="P21" i="70"/>
  <c r="N10" i="70"/>
  <c r="N87" i="70"/>
  <c r="N88" i="70"/>
  <c r="N16" i="70"/>
  <c r="N90" i="70"/>
  <c r="O8" i="70"/>
  <c r="P22" i="70"/>
  <c r="O22" i="70"/>
  <c r="P15" i="70"/>
  <c r="P23" i="70"/>
  <c r="O19" i="70"/>
  <c r="P8" i="70"/>
  <c r="P37" i="70"/>
  <c r="O31" i="70"/>
  <c r="N58" i="70"/>
  <c r="O7" i="70"/>
  <c r="O103" i="70"/>
  <c r="O29" i="70"/>
  <c r="O17" i="70"/>
  <c r="O62" i="70"/>
  <c r="N24" i="70"/>
  <c r="P20" i="70"/>
  <c r="N70" i="70"/>
  <c r="N46" i="70"/>
  <c r="P61" i="70"/>
  <c r="N41" i="70"/>
  <c r="N69" i="70"/>
  <c r="O88" i="70"/>
  <c r="O10" i="70"/>
  <c r="P38" i="70"/>
  <c r="P3" i="70"/>
  <c r="P25" i="70"/>
  <c r="P54" i="70"/>
  <c r="P50" i="70"/>
  <c r="N57" i="70"/>
  <c r="N91" i="70"/>
  <c r="P104" i="70"/>
  <c r="P31" i="70"/>
  <c r="P88" i="70"/>
  <c r="P34" i="70"/>
  <c r="P91" i="70"/>
  <c r="O90" i="70"/>
  <c r="O15" i="70"/>
  <c r="O16" i="70"/>
  <c r="O23" i="70"/>
  <c r="O80" i="70"/>
  <c r="O60" i="70"/>
  <c r="O49" i="70"/>
  <c r="P24" i="70"/>
  <c r="O59" i="70"/>
  <c r="N27" i="70"/>
  <c r="P41" i="70"/>
  <c r="N53" i="70"/>
  <c r="O42" i="70"/>
  <c r="O18" i="70"/>
  <c r="P83" i="70"/>
  <c r="P60" i="70"/>
  <c r="N52" i="70"/>
  <c r="P43" i="70"/>
  <c r="O38" i="70"/>
  <c r="O61" i="70"/>
  <c r="N48" i="70"/>
  <c r="N89" i="70"/>
  <c r="O95" i="70"/>
  <c r="O82" i="70"/>
  <c r="P40" i="70"/>
  <c r="N64" i="70"/>
  <c r="P72" i="70"/>
  <c r="N68" i="70"/>
  <c r="O78" i="70"/>
  <c r="P2" i="70"/>
  <c r="P59" i="70"/>
  <c r="O28" i="70"/>
  <c r="P53" i="70"/>
  <c r="P55" i="70"/>
  <c r="N63" i="70"/>
  <c r="P51" i="70"/>
  <c r="N56" i="70"/>
  <c r="O21" i="70"/>
  <c r="P27" i="70"/>
  <c r="O91" i="70"/>
  <c r="N62" i="70"/>
  <c r="O45" i="70"/>
  <c r="O52" i="70"/>
  <c r="N45" i="70"/>
  <c r="O64" i="70"/>
  <c r="O79" i="70"/>
  <c r="O53" i="70"/>
  <c r="N44" i="70"/>
  <c r="N47" i="70"/>
  <c r="P58" i="70"/>
  <c r="O35" i="70"/>
  <c r="O83" i="70"/>
  <c r="N60" i="70"/>
  <c r="O27" i="70"/>
  <c r="P28" i="70"/>
  <c r="O47" i="70"/>
  <c r="P65" i="70"/>
  <c r="N93" i="70"/>
  <c r="N94" i="70"/>
  <c r="O34" i="70"/>
  <c r="O86" i="70"/>
  <c r="P89" i="70"/>
  <c r="N2" i="70"/>
  <c r="N3" i="70"/>
  <c r="O26" i="70"/>
  <c r="O44" i="70"/>
  <c r="P67" i="70"/>
  <c r="N72" i="70"/>
  <c r="N28" i="70"/>
  <c r="O40" i="70"/>
  <c r="N54" i="70"/>
  <c r="O63" i="70"/>
  <c r="N51" i="70"/>
  <c r="P56" i="70"/>
  <c r="O65" i="70"/>
  <c r="N71" i="70"/>
  <c r="P68" i="70"/>
  <c r="O69" i="70"/>
  <c r="P45" i="70"/>
  <c r="P107" i="70"/>
  <c r="O50" i="70"/>
  <c r="P57" i="70"/>
  <c r="P70" i="70"/>
  <c r="O3" i="70"/>
  <c r="N29" i="70"/>
  <c r="N38" i="70"/>
  <c r="O92" i="70"/>
  <c r="O33" i="70"/>
  <c r="O105" i="70"/>
  <c r="N82" i="70"/>
  <c r="P48" i="70"/>
  <c r="O2" i="70"/>
  <c r="O25" i="70"/>
  <c r="P94" i="70"/>
  <c r="O32" i="70"/>
  <c r="O106" i="70"/>
  <c r="O81" i="70"/>
  <c r="P82" i="70"/>
  <c r="N83" i="70"/>
  <c r="P29" i="70"/>
  <c r="N59" i="70"/>
  <c r="O94" i="70"/>
  <c r="O37" i="70"/>
  <c r="O36" i="70"/>
  <c r="P49" i="70"/>
  <c r="N61" i="70"/>
  <c r="N40" i="70"/>
  <c r="P52" i="70"/>
  <c r="P44" i="70"/>
  <c r="P46" i="70"/>
  <c r="P47" i="70"/>
  <c r="P63" i="70"/>
  <c r="O57" i="70"/>
  <c r="N67" i="70"/>
  <c r="N65" i="70"/>
  <c r="N73" i="70"/>
  <c r="O72" i="70"/>
  <c r="O71" i="70"/>
  <c r="P64" i="70"/>
  <c r="O56" i="70"/>
  <c r="N66" i="70"/>
  <c r="O54" i="70"/>
  <c r="P42" i="70"/>
  <c r="O66" i="70"/>
  <c r="O70" i="70"/>
  <c r="M20" i="70"/>
  <c r="P6" i="70"/>
  <c r="N6" i="70"/>
  <c r="O6" i="70"/>
  <c r="C11" i="3"/>
  <c r="M27" i="70"/>
  <c r="K96" i="70"/>
  <c r="M6" i="70"/>
  <c r="M98" i="70"/>
  <c r="Q28" i="95" l="1"/>
  <c r="P97" i="70"/>
  <c r="AA134" i="178"/>
  <c r="AB134" i="178" s="1"/>
  <c r="O97" i="70"/>
  <c r="N99" i="70"/>
  <c r="AA356" i="178"/>
  <c r="AB356" i="178" s="1"/>
  <c r="AA183" i="178"/>
  <c r="AB183" i="178" s="1"/>
  <c r="X213" i="178"/>
  <c r="Y344" i="178"/>
  <c r="P77" i="70"/>
  <c r="O99" i="70"/>
  <c r="AA2" i="178"/>
  <c r="AB2" i="178" s="1"/>
  <c r="Y3" i="178"/>
  <c r="AA153" i="178"/>
  <c r="AB153" i="178" s="1"/>
  <c r="AA182" i="178"/>
  <c r="AB182" i="178" s="1"/>
  <c r="Y221" i="178"/>
  <c r="Y213" i="178"/>
  <c r="X341" i="178"/>
  <c r="AA344" i="178"/>
  <c r="AB344" i="178" s="1"/>
  <c r="X353" i="178"/>
  <c r="Y212" i="178"/>
  <c r="X176" i="178"/>
  <c r="Y220" i="178"/>
  <c r="X219" i="178"/>
  <c r="X316" i="178"/>
  <c r="X2" i="178"/>
  <c r="Y99" i="178"/>
  <c r="X153" i="178"/>
  <c r="Y168" i="178"/>
  <c r="X182" i="178"/>
  <c r="Y346" i="178"/>
  <c r="Y444" i="178"/>
  <c r="X356" i="178"/>
  <c r="X183" i="178"/>
  <c r="AA213" i="178"/>
  <c r="AB213" i="178" s="1"/>
  <c r="Y341" i="178"/>
  <c r="Y353" i="178"/>
  <c r="AA212" i="178"/>
  <c r="AB212" i="178" s="1"/>
  <c r="X169" i="178"/>
  <c r="Y176" i="178"/>
  <c r="AA220" i="178"/>
  <c r="AB220" i="178" s="1"/>
  <c r="Y219" i="178"/>
  <c r="Y316" i="178"/>
  <c r="P98" i="70"/>
  <c r="AA3" i="178"/>
  <c r="AB3" i="178" s="1"/>
  <c r="X99" i="178"/>
  <c r="X168" i="178"/>
  <c r="AA221" i="178"/>
  <c r="AB221" i="178" s="1"/>
  <c r="X346" i="178"/>
  <c r="Z346" i="178" s="1"/>
  <c r="X444" i="178"/>
  <c r="Z249" i="178"/>
  <c r="AC249" i="178" s="1"/>
  <c r="Z151" i="178"/>
  <c r="AC151" i="178" s="1"/>
  <c r="Z65" i="178"/>
  <c r="AC65" i="178" s="1"/>
  <c r="N77" i="70"/>
  <c r="X212" i="178"/>
  <c r="AA169" i="178"/>
  <c r="AB169" i="178" s="1"/>
  <c r="Y356" i="178"/>
  <c r="Y183" i="178"/>
  <c r="X220" i="178"/>
  <c r="AA341" i="178"/>
  <c r="AB341" i="178" s="1"/>
  <c r="X344" i="178"/>
  <c r="Z344" i="178" s="1"/>
  <c r="AC344" i="178" s="1"/>
  <c r="AA353" i="178"/>
  <c r="AB353" i="178" s="1"/>
  <c r="Z226" i="178"/>
  <c r="AC226" i="178" s="1"/>
  <c r="O77" i="70"/>
  <c r="Y2" i="178"/>
  <c r="Z2" i="178" s="1"/>
  <c r="AC2" i="178" s="1"/>
  <c r="X3" i="178"/>
  <c r="AA99" i="178"/>
  <c r="AB99" i="178" s="1"/>
  <c r="Y153" i="178"/>
  <c r="AA168" i="178"/>
  <c r="AB168" i="178" s="1"/>
  <c r="Y169" i="178"/>
  <c r="AA176" i="178"/>
  <c r="AB176" i="178" s="1"/>
  <c r="Y182" i="178"/>
  <c r="AA219" i="178"/>
  <c r="AB219" i="178" s="1"/>
  <c r="X221" i="178"/>
  <c r="AA316" i="178"/>
  <c r="AB316" i="178" s="1"/>
  <c r="AA346" i="178"/>
  <c r="AB346" i="178" s="1"/>
  <c r="AA444" i="178"/>
  <c r="AB444" i="178" s="1"/>
  <c r="Z427" i="178"/>
  <c r="AC427" i="178" s="1"/>
  <c r="Z234" i="178"/>
  <c r="AC234" i="178" s="1"/>
  <c r="Z12" i="178"/>
  <c r="AC12" i="178" s="1"/>
  <c r="Z426" i="178"/>
  <c r="AC426" i="178" s="1"/>
  <c r="Y135" i="178"/>
  <c r="Y44" i="178"/>
  <c r="Y184" i="178"/>
  <c r="Y72" i="178"/>
  <c r="Y180" i="178"/>
  <c r="Y68" i="178"/>
  <c r="X181" i="178"/>
  <c r="X69" i="178"/>
  <c r="X139" i="178"/>
  <c r="X48" i="178"/>
  <c r="O125" i="183"/>
  <c r="Y410" i="178"/>
  <c r="Y409" i="178"/>
  <c r="N126" i="183"/>
  <c r="X412" i="178"/>
  <c r="X411" i="178"/>
  <c r="O106" i="183"/>
  <c r="Y347" i="178"/>
  <c r="Y185" i="178"/>
  <c r="Y186" i="178"/>
  <c r="AA345" i="178"/>
  <c r="AB345" i="178" s="1"/>
  <c r="AA64" i="178"/>
  <c r="AB64" i="178" s="1"/>
  <c r="Y43" i="178"/>
  <c r="AA34" i="178"/>
  <c r="AB34" i="178" s="1"/>
  <c r="AA385" i="178"/>
  <c r="AB385" i="178" s="1"/>
  <c r="AA190" i="178"/>
  <c r="AB190" i="178" s="1"/>
  <c r="AA191" i="178"/>
  <c r="AB191" i="178" s="1"/>
  <c r="Y145" i="178"/>
  <c r="Y146" i="178"/>
  <c r="X135" i="178"/>
  <c r="X44" i="178"/>
  <c r="X184" i="178"/>
  <c r="X72" i="178"/>
  <c r="X180" i="178"/>
  <c r="X68" i="178"/>
  <c r="Z218" i="178"/>
  <c r="AC218" i="178" s="1"/>
  <c r="N125" i="183"/>
  <c r="X409" i="178"/>
  <c r="X410" i="178"/>
  <c r="N106" i="183"/>
  <c r="X347" i="178"/>
  <c r="P5" i="70"/>
  <c r="T5" i="70" s="1"/>
  <c r="P4" i="70"/>
  <c r="T4" i="70" s="1"/>
  <c r="AA77" i="178"/>
  <c r="AB77" i="178" s="1"/>
  <c r="X185" i="178"/>
  <c r="X186" i="178"/>
  <c r="Y345" i="178"/>
  <c r="P8" i="183"/>
  <c r="T8" i="183" s="1"/>
  <c r="AA119" i="178"/>
  <c r="AB119" i="178" s="1"/>
  <c r="Y64" i="178"/>
  <c r="X43" i="178"/>
  <c r="Y34" i="178"/>
  <c r="AA408" i="178"/>
  <c r="AB408" i="178" s="1"/>
  <c r="Y385" i="178"/>
  <c r="Y191" i="178"/>
  <c r="Y190" i="178"/>
  <c r="AA16" i="178"/>
  <c r="AB16" i="178" s="1"/>
  <c r="X145" i="178"/>
  <c r="X146" i="178"/>
  <c r="AA58" i="178"/>
  <c r="AB58" i="178" s="1"/>
  <c r="AA57" i="178"/>
  <c r="AB57" i="178" s="1"/>
  <c r="Z67" i="178"/>
  <c r="AC67" i="178" s="1"/>
  <c r="AA181" i="178"/>
  <c r="AB181" i="178" s="1"/>
  <c r="AA69" i="178"/>
  <c r="AB69" i="178" s="1"/>
  <c r="O20" i="70"/>
  <c r="Y152" i="178"/>
  <c r="Z152" i="178" s="1"/>
  <c r="AC152" i="178" s="1"/>
  <c r="Z217" i="178"/>
  <c r="AC217" i="178" s="1"/>
  <c r="Z283" i="178"/>
  <c r="AC283" i="178" s="1"/>
  <c r="Z348" i="178"/>
  <c r="AC348" i="178" s="1"/>
  <c r="AA139" i="178"/>
  <c r="AB139" i="178" s="1"/>
  <c r="AA48" i="178"/>
  <c r="AB48" i="178" s="1"/>
  <c r="P126" i="183"/>
  <c r="T126" i="183" s="1"/>
  <c r="AA411" i="178"/>
  <c r="AB411" i="178" s="1"/>
  <c r="AA412" i="178"/>
  <c r="AB412" i="178" s="1"/>
  <c r="O4" i="70"/>
  <c r="O5" i="70"/>
  <c r="Y77" i="178"/>
  <c r="Z66" i="178"/>
  <c r="AC66" i="178" s="1"/>
  <c r="X345" i="178"/>
  <c r="O8" i="183"/>
  <c r="Y119" i="178"/>
  <c r="X64" i="178"/>
  <c r="Z64" i="178" s="1"/>
  <c r="AC64" i="178" s="1"/>
  <c r="X34" i="178"/>
  <c r="Y408" i="178"/>
  <c r="X385" i="178"/>
  <c r="X190" i="178"/>
  <c r="X191" i="178"/>
  <c r="Z191" i="178" s="1"/>
  <c r="AC191" i="178" s="1"/>
  <c r="Y16" i="178"/>
  <c r="Z56" i="178"/>
  <c r="AC56" i="178" s="1"/>
  <c r="Y58" i="178"/>
  <c r="Y57" i="178"/>
  <c r="AA135" i="178"/>
  <c r="AB135" i="178" s="1"/>
  <c r="AA44" i="178"/>
  <c r="AB44" i="178" s="1"/>
  <c r="AA184" i="178"/>
  <c r="AB184" i="178" s="1"/>
  <c r="AA72" i="178"/>
  <c r="AB72" i="178" s="1"/>
  <c r="AA180" i="178"/>
  <c r="AB180" i="178" s="1"/>
  <c r="AA68" i="178"/>
  <c r="AB68" i="178" s="1"/>
  <c r="Y181" i="178"/>
  <c r="Y69" i="178"/>
  <c r="Z205" i="178"/>
  <c r="AC205" i="178" s="1"/>
  <c r="Y139" i="178"/>
  <c r="Y48" i="178"/>
  <c r="P125" i="183"/>
  <c r="T125" i="183" s="1"/>
  <c r="AA410" i="178"/>
  <c r="AB410" i="178" s="1"/>
  <c r="AA409" i="178"/>
  <c r="AB409" i="178" s="1"/>
  <c r="O126" i="183"/>
  <c r="Y412" i="178"/>
  <c r="Y411" i="178"/>
  <c r="P106" i="183"/>
  <c r="T106" i="183" s="1"/>
  <c r="AA347" i="178"/>
  <c r="AB347" i="178" s="1"/>
  <c r="N5" i="70"/>
  <c r="N4" i="70"/>
  <c r="X77" i="178"/>
  <c r="AA185" i="178"/>
  <c r="AB185" i="178" s="1"/>
  <c r="AA186" i="178"/>
  <c r="AB186" i="178" s="1"/>
  <c r="N8" i="183"/>
  <c r="Q8" i="183" s="1"/>
  <c r="X119" i="178"/>
  <c r="Z35" i="178"/>
  <c r="AC35" i="178" s="1"/>
  <c r="AA43" i="178"/>
  <c r="AB43" i="178" s="1"/>
  <c r="X408" i="178"/>
  <c r="Z227" i="178"/>
  <c r="AC227" i="178" s="1"/>
  <c r="X16" i="178"/>
  <c r="AA145" i="178"/>
  <c r="AB145" i="178" s="1"/>
  <c r="AA146" i="178"/>
  <c r="AB146" i="178" s="1"/>
  <c r="X57" i="178"/>
  <c r="X58" i="178"/>
  <c r="Z58" i="178" s="1"/>
  <c r="I74" i="70"/>
  <c r="K21" i="70"/>
  <c r="T21" i="70" s="1"/>
  <c r="Q105" i="183"/>
  <c r="R105" i="183" s="1"/>
  <c r="S105" i="183" s="1"/>
  <c r="Q13" i="183"/>
  <c r="R13" i="183" s="1"/>
  <c r="S13" i="183" s="1"/>
  <c r="Q50" i="183"/>
  <c r="R50" i="183" s="1"/>
  <c r="S50" i="183" s="1"/>
  <c r="BG444" i="178"/>
  <c r="Q46" i="183"/>
  <c r="R46" i="183" s="1"/>
  <c r="S46" i="183" s="1"/>
  <c r="AU424" i="178"/>
  <c r="Q4" i="183"/>
  <c r="R4" i="183" s="1"/>
  <c r="S4" i="183" s="1"/>
  <c r="P100" i="70"/>
  <c r="Q24" i="183"/>
  <c r="R24" i="183" s="1"/>
  <c r="S24" i="183" s="1"/>
  <c r="Q9" i="183"/>
  <c r="R9" i="183" s="1"/>
  <c r="S9" i="183" s="1"/>
  <c r="Q5" i="183"/>
  <c r="R5" i="183" s="1"/>
  <c r="S5" i="183" s="1"/>
  <c r="Q38" i="183"/>
  <c r="R38" i="183" s="1"/>
  <c r="S38" i="183" s="1"/>
  <c r="Q64" i="183"/>
  <c r="R64" i="183" s="1"/>
  <c r="S64" i="183" s="1"/>
  <c r="Q14" i="183"/>
  <c r="R14" i="183" s="1"/>
  <c r="S14" i="183" s="1"/>
  <c r="Q55" i="183"/>
  <c r="R55" i="183" s="1"/>
  <c r="S55" i="183" s="1"/>
  <c r="Q33" i="183"/>
  <c r="R33" i="183" s="1"/>
  <c r="S33" i="183" s="1"/>
  <c r="Q11" i="183"/>
  <c r="R11" i="183" s="1"/>
  <c r="S11" i="183" s="1"/>
  <c r="Q54" i="183"/>
  <c r="R54" i="183" s="1"/>
  <c r="S54" i="183" s="1"/>
  <c r="N37" i="183"/>
  <c r="N34" i="183"/>
  <c r="N36" i="183"/>
  <c r="N35" i="183"/>
  <c r="P42" i="183"/>
  <c r="T42" i="183" s="1"/>
  <c r="P41" i="183"/>
  <c r="T41" i="183" s="1"/>
  <c r="P40" i="183"/>
  <c r="T40" i="183" s="1"/>
  <c r="P39" i="183"/>
  <c r="T39" i="183" s="1"/>
  <c r="O17" i="183"/>
  <c r="O18" i="183"/>
  <c r="N21" i="183"/>
  <c r="N22" i="183"/>
  <c r="X225" i="178"/>
  <c r="X36" i="178"/>
  <c r="X358" i="178"/>
  <c r="X397" i="178"/>
  <c r="O29" i="183"/>
  <c r="Q44" i="183"/>
  <c r="N59" i="183"/>
  <c r="P60" i="183"/>
  <c r="T60" i="183" s="1"/>
  <c r="AA258" i="178"/>
  <c r="AB258" i="178" s="1"/>
  <c r="Y261" i="178"/>
  <c r="N61" i="183"/>
  <c r="X264" i="178"/>
  <c r="X395" i="178"/>
  <c r="X171" i="178"/>
  <c r="X158" i="178"/>
  <c r="N62" i="183"/>
  <c r="X431" i="178"/>
  <c r="Y420" i="178"/>
  <c r="Y443" i="178"/>
  <c r="P65" i="183"/>
  <c r="T65" i="183" s="1"/>
  <c r="P66" i="183"/>
  <c r="T66" i="183" s="1"/>
  <c r="O67" i="183"/>
  <c r="N68" i="183"/>
  <c r="O108" i="183"/>
  <c r="O107" i="183"/>
  <c r="P124" i="183"/>
  <c r="T124" i="183" s="1"/>
  <c r="P123" i="183"/>
  <c r="T123" i="183" s="1"/>
  <c r="Q126" i="183"/>
  <c r="R126" i="183" s="1"/>
  <c r="S126" i="183" s="1"/>
  <c r="P130" i="183"/>
  <c r="T130" i="183" s="1"/>
  <c r="P131" i="183"/>
  <c r="T131" i="183" s="1"/>
  <c r="Q132" i="183"/>
  <c r="N87" i="183"/>
  <c r="N86" i="183"/>
  <c r="N85" i="183"/>
  <c r="P80" i="183"/>
  <c r="T80" i="183" s="1"/>
  <c r="P79" i="183"/>
  <c r="T79" i="183" s="1"/>
  <c r="O78" i="183"/>
  <c r="O77" i="183"/>
  <c r="N31" i="183"/>
  <c r="X170" i="178"/>
  <c r="N19" i="183"/>
  <c r="N20" i="183"/>
  <c r="N101" i="183"/>
  <c r="X394" i="178"/>
  <c r="X419" i="178"/>
  <c r="P98" i="183"/>
  <c r="T98" i="183" s="1"/>
  <c r="AA360" i="178"/>
  <c r="AB360" i="178" s="1"/>
  <c r="AA368" i="178"/>
  <c r="AB368" i="178" s="1"/>
  <c r="O97" i="183"/>
  <c r="O96" i="183"/>
  <c r="Y137" i="178"/>
  <c r="X418" i="178"/>
  <c r="X393" i="178"/>
  <c r="AA293" i="178"/>
  <c r="AB293" i="178" s="1"/>
  <c r="Y177" i="178"/>
  <c r="Y175" i="178"/>
  <c r="P88" i="183"/>
  <c r="T88" i="183" s="1"/>
  <c r="P89" i="183"/>
  <c r="T89" i="183" s="1"/>
  <c r="O74" i="183"/>
  <c r="O73" i="183"/>
  <c r="N71" i="183"/>
  <c r="N72" i="183"/>
  <c r="X201" i="178"/>
  <c r="X200" i="178"/>
  <c r="AA159" i="178"/>
  <c r="AB159" i="178" s="1"/>
  <c r="Y157" i="178"/>
  <c r="Y138" i="178"/>
  <c r="Q43" i="183"/>
  <c r="P30" i="183"/>
  <c r="T30" i="183" s="1"/>
  <c r="O28" i="183"/>
  <c r="N15" i="183"/>
  <c r="N119" i="183"/>
  <c r="N117" i="183"/>
  <c r="N118" i="183"/>
  <c r="O7" i="183"/>
  <c r="O6" i="183"/>
  <c r="N128" i="183"/>
  <c r="O115" i="183"/>
  <c r="O116" i="183"/>
  <c r="X402" i="178"/>
  <c r="X407" i="178"/>
  <c r="X403" i="178"/>
  <c r="X406" i="178"/>
  <c r="X404" i="178"/>
  <c r="X390" i="178"/>
  <c r="X405" i="178"/>
  <c r="AA386" i="178"/>
  <c r="AB386" i="178" s="1"/>
  <c r="AA387" i="178"/>
  <c r="AB387" i="178" s="1"/>
  <c r="X383" i="178"/>
  <c r="X384" i="178"/>
  <c r="AA379" i="178"/>
  <c r="AB379" i="178" s="1"/>
  <c r="AA380" i="178"/>
  <c r="AB380" i="178" s="1"/>
  <c r="Y378" i="178"/>
  <c r="Y377" i="178"/>
  <c r="N91" i="183"/>
  <c r="N92" i="183"/>
  <c r="N90" i="183"/>
  <c r="X268" i="178"/>
  <c r="P75" i="183"/>
  <c r="T75" i="183" s="1"/>
  <c r="P76" i="183"/>
  <c r="T76" i="183" s="1"/>
  <c r="AA290" i="178"/>
  <c r="AB290" i="178" s="1"/>
  <c r="AA310" i="178"/>
  <c r="AB310" i="178" s="1"/>
  <c r="AA428" i="178"/>
  <c r="AB428" i="178" s="1"/>
  <c r="AA29" i="178"/>
  <c r="AB29" i="178" s="1"/>
  <c r="AA128" i="178"/>
  <c r="AB128" i="178" s="1"/>
  <c r="AA37" i="178"/>
  <c r="AB37" i="178" s="1"/>
  <c r="AA79" i="178"/>
  <c r="AB79" i="178" s="1"/>
  <c r="AA17" i="178"/>
  <c r="AB17" i="178" s="1"/>
  <c r="AA83" i="178"/>
  <c r="AB83" i="178" s="1"/>
  <c r="AA479" i="178"/>
  <c r="AB479" i="178" s="1"/>
  <c r="Y399" i="178"/>
  <c r="Y466" i="178"/>
  <c r="Y474" i="178"/>
  <c r="X313" i="178"/>
  <c r="X317" i="178"/>
  <c r="X374" i="178"/>
  <c r="AA132" i="178"/>
  <c r="AB132" i="178" s="1"/>
  <c r="AA204" i="178"/>
  <c r="AB204" i="178" s="1"/>
  <c r="Y76" i="178"/>
  <c r="Y127" i="178"/>
  <c r="Y131" i="178"/>
  <c r="Y74" i="178"/>
  <c r="P10" i="183"/>
  <c r="T10" i="183" s="1"/>
  <c r="Y202" i="178"/>
  <c r="Y257" i="178"/>
  <c r="Y265" i="178"/>
  <c r="Y266" i="178"/>
  <c r="Y256" i="178"/>
  <c r="X250" i="178"/>
  <c r="X251" i="178"/>
  <c r="X242" i="178"/>
  <c r="X243" i="178"/>
  <c r="AA81" i="178"/>
  <c r="AB81" i="178" s="1"/>
  <c r="AA122" i="178"/>
  <c r="AB122" i="178" s="1"/>
  <c r="AA126" i="178"/>
  <c r="AB126" i="178" s="1"/>
  <c r="AA82" i="178"/>
  <c r="AB82" i="178" s="1"/>
  <c r="AA123" i="178"/>
  <c r="AB123" i="178" s="1"/>
  <c r="AA130" i="178"/>
  <c r="AB130" i="178" s="1"/>
  <c r="AA120" i="178"/>
  <c r="AB120" i="178" s="1"/>
  <c r="AA124" i="178"/>
  <c r="AB124" i="178" s="1"/>
  <c r="AA187" i="178"/>
  <c r="AB187" i="178" s="1"/>
  <c r="AA125" i="178"/>
  <c r="AB125" i="178" s="1"/>
  <c r="AA121" i="178"/>
  <c r="AB121" i="178" s="1"/>
  <c r="AA188" i="178"/>
  <c r="AB188" i="178" s="1"/>
  <c r="Y75" i="178"/>
  <c r="Y78" i="178"/>
  <c r="Y80" i="178"/>
  <c r="Y73" i="178"/>
  <c r="X55" i="178"/>
  <c r="X59" i="178"/>
  <c r="X54" i="178"/>
  <c r="AA13" i="178"/>
  <c r="AB13" i="178" s="1"/>
  <c r="AA14" i="178"/>
  <c r="AB14" i="178" s="1"/>
  <c r="Q51" i="183"/>
  <c r="R51" i="183" s="1"/>
  <c r="S51" i="183" s="1"/>
  <c r="N16" i="183"/>
  <c r="Y367" i="178"/>
  <c r="Y371" i="178"/>
  <c r="P95" i="183"/>
  <c r="T95" i="183" s="1"/>
  <c r="P94" i="183"/>
  <c r="T94" i="183" s="1"/>
  <c r="P93" i="183"/>
  <c r="T93" i="183" s="1"/>
  <c r="O63" i="183"/>
  <c r="N47" i="183"/>
  <c r="AA144" i="178"/>
  <c r="AB144" i="178" s="1"/>
  <c r="AA148" i="178"/>
  <c r="AB148" i="178" s="1"/>
  <c r="AA311" i="178"/>
  <c r="AB311" i="178" s="1"/>
  <c r="AA312" i="178"/>
  <c r="AB312" i="178" s="1"/>
  <c r="AA332" i="178"/>
  <c r="AB332" i="178" s="1"/>
  <c r="AA335" i="178"/>
  <c r="AB335" i="178" s="1"/>
  <c r="AA336" i="178"/>
  <c r="AB336" i="178" s="1"/>
  <c r="AA333" i="178"/>
  <c r="AB333" i="178" s="1"/>
  <c r="AA465" i="178"/>
  <c r="AB465" i="178" s="1"/>
  <c r="AA430" i="178"/>
  <c r="AB430" i="178" s="1"/>
  <c r="AA438" i="178"/>
  <c r="AB438" i="178" s="1"/>
  <c r="N53" i="183"/>
  <c r="N52" i="183"/>
  <c r="N48" i="183"/>
  <c r="N49" i="183"/>
  <c r="P52" i="183"/>
  <c r="T52" i="183" s="1"/>
  <c r="P53" i="183"/>
  <c r="T53" i="183" s="1"/>
  <c r="AA473" i="178"/>
  <c r="AB473" i="178" s="1"/>
  <c r="AA478" i="178"/>
  <c r="AB478" i="178" s="1"/>
  <c r="O42" i="183"/>
  <c r="O41" i="183"/>
  <c r="O40" i="183"/>
  <c r="O39" i="183"/>
  <c r="N18" i="183"/>
  <c r="Q18" i="183" s="1"/>
  <c r="N17" i="183"/>
  <c r="P23" i="183"/>
  <c r="T23" i="183" s="1"/>
  <c r="AA45" i="178"/>
  <c r="AB45" i="178" s="1"/>
  <c r="AA228" i="178"/>
  <c r="AB228" i="178" s="1"/>
  <c r="AA422" i="178"/>
  <c r="AB422" i="178" s="1"/>
  <c r="AA481" i="178"/>
  <c r="AB481" i="178" s="1"/>
  <c r="N29" i="183"/>
  <c r="P45" i="183"/>
  <c r="T45" i="183" s="1"/>
  <c r="AA136" i="178"/>
  <c r="AB136" i="178" s="1"/>
  <c r="O60" i="183"/>
  <c r="Y258" i="178"/>
  <c r="X261" i="178"/>
  <c r="Z261" i="178" s="1"/>
  <c r="X443" i="178"/>
  <c r="Z443" i="178" s="1"/>
  <c r="X420" i="178"/>
  <c r="O66" i="183"/>
  <c r="O65" i="183"/>
  <c r="N67" i="183"/>
  <c r="P83" i="183"/>
  <c r="T83" i="183" s="1"/>
  <c r="P103" i="183"/>
  <c r="T103" i="183" s="1"/>
  <c r="P104" i="183"/>
  <c r="T104" i="183" s="1"/>
  <c r="AA396" i="178"/>
  <c r="AB396" i="178" s="1"/>
  <c r="AA421" i="178"/>
  <c r="AB421" i="178" s="1"/>
  <c r="N107" i="183"/>
  <c r="N108" i="183"/>
  <c r="P121" i="183"/>
  <c r="T121" i="183" s="1"/>
  <c r="P122" i="183"/>
  <c r="T122" i="183" s="1"/>
  <c r="O123" i="183"/>
  <c r="O124" i="183"/>
  <c r="AA398" i="178"/>
  <c r="AB398" i="178" s="1"/>
  <c r="AA423" i="178"/>
  <c r="AB423" i="178" s="1"/>
  <c r="O131" i="183"/>
  <c r="O130" i="183"/>
  <c r="O79" i="183"/>
  <c r="O80" i="183"/>
  <c r="N78" i="183"/>
  <c r="N77" i="183"/>
  <c r="P26" i="183"/>
  <c r="T26" i="183" s="1"/>
  <c r="P3" i="183"/>
  <c r="T3" i="183" s="1"/>
  <c r="P2" i="183"/>
  <c r="T2" i="183" s="1"/>
  <c r="AA197" i="178"/>
  <c r="AB197" i="178" s="1"/>
  <c r="P100" i="183"/>
  <c r="T100" i="183" s="1"/>
  <c r="P99" i="183"/>
  <c r="T99" i="183" s="1"/>
  <c r="O98" i="183"/>
  <c r="Y360" i="178"/>
  <c r="Y368" i="178"/>
  <c r="N96" i="183"/>
  <c r="N97" i="183"/>
  <c r="X137" i="178"/>
  <c r="AA296" i="178"/>
  <c r="AB296" i="178" s="1"/>
  <c r="AA174" i="178"/>
  <c r="AB174" i="178" s="1"/>
  <c r="AA294" i="178"/>
  <c r="AB294" i="178" s="1"/>
  <c r="Y293" i="178"/>
  <c r="X175" i="178"/>
  <c r="X177" i="178"/>
  <c r="O89" i="183"/>
  <c r="O88" i="183"/>
  <c r="N73" i="183"/>
  <c r="Q73" i="183" s="1"/>
  <c r="N74" i="183"/>
  <c r="P70" i="183"/>
  <c r="T70" i="183" s="1"/>
  <c r="P69" i="183"/>
  <c r="T69" i="183" s="1"/>
  <c r="AA416" i="178"/>
  <c r="AB416" i="178" s="1"/>
  <c r="AA391" i="178"/>
  <c r="AB391" i="178" s="1"/>
  <c r="Y159" i="178"/>
  <c r="X138" i="178"/>
  <c r="X157" i="178"/>
  <c r="P32" i="183"/>
  <c r="T32" i="183" s="1"/>
  <c r="O30" i="183"/>
  <c r="N28" i="183"/>
  <c r="AA357" i="178"/>
  <c r="AB357" i="178" s="1"/>
  <c r="Q127" i="183"/>
  <c r="R127" i="183" s="1"/>
  <c r="S127" i="183" s="1"/>
  <c r="P114" i="183"/>
  <c r="T114" i="183" s="1"/>
  <c r="P112" i="183"/>
  <c r="T112" i="183" s="1"/>
  <c r="P113" i="183"/>
  <c r="T113" i="183" s="1"/>
  <c r="N7" i="183"/>
  <c r="N6" i="183"/>
  <c r="P120" i="183"/>
  <c r="T120" i="183" s="1"/>
  <c r="N116" i="183"/>
  <c r="N115" i="183"/>
  <c r="P111" i="183"/>
  <c r="T111" i="183" s="1"/>
  <c r="AA413" i="178"/>
  <c r="AB413" i="178" s="1"/>
  <c r="AA414" i="178"/>
  <c r="AB414" i="178" s="1"/>
  <c r="AA415" i="178"/>
  <c r="AB415" i="178" s="1"/>
  <c r="AA389" i="178"/>
  <c r="AB389" i="178" s="1"/>
  <c r="AA388" i="178"/>
  <c r="AB388" i="178" s="1"/>
  <c r="Y386" i="178"/>
  <c r="Y387" i="178"/>
  <c r="AA381" i="178"/>
  <c r="AB381" i="178" s="1"/>
  <c r="AA382" i="178"/>
  <c r="AB382" i="178" s="1"/>
  <c r="Y379" i="178"/>
  <c r="Y380" i="178"/>
  <c r="X377" i="178"/>
  <c r="X378" i="178"/>
  <c r="P81" i="183"/>
  <c r="T81" i="183" s="1"/>
  <c r="P82" i="183"/>
  <c r="T82" i="183" s="1"/>
  <c r="AA429" i="178"/>
  <c r="AB429" i="178" s="1"/>
  <c r="AA437" i="178"/>
  <c r="AB437" i="178" s="1"/>
  <c r="AA477" i="178"/>
  <c r="AB477" i="178" s="1"/>
  <c r="AA194" i="178"/>
  <c r="AB194" i="178" s="1"/>
  <c r="AA252" i="178"/>
  <c r="AB252" i="178" s="1"/>
  <c r="AA314" i="178"/>
  <c r="AB314" i="178" s="1"/>
  <c r="AA376" i="178"/>
  <c r="AB376" i="178" s="1"/>
  <c r="AA475" i="178"/>
  <c r="AB475" i="178" s="1"/>
  <c r="AA129" i="178"/>
  <c r="AB129" i="178" s="1"/>
  <c r="AA232" i="178"/>
  <c r="AB232" i="178" s="1"/>
  <c r="AA267" i="178"/>
  <c r="AB267" i="178" s="1"/>
  <c r="AA334" i="178"/>
  <c r="AB334" i="178" s="1"/>
  <c r="AA400" i="178"/>
  <c r="AB400" i="178" s="1"/>
  <c r="AA133" i="178"/>
  <c r="AB133" i="178" s="1"/>
  <c r="AA233" i="178"/>
  <c r="AB233" i="178" s="1"/>
  <c r="AA480" i="178"/>
  <c r="AB480" i="178" s="1"/>
  <c r="AA337" i="178"/>
  <c r="AB337" i="178" s="1"/>
  <c r="AA401" i="178"/>
  <c r="AB401" i="178" s="1"/>
  <c r="AA189" i="178"/>
  <c r="AB189" i="178" s="1"/>
  <c r="AA244" i="178"/>
  <c r="AB244" i="178" s="1"/>
  <c r="AA263" i="178"/>
  <c r="AB263" i="178" s="1"/>
  <c r="AA375" i="178"/>
  <c r="AB375" i="178" s="1"/>
  <c r="AA467" i="178"/>
  <c r="AB467" i="178" s="1"/>
  <c r="O75" i="183"/>
  <c r="O76" i="183"/>
  <c r="Y290" i="178"/>
  <c r="Y310" i="178"/>
  <c r="Y428" i="178"/>
  <c r="Y37" i="178"/>
  <c r="Y79" i="178"/>
  <c r="Y17" i="178"/>
  <c r="Y83" i="178"/>
  <c r="Y29" i="178"/>
  <c r="Y128" i="178"/>
  <c r="AA229" i="178"/>
  <c r="AB229" i="178" s="1"/>
  <c r="Y479" i="178"/>
  <c r="X466" i="178"/>
  <c r="X474" i="178"/>
  <c r="X399" i="178"/>
  <c r="AA435" i="178"/>
  <c r="AB435" i="178" s="1"/>
  <c r="AA262" i="178"/>
  <c r="AB262" i="178" s="1"/>
  <c r="AA291" i="178"/>
  <c r="AB291" i="178" s="1"/>
  <c r="AA231" i="178"/>
  <c r="AB231" i="178" s="1"/>
  <c r="AA235" i="178"/>
  <c r="AB235" i="178" s="1"/>
  <c r="Y204" i="178"/>
  <c r="Y132" i="178"/>
  <c r="X127" i="178"/>
  <c r="X131" i="178"/>
  <c r="X74" i="178"/>
  <c r="X76" i="178"/>
  <c r="O10" i="183"/>
  <c r="X202" i="178"/>
  <c r="X265" i="178"/>
  <c r="X266" i="178"/>
  <c r="X256" i="178"/>
  <c r="X257" i="178"/>
  <c r="Z257" i="178" s="1"/>
  <c r="AA192" i="178"/>
  <c r="AB192" i="178" s="1"/>
  <c r="AA193" i="178"/>
  <c r="AB193" i="178" s="1"/>
  <c r="AA203" i="178"/>
  <c r="AB203" i="178" s="1"/>
  <c r="AA230" i="178"/>
  <c r="AB230" i="178" s="1"/>
  <c r="Y82" i="178"/>
  <c r="Y123" i="178"/>
  <c r="Y130" i="178"/>
  <c r="Y120" i="178"/>
  <c r="Y124" i="178"/>
  <c r="Y187" i="178"/>
  <c r="Y121" i="178"/>
  <c r="Y125" i="178"/>
  <c r="Y188" i="178"/>
  <c r="Y122" i="178"/>
  <c r="Y81" i="178"/>
  <c r="Y126" i="178"/>
  <c r="X78" i="178"/>
  <c r="X80" i="178"/>
  <c r="X73" i="178"/>
  <c r="X75" i="178"/>
  <c r="Z75" i="178" s="1"/>
  <c r="AA49" i="178"/>
  <c r="AB49" i="178" s="1"/>
  <c r="AA15" i="178"/>
  <c r="AB15" i="178" s="1"/>
  <c r="Y13" i="178"/>
  <c r="Y14" i="178"/>
  <c r="Q110" i="183"/>
  <c r="R110" i="183" s="1"/>
  <c r="S110" i="183" s="1"/>
  <c r="X367" i="178"/>
  <c r="X371" i="178"/>
  <c r="O94" i="183"/>
  <c r="O93" i="183"/>
  <c r="O95" i="183"/>
  <c r="N63" i="183"/>
  <c r="Y148" i="178"/>
  <c r="Y312" i="178"/>
  <c r="Y332" i="178"/>
  <c r="Y144" i="178"/>
  <c r="Y311" i="178"/>
  <c r="Y336" i="178"/>
  <c r="Y333" i="178"/>
  <c r="Y335" i="178"/>
  <c r="Y430" i="178"/>
  <c r="Y438" i="178"/>
  <c r="Y465" i="178"/>
  <c r="AA281" i="178"/>
  <c r="AB281" i="178" s="1"/>
  <c r="P84" i="70"/>
  <c r="P109" i="183"/>
  <c r="T109" i="183" s="1"/>
  <c r="O37" i="183"/>
  <c r="O34" i="183"/>
  <c r="O36" i="183"/>
  <c r="O35" i="183"/>
  <c r="P57" i="183"/>
  <c r="T57" i="183" s="1"/>
  <c r="P58" i="183"/>
  <c r="T58" i="183" s="1"/>
  <c r="P56" i="183"/>
  <c r="T56" i="183" s="1"/>
  <c r="O58" i="183"/>
  <c r="O57" i="183"/>
  <c r="O56" i="183"/>
  <c r="O49" i="183"/>
  <c r="O48" i="183"/>
  <c r="Y473" i="178"/>
  <c r="Y478" i="178"/>
  <c r="N41" i="183"/>
  <c r="N42" i="183"/>
  <c r="N40" i="183"/>
  <c r="N39" i="183"/>
  <c r="P21" i="183"/>
  <c r="T21" i="183" s="1"/>
  <c r="P22" i="183"/>
  <c r="T22" i="183" s="1"/>
  <c r="AA358" i="178"/>
  <c r="AB358" i="178" s="1"/>
  <c r="AA397" i="178"/>
  <c r="AB397" i="178" s="1"/>
  <c r="AA225" i="178"/>
  <c r="AB225" i="178" s="1"/>
  <c r="AA36" i="178"/>
  <c r="AB36" i="178" s="1"/>
  <c r="O23" i="183"/>
  <c r="Y45" i="178"/>
  <c r="Y422" i="178"/>
  <c r="Y228" i="178"/>
  <c r="Q27" i="183"/>
  <c r="R27" i="183" s="1"/>
  <c r="S27" i="183" s="1"/>
  <c r="Y481" i="178"/>
  <c r="O45" i="183"/>
  <c r="Y136" i="178"/>
  <c r="P59" i="183"/>
  <c r="T59" i="183" s="1"/>
  <c r="N60" i="183"/>
  <c r="X258" i="178"/>
  <c r="P61" i="183"/>
  <c r="T61" i="183" s="1"/>
  <c r="AA158" i="178"/>
  <c r="AB158" i="178" s="1"/>
  <c r="AA264" i="178"/>
  <c r="AB264" i="178" s="1"/>
  <c r="AA395" i="178"/>
  <c r="AB395" i="178" s="1"/>
  <c r="AA171" i="178"/>
  <c r="AB171" i="178" s="1"/>
  <c r="P62" i="183"/>
  <c r="T62" i="183" s="1"/>
  <c r="AA431" i="178"/>
  <c r="AB431" i="178" s="1"/>
  <c r="N66" i="183"/>
  <c r="N65" i="183"/>
  <c r="P68" i="183"/>
  <c r="T68" i="183" s="1"/>
  <c r="O83" i="183"/>
  <c r="Q84" i="183"/>
  <c r="R84" i="183" s="1"/>
  <c r="S84" i="183" s="1"/>
  <c r="O104" i="183"/>
  <c r="O103" i="183"/>
  <c r="Y396" i="178"/>
  <c r="Y421" i="178"/>
  <c r="O121" i="183"/>
  <c r="O122" i="183"/>
  <c r="N124" i="183"/>
  <c r="N123" i="183"/>
  <c r="Y398" i="178"/>
  <c r="Y423" i="178"/>
  <c r="N131" i="183"/>
  <c r="N130" i="183"/>
  <c r="Q102" i="183"/>
  <c r="R102" i="183" s="1"/>
  <c r="S102" i="183" s="1"/>
  <c r="P87" i="183"/>
  <c r="T87" i="183" s="1"/>
  <c r="P86" i="183"/>
  <c r="T86" i="183" s="1"/>
  <c r="P85" i="183"/>
  <c r="T85" i="183" s="1"/>
  <c r="N79" i="183"/>
  <c r="N80" i="183"/>
  <c r="AA170" i="178"/>
  <c r="AB170" i="178" s="1"/>
  <c r="P31" i="183"/>
  <c r="T31" i="183" s="1"/>
  <c r="O26" i="183"/>
  <c r="Q25" i="183"/>
  <c r="P20" i="183"/>
  <c r="T20" i="183" s="1"/>
  <c r="P19" i="183"/>
  <c r="T19" i="183" s="1"/>
  <c r="O3" i="183"/>
  <c r="O2" i="183"/>
  <c r="Y197" i="178"/>
  <c r="P101" i="183"/>
  <c r="T101" i="183" s="1"/>
  <c r="AA394" i="178"/>
  <c r="AB394" i="178" s="1"/>
  <c r="AA419" i="178"/>
  <c r="AB419" i="178" s="1"/>
  <c r="O100" i="183"/>
  <c r="O99" i="183"/>
  <c r="N98" i="183"/>
  <c r="X360" i="178"/>
  <c r="X368" i="178"/>
  <c r="AA393" i="178"/>
  <c r="AB393" i="178" s="1"/>
  <c r="AA418" i="178"/>
  <c r="AB418" i="178" s="1"/>
  <c r="Y174" i="178"/>
  <c r="Y294" i="178"/>
  <c r="Y296" i="178"/>
  <c r="X293" i="178"/>
  <c r="N88" i="183"/>
  <c r="N89" i="183"/>
  <c r="P72" i="183"/>
  <c r="T72" i="183" s="1"/>
  <c r="P71" i="183"/>
  <c r="T71" i="183" s="1"/>
  <c r="AA200" i="178"/>
  <c r="AB200" i="178" s="1"/>
  <c r="AA201" i="178"/>
  <c r="AB201" i="178" s="1"/>
  <c r="O70" i="183"/>
  <c r="O69" i="183"/>
  <c r="Y391" i="178"/>
  <c r="Y416" i="178"/>
  <c r="X159" i="178"/>
  <c r="O32" i="183"/>
  <c r="N30" i="183"/>
  <c r="P15" i="183"/>
  <c r="T15" i="183" s="1"/>
  <c r="Y357" i="178"/>
  <c r="Q129" i="183"/>
  <c r="P119" i="183"/>
  <c r="T119" i="183" s="1"/>
  <c r="P118" i="183"/>
  <c r="T118" i="183" s="1"/>
  <c r="P117" i="183"/>
  <c r="T117" i="183" s="1"/>
  <c r="O113" i="183"/>
  <c r="O114" i="183"/>
  <c r="O112" i="183"/>
  <c r="Q12" i="183"/>
  <c r="P128" i="183"/>
  <c r="T128" i="183" s="1"/>
  <c r="O120" i="183"/>
  <c r="O111" i="183"/>
  <c r="Y413" i="178"/>
  <c r="Y414" i="178"/>
  <c r="Y415" i="178"/>
  <c r="AA404" i="178"/>
  <c r="AB404" i="178" s="1"/>
  <c r="AA390" i="178"/>
  <c r="AB390" i="178" s="1"/>
  <c r="AA405" i="178"/>
  <c r="AB405" i="178" s="1"/>
  <c r="AA402" i="178"/>
  <c r="AB402" i="178" s="1"/>
  <c r="AA407" i="178"/>
  <c r="AB407" i="178" s="1"/>
  <c r="AA403" i="178"/>
  <c r="AB403" i="178" s="1"/>
  <c r="AA406" i="178"/>
  <c r="AB406" i="178" s="1"/>
  <c r="Y388" i="178"/>
  <c r="Y389" i="178"/>
  <c r="X387" i="178"/>
  <c r="X386" i="178"/>
  <c r="AA383" i="178"/>
  <c r="AB383" i="178" s="1"/>
  <c r="AA384" i="178"/>
  <c r="AB384" i="178" s="1"/>
  <c r="Y382" i="178"/>
  <c r="Y381" i="178"/>
  <c r="X379" i="178"/>
  <c r="X380" i="178"/>
  <c r="P91" i="183"/>
  <c r="T91" i="183" s="1"/>
  <c r="P92" i="183"/>
  <c r="T92" i="183" s="1"/>
  <c r="P90" i="183"/>
  <c r="T90" i="183" s="1"/>
  <c r="AA268" i="178"/>
  <c r="AB268" i="178" s="1"/>
  <c r="O82" i="183"/>
  <c r="O81" i="183"/>
  <c r="Y437" i="178"/>
  <c r="Y477" i="178"/>
  <c r="Y429" i="178"/>
  <c r="Y129" i="178"/>
  <c r="Y232" i="178"/>
  <c r="Y267" i="178"/>
  <c r="Y334" i="178"/>
  <c r="Y400" i="178"/>
  <c r="Y133" i="178"/>
  <c r="Y233" i="178"/>
  <c r="Y480" i="178"/>
  <c r="Y337" i="178"/>
  <c r="Y401" i="178"/>
  <c r="Y189" i="178"/>
  <c r="Y244" i="178"/>
  <c r="Y263" i="178"/>
  <c r="Y375" i="178"/>
  <c r="Y467" i="178"/>
  <c r="Y194" i="178"/>
  <c r="Y252" i="178"/>
  <c r="Y314" i="178"/>
  <c r="Y376" i="178"/>
  <c r="Y475" i="178"/>
  <c r="N76" i="183"/>
  <c r="N75" i="183"/>
  <c r="X310" i="178"/>
  <c r="X428" i="178"/>
  <c r="X290" i="178"/>
  <c r="X79" i="178"/>
  <c r="X17" i="178"/>
  <c r="X83" i="178"/>
  <c r="X29" i="178"/>
  <c r="X128" i="178"/>
  <c r="X37" i="178"/>
  <c r="Y229" i="178"/>
  <c r="X479" i="178"/>
  <c r="AA374" i="178"/>
  <c r="AB374" i="178" s="1"/>
  <c r="AA313" i="178"/>
  <c r="AB313" i="178" s="1"/>
  <c r="AA317" i="178"/>
  <c r="AB317" i="178" s="1"/>
  <c r="Y435" i="178"/>
  <c r="Y291" i="178"/>
  <c r="Y231" i="178"/>
  <c r="Y235" i="178"/>
  <c r="Y262" i="178"/>
  <c r="X132" i="178"/>
  <c r="X204" i="178"/>
  <c r="N10" i="183"/>
  <c r="AA242" i="178"/>
  <c r="AB242" i="178" s="1"/>
  <c r="AA243" i="178"/>
  <c r="AB243" i="178" s="1"/>
  <c r="AA250" i="178"/>
  <c r="AB250" i="178" s="1"/>
  <c r="AA251" i="178"/>
  <c r="AB251" i="178" s="1"/>
  <c r="Y193" i="178"/>
  <c r="Y203" i="178"/>
  <c r="Y230" i="178"/>
  <c r="Y192" i="178"/>
  <c r="X120" i="178"/>
  <c r="X124" i="178"/>
  <c r="X187" i="178"/>
  <c r="X121" i="178"/>
  <c r="X125" i="178"/>
  <c r="X188" i="178"/>
  <c r="X81" i="178"/>
  <c r="X122" i="178"/>
  <c r="X126" i="178"/>
  <c r="X82" i="178"/>
  <c r="X130" i="178"/>
  <c r="X123" i="178"/>
  <c r="AA54" i="178"/>
  <c r="AB54" i="178" s="1"/>
  <c r="AA55" i="178"/>
  <c r="AB55" i="178" s="1"/>
  <c r="AA59" i="178"/>
  <c r="AB59" i="178" s="1"/>
  <c r="Y15" i="178"/>
  <c r="Y49" i="178"/>
  <c r="X14" i="178"/>
  <c r="X13" i="178"/>
  <c r="P16" i="183"/>
  <c r="T16" i="183" s="1"/>
  <c r="N95" i="183"/>
  <c r="N93" i="183"/>
  <c r="N94" i="183"/>
  <c r="P47" i="183"/>
  <c r="T47" i="183" s="1"/>
  <c r="X332" i="178"/>
  <c r="X144" i="178"/>
  <c r="X148" i="178"/>
  <c r="X311" i="178"/>
  <c r="X312" i="178"/>
  <c r="X333" i="178"/>
  <c r="X335" i="178"/>
  <c r="X336" i="178"/>
  <c r="X430" i="178"/>
  <c r="X438" i="178"/>
  <c r="X465" i="178"/>
  <c r="Y281" i="178"/>
  <c r="O109" i="183"/>
  <c r="P36" i="183"/>
  <c r="T36" i="183" s="1"/>
  <c r="P35" i="183"/>
  <c r="T35" i="183" s="1"/>
  <c r="P37" i="183"/>
  <c r="T37" i="183" s="1"/>
  <c r="P34" i="183"/>
  <c r="T34" i="183" s="1"/>
  <c r="N56" i="183"/>
  <c r="N57" i="183"/>
  <c r="N58" i="183"/>
  <c r="P49" i="183"/>
  <c r="T49" i="183" s="1"/>
  <c r="P48" i="183"/>
  <c r="T48" i="183" s="1"/>
  <c r="O53" i="183"/>
  <c r="O52" i="183"/>
  <c r="X478" i="178"/>
  <c r="X473" i="178"/>
  <c r="P17" i="183"/>
  <c r="T17" i="183" s="1"/>
  <c r="P18" i="183"/>
  <c r="T18" i="183" s="1"/>
  <c r="O22" i="183"/>
  <c r="O21" i="183"/>
  <c r="Y397" i="178"/>
  <c r="Y225" i="178"/>
  <c r="Y36" i="178"/>
  <c r="Y358" i="178"/>
  <c r="Z358" i="178" s="1"/>
  <c r="N23" i="183"/>
  <c r="X422" i="178"/>
  <c r="X228" i="178"/>
  <c r="X45" i="178"/>
  <c r="X481" i="178"/>
  <c r="P29" i="183"/>
  <c r="T29" i="183" s="1"/>
  <c r="N45" i="183"/>
  <c r="X136" i="178"/>
  <c r="O59" i="183"/>
  <c r="AA261" i="178"/>
  <c r="AB261" i="178" s="1"/>
  <c r="O61" i="183"/>
  <c r="Y264" i="178"/>
  <c r="Y395" i="178"/>
  <c r="Y171" i="178"/>
  <c r="Y158" i="178"/>
  <c r="Z158" i="178" s="1"/>
  <c r="O62" i="183"/>
  <c r="Y431" i="178"/>
  <c r="AA420" i="178"/>
  <c r="AB420" i="178" s="1"/>
  <c r="AA443" i="178"/>
  <c r="AB443" i="178" s="1"/>
  <c r="P67" i="183"/>
  <c r="T67" i="183" s="1"/>
  <c r="O68" i="183"/>
  <c r="N83" i="183"/>
  <c r="N103" i="183"/>
  <c r="Q103" i="183" s="1"/>
  <c r="N104" i="183"/>
  <c r="Q104" i="183" s="1"/>
  <c r="R104" i="183" s="1"/>
  <c r="S104" i="183" s="1"/>
  <c r="X396" i="178"/>
  <c r="X421" i="178"/>
  <c r="P107" i="183"/>
  <c r="T107" i="183" s="1"/>
  <c r="P108" i="183"/>
  <c r="T108" i="183" s="1"/>
  <c r="N122" i="183"/>
  <c r="N121" i="183"/>
  <c r="X423" i="178"/>
  <c r="X398" i="178"/>
  <c r="O86" i="183"/>
  <c r="O85" i="183"/>
  <c r="O87" i="183"/>
  <c r="P78" i="183"/>
  <c r="T78" i="183" s="1"/>
  <c r="P77" i="183"/>
  <c r="T77" i="183" s="1"/>
  <c r="O31" i="183"/>
  <c r="Y170" i="178"/>
  <c r="N26" i="183"/>
  <c r="Q26" i="183" s="1"/>
  <c r="R26" i="183" s="1"/>
  <c r="S26" i="183" s="1"/>
  <c r="O20" i="183"/>
  <c r="O19" i="183"/>
  <c r="X197" i="178"/>
  <c r="N3" i="183"/>
  <c r="Q3" i="183" s="1"/>
  <c r="R3" i="183" s="1"/>
  <c r="S3" i="183" s="1"/>
  <c r="N2" i="183"/>
  <c r="O101" i="183"/>
  <c r="Y394" i="178"/>
  <c r="Y419" i="178"/>
  <c r="N100" i="183"/>
  <c r="N99" i="183"/>
  <c r="P96" i="183"/>
  <c r="T96" i="183" s="1"/>
  <c r="P97" i="183"/>
  <c r="T97" i="183" s="1"/>
  <c r="AA137" i="178"/>
  <c r="AB137" i="178" s="1"/>
  <c r="Y393" i="178"/>
  <c r="Y418" i="178"/>
  <c r="X174" i="178"/>
  <c r="X294" i="178"/>
  <c r="X296" i="178"/>
  <c r="AA175" i="178"/>
  <c r="AB175" i="178" s="1"/>
  <c r="AA177" i="178"/>
  <c r="AB177" i="178" s="1"/>
  <c r="P73" i="183"/>
  <c r="T73" i="183" s="1"/>
  <c r="P74" i="183"/>
  <c r="T74" i="183" s="1"/>
  <c r="O72" i="183"/>
  <c r="O71" i="183"/>
  <c r="Y200" i="178"/>
  <c r="Y201" i="178"/>
  <c r="N70" i="183"/>
  <c r="N69" i="183"/>
  <c r="Q69" i="183" s="1"/>
  <c r="R69" i="183" s="1"/>
  <c r="S69" i="183" s="1"/>
  <c r="X391" i="178"/>
  <c r="X416" i="178"/>
  <c r="AA138" i="178"/>
  <c r="AB138" i="178" s="1"/>
  <c r="AA157" i="178"/>
  <c r="AB157" i="178" s="1"/>
  <c r="N32" i="183"/>
  <c r="P28" i="183"/>
  <c r="T28" i="183" s="1"/>
  <c r="O15" i="183"/>
  <c r="X357" i="178"/>
  <c r="O118" i="183"/>
  <c r="O117" i="183"/>
  <c r="O119" i="183"/>
  <c r="N114" i="183"/>
  <c r="N112" i="183"/>
  <c r="N113" i="183"/>
  <c r="P6" i="183"/>
  <c r="T6" i="183" s="1"/>
  <c r="P7" i="183"/>
  <c r="T7" i="183" s="1"/>
  <c r="O128" i="183"/>
  <c r="N120" i="183"/>
  <c r="P116" i="183"/>
  <c r="T116" i="183" s="1"/>
  <c r="P115" i="183"/>
  <c r="T115" i="183" s="1"/>
  <c r="N111" i="183"/>
  <c r="Q111" i="183" s="1"/>
  <c r="X414" i="178"/>
  <c r="X415" i="178"/>
  <c r="X413" i="178"/>
  <c r="Y390" i="178"/>
  <c r="Y405" i="178"/>
  <c r="Y402" i="178"/>
  <c r="Y407" i="178"/>
  <c r="Y403" i="178"/>
  <c r="Y406" i="178"/>
  <c r="Y404" i="178"/>
  <c r="X388" i="178"/>
  <c r="X389" i="178"/>
  <c r="Y383" i="178"/>
  <c r="Y384" i="178"/>
  <c r="X381" i="178"/>
  <c r="X382" i="178"/>
  <c r="AA377" i="178"/>
  <c r="AB377" i="178" s="1"/>
  <c r="AA378" i="178"/>
  <c r="AB378" i="178" s="1"/>
  <c r="O92" i="183"/>
  <c r="O90" i="183"/>
  <c r="O91" i="183"/>
  <c r="Y268" i="178"/>
  <c r="N82" i="183"/>
  <c r="N81" i="183"/>
  <c r="X477" i="178"/>
  <c r="X429" i="178"/>
  <c r="X437" i="178"/>
  <c r="X133" i="178"/>
  <c r="X233" i="178"/>
  <c r="X480" i="178"/>
  <c r="X337" i="178"/>
  <c r="X401" i="178"/>
  <c r="X189" i="178"/>
  <c r="X244" i="178"/>
  <c r="X263" i="178"/>
  <c r="X375" i="178"/>
  <c r="X467" i="178"/>
  <c r="X194" i="178"/>
  <c r="X252" i="178"/>
  <c r="X314" i="178"/>
  <c r="X376" i="178"/>
  <c r="X475" i="178"/>
  <c r="X129" i="178"/>
  <c r="X232" i="178"/>
  <c r="X267" i="178"/>
  <c r="X334" i="178"/>
  <c r="X400" i="178"/>
  <c r="X229" i="178"/>
  <c r="AA399" i="178"/>
  <c r="AB399" i="178" s="1"/>
  <c r="AA466" i="178"/>
  <c r="AB466" i="178" s="1"/>
  <c r="AA474" i="178"/>
  <c r="AB474" i="178" s="1"/>
  <c r="Y313" i="178"/>
  <c r="Y317" i="178"/>
  <c r="Y374" i="178"/>
  <c r="X435" i="178"/>
  <c r="X231" i="178"/>
  <c r="X235" i="178"/>
  <c r="X262" i="178"/>
  <c r="X291" i="178"/>
  <c r="AA74" i="178"/>
  <c r="AB74" i="178" s="1"/>
  <c r="AA76" i="178"/>
  <c r="AB76" i="178" s="1"/>
  <c r="AA127" i="178"/>
  <c r="AB127" i="178" s="1"/>
  <c r="AA131" i="178"/>
  <c r="AB131" i="178" s="1"/>
  <c r="AA202" i="178"/>
  <c r="AB202" i="178" s="1"/>
  <c r="AA256" i="178"/>
  <c r="AB256" i="178" s="1"/>
  <c r="AA257" i="178"/>
  <c r="AB257" i="178" s="1"/>
  <c r="AA265" i="178"/>
  <c r="AB265" i="178" s="1"/>
  <c r="AA266" i="178"/>
  <c r="AB266" i="178" s="1"/>
  <c r="Y243" i="178"/>
  <c r="Y250" i="178"/>
  <c r="Y251" i="178"/>
  <c r="Y242" i="178"/>
  <c r="X203" i="178"/>
  <c r="X230" i="178"/>
  <c r="X192" i="178"/>
  <c r="X193" i="178"/>
  <c r="AA73" i="178"/>
  <c r="AB73" i="178" s="1"/>
  <c r="AA75" i="178"/>
  <c r="AB75" i="178" s="1"/>
  <c r="AA78" i="178"/>
  <c r="AB78" i="178" s="1"/>
  <c r="AA80" i="178"/>
  <c r="AB80" i="178" s="1"/>
  <c r="Y54" i="178"/>
  <c r="Y55" i="178"/>
  <c r="Y59" i="178"/>
  <c r="X15" i="178"/>
  <c r="X49" i="178"/>
  <c r="O16" i="183"/>
  <c r="AA367" i="178"/>
  <c r="AB367" i="178" s="1"/>
  <c r="AA371" i="178"/>
  <c r="AB371" i="178" s="1"/>
  <c r="P63" i="183"/>
  <c r="T63" i="183" s="1"/>
  <c r="O47" i="183"/>
  <c r="X281" i="178"/>
  <c r="N84" i="70"/>
  <c r="N109" i="183"/>
  <c r="S40" i="95"/>
  <c r="S39" i="95"/>
  <c r="S37" i="95"/>
  <c r="S36" i="95"/>
  <c r="S35" i="95"/>
  <c r="S34" i="95"/>
  <c r="S19" i="95"/>
  <c r="R20" i="95"/>
  <c r="S15" i="95"/>
  <c r="I98" i="70"/>
  <c r="K85" i="70"/>
  <c r="T85" i="70" s="1"/>
  <c r="K58" i="70"/>
  <c r="T58" i="70" s="1"/>
  <c r="K56" i="70"/>
  <c r="T56" i="70" s="1"/>
  <c r="K52" i="70"/>
  <c r="T52" i="70" s="1"/>
  <c r="K50" i="70"/>
  <c r="T50" i="70" s="1"/>
  <c r="K48" i="70"/>
  <c r="T48" i="70" s="1"/>
  <c r="K43" i="70"/>
  <c r="T43" i="70" s="1"/>
  <c r="K34" i="70"/>
  <c r="T34" i="70" s="1"/>
  <c r="K32" i="70"/>
  <c r="T32" i="70" s="1"/>
  <c r="M66" i="70"/>
  <c r="M69" i="70"/>
  <c r="M77" i="70"/>
  <c r="M44" i="70"/>
  <c r="K66" i="70"/>
  <c r="T66" i="70" s="1"/>
  <c r="M59" i="70"/>
  <c r="K72" i="70"/>
  <c r="Q72" i="70" s="1"/>
  <c r="R72" i="70" s="1"/>
  <c r="S72" i="70" s="1"/>
  <c r="K69" i="70"/>
  <c r="K37" i="70"/>
  <c r="T37" i="70" s="1"/>
  <c r="K28" i="70"/>
  <c r="Q28" i="70" s="1"/>
  <c r="K59" i="70"/>
  <c r="T59" i="70" s="1"/>
  <c r="K9" i="70"/>
  <c r="T9" i="70" s="1"/>
  <c r="M22" i="70"/>
  <c r="Q22" i="70" s="1"/>
  <c r="R22" i="70" s="1"/>
  <c r="K75" i="70"/>
  <c r="T75" i="70" s="1"/>
  <c r="M99" i="70"/>
  <c r="P22" i="95"/>
  <c r="P40" i="95"/>
  <c r="P39" i="95"/>
  <c r="P37" i="95"/>
  <c r="P36" i="95"/>
  <c r="P34" i="95"/>
  <c r="BL225" i="178"/>
  <c r="AS225" i="178"/>
  <c r="AW225" i="178"/>
  <c r="BA225" i="178"/>
  <c r="BE225" i="178"/>
  <c r="BI225" i="178"/>
  <c r="BN225" i="178"/>
  <c r="AY225" i="178"/>
  <c r="BC225" i="178"/>
  <c r="BG225" i="178"/>
  <c r="AU225" i="178"/>
  <c r="H28" i="70"/>
  <c r="BE424" i="178"/>
  <c r="BA424" i="178"/>
  <c r="AY424" i="178"/>
  <c r="BN444" i="178"/>
  <c r="AW444" i="178"/>
  <c r="BC444" i="178"/>
  <c r="BI444" i="178"/>
  <c r="AS444" i="178"/>
  <c r="BC366" i="178"/>
  <c r="BI366" i="178"/>
  <c r="AS366" i="178"/>
  <c r="AY444" i="178"/>
  <c r="BE444" i="178"/>
  <c r="AY366" i="178"/>
  <c r="BE366" i="178"/>
  <c r="BL444" i="178"/>
  <c r="AU444" i="178"/>
  <c r="BL366" i="178"/>
  <c r="AU366" i="178"/>
  <c r="L42" i="95"/>
  <c r="Q38" i="95"/>
  <c r="P35" i="95"/>
  <c r="O42" i="95"/>
  <c r="I9" i="70"/>
  <c r="H82" i="70"/>
  <c r="H39" i="70"/>
  <c r="T76" i="70"/>
  <c r="I41" i="70"/>
  <c r="H77" i="70"/>
  <c r="I2" i="70"/>
  <c r="K17" i="70"/>
  <c r="Q17" i="70" s="1"/>
  <c r="R17" i="70" s="1"/>
  <c r="S17" i="70" s="1"/>
  <c r="I30" i="70"/>
  <c r="K19" i="70"/>
  <c r="T19" i="70" s="1"/>
  <c r="T97" i="70"/>
  <c r="T96" i="70"/>
  <c r="I68" i="70"/>
  <c r="H26" i="70"/>
  <c r="M2" i="70"/>
  <c r="K61" i="70"/>
  <c r="T61" i="70" s="1"/>
  <c r="K54" i="70"/>
  <c r="T54" i="70" s="1"/>
  <c r="K41" i="70"/>
  <c r="T41" i="70" s="1"/>
  <c r="K83" i="70"/>
  <c r="T83" i="70" s="1"/>
  <c r="K35" i="70"/>
  <c r="T35" i="70" s="1"/>
  <c r="K92" i="70"/>
  <c r="Q92" i="70" s="1"/>
  <c r="R92" i="70" s="1"/>
  <c r="S92" i="70" s="1"/>
  <c r="M75" i="70"/>
  <c r="M19" i="70"/>
  <c r="K107" i="70"/>
  <c r="T107" i="70" s="1"/>
  <c r="K105" i="70"/>
  <c r="T105" i="70" s="1"/>
  <c r="K86" i="70"/>
  <c r="T86" i="70" s="1"/>
  <c r="K44" i="70"/>
  <c r="T44" i="70" s="1"/>
  <c r="K42" i="70"/>
  <c r="T42" i="70" s="1"/>
  <c r="K38" i="70"/>
  <c r="T38" i="70" s="1"/>
  <c r="K36" i="70"/>
  <c r="T36" i="70" s="1"/>
  <c r="K81" i="70"/>
  <c r="T81" i="70" s="1"/>
  <c r="K33" i="70"/>
  <c r="T33" i="70" s="1"/>
  <c r="K29" i="70"/>
  <c r="T29" i="70" s="1"/>
  <c r="K20" i="70"/>
  <c r="Q20" i="70" s="1"/>
  <c r="R20" i="70" s="1"/>
  <c r="S20" i="70" s="1"/>
  <c r="M67" i="70"/>
  <c r="Q67" i="70" s="1"/>
  <c r="R67" i="70" s="1"/>
  <c r="S67" i="70" s="1"/>
  <c r="M65" i="70"/>
  <c r="M68" i="70"/>
  <c r="K94" i="70"/>
  <c r="Q94" i="70" s="1"/>
  <c r="R94" i="70" s="1"/>
  <c r="S94" i="70" s="1"/>
  <c r="M91" i="70"/>
  <c r="M74" i="70"/>
  <c r="M39" i="70"/>
  <c r="K99" i="70"/>
  <c r="T99" i="70" s="1"/>
  <c r="K6" i="70"/>
  <c r="T6" i="70" s="1"/>
  <c r="M3" i="70"/>
  <c r="K25" i="70"/>
  <c r="T25" i="70" s="1"/>
  <c r="K71" i="70"/>
  <c r="T71" i="70" s="1"/>
  <c r="K77" i="70"/>
  <c r="T77" i="70" s="1"/>
  <c r="I89" i="70"/>
  <c r="I45" i="70"/>
  <c r="I24" i="70"/>
  <c r="AA352" i="178"/>
  <c r="AB352" i="178" s="1"/>
  <c r="AA351" i="178"/>
  <c r="AB351" i="178" s="1"/>
  <c r="Y352" i="178"/>
  <c r="Y351" i="178"/>
  <c r="X352" i="178"/>
  <c r="X351" i="178"/>
  <c r="AY309" i="178"/>
  <c r="I6" i="70"/>
  <c r="H103" i="70"/>
  <c r="I67" i="70"/>
  <c r="I100" i="70"/>
  <c r="H44" i="70"/>
  <c r="I58" i="70"/>
  <c r="I3" i="70"/>
  <c r="I72" i="70"/>
  <c r="I93" i="70"/>
  <c r="M95" i="70"/>
  <c r="K82" i="70"/>
  <c r="T82" i="70" s="1"/>
  <c r="AA369" i="178"/>
  <c r="AB369" i="178" s="1"/>
  <c r="X161" i="178"/>
  <c r="AA361" i="178"/>
  <c r="AB361" i="178" s="1"/>
  <c r="Y369" i="178"/>
  <c r="AA363" i="178"/>
  <c r="AB363" i="178" s="1"/>
  <c r="Y361" i="178"/>
  <c r="X369" i="178"/>
  <c r="AA161" i="178"/>
  <c r="AB161" i="178" s="1"/>
  <c r="Y363" i="178"/>
  <c r="X361" i="178"/>
  <c r="Y161" i="178"/>
  <c r="X363" i="178"/>
  <c r="P33" i="95"/>
  <c r="H42" i="95"/>
  <c r="S16" i="95"/>
  <c r="R38" i="95"/>
  <c r="S33" i="95"/>
  <c r="S18" i="95"/>
  <c r="S14" i="95"/>
  <c r="S21" i="95"/>
  <c r="S17" i="95"/>
  <c r="G9" i="95"/>
  <c r="S20" i="95"/>
  <c r="S22" i="95"/>
  <c r="M76" i="70"/>
  <c r="Q76" i="70" s="1"/>
  <c r="R76" i="70" s="1"/>
  <c r="S76" i="70" s="1"/>
  <c r="I88" i="70"/>
  <c r="H78" i="70"/>
  <c r="AW315" i="178"/>
  <c r="Z345" i="178"/>
  <c r="AC345" i="178" s="1"/>
  <c r="AA280" i="178"/>
  <c r="AB280" i="178" s="1"/>
  <c r="Y280" i="178"/>
  <c r="X280" i="178"/>
  <c r="I31" i="70"/>
  <c r="H101" i="70"/>
  <c r="I20" i="70"/>
  <c r="T22" i="70"/>
  <c r="H50" i="177"/>
  <c r="J48" i="177"/>
  <c r="O48" i="177" s="1"/>
  <c r="I49" i="177"/>
  <c r="N49" i="177" s="1"/>
  <c r="L42" i="177"/>
  <c r="L43" i="177" s="1"/>
  <c r="O42" i="177"/>
  <c r="O43" i="177"/>
  <c r="O34" i="177"/>
  <c r="J40" i="177"/>
  <c r="G50" i="177"/>
  <c r="I38" i="177"/>
  <c r="K38" i="177" s="1"/>
  <c r="I45" i="177"/>
  <c r="N45" i="177" s="1"/>
  <c r="I48" i="177"/>
  <c r="N48" i="177" s="1"/>
  <c r="E50" i="177"/>
  <c r="I41" i="177"/>
  <c r="N41" i="177" s="1"/>
  <c r="I42" i="177"/>
  <c r="I46" i="177"/>
  <c r="N46" i="177" s="1"/>
  <c r="J50" i="177"/>
  <c r="O40" i="177"/>
  <c r="N38" i="177"/>
  <c r="K42" i="177"/>
  <c r="N42" i="177" s="1"/>
  <c r="I39" i="177"/>
  <c r="J9" i="95"/>
  <c r="I30" i="95"/>
  <c r="O24" i="95"/>
  <c r="R13" i="95"/>
  <c r="E42" i="95"/>
  <c r="R4" i="95"/>
  <c r="H9" i="95"/>
  <c r="K42" i="95"/>
  <c r="P20" i="95"/>
  <c r="P19" i="95"/>
  <c r="P16" i="95"/>
  <c r="P15" i="95"/>
  <c r="P14" i="95"/>
  <c r="Q7" i="95"/>
  <c r="E50" i="95" s="1"/>
  <c r="Q5" i="95"/>
  <c r="S13" i="95"/>
  <c r="P7" i="95"/>
  <c r="D50" i="95" s="1"/>
  <c r="P6" i="95"/>
  <c r="N9" i="95"/>
  <c r="R22" i="95"/>
  <c r="R21" i="95"/>
  <c r="R18" i="95"/>
  <c r="R17" i="95"/>
  <c r="R14" i="95"/>
  <c r="K49" i="70"/>
  <c r="T49" i="70" s="1"/>
  <c r="T67" i="70"/>
  <c r="T46" i="70"/>
  <c r="T14" i="70"/>
  <c r="T47" i="70"/>
  <c r="T7" i="70"/>
  <c r="M97" i="70"/>
  <c r="Q97" i="70" s="1"/>
  <c r="R97" i="70" s="1"/>
  <c r="K68" i="70"/>
  <c r="T68" i="70" s="1"/>
  <c r="K74" i="70"/>
  <c r="K39" i="70"/>
  <c r="T39" i="70" s="1"/>
  <c r="K65" i="70"/>
  <c r="T65" i="70" s="1"/>
  <c r="M100" i="70"/>
  <c r="H16" i="70"/>
  <c r="I16" i="70"/>
  <c r="H40" i="70"/>
  <c r="I40" i="70"/>
  <c r="H63" i="70"/>
  <c r="I63" i="70"/>
  <c r="I56" i="70"/>
  <c r="H56" i="70"/>
  <c r="K106" i="70"/>
  <c r="K45" i="70"/>
  <c r="T45" i="70" s="1"/>
  <c r="K80" i="70"/>
  <c r="T80" i="70" s="1"/>
  <c r="K26" i="70"/>
  <c r="T26" i="70" s="1"/>
  <c r="K3" i="70"/>
  <c r="H59" i="70"/>
  <c r="I59" i="70"/>
  <c r="M70" i="70"/>
  <c r="M89" i="70"/>
  <c r="K89" i="70"/>
  <c r="T89" i="70" s="1"/>
  <c r="H91" i="70"/>
  <c r="I91" i="70"/>
  <c r="H75" i="70"/>
  <c r="I75" i="70"/>
  <c r="H96" i="70"/>
  <c r="I96" i="70"/>
  <c r="H99" i="70"/>
  <c r="I99" i="70"/>
  <c r="H13" i="70"/>
  <c r="M23" i="70"/>
  <c r="K23" i="70"/>
  <c r="T23" i="70" s="1"/>
  <c r="H86" i="70"/>
  <c r="I86" i="70"/>
  <c r="I48" i="70"/>
  <c r="H48" i="70"/>
  <c r="H43" i="70"/>
  <c r="I43" i="70"/>
  <c r="H50" i="70"/>
  <c r="I50" i="70"/>
  <c r="K64" i="70"/>
  <c r="T64" i="70" s="1"/>
  <c r="K62" i="70"/>
  <c r="T62" i="70" s="1"/>
  <c r="K60" i="70"/>
  <c r="T60" i="70" s="1"/>
  <c r="K57" i="70"/>
  <c r="T57" i="70" s="1"/>
  <c r="K55" i="70"/>
  <c r="T55" i="70" s="1"/>
  <c r="K53" i="70"/>
  <c r="T53" i="70" s="1"/>
  <c r="K51" i="70"/>
  <c r="T51" i="70" s="1"/>
  <c r="K40" i="70"/>
  <c r="K78" i="70"/>
  <c r="T78" i="70" s="1"/>
  <c r="K27" i="70"/>
  <c r="T27" i="70" s="1"/>
  <c r="K24" i="70"/>
  <c r="T24" i="70" s="1"/>
  <c r="M25" i="70"/>
  <c r="M47" i="70"/>
  <c r="Q47" i="70" s="1"/>
  <c r="R47" i="70" s="1"/>
  <c r="S47" i="70" s="1"/>
  <c r="M73" i="70"/>
  <c r="Q73" i="70" s="1"/>
  <c r="R73" i="70" s="1"/>
  <c r="S73" i="70" s="1"/>
  <c r="M71" i="70"/>
  <c r="M9" i="70"/>
  <c r="E12" i="3"/>
  <c r="K2" i="70"/>
  <c r="T2" i="70" s="1"/>
  <c r="M106" i="70"/>
  <c r="M90" i="70"/>
  <c r="Q90" i="70" s="1"/>
  <c r="R90" i="70" s="1"/>
  <c r="S90" i="70" s="1"/>
  <c r="M87" i="70"/>
  <c r="Q87" i="70" s="1"/>
  <c r="R87" i="70" s="1"/>
  <c r="S87" i="70" s="1"/>
  <c r="M85" i="70"/>
  <c r="M63" i="70"/>
  <c r="Q63" i="70" s="1"/>
  <c r="R63" i="70" s="1"/>
  <c r="S63" i="70" s="1"/>
  <c r="M61" i="70"/>
  <c r="M58" i="70"/>
  <c r="M56" i="70"/>
  <c r="M54" i="70"/>
  <c r="Q54" i="70" s="1"/>
  <c r="R54" i="70" s="1"/>
  <c r="M52" i="70"/>
  <c r="M50" i="70"/>
  <c r="M48" i="70"/>
  <c r="M45" i="70"/>
  <c r="M43" i="70"/>
  <c r="M41" i="70"/>
  <c r="M34" i="70"/>
  <c r="M32" i="70"/>
  <c r="M26" i="70"/>
  <c r="M21" i="70"/>
  <c r="K95" i="70"/>
  <c r="T95" i="70" s="1"/>
  <c r="K91" i="70"/>
  <c r="T91" i="70" s="1"/>
  <c r="K100" i="70"/>
  <c r="K98" i="70"/>
  <c r="T98" i="70" s="1"/>
  <c r="M84" i="70"/>
  <c r="K84" i="70"/>
  <c r="M107" i="70"/>
  <c r="M105" i="70"/>
  <c r="M86" i="70"/>
  <c r="M64" i="70"/>
  <c r="M62" i="70"/>
  <c r="M60" i="70"/>
  <c r="M57" i="70"/>
  <c r="M55" i="70"/>
  <c r="M53" i="70"/>
  <c r="M51" i="70"/>
  <c r="M49" i="70"/>
  <c r="M42" i="70"/>
  <c r="M40" i="70"/>
  <c r="M38" i="70"/>
  <c r="M82" i="70"/>
  <c r="M78" i="70"/>
  <c r="M36" i="70"/>
  <c r="M81" i="70"/>
  <c r="M33" i="70"/>
  <c r="M29" i="70"/>
  <c r="Q29" i="70" s="1"/>
  <c r="R29" i="70" s="1"/>
  <c r="S29" i="70" s="1"/>
  <c r="M24" i="70"/>
  <c r="K70" i="70"/>
  <c r="T70" i="70" s="1"/>
  <c r="K93" i="70"/>
  <c r="T93" i="70" s="1"/>
  <c r="Q33" i="95"/>
  <c r="F42" i="95"/>
  <c r="Q12" i="95"/>
  <c r="P18" i="95"/>
  <c r="S12" i="95"/>
  <c r="S4" i="95"/>
  <c r="S27" i="95"/>
  <c r="R40" i="95"/>
  <c r="R39" i="95"/>
  <c r="R37" i="95"/>
  <c r="R36" i="95"/>
  <c r="R35" i="95"/>
  <c r="R34" i="95"/>
  <c r="P21" i="95"/>
  <c r="P17" i="95"/>
  <c r="O9" i="95"/>
  <c r="J42" i="95"/>
  <c r="N42" i="95"/>
  <c r="P28" i="95"/>
  <c r="R16" i="95"/>
  <c r="S38" i="95"/>
  <c r="J24" i="95"/>
  <c r="H30" i="95"/>
  <c r="K30" i="95"/>
  <c r="R6" i="95"/>
  <c r="R33" i="95"/>
  <c r="Q13" i="95"/>
  <c r="P5" i="95"/>
  <c r="M9" i="95"/>
  <c r="G24" i="95"/>
  <c r="D9" i="95"/>
  <c r="Q39" i="95"/>
  <c r="Q37" i="95"/>
  <c r="Q36" i="95"/>
  <c r="Q35" i="95"/>
  <c r="Q34" i="95"/>
  <c r="S7" i="95"/>
  <c r="S6" i="95"/>
  <c r="Q27" i="95"/>
  <c r="Q30" i="95" s="1"/>
  <c r="E9" i="95"/>
  <c r="R19" i="95"/>
  <c r="R15" i="95"/>
  <c r="R7" i="95"/>
  <c r="D13" i="3"/>
  <c r="N24" i="95"/>
  <c r="Q6" i="95"/>
  <c r="Q22" i="95"/>
  <c r="Q21" i="95"/>
  <c r="Q19" i="95"/>
  <c r="Q18" i="95"/>
  <c r="Q17" i="95"/>
  <c r="Q15" i="95"/>
  <c r="Q14" i="95"/>
  <c r="Q40" i="95"/>
  <c r="P12" i="95"/>
  <c r="P4" i="95"/>
  <c r="C18" i="3" s="1"/>
  <c r="I28" i="3" s="1"/>
  <c r="H24" i="95"/>
  <c r="I24" i="95"/>
  <c r="D12" i="3"/>
  <c r="I8" i="70"/>
  <c r="D11" i="3"/>
  <c r="H62" i="70"/>
  <c r="H25" i="70"/>
  <c r="I64" i="70"/>
  <c r="E11" i="3"/>
  <c r="E13" i="3"/>
  <c r="H29" i="70"/>
  <c r="H27" i="70"/>
  <c r="H60" i="70"/>
  <c r="I65" i="70"/>
  <c r="M24" i="95"/>
  <c r="J30" i="95"/>
  <c r="K9" i="95"/>
  <c r="M42" i="95"/>
  <c r="K24" i="95"/>
  <c r="I42" i="95"/>
  <c r="L9" i="95"/>
  <c r="S28" i="95"/>
  <c r="I9" i="95"/>
  <c r="P13" i="95"/>
  <c r="Q20" i="95"/>
  <c r="L24" i="95"/>
  <c r="Q4" i="95"/>
  <c r="Q16" i="95"/>
  <c r="P38" i="95"/>
  <c r="S5" i="95"/>
  <c r="R5" i="95"/>
  <c r="F24" i="95"/>
  <c r="R27" i="95"/>
  <c r="R30" i="95" s="1"/>
  <c r="E24" i="95"/>
  <c r="G42" i="95"/>
  <c r="D42" i="95"/>
  <c r="F9" i="95"/>
  <c r="D24" i="95"/>
  <c r="P27" i="95"/>
  <c r="R12" i="95"/>
  <c r="T79" i="70"/>
  <c r="Q79" i="70"/>
  <c r="R79" i="70" s="1"/>
  <c r="S79" i="70" s="1"/>
  <c r="Q7" i="70"/>
  <c r="R7" i="70" s="1"/>
  <c r="S7" i="70" s="1"/>
  <c r="T8" i="70"/>
  <c r="T11" i="70"/>
  <c r="Q8" i="70"/>
  <c r="R8" i="70" s="1"/>
  <c r="S8" i="70" s="1"/>
  <c r="T87" i="70"/>
  <c r="Q13" i="70"/>
  <c r="R13" i="70" s="1"/>
  <c r="S13" i="70" s="1"/>
  <c r="T13" i="70"/>
  <c r="Q88" i="70"/>
  <c r="R88" i="70" s="1"/>
  <c r="T88" i="70"/>
  <c r="Q10" i="70"/>
  <c r="R10" i="70" s="1"/>
  <c r="S10" i="70" s="1"/>
  <c r="T10" i="70"/>
  <c r="T15" i="70"/>
  <c r="T73" i="70"/>
  <c r="Q18" i="70"/>
  <c r="R18" i="70" s="1"/>
  <c r="S18" i="70" s="1"/>
  <c r="Q14" i="70"/>
  <c r="R14" i="70" s="1"/>
  <c r="Q11" i="70"/>
  <c r="R11" i="70" s="1"/>
  <c r="S11" i="70" s="1"/>
  <c r="Q46" i="70"/>
  <c r="R46" i="70" s="1"/>
  <c r="S46" i="70" s="1"/>
  <c r="Q15" i="70"/>
  <c r="R15" i="70" s="1"/>
  <c r="Q12" i="70"/>
  <c r="R12" i="70" s="1"/>
  <c r="T12" i="70"/>
  <c r="T30" i="70"/>
  <c r="Q30" i="70"/>
  <c r="R30" i="70" s="1"/>
  <c r="S30" i="70" s="1"/>
  <c r="Q104" i="70"/>
  <c r="R104" i="70" s="1"/>
  <c r="S104" i="70" s="1"/>
  <c r="T104" i="70"/>
  <c r="T102" i="70"/>
  <c r="Q102" i="70"/>
  <c r="R102" i="70" s="1"/>
  <c r="T90" i="70"/>
  <c r="Q16" i="70"/>
  <c r="R16" i="70" s="1"/>
  <c r="S16" i="70" s="1"/>
  <c r="T16" i="70"/>
  <c r="T103" i="70"/>
  <c r="Q103" i="70"/>
  <c r="R103" i="70" s="1"/>
  <c r="S103" i="70" s="1"/>
  <c r="T101" i="70"/>
  <c r="Q101" i="70"/>
  <c r="R101" i="70" s="1"/>
  <c r="S101" i="70" s="1"/>
  <c r="Q31" i="70"/>
  <c r="R31" i="70" s="1"/>
  <c r="S31" i="70" s="1"/>
  <c r="T31" i="70"/>
  <c r="Q96" i="70"/>
  <c r="R96" i="70" s="1"/>
  <c r="T63" i="70"/>
  <c r="T18" i="70"/>
  <c r="AY292" i="178"/>
  <c r="Z43" i="178"/>
  <c r="Z220" i="178"/>
  <c r="AC220" i="178" s="1"/>
  <c r="Z216" i="178"/>
  <c r="AC216" i="178" s="1"/>
  <c r="Z134" i="178"/>
  <c r="Z182" i="178"/>
  <c r="AC182" i="178" s="1"/>
  <c r="Z206" i="178"/>
  <c r="AC206" i="178" s="1"/>
  <c r="Z223" i="178"/>
  <c r="AC223" i="178" s="1"/>
  <c r="I94" i="70"/>
  <c r="I87" i="70"/>
  <c r="I107" i="70"/>
  <c r="I95" i="70"/>
  <c r="I46" i="70"/>
  <c r="I61" i="70"/>
  <c r="H73" i="70"/>
  <c r="I66" i="70"/>
  <c r="I102" i="70"/>
  <c r="H17" i="70"/>
  <c r="I71" i="70"/>
  <c r="I79" i="70"/>
  <c r="I11" i="70"/>
  <c r="I70" i="70"/>
  <c r="I54" i="70"/>
  <c r="I90" i="70"/>
  <c r="I14" i="70"/>
  <c r="I21" i="70"/>
  <c r="I104" i="70"/>
  <c r="I34" i="70"/>
  <c r="H52" i="70"/>
  <c r="H38" i="70"/>
  <c r="I80" i="70"/>
  <c r="Z176" i="178"/>
  <c r="AC176" i="178" s="1"/>
  <c r="Z219" i="178"/>
  <c r="Z213" i="178"/>
  <c r="AC213" i="178" s="1"/>
  <c r="Z222" i="178"/>
  <c r="AC222" i="178" s="1"/>
  <c r="Z180" i="178"/>
  <c r="AC180" i="178" s="1"/>
  <c r="Z183" i="178"/>
  <c r="AC183" i="178" s="1"/>
  <c r="Z221" i="178"/>
  <c r="AC221" i="178" s="1"/>
  <c r="Z224" i="178"/>
  <c r="AC224" i="178" s="1"/>
  <c r="AA140" i="178"/>
  <c r="AB140" i="178" s="1"/>
  <c r="AA141" i="178"/>
  <c r="AB141" i="178" s="1"/>
  <c r="AA178" i="178"/>
  <c r="AB178" i="178" s="1"/>
  <c r="AA179" i="178"/>
  <c r="AB179" i="178" s="1"/>
  <c r="Y295" i="178"/>
  <c r="Y342" i="178"/>
  <c r="Y343" i="178"/>
  <c r="Y355" i="178"/>
  <c r="Y354" i="178"/>
  <c r="AA417" i="178"/>
  <c r="AB417" i="178" s="1"/>
  <c r="Y434" i="178"/>
  <c r="AA160" i="178"/>
  <c r="AB160" i="178" s="1"/>
  <c r="Y432" i="178"/>
  <c r="Y433" i="178"/>
  <c r="Y425" i="178"/>
  <c r="Y424" i="178"/>
  <c r="Y372" i="178"/>
  <c r="Y373" i="178"/>
  <c r="AA469" i="178"/>
  <c r="AB469" i="178" s="1"/>
  <c r="AA471" i="178"/>
  <c r="AB471" i="178" s="1"/>
  <c r="AA470" i="178"/>
  <c r="AB470" i="178" s="1"/>
  <c r="AA468" i="178"/>
  <c r="AB468" i="178" s="1"/>
  <c r="X471" i="178"/>
  <c r="X470" i="178"/>
  <c r="X469" i="178"/>
  <c r="X468" i="178"/>
  <c r="Y462" i="178"/>
  <c r="Y463" i="178"/>
  <c r="Y461" i="178"/>
  <c r="Y338" i="178"/>
  <c r="Y340" i="178"/>
  <c r="Y339" i="178"/>
  <c r="AA330" i="178"/>
  <c r="AB330" i="178" s="1"/>
  <c r="AA329" i="178"/>
  <c r="AB329" i="178" s="1"/>
  <c r="AA331" i="178"/>
  <c r="AB331" i="178" s="1"/>
  <c r="X331" i="178"/>
  <c r="X330" i="178"/>
  <c r="X329" i="178"/>
  <c r="Y328" i="178"/>
  <c r="Y327" i="178"/>
  <c r="Y326" i="178"/>
  <c r="AA325" i="178"/>
  <c r="AB325" i="178" s="1"/>
  <c r="AA324" i="178"/>
  <c r="AB324" i="178" s="1"/>
  <c r="AA323" i="178"/>
  <c r="AB323" i="178" s="1"/>
  <c r="X324" i="178"/>
  <c r="X323" i="178"/>
  <c r="X325" i="178"/>
  <c r="Y322" i="178"/>
  <c r="Y321" i="178"/>
  <c r="AA318" i="178"/>
  <c r="AB318" i="178" s="1"/>
  <c r="AA320" i="178"/>
  <c r="AB320" i="178" s="1"/>
  <c r="AA319" i="178"/>
  <c r="AB319" i="178" s="1"/>
  <c r="X319" i="178"/>
  <c r="X318" i="178"/>
  <c r="X320" i="178"/>
  <c r="Y306" i="178"/>
  <c r="Y308" i="178"/>
  <c r="Y305" i="178"/>
  <c r="Y307" i="178"/>
  <c r="Y304" i="178"/>
  <c r="AA300" i="178"/>
  <c r="AB300" i="178" s="1"/>
  <c r="AA301" i="178"/>
  <c r="AB301" i="178" s="1"/>
  <c r="AA298" i="178"/>
  <c r="AB298" i="178" s="1"/>
  <c r="AA303" i="178"/>
  <c r="AB303" i="178" s="1"/>
  <c r="AA302" i="178"/>
  <c r="AB302" i="178" s="1"/>
  <c r="AA297" i="178"/>
  <c r="AB297" i="178" s="1"/>
  <c r="X303" i="178"/>
  <c r="X302" i="178"/>
  <c r="X300" i="178"/>
  <c r="X301" i="178"/>
  <c r="X298" i="178"/>
  <c r="X297" i="178"/>
  <c r="AA254" i="178"/>
  <c r="AB254" i="178" s="1"/>
  <c r="AA253" i="178"/>
  <c r="AB253" i="178" s="1"/>
  <c r="AA255" i="178"/>
  <c r="AB255" i="178" s="1"/>
  <c r="X255" i="178"/>
  <c r="X254" i="178"/>
  <c r="X253" i="178"/>
  <c r="Y248" i="178"/>
  <c r="Y247" i="178"/>
  <c r="Y246" i="178"/>
  <c r="Y245" i="178"/>
  <c r="AA241" i="178"/>
  <c r="AB241" i="178" s="1"/>
  <c r="AA240" i="178"/>
  <c r="AB240" i="178" s="1"/>
  <c r="AA239" i="178"/>
  <c r="AB239" i="178" s="1"/>
  <c r="X241" i="178"/>
  <c r="X240" i="178"/>
  <c r="X239" i="178"/>
  <c r="Y237" i="178"/>
  <c r="Y238" i="178"/>
  <c r="Y236" i="178"/>
  <c r="AA215" i="178"/>
  <c r="AB215" i="178" s="1"/>
  <c r="AA214" i="178"/>
  <c r="AB214" i="178" s="1"/>
  <c r="X215" i="178"/>
  <c r="X214" i="178"/>
  <c r="AA279" i="178"/>
  <c r="AB279" i="178" s="1"/>
  <c r="AA284" i="178"/>
  <c r="AB284" i="178" s="1"/>
  <c r="AA288" i="178"/>
  <c r="AB288" i="178" s="1"/>
  <c r="AA287" i="178"/>
  <c r="AB287" i="178" s="1"/>
  <c r="AA286" i="178"/>
  <c r="AB286" i="178" s="1"/>
  <c r="AA285" i="178"/>
  <c r="AB285" i="178" s="1"/>
  <c r="AA282" i="178"/>
  <c r="AB282" i="178" s="1"/>
  <c r="AA289" i="178"/>
  <c r="AB289" i="178" s="1"/>
  <c r="X279" i="178"/>
  <c r="X285" i="178"/>
  <c r="X282" i="178"/>
  <c r="X289" i="178"/>
  <c r="X284" i="178"/>
  <c r="X288" i="178"/>
  <c r="X287" i="178"/>
  <c r="X286" i="178"/>
  <c r="AA259" i="178"/>
  <c r="AB259" i="178" s="1"/>
  <c r="AA260" i="178"/>
  <c r="AB260" i="178" s="1"/>
  <c r="X260" i="178"/>
  <c r="X259" i="178"/>
  <c r="Y71" i="178"/>
  <c r="Y70" i="178"/>
  <c r="AA370" i="178"/>
  <c r="AB370" i="178" s="1"/>
  <c r="X370" i="178"/>
  <c r="Y359" i="178"/>
  <c r="Y362" i="178"/>
  <c r="Y366" i="178"/>
  <c r="Y364" i="178"/>
  <c r="Y365" i="178"/>
  <c r="AA165" i="178"/>
  <c r="AB165" i="178" s="1"/>
  <c r="AA164" i="178"/>
  <c r="AB164" i="178" s="1"/>
  <c r="AA163" i="178"/>
  <c r="AB163" i="178" s="1"/>
  <c r="AA167" i="178"/>
  <c r="AB167" i="178" s="1"/>
  <c r="AA162" i="178"/>
  <c r="AB162" i="178" s="1"/>
  <c r="AA166" i="178"/>
  <c r="AB166" i="178" s="1"/>
  <c r="X163" i="178"/>
  <c r="X167" i="178"/>
  <c r="X162" i="178"/>
  <c r="X166" i="178"/>
  <c r="X165" i="178"/>
  <c r="X164" i="178"/>
  <c r="Y156" i="178"/>
  <c r="Y155" i="178"/>
  <c r="Y154" i="178"/>
  <c r="AA274" i="178"/>
  <c r="AB274" i="178" s="1"/>
  <c r="AA278" i="178"/>
  <c r="AB278" i="178" s="1"/>
  <c r="AA277" i="178"/>
  <c r="AB277" i="178" s="1"/>
  <c r="AA276" i="178"/>
  <c r="AB276" i="178" s="1"/>
  <c r="AA273" i="178"/>
  <c r="AB273" i="178" s="1"/>
  <c r="AA275" i="178"/>
  <c r="AB275" i="178" s="1"/>
  <c r="X277" i="178"/>
  <c r="X276" i="178"/>
  <c r="X273" i="178"/>
  <c r="X275" i="178"/>
  <c r="X274" i="178"/>
  <c r="X278" i="178"/>
  <c r="Z135" i="178"/>
  <c r="AC135" i="178" s="1"/>
  <c r="Y140" i="178"/>
  <c r="Y141" i="178"/>
  <c r="Y178" i="178"/>
  <c r="Y179" i="178"/>
  <c r="X295" i="178"/>
  <c r="X342" i="178"/>
  <c r="X343" i="178"/>
  <c r="X354" i="178"/>
  <c r="X355" i="178"/>
  <c r="AA392" i="178"/>
  <c r="AB392" i="178" s="1"/>
  <c r="Y417" i="178"/>
  <c r="X434" i="178"/>
  <c r="Y160" i="178"/>
  <c r="Y173" i="178"/>
  <c r="Y172" i="178"/>
  <c r="AA292" i="178"/>
  <c r="AB292" i="178" s="1"/>
  <c r="X292" i="178"/>
  <c r="Y196" i="178"/>
  <c r="Y195" i="178"/>
  <c r="Y199" i="178"/>
  <c r="Y198" i="178"/>
  <c r="AA460" i="178"/>
  <c r="AB460" i="178" s="1"/>
  <c r="AA459" i="178"/>
  <c r="AB459" i="178" s="1"/>
  <c r="AA458" i="178"/>
  <c r="AB458" i="178" s="1"/>
  <c r="X460" i="178"/>
  <c r="X459" i="178"/>
  <c r="X458" i="178"/>
  <c r="Y455" i="178"/>
  <c r="Y456" i="178"/>
  <c r="Y457" i="178"/>
  <c r="Y454" i="178"/>
  <c r="AA452" i="178"/>
  <c r="AB452" i="178" s="1"/>
  <c r="AA453" i="178"/>
  <c r="AB453" i="178" s="1"/>
  <c r="AA451" i="178"/>
  <c r="AB451" i="178" s="1"/>
  <c r="X453" i="178"/>
  <c r="X452" i="178"/>
  <c r="X451" i="178"/>
  <c r="Y450" i="178"/>
  <c r="Y449" i="178"/>
  <c r="Y448" i="178"/>
  <c r="AA446" i="178"/>
  <c r="AB446" i="178" s="1"/>
  <c r="AA447" i="178"/>
  <c r="AB447" i="178" s="1"/>
  <c r="AA445" i="178"/>
  <c r="AB445" i="178" s="1"/>
  <c r="X447" i="178"/>
  <c r="X446" i="178"/>
  <c r="X445" i="178"/>
  <c r="Y442" i="178"/>
  <c r="Y441" i="178"/>
  <c r="Y440" i="178"/>
  <c r="Y439" i="178"/>
  <c r="AA142" i="178"/>
  <c r="AB142" i="178" s="1"/>
  <c r="AA143" i="178"/>
  <c r="AB143" i="178" s="1"/>
  <c r="X143" i="178"/>
  <c r="X142" i="178"/>
  <c r="Y207" i="178"/>
  <c r="Y208" i="178"/>
  <c r="Y210" i="178"/>
  <c r="Y209" i="178"/>
  <c r="Y211" i="178"/>
  <c r="AA112" i="178"/>
  <c r="AB112" i="178" s="1"/>
  <c r="AA117" i="178"/>
  <c r="AB117" i="178" s="1"/>
  <c r="AA115" i="178"/>
  <c r="AB115" i="178" s="1"/>
  <c r="AA116" i="178"/>
  <c r="AB116" i="178" s="1"/>
  <c r="AA114" i="178"/>
  <c r="AB114" i="178" s="1"/>
  <c r="AA111" i="178"/>
  <c r="AB111" i="178" s="1"/>
  <c r="AA113" i="178"/>
  <c r="AB113" i="178" s="1"/>
  <c r="AA110" i="178"/>
  <c r="AB110" i="178" s="1"/>
  <c r="X116" i="178"/>
  <c r="X114" i="178"/>
  <c r="X111" i="178"/>
  <c r="X113" i="178"/>
  <c r="X112" i="178"/>
  <c r="X117" i="178"/>
  <c r="X115" i="178"/>
  <c r="X110" i="178"/>
  <c r="Y102" i="178"/>
  <c r="Y109" i="178"/>
  <c r="Y108" i="178"/>
  <c r="Y105" i="178"/>
  <c r="Y107" i="178"/>
  <c r="Y104" i="178"/>
  <c r="Y101" i="178"/>
  <c r="Y103" i="178"/>
  <c r="Y106" i="178"/>
  <c r="Y100" i="178"/>
  <c r="AA93" i="178"/>
  <c r="AB93" i="178" s="1"/>
  <c r="AA98" i="178"/>
  <c r="AB98" i="178" s="1"/>
  <c r="AA96" i="178"/>
  <c r="AB96" i="178" s="1"/>
  <c r="AA97" i="178"/>
  <c r="AB97" i="178" s="1"/>
  <c r="AA95" i="178"/>
  <c r="AB95" i="178" s="1"/>
  <c r="AA94" i="178"/>
  <c r="AB94" i="178" s="1"/>
  <c r="AA92" i="178"/>
  <c r="AB92" i="178" s="1"/>
  <c r="X97" i="178"/>
  <c r="X95" i="178"/>
  <c r="X94" i="178"/>
  <c r="X93" i="178"/>
  <c r="X98" i="178"/>
  <c r="X96" i="178"/>
  <c r="X92" i="178"/>
  <c r="Y87" i="178"/>
  <c r="Y86" i="178"/>
  <c r="Y91" i="178"/>
  <c r="Y89" i="178"/>
  <c r="Y90" i="178"/>
  <c r="Y88" i="178"/>
  <c r="Y85" i="178"/>
  <c r="AA84" i="178"/>
  <c r="AB84" i="178" s="1"/>
  <c r="X84" i="178"/>
  <c r="Y61" i="178"/>
  <c r="Y63" i="178"/>
  <c r="Y60" i="178"/>
  <c r="Y62" i="178"/>
  <c r="Y52" i="178"/>
  <c r="Y53" i="178"/>
  <c r="AA50" i="178"/>
  <c r="AB50" i="178" s="1"/>
  <c r="AA51" i="178"/>
  <c r="AB51" i="178" s="1"/>
  <c r="X51" i="178"/>
  <c r="X50" i="178"/>
  <c r="Y46" i="178"/>
  <c r="Y47" i="178"/>
  <c r="Y42" i="178"/>
  <c r="Y41" i="178"/>
  <c r="AA40" i="178"/>
  <c r="AB40" i="178" s="1"/>
  <c r="AA39" i="178"/>
  <c r="AB39" i="178" s="1"/>
  <c r="AA38" i="178"/>
  <c r="AB38" i="178" s="1"/>
  <c r="X39" i="178"/>
  <c r="X38" i="178"/>
  <c r="X40" i="178"/>
  <c r="AA33" i="178"/>
  <c r="AB33" i="178" s="1"/>
  <c r="X33" i="178"/>
  <c r="Y32" i="178"/>
  <c r="AA31" i="178"/>
  <c r="AB31" i="178" s="1"/>
  <c r="X31" i="178"/>
  <c r="Y30" i="178"/>
  <c r="AA24" i="178"/>
  <c r="AB24" i="178" s="1"/>
  <c r="AA26" i="178"/>
  <c r="AB26" i="178" s="1"/>
  <c r="AA28" i="178"/>
  <c r="AB28" i="178" s="1"/>
  <c r="AA23" i="178"/>
  <c r="AB23" i="178" s="1"/>
  <c r="AA27" i="178"/>
  <c r="AB27" i="178" s="1"/>
  <c r="AA25" i="178"/>
  <c r="AB25" i="178" s="1"/>
  <c r="X23" i="178"/>
  <c r="X27" i="178"/>
  <c r="X25" i="178"/>
  <c r="X24" i="178"/>
  <c r="X26" i="178"/>
  <c r="X28" i="178"/>
  <c r="Y19" i="178"/>
  <c r="Y21" i="178"/>
  <c r="Y22" i="178"/>
  <c r="Y20" i="178"/>
  <c r="Y18" i="178"/>
  <c r="AA10" i="178"/>
  <c r="AB10" i="178" s="1"/>
  <c r="AA6" i="178"/>
  <c r="AB6" i="178" s="1"/>
  <c r="AA8" i="178"/>
  <c r="AB8" i="178" s="1"/>
  <c r="AA9" i="178"/>
  <c r="AB9" i="178" s="1"/>
  <c r="AA5" i="178"/>
  <c r="AB5" i="178" s="1"/>
  <c r="AA7" i="178"/>
  <c r="AB7" i="178" s="1"/>
  <c r="AA4" i="178"/>
  <c r="AB4" i="178" s="1"/>
  <c r="AA11" i="178"/>
  <c r="AB11" i="178" s="1"/>
  <c r="X5" i="178"/>
  <c r="X7" i="178"/>
  <c r="X4" i="178"/>
  <c r="X11" i="178"/>
  <c r="X10" i="178"/>
  <c r="X6" i="178"/>
  <c r="X9" i="178"/>
  <c r="X8" i="178"/>
  <c r="AA472" i="178"/>
  <c r="AB472" i="178" s="1"/>
  <c r="X472" i="178"/>
  <c r="AA464" i="178"/>
  <c r="AB464" i="178" s="1"/>
  <c r="X464" i="178"/>
  <c r="AA309" i="178"/>
  <c r="AB309" i="178" s="1"/>
  <c r="X309" i="178"/>
  <c r="AA147" i="178"/>
  <c r="AB147" i="178" s="1"/>
  <c r="AA150" i="178"/>
  <c r="AB150" i="178" s="1"/>
  <c r="AA149" i="178"/>
  <c r="AB149" i="178" s="1"/>
  <c r="X147" i="178"/>
  <c r="X150" i="178"/>
  <c r="X149" i="178"/>
  <c r="AA118" i="178"/>
  <c r="AB118" i="178" s="1"/>
  <c r="X118" i="178"/>
  <c r="AA271" i="178"/>
  <c r="AB271" i="178" s="1"/>
  <c r="AA270" i="178"/>
  <c r="AB270" i="178" s="1"/>
  <c r="AA272" i="178"/>
  <c r="AB272" i="178" s="1"/>
  <c r="AA269" i="178"/>
  <c r="AB269" i="178" s="1"/>
  <c r="Z169" i="178"/>
  <c r="AC169" i="178" s="1"/>
  <c r="X140" i="178"/>
  <c r="X141" i="178"/>
  <c r="X179" i="178"/>
  <c r="X178" i="178"/>
  <c r="Y392" i="178"/>
  <c r="X417" i="178"/>
  <c r="X160" i="178"/>
  <c r="AA433" i="178"/>
  <c r="AB433" i="178" s="1"/>
  <c r="AA432" i="178"/>
  <c r="AB432" i="178" s="1"/>
  <c r="X433" i="178"/>
  <c r="X432" i="178"/>
  <c r="AA425" i="178"/>
  <c r="AB425" i="178" s="1"/>
  <c r="X425" i="178"/>
  <c r="AA424" i="178"/>
  <c r="AB424" i="178" s="1"/>
  <c r="X424" i="178"/>
  <c r="AA373" i="178"/>
  <c r="AB373" i="178" s="1"/>
  <c r="AA372" i="178"/>
  <c r="AB372" i="178" s="1"/>
  <c r="X373" i="178"/>
  <c r="X372" i="178"/>
  <c r="Y471" i="178"/>
  <c r="Y470" i="178"/>
  <c r="Y469" i="178"/>
  <c r="Y468" i="178"/>
  <c r="AA462" i="178"/>
  <c r="AB462" i="178" s="1"/>
  <c r="AA463" i="178"/>
  <c r="AB463" i="178" s="1"/>
  <c r="AA461" i="178"/>
  <c r="AB461" i="178" s="1"/>
  <c r="X463" i="178"/>
  <c r="X462" i="178"/>
  <c r="X461" i="178"/>
  <c r="AA339" i="178"/>
  <c r="AB339" i="178" s="1"/>
  <c r="AA338" i="178"/>
  <c r="AB338" i="178" s="1"/>
  <c r="AA340" i="178"/>
  <c r="AB340" i="178" s="1"/>
  <c r="X340" i="178"/>
  <c r="X339" i="178"/>
  <c r="Z339" i="178" s="1"/>
  <c r="X338" i="178"/>
  <c r="Y329" i="178"/>
  <c r="Y331" i="178"/>
  <c r="Y330" i="178"/>
  <c r="AA326" i="178"/>
  <c r="AB326" i="178" s="1"/>
  <c r="AA328" i="178"/>
  <c r="AB328" i="178" s="1"/>
  <c r="AA327" i="178"/>
  <c r="AB327" i="178" s="1"/>
  <c r="X327" i="178"/>
  <c r="Z327" i="178" s="1"/>
  <c r="X326" i="178"/>
  <c r="X328" i="178"/>
  <c r="Y324" i="178"/>
  <c r="Y323" i="178"/>
  <c r="Y325" i="178"/>
  <c r="AA322" i="178"/>
  <c r="AB322" i="178" s="1"/>
  <c r="AA321" i="178"/>
  <c r="AB321" i="178" s="1"/>
  <c r="X321" i="178"/>
  <c r="X322" i="178"/>
  <c r="Y320" i="178"/>
  <c r="Y319" i="178"/>
  <c r="Y318" i="178"/>
  <c r="AA307" i="178"/>
  <c r="AB307" i="178" s="1"/>
  <c r="AA306" i="178"/>
  <c r="AB306" i="178" s="1"/>
  <c r="AA308" i="178"/>
  <c r="AB308" i="178" s="1"/>
  <c r="AA305" i="178"/>
  <c r="AB305" i="178" s="1"/>
  <c r="AA304" i="178"/>
  <c r="AB304" i="178" s="1"/>
  <c r="X308" i="178"/>
  <c r="X305" i="178"/>
  <c r="X307" i="178"/>
  <c r="X306" i="178"/>
  <c r="X304" i="178"/>
  <c r="Z304" i="178" s="1"/>
  <c r="Y298" i="178"/>
  <c r="Y303" i="178"/>
  <c r="Y302" i="178"/>
  <c r="Y300" i="178"/>
  <c r="Y301" i="178"/>
  <c r="Y297" i="178"/>
  <c r="Z297" i="178" s="1"/>
  <c r="Y253" i="178"/>
  <c r="Y255" i="178"/>
  <c r="Y254" i="178"/>
  <c r="AA245" i="178"/>
  <c r="AB245" i="178" s="1"/>
  <c r="AA248" i="178"/>
  <c r="AB248" i="178" s="1"/>
  <c r="AA247" i="178"/>
  <c r="AB247" i="178" s="1"/>
  <c r="AA246" i="178"/>
  <c r="AB246" i="178" s="1"/>
  <c r="X247" i="178"/>
  <c r="Z247" i="178" s="1"/>
  <c r="X246" i="178"/>
  <c r="X245" i="178"/>
  <c r="X248" i="178"/>
  <c r="Y241" i="178"/>
  <c r="Y240" i="178"/>
  <c r="Y239" i="178"/>
  <c r="AA238" i="178"/>
  <c r="AB238" i="178" s="1"/>
  <c r="AA237" i="178"/>
  <c r="AB237" i="178" s="1"/>
  <c r="AA236" i="178"/>
  <c r="AB236" i="178" s="1"/>
  <c r="X238" i="178"/>
  <c r="X237" i="178"/>
  <c r="X236" i="178"/>
  <c r="Y214" i="178"/>
  <c r="Y215" i="178"/>
  <c r="Y279" i="178"/>
  <c r="Y287" i="178"/>
  <c r="Y286" i="178"/>
  <c r="Y285" i="178"/>
  <c r="Y282" i="178"/>
  <c r="Y289" i="178"/>
  <c r="Y284" i="178"/>
  <c r="Y288" i="178"/>
  <c r="Y260" i="178"/>
  <c r="Y259" i="178"/>
  <c r="AA70" i="178"/>
  <c r="AB70" i="178" s="1"/>
  <c r="AA71" i="178"/>
  <c r="AB71" i="178" s="1"/>
  <c r="X70" i="178"/>
  <c r="X71" i="178"/>
  <c r="Z71" i="178" s="1"/>
  <c r="Y370" i="178"/>
  <c r="Z370" i="178" s="1"/>
  <c r="AA359" i="178"/>
  <c r="AB359" i="178" s="1"/>
  <c r="AA362" i="178"/>
  <c r="AB362" i="178" s="1"/>
  <c r="AA366" i="178"/>
  <c r="AB366" i="178" s="1"/>
  <c r="AA364" i="178"/>
  <c r="AB364" i="178" s="1"/>
  <c r="AA365" i="178"/>
  <c r="AB365" i="178" s="1"/>
  <c r="X362" i="178"/>
  <c r="X359" i="178"/>
  <c r="X364" i="178"/>
  <c r="X365" i="178"/>
  <c r="Z365" i="178" s="1"/>
  <c r="X366" i="178"/>
  <c r="Y164" i="178"/>
  <c r="Y163" i="178"/>
  <c r="Y167" i="178"/>
  <c r="Y162" i="178"/>
  <c r="Y166" i="178"/>
  <c r="Y165" i="178"/>
  <c r="AA154" i="178"/>
  <c r="AB154" i="178" s="1"/>
  <c r="AA156" i="178"/>
  <c r="AB156" i="178" s="1"/>
  <c r="AA155" i="178"/>
  <c r="AB155" i="178" s="1"/>
  <c r="X155" i="178"/>
  <c r="X154" i="178"/>
  <c r="X156" i="178"/>
  <c r="Y270" i="178"/>
  <c r="Y272" i="178"/>
  <c r="Y269" i="178"/>
  <c r="Y271" i="178"/>
  <c r="Y278" i="178"/>
  <c r="Y277" i="178"/>
  <c r="Y276" i="178"/>
  <c r="Y273" i="178"/>
  <c r="Y275" i="178"/>
  <c r="Y274" i="178"/>
  <c r="AA295" i="178"/>
  <c r="AB295" i="178" s="1"/>
  <c r="AA342" i="178"/>
  <c r="AB342" i="178" s="1"/>
  <c r="AA343" i="178"/>
  <c r="AB343" i="178" s="1"/>
  <c r="AA354" i="178"/>
  <c r="AB354" i="178" s="1"/>
  <c r="AA355" i="178"/>
  <c r="AB355" i="178" s="1"/>
  <c r="X392" i="178"/>
  <c r="AA434" i="178"/>
  <c r="AB434" i="178" s="1"/>
  <c r="AA173" i="178"/>
  <c r="AB173" i="178" s="1"/>
  <c r="AA172" i="178"/>
  <c r="AB172" i="178" s="1"/>
  <c r="X172" i="178"/>
  <c r="X173" i="178"/>
  <c r="Y292" i="178"/>
  <c r="AA198" i="178"/>
  <c r="AB198" i="178" s="1"/>
  <c r="AA196" i="178"/>
  <c r="AB196" i="178" s="1"/>
  <c r="AA195" i="178"/>
  <c r="AB195" i="178" s="1"/>
  <c r="AA199" i="178"/>
  <c r="AB199" i="178" s="1"/>
  <c r="X195" i="178"/>
  <c r="Z195" i="178" s="1"/>
  <c r="X199" i="178"/>
  <c r="Z199" i="178" s="1"/>
  <c r="X198" i="178"/>
  <c r="X196" i="178"/>
  <c r="Y460" i="178"/>
  <c r="Y459" i="178"/>
  <c r="Y458" i="178"/>
  <c r="AA457" i="178"/>
  <c r="AB457" i="178" s="1"/>
  <c r="AA455" i="178"/>
  <c r="AB455" i="178" s="1"/>
  <c r="AA456" i="178"/>
  <c r="AB456" i="178" s="1"/>
  <c r="AA454" i="178"/>
  <c r="AB454" i="178" s="1"/>
  <c r="X456" i="178"/>
  <c r="X457" i="178"/>
  <c r="X455" i="178"/>
  <c r="X454" i="178"/>
  <c r="Y453" i="178"/>
  <c r="Y452" i="178"/>
  <c r="Y451" i="178"/>
  <c r="AA450" i="178"/>
  <c r="AB450" i="178" s="1"/>
  <c r="AA449" i="178"/>
  <c r="AB449" i="178" s="1"/>
  <c r="AA448" i="178"/>
  <c r="AB448" i="178" s="1"/>
  <c r="X449" i="178"/>
  <c r="X450" i="178"/>
  <c r="X448" i="178"/>
  <c r="Y447" i="178"/>
  <c r="Y446" i="178"/>
  <c r="Y445" i="178"/>
  <c r="AA442" i="178"/>
  <c r="AB442" i="178" s="1"/>
  <c r="AA441" i="178"/>
  <c r="AB441" i="178" s="1"/>
  <c r="AA440" i="178"/>
  <c r="AB440" i="178" s="1"/>
  <c r="AA439" i="178"/>
  <c r="AB439" i="178" s="1"/>
  <c r="X441" i="178"/>
  <c r="X440" i="178"/>
  <c r="X442" i="178"/>
  <c r="X439" i="178"/>
  <c r="Y142" i="178"/>
  <c r="Y143" i="178"/>
  <c r="AA208" i="178"/>
  <c r="AB208" i="178" s="1"/>
  <c r="AA207" i="178"/>
  <c r="AB207" i="178" s="1"/>
  <c r="AA211" i="178"/>
  <c r="AB211" i="178" s="1"/>
  <c r="AA210" i="178"/>
  <c r="AB210" i="178" s="1"/>
  <c r="AA209" i="178"/>
  <c r="AB209" i="178" s="1"/>
  <c r="X208" i="178"/>
  <c r="X207" i="178"/>
  <c r="X210" i="178"/>
  <c r="X209" i="178"/>
  <c r="X211" i="178"/>
  <c r="Y117" i="178"/>
  <c r="Y115" i="178"/>
  <c r="Y116" i="178"/>
  <c r="Y114" i="178"/>
  <c r="Y111" i="178"/>
  <c r="Y113" i="178"/>
  <c r="Y112" i="178"/>
  <c r="Y110" i="178"/>
  <c r="AA101" i="178"/>
  <c r="AB101" i="178" s="1"/>
  <c r="AA103" i="178"/>
  <c r="AB103" i="178" s="1"/>
  <c r="AA106" i="178"/>
  <c r="AB106" i="178" s="1"/>
  <c r="AA102" i="178"/>
  <c r="AB102" i="178" s="1"/>
  <c r="AA109" i="178"/>
  <c r="AB109" i="178" s="1"/>
  <c r="AA108" i="178"/>
  <c r="AB108" i="178" s="1"/>
  <c r="AA105" i="178"/>
  <c r="AB105" i="178" s="1"/>
  <c r="AA107" i="178"/>
  <c r="AB107" i="178" s="1"/>
  <c r="AA104" i="178"/>
  <c r="AB104" i="178" s="1"/>
  <c r="AA100" i="178"/>
  <c r="AB100" i="178" s="1"/>
  <c r="X108" i="178"/>
  <c r="X105" i="178"/>
  <c r="X107" i="178"/>
  <c r="X104" i="178"/>
  <c r="X101" i="178"/>
  <c r="X103" i="178"/>
  <c r="X106" i="178"/>
  <c r="X102" i="178"/>
  <c r="X109" i="178"/>
  <c r="X100" i="178"/>
  <c r="Y98" i="178"/>
  <c r="Y96" i="178"/>
  <c r="Y97" i="178"/>
  <c r="Y95" i="178"/>
  <c r="Y94" i="178"/>
  <c r="Y93" i="178"/>
  <c r="Y92" i="178"/>
  <c r="AA90" i="178"/>
  <c r="AB90" i="178" s="1"/>
  <c r="AA88" i="178"/>
  <c r="AB88" i="178" s="1"/>
  <c r="AA87" i="178"/>
  <c r="AB87" i="178" s="1"/>
  <c r="AA86" i="178"/>
  <c r="AB86" i="178" s="1"/>
  <c r="AA91" i="178"/>
  <c r="AB91" i="178" s="1"/>
  <c r="AA89" i="178"/>
  <c r="AB89" i="178" s="1"/>
  <c r="AA85" i="178"/>
  <c r="AB85" i="178" s="1"/>
  <c r="X86" i="178"/>
  <c r="X91" i="178"/>
  <c r="X89" i="178"/>
  <c r="X90" i="178"/>
  <c r="X88" i="178"/>
  <c r="X87" i="178"/>
  <c r="X85" i="178"/>
  <c r="Y84" i="178"/>
  <c r="AA62" i="178"/>
  <c r="AB62" i="178" s="1"/>
  <c r="AA61" i="178"/>
  <c r="AB61" i="178" s="1"/>
  <c r="AA63" i="178"/>
  <c r="AB63" i="178" s="1"/>
  <c r="AA60" i="178"/>
  <c r="AB60" i="178" s="1"/>
  <c r="X63" i="178"/>
  <c r="X60" i="178"/>
  <c r="X62" i="178"/>
  <c r="X61" i="178"/>
  <c r="AA53" i="178"/>
  <c r="AB53" i="178" s="1"/>
  <c r="AA52" i="178"/>
  <c r="AB52" i="178" s="1"/>
  <c r="X52" i="178"/>
  <c r="X53" i="178"/>
  <c r="Y50" i="178"/>
  <c r="Y51" i="178"/>
  <c r="AA47" i="178"/>
  <c r="AB47" i="178" s="1"/>
  <c r="AA46" i="178"/>
  <c r="AB46" i="178" s="1"/>
  <c r="X47" i="178"/>
  <c r="X46" i="178"/>
  <c r="AA41" i="178"/>
  <c r="AB41" i="178" s="1"/>
  <c r="AA42" i="178"/>
  <c r="AB42" i="178" s="1"/>
  <c r="X42" i="178"/>
  <c r="X41" i="178"/>
  <c r="Y40" i="178"/>
  <c r="Y39" i="178"/>
  <c r="Y38" i="178"/>
  <c r="Y33" i="178"/>
  <c r="AA32" i="178"/>
  <c r="AB32" i="178" s="1"/>
  <c r="X32" i="178"/>
  <c r="Y31" i="178"/>
  <c r="AA30" i="178"/>
  <c r="AB30" i="178" s="1"/>
  <c r="X30" i="178"/>
  <c r="Y26" i="178"/>
  <c r="Y28" i="178"/>
  <c r="Y23" i="178"/>
  <c r="Y27" i="178"/>
  <c r="Y25" i="178"/>
  <c r="Y24" i="178"/>
  <c r="AA18" i="178"/>
  <c r="AB18" i="178" s="1"/>
  <c r="AA21" i="178"/>
  <c r="AB21" i="178" s="1"/>
  <c r="AA22" i="178"/>
  <c r="AB22" i="178" s="1"/>
  <c r="AA20" i="178"/>
  <c r="AB20" i="178" s="1"/>
  <c r="AA19" i="178"/>
  <c r="AB19" i="178" s="1"/>
  <c r="X22" i="178"/>
  <c r="X20" i="178"/>
  <c r="X19" i="178"/>
  <c r="Z19" i="178" s="1"/>
  <c r="X18" i="178"/>
  <c r="X21" i="178"/>
  <c r="Y8" i="178"/>
  <c r="Y9" i="178"/>
  <c r="Y5" i="178"/>
  <c r="Y7" i="178"/>
  <c r="Y4" i="178"/>
  <c r="Y11" i="178"/>
  <c r="Y6" i="178"/>
  <c r="Y10" i="178"/>
  <c r="Y472" i="178"/>
  <c r="Y464" i="178"/>
  <c r="Z464" i="178" s="1"/>
  <c r="Y309" i="178"/>
  <c r="Y147" i="178"/>
  <c r="Y149" i="178"/>
  <c r="Y150" i="178"/>
  <c r="Y118" i="178"/>
  <c r="X272" i="178"/>
  <c r="X269" i="178"/>
  <c r="X271" i="178"/>
  <c r="X270" i="178"/>
  <c r="O84" i="70"/>
  <c r="Z168" i="178"/>
  <c r="AC168" i="178" s="1"/>
  <c r="Z444" i="178"/>
  <c r="I15" i="70"/>
  <c r="H36" i="70"/>
  <c r="H92" i="70"/>
  <c r="I105" i="70"/>
  <c r="I32" i="70"/>
  <c r="I47" i="70"/>
  <c r="I19" i="70"/>
  <c r="H7" i="70"/>
  <c r="I81" i="70"/>
  <c r="I49" i="70"/>
  <c r="I53" i="70"/>
  <c r="I55" i="70"/>
  <c r="I10" i="70"/>
  <c r="I23" i="70"/>
  <c r="I18" i="70"/>
  <c r="H35" i="70"/>
  <c r="H37" i="70"/>
  <c r="I22" i="70"/>
  <c r="I51" i="70"/>
  <c r="H97" i="70"/>
  <c r="I83" i="70"/>
  <c r="H76" i="70"/>
  <c r="H106" i="70"/>
  <c r="H12" i="70"/>
  <c r="I57" i="70"/>
  <c r="I69" i="70"/>
  <c r="I42" i="70"/>
  <c r="I33" i="70"/>
  <c r="H85" i="70"/>
  <c r="I84" i="70"/>
  <c r="BG424" i="178"/>
  <c r="BN424" i="178"/>
  <c r="AW424" i="178"/>
  <c r="BI341" i="178"/>
  <c r="BC424" i="178"/>
  <c r="BI424" i="178"/>
  <c r="AS424" i="178"/>
  <c r="BA373" i="178"/>
  <c r="BC373" i="178"/>
  <c r="BI373" i="178"/>
  <c r="AW373" i="178"/>
  <c r="AY373" i="178"/>
  <c r="AS373" i="178"/>
  <c r="BL373" i="178"/>
  <c r="AU373" i="178"/>
  <c r="BE439" i="178"/>
  <c r="AU139" i="178"/>
  <c r="BN304" i="178"/>
  <c r="BA100" i="178"/>
  <c r="AW309" i="178"/>
  <c r="BG100" i="178"/>
  <c r="BG139" i="178"/>
  <c r="AY352" i="178"/>
  <c r="BL139" i="178"/>
  <c r="AY297" i="178"/>
  <c r="BN139" i="178"/>
  <c r="AW85" i="178"/>
  <c r="BC85" i="178"/>
  <c r="AU297" i="178"/>
  <c r="BC297" i="178"/>
  <c r="AW297" i="178"/>
  <c r="AC134" i="178"/>
  <c r="AY304" i="178"/>
  <c r="Z99" i="178"/>
  <c r="AC99" i="178" s="1"/>
  <c r="AY100" i="178"/>
  <c r="AW100" i="178"/>
  <c r="BA309" i="178"/>
  <c r="AW304" i="178"/>
  <c r="BN100" i="178"/>
  <c r="BA99" i="178"/>
  <c r="BI100" i="178"/>
  <c r="BN341" i="178"/>
  <c r="BA353" i="178"/>
  <c r="BE309" i="178"/>
  <c r="AU100" i="178"/>
  <c r="AU309" i="178"/>
  <c r="BE100" i="178"/>
  <c r="BE304" i="178"/>
  <c r="BI304" i="178"/>
  <c r="BC100" i="178"/>
  <c r="BC99" i="178"/>
  <c r="BI309" i="178"/>
  <c r="AS100" i="178"/>
  <c r="BA295" i="178"/>
  <c r="AS297" i="178"/>
  <c r="BE85" i="178"/>
  <c r="BN85" i="178"/>
  <c r="BG85" i="178"/>
  <c r="AS85" i="178"/>
  <c r="BA292" i="178"/>
  <c r="BN297" i="178"/>
  <c r="BL292" i="178"/>
  <c r="BA85" i="178"/>
  <c r="AU85" i="178"/>
  <c r="BL85" i="178"/>
  <c r="BL297" i="178"/>
  <c r="BE297" i="178"/>
  <c r="BI297" i="178"/>
  <c r="BG297" i="178"/>
  <c r="AY85" i="178"/>
  <c r="BE295" i="178"/>
  <c r="BE292" i="178"/>
  <c r="BL295" i="178"/>
  <c r="BN295" i="178"/>
  <c r="BA92" i="178"/>
  <c r="BE352" i="178"/>
  <c r="AW295" i="178"/>
  <c r="AW292" i="178"/>
  <c r="BN92" i="178"/>
  <c r="AU353" i="178"/>
  <c r="AS295" i="178"/>
  <c r="AS292" i="178"/>
  <c r="BN292" i="178"/>
  <c r="BG92" i="178"/>
  <c r="BG439" i="178"/>
  <c r="BG353" i="178"/>
  <c r="AU352" i="178"/>
  <c r="BN353" i="178"/>
  <c r="AS439" i="178"/>
  <c r="AW353" i="178"/>
  <c r="BA352" i="178"/>
  <c r="BE341" i="178"/>
  <c r="AY315" i="178"/>
  <c r="AU92" i="178"/>
  <c r="BL92" i="178"/>
  <c r="AU439" i="178"/>
  <c r="BC353" i="178"/>
  <c r="BG352" i="178"/>
  <c r="AY341" i="178"/>
  <c r="BI353" i="178"/>
  <c r="AS353" i="178"/>
  <c r="AW352" i="178"/>
  <c r="AS341" i="178"/>
  <c r="AY92" i="178"/>
  <c r="BE92" i="178"/>
  <c r="Z353" i="178"/>
  <c r="AC353" i="178" s="1"/>
  <c r="AY353" i="178"/>
  <c r="BC352" i="178"/>
  <c r="BN439" i="178"/>
  <c r="BN352" i="178"/>
  <c r="BE353" i="178"/>
  <c r="BI352" i="178"/>
  <c r="AS352" i="178"/>
  <c r="AW92" i="178"/>
  <c r="BC92" i="178"/>
  <c r="AS92" i="178"/>
  <c r="BG295" i="178"/>
  <c r="AY295" i="178"/>
  <c r="BC304" i="178"/>
  <c r="AY99" i="178"/>
  <c r="AW99" i="178"/>
  <c r="BA304" i="178"/>
  <c r="AS304" i="178"/>
  <c r="AU99" i="178"/>
  <c r="BN99" i="178"/>
  <c r="BI99" i="178"/>
  <c r="AS99" i="178"/>
  <c r="AU304" i="178"/>
  <c r="BG99" i="178"/>
  <c r="BG304" i="178"/>
  <c r="BE99" i="178"/>
  <c r="BL110" i="178"/>
  <c r="BA110" i="178"/>
  <c r="AY110" i="178"/>
  <c r="BE110" i="178"/>
  <c r="BN110" i="178"/>
  <c r="BC110" i="178"/>
  <c r="AS110" i="178"/>
  <c r="AU110" i="178"/>
  <c r="BI84" i="178"/>
  <c r="AY84" i="178"/>
  <c r="BL84" i="178"/>
  <c r="AU84" i="178"/>
  <c r="BA84" i="178"/>
  <c r="AS84" i="178"/>
  <c r="BC84" i="178"/>
  <c r="BE84" i="178"/>
  <c r="BN84" i="178"/>
  <c r="BI110" i="178"/>
  <c r="AW84" i="178"/>
  <c r="BI139" i="178"/>
  <c r="AW139" i="178"/>
  <c r="AY139" i="178"/>
  <c r="BG110" i="178"/>
  <c r="AW110" i="178"/>
  <c r="BG84" i="178"/>
  <c r="BE315" i="178"/>
  <c r="BA315" i="178"/>
  <c r="BL315" i="178"/>
  <c r="AU315" i="178"/>
  <c r="BG315" i="178"/>
  <c r="Z315" i="178"/>
  <c r="AC315" i="178" s="1"/>
  <c r="AS315" i="178"/>
  <c r="BL118" i="178"/>
  <c r="AW118" i="178"/>
  <c r="AU118" i="178"/>
  <c r="BA118" i="178"/>
  <c r="AY118" i="178"/>
  <c r="AS118" i="178"/>
  <c r="BC118" i="178"/>
  <c r="BE118" i="178"/>
  <c r="BN118" i="178"/>
  <c r="BG118" i="178"/>
  <c r="AS139" i="178"/>
  <c r="BE139" i="178"/>
  <c r="BA139" i="178"/>
  <c r="Z139" i="178"/>
  <c r="AC139" i="178" s="1"/>
  <c r="BN309" i="178"/>
  <c r="BG309" i="178"/>
  <c r="BC309" i="178"/>
  <c r="AS309" i="178"/>
  <c r="BL439" i="178"/>
  <c r="AW439" i="178"/>
  <c r="AY439" i="178"/>
  <c r="BA439" i="178"/>
  <c r="BC439" i="178"/>
  <c r="BL341" i="178"/>
  <c r="AW341" i="178"/>
  <c r="BC341" i="178"/>
  <c r="BA341" i="178"/>
  <c r="BG341" i="178"/>
  <c r="BI292" i="178"/>
  <c r="BC292" i="178"/>
  <c r="AU292" i="178"/>
  <c r="Z341" i="178"/>
  <c r="AC341" i="178" s="1"/>
  <c r="BI295" i="178"/>
  <c r="BC295" i="178"/>
  <c r="AU295" i="178"/>
  <c r="BM483" i="178"/>
  <c r="BI315" i="178"/>
  <c r="BN315" i="178"/>
  <c r="BI370" i="178"/>
  <c r="BE370" i="178"/>
  <c r="BA370" i="178"/>
  <c r="AW370" i="178"/>
  <c r="AS370" i="178"/>
  <c r="BL370" i="178"/>
  <c r="BG370" i="178"/>
  <c r="BC370" i="178"/>
  <c r="AY370" i="178"/>
  <c r="AU370" i="178"/>
  <c r="BN370" i="178"/>
  <c r="BI264" i="178"/>
  <c r="BE264" i="178"/>
  <c r="BA264" i="178"/>
  <c r="AW264" i="178"/>
  <c r="AS264" i="178"/>
  <c r="BL264" i="178"/>
  <c r="BG264" i="178"/>
  <c r="BC264" i="178"/>
  <c r="AY264" i="178"/>
  <c r="AU264" i="178"/>
  <c r="BN264" i="178"/>
  <c r="BG228" i="178"/>
  <c r="BC228" i="178"/>
  <c r="AY228" i="178"/>
  <c r="AU228" i="178"/>
  <c r="BN228" i="178"/>
  <c r="BI228" i="178"/>
  <c r="BE228" i="178"/>
  <c r="BA228" i="178"/>
  <c r="AW228" i="178"/>
  <c r="AS228" i="178"/>
  <c r="BL228" i="178"/>
  <c r="BN422" i="178"/>
  <c r="BI422" i="178"/>
  <c r="BE422" i="178"/>
  <c r="BA422" i="178"/>
  <c r="AW422" i="178"/>
  <c r="AS422" i="178"/>
  <c r="BL422" i="178"/>
  <c r="BG422" i="178"/>
  <c r="BC422" i="178"/>
  <c r="AY422" i="178"/>
  <c r="AU422" i="178"/>
  <c r="BN141" i="178"/>
  <c r="BI141" i="178"/>
  <c r="BE141" i="178"/>
  <c r="BA141" i="178"/>
  <c r="AW141" i="178"/>
  <c r="AS141" i="178"/>
  <c r="BL141" i="178"/>
  <c r="BG141" i="178"/>
  <c r="BC141" i="178"/>
  <c r="AY141" i="178"/>
  <c r="AU141" i="178"/>
  <c r="AR483" i="178"/>
  <c r="AR485" i="178" s="1"/>
  <c r="I11" i="3" s="1"/>
  <c r="AT483" i="178"/>
  <c r="BJ483" i="178"/>
  <c r="BD483" i="178"/>
  <c r="BG468" i="178"/>
  <c r="BC468" i="178"/>
  <c r="AY468" i="178"/>
  <c r="AU468" i="178"/>
  <c r="BN468" i="178"/>
  <c r="BI468" i="178"/>
  <c r="BE468" i="178"/>
  <c r="BA468" i="178"/>
  <c r="AW468" i="178"/>
  <c r="AS468" i="178"/>
  <c r="BL468" i="178"/>
  <c r="BG461" i="178"/>
  <c r="BC461" i="178"/>
  <c r="AY461" i="178"/>
  <c r="AU461" i="178"/>
  <c r="BN461" i="178"/>
  <c r="BI461" i="178"/>
  <c r="BE461" i="178"/>
  <c r="BA461" i="178"/>
  <c r="AW461" i="178"/>
  <c r="AS461" i="178"/>
  <c r="BL461" i="178"/>
  <c r="BG454" i="178"/>
  <c r="BC454" i="178"/>
  <c r="AY454" i="178"/>
  <c r="AU454" i="178"/>
  <c r="BN454" i="178"/>
  <c r="BI454" i="178"/>
  <c r="BE454" i="178"/>
  <c r="BA454" i="178"/>
  <c r="AW454" i="178"/>
  <c r="AS454" i="178"/>
  <c r="BL454" i="178"/>
  <c r="BG451" i="178"/>
  <c r="BC451" i="178"/>
  <c r="AY451" i="178"/>
  <c r="AU451" i="178"/>
  <c r="BN451" i="178"/>
  <c r="BI451" i="178"/>
  <c r="BE451" i="178"/>
  <c r="BA451" i="178"/>
  <c r="AW451" i="178"/>
  <c r="AS451" i="178"/>
  <c r="BL451" i="178"/>
  <c r="BG448" i="178"/>
  <c r="BC448" i="178"/>
  <c r="AY448" i="178"/>
  <c r="AU448" i="178"/>
  <c r="BN448" i="178"/>
  <c r="BI448" i="178"/>
  <c r="BE448" i="178"/>
  <c r="BA448" i="178"/>
  <c r="AW448" i="178"/>
  <c r="AS448" i="178"/>
  <c r="BL448" i="178"/>
  <c r="BG445" i="178"/>
  <c r="BC445" i="178"/>
  <c r="AY445" i="178"/>
  <c r="AU445" i="178"/>
  <c r="BN445" i="178"/>
  <c r="BI445" i="178"/>
  <c r="BE445" i="178"/>
  <c r="BA445" i="178"/>
  <c r="AW445" i="178"/>
  <c r="AS445" i="178"/>
  <c r="BL445" i="178"/>
  <c r="BN45" i="178"/>
  <c r="BI45" i="178"/>
  <c r="BE45" i="178"/>
  <c r="BA45" i="178"/>
  <c r="AW45" i="178"/>
  <c r="AS45" i="178"/>
  <c r="BL45" i="178"/>
  <c r="BG45" i="178"/>
  <c r="BC45" i="178"/>
  <c r="AY45" i="178"/>
  <c r="AU45" i="178"/>
  <c r="BI397" i="178"/>
  <c r="BE397" i="178"/>
  <c r="BA397" i="178"/>
  <c r="AW397" i="178"/>
  <c r="AS397" i="178"/>
  <c r="BL397" i="178"/>
  <c r="BG397" i="178"/>
  <c r="BC397" i="178"/>
  <c r="AY397" i="178"/>
  <c r="AU397" i="178"/>
  <c r="BN397" i="178"/>
  <c r="BN168" i="178"/>
  <c r="BI168" i="178"/>
  <c r="BE168" i="178"/>
  <c r="BA168" i="178"/>
  <c r="AW168" i="178"/>
  <c r="AS168" i="178"/>
  <c r="BL168" i="178"/>
  <c r="BG168" i="178"/>
  <c r="BC168" i="178"/>
  <c r="AY168" i="178"/>
  <c r="AU168" i="178"/>
  <c r="BN153" i="178"/>
  <c r="BI153" i="178"/>
  <c r="BE153" i="178"/>
  <c r="BA153" i="178"/>
  <c r="AW153" i="178"/>
  <c r="AS153" i="178"/>
  <c r="BL153" i="178"/>
  <c r="BG153" i="178"/>
  <c r="BC153" i="178"/>
  <c r="AY153" i="178"/>
  <c r="AU153" i="178"/>
  <c r="BN140" i="178"/>
  <c r="BI140" i="178"/>
  <c r="BE140" i="178"/>
  <c r="BA140" i="178"/>
  <c r="AW140" i="178"/>
  <c r="AS140" i="178"/>
  <c r="BL140" i="178"/>
  <c r="BG140" i="178"/>
  <c r="BC140" i="178"/>
  <c r="AY140" i="178"/>
  <c r="AU140" i="178"/>
  <c r="S484" i="178"/>
  <c r="BG2" i="178"/>
  <c r="BC2" i="178"/>
  <c r="AY2" i="178"/>
  <c r="AU2" i="178"/>
  <c r="BN2" i="178"/>
  <c r="BE2" i="178"/>
  <c r="AW2" i="178"/>
  <c r="BI2" i="178"/>
  <c r="BA2" i="178"/>
  <c r="AS2" i="178"/>
  <c r="BL2" i="178"/>
  <c r="AX483" i="178"/>
  <c r="BK483" i="178"/>
  <c r="AV483" i="178"/>
  <c r="BG158" i="178"/>
  <c r="BC158" i="178"/>
  <c r="AY158" i="178"/>
  <c r="AU158" i="178"/>
  <c r="BN158" i="178"/>
  <c r="BI158" i="178"/>
  <c r="BE158" i="178"/>
  <c r="BA158" i="178"/>
  <c r="AW158" i="178"/>
  <c r="AS158" i="178"/>
  <c r="BL158" i="178"/>
  <c r="BG261" i="178"/>
  <c r="BC261" i="178"/>
  <c r="AY261" i="178"/>
  <c r="AU261" i="178"/>
  <c r="BN261" i="178"/>
  <c r="BI261" i="178"/>
  <c r="BE261" i="178"/>
  <c r="BA261" i="178"/>
  <c r="AW261" i="178"/>
  <c r="AS261" i="178"/>
  <c r="BL261" i="178"/>
  <c r="BN358" i="178"/>
  <c r="BI358" i="178"/>
  <c r="BE358" i="178"/>
  <c r="BA358" i="178"/>
  <c r="AW358" i="178"/>
  <c r="AS358" i="178"/>
  <c r="BL358" i="178"/>
  <c r="BG358" i="178"/>
  <c r="BC358" i="178"/>
  <c r="AY358" i="178"/>
  <c r="AU358" i="178"/>
  <c r="BI36" i="178"/>
  <c r="BE36" i="178"/>
  <c r="BA36" i="178"/>
  <c r="AW36" i="178"/>
  <c r="AS36" i="178"/>
  <c r="BL36" i="178"/>
  <c r="BG36" i="178"/>
  <c r="BC36" i="178"/>
  <c r="AY36" i="178"/>
  <c r="AU36" i="178"/>
  <c r="BN36" i="178"/>
  <c r="BH483" i="178"/>
  <c r="BB483" i="178"/>
  <c r="BI395" i="178"/>
  <c r="BE395" i="178"/>
  <c r="BA395" i="178"/>
  <c r="AW395" i="178"/>
  <c r="AS395" i="178"/>
  <c r="BL395" i="178"/>
  <c r="BG395" i="178"/>
  <c r="BC395" i="178"/>
  <c r="AY395" i="178"/>
  <c r="AU395" i="178"/>
  <c r="BN395" i="178"/>
  <c r="BL258" i="178"/>
  <c r="BG258" i="178"/>
  <c r="BC258" i="178"/>
  <c r="AY258" i="178"/>
  <c r="AU258" i="178"/>
  <c r="BN258" i="178"/>
  <c r="BI258" i="178"/>
  <c r="BE258" i="178"/>
  <c r="BA258" i="178"/>
  <c r="AW258" i="178"/>
  <c r="AS258" i="178"/>
  <c r="BG481" i="178"/>
  <c r="BC481" i="178"/>
  <c r="AY481" i="178"/>
  <c r="AU481" i="178"/>
  <c r="BN481" i="178"/>
  <c r="BI481" i="178"/>
  <c r="BE481" i="178"/>
  <c r="BA481" i="178"/>
  <c r="AW481" i="178"/>
  <c r="AS481" i="178"/>
  <c r="BL481" i="178"/>
  <c r="BG472" i="178"/>
  <c r="BC472" i="178"/>
  <c r="AY472" i="178"/>
  <c r="AU472" i="178"/>
  <c r="BN472" i="178"/>
  <c r="BI472" i="178"/>
  <c r="BE472" i="178"/>
  <c r="BA472" i="178"/>
  <c r="AW472" i="178"/>
  <c r="AS472" i="178"/>
  <c r="BL472" i="178"/>
  <c r="BG464" i="178"/>
  <c r="BC464" i="178"/>
  <c r="AY464" i="178"/>
  <c r="AU464" i="178"/>
  <c r="BN464" i="178"/>
  <c r="BI464" i="178"/>
  <c r="BE464" i="178"/>
  <c r="BA464" i="178"/>
  <c r="AW464" i="178"/>
  <c r="AS464" i="178"/>
  <c r="BL464" i="178"/>
  <c r="BG458" i="178"/>
  <c r="BC458" i="178"/>
  <c r="AY458" i="178"/>
  <c r="AU458" i="178"/>
  <c r="BN458" i="178"/>
  <c r="BI458" i="178"/>
  <c r="BE458" i="178"/>
  <c r="BA458" i="178"/>
  <c r="AW458" i="178"/>
  <c r="AS458" i="178"/>
  <c r="BL458" i="178"/>
  <c r="BN169" i="178"/>
  <c r="BI169" i="178"/>
  <c r="BE169" i="178"/>
  <c r="BA169" i="178"/>
  <c r="AW169" i="178"/>
  <c r="AS169" i="178"/>
  <c r="BL169" i="178"/>
  <c r="BG169" i="178"/>
  <c r="BC169" i="178"/>
  <c r="AY169" i="178"/>
  <c r="AU169" i="178"/>
  <c r="BN212" i="178"/>
  <c r="BI212" i="178"/>
  <c r="BE212" i="178"/>
  <c r="BA212" i="178"/>
  <c r="AW212" i="178"/>
  <c r="AS212" i="178"/>
  <c r="BL212" i="178"/>
  <c r="BG212" i="178"/>
  <c r="BC212" i="178"/>
  <c r="AY212" i="178"/>
  <c r="AU212" i="178"/>
  <c r="BN184" i="178"/>
  <c r="BI184" i="178"/>
  <c r="BE184" i="178"/>
  <c r="BA184" i="178"/>
  <c r="AW184" i="178"/>
  <c r="AS184" i="178"/>
  <c r="BL184" i="178"/>
  <c r="BG184" i="178"/>
  <c r="BC184" i="178"/>
  <c r="AY184" i="178"/>
  <c r="AU184" i="178"/>
  <c r="Z153" i="178"/>
  <c r="AC153" i="178" s="1"/>
  <c r="AZ483" i="178"/>
  <c r="AZ485" i="178" s="1"/>
  <c r="H11" i="3" s="1"/>
  <c r="BF483" i="178"/>
  <c r="BG3" i="178"/>
  <c r="BC3" i="178"/>
  <c r="AY3" i="178"/>
  <c r="AU3" i="178"/>
  <c r="BN3" i="178"/>
  <c r="BL3" i="178"/>
  <c r="BI3" i="178"/>
  <c r="BA3" i="178"/>
  <c r="AS3" i="178"/>
  <c r="BE3" i="178"/>
  <c r="AW3" i="178"/>
  <c r="T20" i="70" l="1"/>
  <c r="Z60" i="178"/>
  <c r="Z103" i="178"/>
  <c r="Z105" i="178"/>
  <c r="Z110" i="178"/>
  <c r="AC110" i="178" s="1"/>
  <c r="Z211" i="178"/>
  <c r="Z454" i="178"/>
  <c r="Z458" i="178"/>
  <c r="AC458" i="178" s="1"/>
  <c r="T72" i="70"/>
  <c r="T94" i="70"/>
  <c r="Z100" i="178"/>
  <c r="Z45" i="178"/>
  <c r="AC45" i="178" s="1"/>
  <c r="Z156" i="178"/>
  <c r="AC156" i="178" s="1"/>
  <c r="Q125" i="183"/>
  <c r="R125" i="183" s="1"/>
  <c r="S125" i="183" s="1"/>
  <c r="Q78" i="183"/>
  <c r="R78" i="183" s="1"/>
  <c r="S78" i="183" s="1"/>
  <c r="Z184" i="178"/>
  <c r="Z373" i="178"/>
  <c r="Z433" i="178"/>
  <c r="AC433" i="178" s="1"/>
  <c r="Q75" i="183"/>
  <c r="Z474" i="178"/>
  <c r="AC474" i="178" s="1"/>
  <c r="Z378" i="178"/>
  <c r="AC378" i="178" s="1"/>
  <c r="Z181" i="178"/>
  <c r="AC181" i="178" s="1"/>
  <c r="Z34" i="178"/>
  <c r="AC34" i="178" s="1"/>
  <c r="AC184" i="178"/>
  <c r="AC219" i="178"/>
  <c r="AC346" i="178"/>
  <c r="Z356" i="178"/>
  <c r="AC356" i="178" s="1"/>
  <c r="Z316" i="178"/>
  <c r="AC316" i="178" s="1"/>
  <c r="Z212" i="178"/>
  <c r="AC212" i="178" s="1"/>
  <c r="Z3" i="178"/>
  <c r="AC3" i="178" s="1"/>
  <c r="Q89" i="183"/>
  <c r="Q131" i="183"/>
  <c r="R131" i="183" s="1"/>
  <c r="S131" i="183" s="1"/>
  <c r="Q124" i="183"/>
  <c r="R124" i="183" s="1"/>
  <c r="S124" i="183" s="1"/>
  <c r="AC444" i="178"/>
  <c r="Z36" i="178"/>
  <c r="T100" i="70"/>
  <c r="Z397" i="178"/>
  <c r="Z264" i="178"/>
  <c r="AC264" i="178" s="1"/>
  <c r="Z347" i="178"/>
  <c r="AC347" i="178" s="1"/>
  <c r="Q2" i="183"/>
  <c r="R2" i="183" s="1"/>
  <c r="S2" i="183" s="1"/>
  <c r="Q108" i="183"/>
  <c r="R108" i="183" s="1"/>
  <c r="S108" i="183" s="1"/>
  <c r="Z68" i="178"/>
  <c r="AC68" i="178" s="1"/>
  <c r="Z44" i="178"/>
  <c r="Q39" i="183"/>
  <c r="R39" i="183" s="1"/>
  <c r="S39" i="183" s="1"/>
  <c r="Q83" i="183"/>
  <c r="R83" i="183" s="1"/>
  <c r="S83" i="183" s="1"/>
  <c r="Z481" i="178"/>
  <c r="AC481" i="178" s="1"/>
  <c r="Q66" i="183"/>
  <c r="R66" i="183" s="1"/>
  <c r="S66" i="183" s="1"/>
  <c r="Z385" i="178"/>
  <c r="AC385" i="178" s="1"/>
  <c r="Z424" i="178"/>
  <c r="AC424" i="178" s="1"/>
  <c r="Z306" i="178"/>
  <c r="AC306" i="178" s="1"/>
  <c r="Z322" i="178"/>
  <c r="AC322" i="178" s="1"/>
  <c r="Z463" i="178"/>
  <c r="AC463" i="178" s="1"/>
  <c r="Q120" i="183"/>
  <c r="R120" i="183" s="1"/>
  <c r="S120" i="183" s="1"/>
  <c r="Z352" i="178"/>
  <c r="AC352" i="178" s="1"/>
  <c r="Q114" i="183"/>
  <c r="R114" i="183" s="1"/>
  <c r="S114" i="183" s="1"/>
  <c r="Q56" i="183"/>
  <c r="R56" i="183" s="1"/>
  <c r="S56" i="183" s="1"/>
  <c r="Q109" i="183"/>
  <c r="R109" i="183" s="1"/>
  <c r="S109" i="183" s="1"/>
  <c r="Q93" i="183"/>
  <c r="R93" i="183" s="1"/>
  <c r="S93" i="183" s="1"/>
  <c r="Z425" i="178"/>
  <c r="AC425" i="178" s="1"/>
  <c r="Q70" i="183"/>
  <c r="R70" i="183" s="1"/>
  <c r="S70" i="183" s="1"/>
  <c r="Z399" i="178"/>
  <c r="AC399" i="178" s="1"/>
  <c r="Z30" i="178"/>
  <c r="AC30" i="178" s="1"/>
  <c r="Z53" i="178"/>
  <c r="AC53" i="178" s="1"/>
  <c r="Z343" i="178"/>
  <c r="AC343" i="178" s="1"/>
  <c r="Z296" i="178"/>
  <c r="AC296" i="178" s="1"/>
  <c r="Q99" i="183"/>
  <c r="R99" i="183" s="1"/>
  <c r="S99" i="183" s="1"/>
  <c r="Q58" i="183"/>
  <c r="R58" i="183" s="1"/>
  <c r="S58" i="183" s="1"/>
  <c r="Z76" i="178"/>
  <c r="AC76" i="178" s="1"/>
  <c r="Q116" i="183"/>
  <c r="R116" i="183" s="1"/>
  <c r="S116" i="183" s="1"/>
  <c r="Z57" i="178"/>
  <c r="AC57" i="178" s="1"/>
  <c r="Z185" i="178"/>
  <c r="AC185" i="178" s="1"/>
  <c r="Q4" i="70"/>
  <c r="R4" i="70" s="1"/>
  <c r="S4" i="70" s="1"/>
  <c r="Z420" i="178"/>
  <c r="AC420" i="178" s="1"/>
  <c r="Q112" i="183"/>
  <c r="R112" i="183" s="1"/>
  <c r="S112" i="183" s="1"/>
  <c r="Q42" i="183"/>
  <c r="R42" i="183" s="1"/>
  <c r="S42" i="183" s="1"/>
  <c r="Z377" i="178"/>
  <c r="AC377" i="178" s="1"/>
  <c r="Q28" i="183"/>
  <c r="R28" i="183" s="1"/>
  <c r="S28" i="183" s="1"/>
  <c r="Q77" i="183"/>
  <c r="R77" i="183" s="1"/>
  <c r="S77" i="183" s="1"/>
  <c r="Q67" i="183"/>
  <c r="R67" i="183" s="1"/>
  <c r="S67" i="183" s="1"/>
  <c r="Q115" i="183"/>
  <c r="R115" i="183" s="1"/>
  <c r="S115" i="183" s="1"/>
  <c r="Q96" i="183"/>
  <c r="R96" i="183" s="1"/>
  <c r="S96" i="183" s="1"/>
  <c r="Q5" i="70"/>
  <c r="R5" i="70" s="1"/>
  <c r="S5" i="70" s="1"/>
  <c r="Q97" i="183"/>
  <c r="R97" i="183" s="1"/>
  <c r="S97" i="183" s="1"/>
  <c r="Z439" i="178"/>
  <c r="AC439" i="178" s="1"/>
  <c r="Z445" i="178"/>
  <c r="AC445" i="178" s="1"/>
  <c r="Z450" i="178"/>
  <c r="AC450" i="178" s="1"/>
  <c r="Z457" i="178"/>
  <c r="AC457" i="178" s="1"/>
  <c r="Q30" i="183"/>
  <c r="R30" i="183" s="1"/>
  <c r="S30" i="183" s="1"/>
  <c r="Q7" i="183"/>
  <c r="R7" i="183" s="1"/>
  <c r="S7" i="183" s="1"/>
  <c r="Q74" i="183"/>
  <c r="R74" i="183" s="1"/>
  <c r="S74" i="183" s="1"/>
  <c r="Q98" i="183"/>
  <c r="R98" i="183" s="1"/>
  <c r="S98" i="183" s="1"/>
  <c r="Q65" i="183"/>
  <c r="R65" i="183" s="1"/>
  <c r="S65" i="183" s="1"/>
  <c r="Q106" i="183"/>
  <c r="R106" i="183" s="1"/>
  <c r="S106" i="183" s="1"/>
  <c r="Z146" i="178"/>
  <c r="AC146" i="178" s="1"/>
  <c r="Z308" i="178"/>
  <c r="AC308" i="178" s="1"/>
  <c r="Z246" i="178"/>
  <c r="AC246" i="178" s="1"/>
  <c r="Z326" i="178"/>
  <c r="AC326" i="178" s="1"/>
  <c r="Z119" i="178"/>
  <c r="AC119" i="178" s="1"/>
  <c r="Z77" i="178"/>
  <c r="AC77" i="178" s="1"/>
  <c r="Z409" i="178"/>
  <c r="AC409" i="178" s="1"/>
  <c r="Z41" i="178"/>
  <c r="AC41" i="178" s="1"/>
  <c r="Z91" i="178"/>
  <c r="AC91" i="178" s="1"/>
  <c r="Z16" i="178"/>
  <c r="AC16" i="178" s="1"/>
  <c r="Z408" i="178"/>
  <c r="AC408" i="178" s="1"/>
  <c r="Z411" i="178"/>
  <c r="AC411" i="178" s="1"/>
  <c r="Z69" i="178"/>
  <c r="AC69" i="178" s="1"/>
  <c r="Z466" i="178"/>
  <c r="AC466" i="178" s="1"/>
  <c r="Q17" i="183"/>
  <c r="R17" i="183" s="1"/>
  <c r="S17" i="183" s="1"/>
  <c r="AC58" i="178"/>
  <c r="Z410" i="178"/>
  <c r="AC410" i="178" s="1"/>
  <c r="AC44" i="178"/>
  <c r="Z412" i="178"/>
  <c r="AC412" i="178" s="1"/>
  <c r="Z225" i="178"/>
  <c r="AC225" i="178" s="1"/>
  <c r="Z123" i="178"/>
  <c r="AC123" i="178" s="1"/>
  <c r="Z122" i="178"/>
  <c r="AC122" i="178" s="1"/>
  <c r="Q60" i="183"/>
  <c r="R60" i="183" s="1"/>
  <c r="S60" i="183" s="1"/>
  <c r="Q6" i="183"/>
  <c r="R6" i="183" s="1"/>
  <c r="S6" i="183" s="1"/>
  <c r="Z190" i="178"/>
  <c r="AC190" i="178" s="1"/>
  <c r="Z145" i="178"/>
  <c r="AC145" i="178" s="1"/>
  <c r="Z186" i="178"/>
  <c r="AC186" i="178" s="1"/>
  <c r="Z48" i="178"/>
  <c r="AC48" i="178" s="1"/>
  <c r="AC370" i="178"/>
  <c r="AC43" i="178"/>
  <c r="Q32" i="183"/>
  <c r="R32" i="183" s="1"/>
  <c r="S32" i="183" s="1"/>
  <c r="Z395" i="178"/>
  <c r="AC395" i="178" s="1"/>
  <c r="Z73" i="178"/>
  <c r="AC73" i="178" s="1"/>
  <c r="Z256" i="178"/>
  <c r="AC256" i="178" s="1"/>
  <c r="Q107" i="183"/>
  <c r="R107" i="183" s="1"/>
  <c r="S107" i="183" s="1"/>
  <c r="Q29" i="183"/>
  <c r="R29" i="183" s="1"/>
  <c r="S29" i="183" s="1"/>
  <c r="Z72" i="178"/>
  <c r="AC72" i="178" s="1"/>
  <c r="Z468" i="178"/>
  <c r="AC468" i="178" s="1"/>
  <c r="Z177" i="178"/>
  <c r="AC177" i="178" s="1"/>
  <c r="Z364" i="178"/>
  <c r="AC364" i="178" s="1"/>
  <c r="Z62" i="178"/>
  <c r="AC62" i="178" s="1"/>
  <c r="Z106" i="178"/>
  <c r="AC106" i="178" s="1"/>
  <c r="Z107" i="178"/>
  <c r="AC107" i="178" s="1"/>
  <c r="Z441" i="178"/>
  <c r="AC441" i="178" s="1"/>
  <c r="Z448" i="178"/>
  <c r="AC448" i="178" s="1"/>
  <c r="Z198" i="178"/>
  <c r="AC198" i="178" s="1"/>
  <c r="Z305" i="178"/>
  <c r="AC305" i="178" s="1"/>
  <c r="Z342" i="178"/>
  <c r="AC342" i="178" s="1"/>
  <c r="Z262" i="178"/>
  <c r="AC262" i="178" s="1"/>
  <c r="Z267" i="178"/>
  <c r="AC267" i="178" s="1"/>
  <c r="Z477" i="178"/>
  <c r="AC477" i="178" s="1"/>
  <c r="Z465" i="178"/>
  <c r="AC465" i="178" s="1"/>
  <c r="Z80" i="178"/>
  <c r="AC80" i="178" s="1"/>
  <c r="Z266" i="178"/>
  <c r="AC266" i="178" s="1"/>
  <c r="Z175" i="178"/>
  <c r="AC175" i="178" s="1"/>
  <c r="Z430" i="178"/>
  <c r="AC430" i="178" s="1"/>
  <c r="Z479" i="178"/>
  <c r="AC479" i="178" s="1"/>
  <c r="Q122" i="183"/>
  <c r="R122" i="183" s="1"/>
  <c r="S122" i="183" s="1"/>
  <c r="Q94" i="183"/>
  <c r="R94" i="183" s="1"/>
  <c r="S94" i="183" s="1"/>
  <c r="Q130" i="183"/>
  <c r="R130" i="183" s="1"/>
  <c r="S130" i="183" s="1"/>
  <c r="AC36" i="178"/>
  <c r="Z438" i="178"/>
  <c r="AC438" i="178" s="1"/>
  <c r="Z159" i="178"/>
  <c r="AC159" i="178" s="1"/>
  <c r="Z78" i="178"/>
  <c r="AC78" i="178" s="1"/>
  <c r="Z265" i="178"/>
  <c r="AC265" i="178" s="1"/>
  <c r="Z155" i="178"/>
  <c r="AC155" i="178" s="1"/>
  <c r="Z321" i="178"/>
  <c r="AC321" i="178" s="1"/>
  <c r="AC158" i="178"/>
  <c r="Z70" i="178"/>
  <c r="AC70" i="178" s="1"/>
  <c r="Z237" i="178"/>
  <c r="AC237" i="178" s="1"/>
  <c r="Z461" i="178"/>
  <c r="AC461" i="178" s="1"/>
  <c r="Z138" i="178"/>
  <c r="AC138" i="178" s="1"/>
  <c r="Z22" i="178"/>
  <c r="AC22" i="178" s="1"/>
  <c r="Z61" i="178"/>
  <c r="AC61" i="178" s="1"/>
  <c r="Z104" i="178"/>
  <c r="AC104" i="178" s="1"/>
  <c r="Z210" i="178"/>
  <c r="AC210" i="178" s="1"/>
  <c r="Z440" i="178"/>
  <c r="AC440" i="178" s="1"/>
  <c r="Z328" i="178"/>
  <c r="AC328" i="178" s="1"/>
  <c r="Z462" i="178"/>
  <c r="AC462" i="178" s="1"/>
  <c r="T84" i="70"/>
  <c r="Q21" i="70"/>
  <c r="R21" i="70" s="1"/>
  <c r="S21" i="70" s="1"/>
  <c r="Z295" i="178"/>
  <c r="AC295" i="178" s="1"/>
  <c r="Z387" i="178"/>
  <c r="AC387" i="178" s="1"/>
  <c r="Z49" i="178"/>
  <c r="AC49" i="178" s="1"/>
  <c r="AC454" i="178"/>
  <c r="AC339" i="178"/>
  <c r="Q85" i="70"/>
  <c r="R85" i="70" s="1"/>
  <c r="S85" i="70" s="1"/>
  <c r="Q71" i="70"/>
  <c r="R71" i="70" s="1"/>
  <c r="S71" i="70" s="1"/>
  <c r="T92" i="70"/>
  <c r="Q66" i="70"/>
  <c r="R66" i="70" s="1"/>
  <c r="S66" i="70" s="1"/>
  <c r="Q58" i="70"/>
  <c r="R58" i="70" s="1"/>
  <c r="S58" i="70" s="1"/>
  <c r="Q69" i="70"/>
  <c r="R69" i="70" s="1"/>
  <c r="Q37" i="70"/>
  <c r="R37" i="70" s="1"/>
  <c r="S37" i="70" s="1"/>
  <c r="Q36" i="70"/>
  <c r="R36" i="70" s="1"/>
  <c r="S36" i="70" s="1"/>
  <c r="Q52" i="70"/>
  <c r="R52" i="70" s="1"/>
  <c r="S52" i="70" s="1"/>
  <c r="Q86" i="70"/>
  <c r="R86" i="70" s="1"/>
  <c r="S86" i="70" s="1"/>
  <c r="Q34" i="70"/>
  <c r="R34" i="70" s="1"/>
  <c r="S34" i="70" s="1"/>
  <c r="Q48" i="70"/>
  <c r="R48" i="70" s="1"/>
  <c r="S48" i="70" s="1"/>
  <c r="Q44" i="70"/>
  <c r="R44" i="70" s="1"/>
  <c r="Q50" i="70"/>
  <c r="R50" i="70" s="1"/>
  <c r="S50" i="70" s="1"/>
  <c r="Q6" i="70"/>
  <c r="R6" i="70" s="1"/>
  <c r="S6" i="70" s="1"/>
  <c r="Q9" i="70"/>
  <c r="R9" i="70" s="1"/>
  <c r="S9" i="70" s="1"/>
  <c r="T69" i="70"/>
  <c r="Q32" i="70"/>
  <c r="R32" i="70" s="1"/>
  <c r="S32" i="70" s="1"/>
  <c r="Q59" i="70"/>
  <c r="R59" i="70" s="1"/>
  <c r="Z14" i="178"/>
  <c r="AC14" i="178" s="1"/>
  <c r="Z132" i="178"/>
  <c r="AC132" i="178" s="1"/>
  <c r="Z92" i="178"/>
  <c r="AC92" i="178" s="1"/>
  <c r="Z442" i="178"/>
  <c r="AC442" i="178" s="1"/>
  <c r="Z449" i="178"/>
  <c r="AC449" i="178" s="1"/>
  <c r="Z472" i="178"/>
  <c r="AC472" i="178" s="1"/>
  <c r="Z32" i="178"/>
  <c r="AC32" i="178" s="1"/>
  <c r="Z118" i="178"/>
  <c r="AC118" i="178" s="1"/>
  <c r="Z309" i="178"/>
  <c r="AC309" i="178" s="1"/>
  <c r="Z18" i="178"/>
  <c r="AC18" i="178" s="1"/>
  <c r="Z89" i="178"/>
  <c r="AC89" i="178" s="1"/>
  <c r="Z207" i="178"/>
  <c r="AC207" i="178" s="1"/>
  <c r="AC464" i="178"/>
  <c r="Z87" i="178"/>
  <c r="AC87" i="178" s="1"/>
  <c r="Z208" i="178"/>
  <c r="AC208" i="178" s="1"/>
  <c r="Z335" i="178"/>
  <c r="AC335" i="178" s="1"/>
  <c r="Z312" i="178"/>
  <c r="AC312" i="178" s="1"/>
  <c r="Z187" i="178"/>
  <c r="AC187" i="178" s="1"/>
  <c r="Z37" i="178"/>
  <c r="AC37" i="178" s="1"/>
  <c r="Z367" i="178"/>
  <c r="AC367" i="178" s="1"/>
  <c r="Z47" i="178"/>
  <c r="AC47" i="178" s="1"/>
  <c r="Z455" i="178"/>
  <c r="AC455" i="178" s="1"/>
  <c r="Z359" i="178"/>
  <c r="AC359" i="178" s="1"/>
  <c r="Z372" i="178"/>
  <c r="AC372" i="178" s="1"/>
  <c r="Z432" i="178"/>
  <c r="AC432" i="178" s="1"/>
  <c r="Z380" i="178"/>
  <c r="AC380" i="178" s="1"/>
  <c r="Z17" i="178"/>
  <c r="AC17" i="178" s="1"/>
  <c r="Z290" i="178"/>
  <c r="AC290" i="178" s="1"/>
  <c r="Z140" i="178"/>
  <c r="AC140" i="178" s="1"/>
  <c r="Z235" i="178"/>
  <c r="AC235" i="178" s="1"/>
  <c r="Z232" i="178"/>
  <c r="AC232" i="178" s="1"/>
  <c r="Z381" i="178"/>
  <c r="AC381" i="178" s="1"/>
  <c r="Z294" i="178"/>
  <c r="AC294" i="178" s="1"/>
  <c r="Z423" i="178"/>
  <c r="AC423" i="178" s="1"/>
  <c r="Z15" i="178"/>
  <c r="AC15" i="178" s="1"/>
  <c r="Z437" i="178"/>
  <c r="AC437" i="178" s="1"/>
  <c r="Z192" i="178"/>
  <c r="AC192" i="178" s="1"/>
  <c r="Z252" i="178"/>
  <c r="AC252" i="178" s="1"/>
  <c r="Z375" i="178"/>
  <c r="AC375" i="178" s="1"/>
  <c r="Z480" i="178"/>
  <c r="AC480" i="178" s="1"/>
  <c r="Z128" i="178"/>
  <c r="AC128" i="178" s="1"/>
  <c r="Z21" i="178"/>
  <c r="AC21" i="178" s="1"/>
  <c r="Z84" i="178"/>
  <c r="AC84" i="178" s="1"/>
  <c r="Z90" i="178"/>
  <c r="AC90" i="178" s="1"/>
  <c r="Z102" i="178"/>
  <c r="AC102" i="178" s="1"/>
  <c r="Z292" i="178"/>
  <c r="AC292" i="178" s="1"/>
  <c r="Z173" i="178"/>
  <c r="AC173" i="178" s="1"/>
  <c r="Z154" i="178"/>
  <c r="AC154" i="178" s="1"/>
  <c r="Z248" i="178"/>
  <c r="AC248" i="178" s="1"/>
  <c r="Z340" i="178"/>
  <c r="AC340" i="178" s="1"/>
  <c r="Z231" i="178"/>
  <c r="AC231" i="178" s="1"/>
  <c r="Z400" i="178"/>
  <c r="AC400" i="178" s="1"/>
  <c r="Z129" i="178"/>
  <c r="AC129" i="178" s="1"/>
  <c r="Z174" i="178"/>
  <c r="AC174" i="178" s="1"/>
  <c r="Z291" i="178"/>
  <c r="AC291" i="178" s="1"/>
  <c r="Z334" i="178"/>
  <c r="AC334" i="178" s="1"/>
  <c r="Z429" i="178"/>
  <c r="AC429" i="178" s="1"/>
  <c r="Z388" i="178"/>
  <c r="AC388" i="178" s="1"/>
  <c r="Z416" i="178"/>
  <c r="AC416" i="178" s="1"/>
  <c r="Z336" i="178"/>
  <c r="AC336" i="178" s="1"/>
  <c r="Z13" i="178"/>
  <c r="AC13" i="178" s="1"/>
  <c r="Z121" i="178"/>
  <c r="AC121" i="178" s="1"/>
  <c r="Z137" i="178"/>
  <c r="AC137" i="178" s="1"/>
  <c r="Z229" i="178"/>
  <c r="AC229" i="178" s="1"/>
  <c r="Z314" i="178"/>
  <c r="AC314" i="178" s="1"/>
  <c r="Z467" i="178"/>
  <c r="AC467" i="178" s="1"/>
  <c r="Z189" i="178"/>
  <c r="AC189" i="178" s="1"/>
  <c r="Z337" i="178"/>
  <c r="AC337" i="178" s="1"/>
  <c r="Z414" i="178"/>
  <c r="AC414" i="178" s="1"/>
  <c r="Z332" i="178"/>
  <c r="AC332" i="178" s="1"/>
  <c r="Z130" i="178"/>
  <c r="AC130" i="178" s="1"/>
  <c r="Z81" i="178"/>
  <c r="AC81" i="178" s="1"/>
  <c r="Z204" i="178"/>
  <c r="AC204" i="178" s="1"/>
  <c r="Z310" i="178"/>
  <c r="AC310" i="178" s="1"/>
  <c r="Z127" i="178"/>
  <c r="AC127" i="178" s="1"/>
  <c r="AC261" i="178"/>
  <c r="Z281" i="178"/>
  <c r="AC281" i="178" s="1"/>
  <c r="Z435" i="178"/>
  <c r="AC435" i="178" s="1"/>
  <c r="Z421" i="178"/>
  <c r="AC421" i="178" s="1"/>
  <c r="Z136" i="178"/>
  <c r="AC136" i="178" s="1"/>
  <c r="Z83" i="178"/>
  <c r="AC83" i="178" s="1"/>
  <c r="Z157" i="178"/>
  <c r="AC157" i="178" s="1"/>
  <c r="Z354" i="178"/>
  <c r="AC354" i="178" s="1"/>
  <c r="Z160" i="178"/>
  <c r="AC160" i="178" s="1"/>
  <c r="Z193" i="178"/>
  <c r="AC193" i="178" s="1"/>
  <c r="Z141" i="178"/>
  <c r="AC141" i="178" s="1"/>
  <c r="Z230" i="178"/>
  <c r="AC230" i="178" s="1"/>
  <c r="Z475" i="178"/>
  <c r="AC475" i="178" s="1"/>
  <c r="Z194" i="178"/>
  <c r="AC194" i="178" s="1"/>
  <c r="Z263" i="178"/>
  <c r="AC263" i="178" s="1"/>
  <c r="Z233" i="178"/>
  <c r="AC233" i="178" s="1"/>
  <c r="Z382" i="178"/>
  <c r="AC382" i="178" s="1"/>
  <c r="Z415" i="178"/>
  <c r="AC415" i="178" s="1"/>
  <c r="Z398" i="178"/>
  <c r="AC398" i="178" s="1"/>
  <c r="Z148" i="178"/>
  <c r="AC148" i="178" s="1"/>
  <c r="Q76" i="183"/>
  <c r="R76" i="183" s="1"/>
  <c r="S76" i="183" s="1"/>
  <c r="Z379" i="178"/>
  <c r="AC379" i="178" s="1"/>
  <c r="Q88" i="183"/>
  <c r="R88" i="183" s="1"/>
  <c r="S88" i="183" s="1"/>
  <c r="Z74" i="178"/>
  <c r="AC74" i="178" s="1"/>
  <c r="Q81" i="183"/>
  <c r="R81" i="183" s="1"/>
  <c r="S81" i="183" s="1"/>
  <c r="Z413" i="178"/>
  <c r="AC413" i="178" s="1"/>
  <c r="Q100" i="183"/>
  <c r="R100" i="183" s="1"/>
  <c r="S100" i="183" s="1"/>
  <c r="Q45" i="183"/>
  <c r="R45" i="183" s="1"/>
  <c r="S45" i="183" s="1"/>
  <c r="Z228" i="178"/>
  <c r="AC228" i="178" s="1"/>
  <c r="AC397" i="178"/>
  <c r="Q10" i="183"/>
  <c r="R10" i="183" s="1"/>
  <c r="S10" i="183" s="1"/>
  <c r="Z29" i="178"/>
  <c r="AC29" i="178" s="1"/>
  <c r="Q80" i="183"/>
  <c r="R80" i="183" s="1"/>
  <c r="S80" i="183" s="1"/>
  <c r="Q113" i="183"/>
  <c r="R113" i="183" s="1"/>
  <c r="S113" i="183" s="1"/>
  <c r="Z391" i="178"/>
  <c r="AC391" i="178" s="1"/>
  <c r="Q121" i="183"/>
  <c r="R121" i="183" s="1"/>
  <c r="S121" i="183" s="1"/>
  <c r="Q23" i="183"/>
  <c r="R23" i="183" s="1"/>
  <c r="S23" i="183" s="1"/>
  <c r="Z478" i="178"/>
  <c r="AC478" i="178" s="1"/>
  <c r="Z333" i="178"/>
  <c r="AC333" i="178" s="1"/>
  <c r="Z311" i="178"/>
  <c r="AC311" i="178" s="1"/>
  <c r="Z82" i="178"/>
  <c r="AC82" i="178" s="1"/>
  <c r="Z188" i="178"/>
  <c r="AC188" i="178" s="1"/>
  <c r="Z124" i="178"/>
  <c r="AC124" i="178" s="1"/>
  <c r="Z293" i="178"/>
  <c r="AC293" i="178" s="1"/>
  <c r="Z368" i="178"/>
  <c r="AC368" i="178" s="1"/>
  <c r="Q123" i="183"/>
  <c r="R123" i="183" s="1"/>
  <c r="S123" i="183" s="1"/>
  <c r="Z258" i="178"/>
  <c r="AC258" i="178" s="1"/>
  <c r="Q40" i="183"/>
  <c r="R40" i="183" s="1"/>
  <c r="S40" i="183" s="1"/>
  <c r="Z389" i="178"/>
  <c r="AC389" i="178" s="1"/>
  <c r="AC358" i="178"/>
  <c r="Z126" i="178"/>
  <c r="AC126" i="178" s="1"/>
  <c r="Z125" i="178"/>
  <c r="AC125" i="178" s="1"/>
  <c r="Z120" i="178"/>
  <c r="AC120" i="178" s="1"/>
  <c r="Z360" i="178"/>
  <c r="AC360" i="178" s="1"/>
  <c r="Z371" i="178"/>
  <c r="AC371" i="178" s="1"/>
  <c r="Z202" i="178"/>
  <c r="AC202" i="178" s="1"/>
  <c r="Z203" i="178"/>
  <c r="AC203" i="178" s="1"/>
  <c r="Z376" i="178"/>
  <c r="AC376" i="178" s="1"/>
  <c r="Z244" i="178"/>
  <c r="AC244" i="178" s="1"/>
  <c r="Z401" i="178"/>
  <c r="AC401" i="178" s="1"/>
  <c r="Z133" i="178"/>
  <c r="AC133" i="178" s="1"/>
  <c r="Z197" i="178"/>
  <c r="AC197" i="178" s="1"/>
  <c r="Z396" i="178"/>
  <c r="AC396" i="178" s="1"/>
  <c r="Q57" i="183"/>
  <c r="R57" i="183" s="1"/>
  <c r="S57" i="183" s="1"/>
  <c r="Z144" i="178"/>
  <c r="AC144" i="178" s="1"/>
  <c r="Q95" i="183"/>
  <c r="R95" i="183" s="1"/>
  <c r="S95" i="183" s="1"/>
  <c r="Z428" i="178"/>
  <c r="AC428" i="178" s="1"/>
  <c r="Z386" i="178"/>
  <c r="AC386" i="178" s="1"/>
  <c r="Q41" i="183"/>
  <c r="R41" i="183" s="1"/>
  <c r="S41" i="183" s="1"/>
  <c r="Z131" i="178"/>
  <c r="AC131" i="178" s="1"/>
  <c r="Q82" i="183"/>
  <c r="R82" i="183" s="1"/>
  <c r="S82" i="183" s="1"/>
  <c r="Z357" i="178"/>
  <c r="AC357" i="178" s="1"/>
  <c r="Z422" i="178"/>
  <c r="AC422" i="178" s="1"/>
  <c r="Z473" i="178"/>
  <c r="AC473" i="178" s="1"/>
  <c r="Z79" i="178"/>
  <c r="AC79" i="178" s="1"/>
  <c r="Q79" i="183"/>
  <c r="R79" i="183" s="1"/>
  <c r="S79" i="183" s="1"/>
  <c r="Q63" i="183"/>
  <c r="R63" i="183" s="1"/>
  <c r="S63" i="183" s="1"/>
  <c r="R111" i="183"/>
  <c r="S111" i="183" s="1"/>
  <c r="R103" i="183"/>
  <c r="S103" i="183" s="1"/>
  <c r="R18" i="183"/>
  <c r="S18" i="183" s="1"/>
  <c r="Q53" i="183"/>
  <c r="R53" i="183" s="1"/>
  <c r="S53" i="183" s="1"/>
  <c r="Q47" i="183"/>
  <c r="R47" i="183" s="1"/>
  <c r="S47" i="183" s="1"/>
  <c r="Q16" i="183"/>
  <c r="R16" i="183" s="1"/>
  <c r="S16" i="183" s="1"/>
  <c r="Z54" i="178"/>
  <c r="AC54" i="178" s="1"/>
  <c r="Z242" i="178"/>
  <c r="AC242" i="178" s="1"/>
  <c r="Z317" i="178"/>
  <c r="AC317" i="178" s="1"/>
  <c r="Z268" i="178"/>
  <c r="AC268" i="178" s="1"/>
  <c r="Q90" i="183"/>
  <c r="Z383" i="178"/>
  <c r="AC383" i="178" s="1"/>
  <c r="Z390" i="178"/>
  <c r="AC390" i="178" s="1"/>
  <c r="Z407" i="178"/>
  <c r="AC407" i="178" s="1"/>
  <c r="Q117" i="183"/>
  <c r="R117" i="183" s="1"/>
  <c r="S117" i="183" s="1"/>
  <c r="R43" i="183"/>
  <c r="S43" i="183" s="1"/>
  <c r="Z418" i="178"/>
  <c r="AC418" i="178" s="1"/>
  <c r="Q101" i="183"/>
  <c r="R101" i="183" s="1"/>
  <c r="S101" i="183" s="1"/>
  <c r="Z170" i="178"/>
  <c r="AC170" i="178" s="1"/>
  <c r="Q86" i="183"/>
  <c r="R86" i="183" s="1"/>
  <c r="S86" i="183" s="1"/>
  <c r="Q35" i="183"/>
  <c r="R8" i="183"/>
  <c r="S8" i="183" s="1"/>
  <c r="R129" i="183"/>
  <c r="S129" i="183" s="1"/>
  <c r="R25" i="183"/>
  <c r="S25" i="183" s="1"/>
  <c r="Q49" i="183"/>
  <c r="R49" i="183" s="1"/>
  <c r="S49" i="183" s="1"/>
  <c r="Z59" i="178"/>
  <c r="AC59" i="178" s="1"/>
  <c r="Z251" i="178"/>
  <c r="AC251" i="178" s="1"/>
  <c r="Z313" i="178"/>
  <c r="AC313" i="178" s="1"/>
  <c r="Q92" i="183"/>
  <c r="Z404" i="178"/>
  <c r="AC404" i="178" s="1"/>
  <c r="Z402" i="178"/>
  <c r="AC402" i="178" s="1"/>
  <c r="Q119" i="183"/>
  <c r="Q15" i="183"/>
  <c r="R15" i="183" s="1"/>
  <c r="S15" i="183" s="1"/>
  <c r="Q72" i="183"/>
  <c r="R72" i="183" s="1"/>
  <c r="S72" i="183" s="1"/>
  <c r="Z393" i="178"/>
  <c r="AC393" i="178" s="1"/>
  <c r="Z419" i="178"/>
  <c r="AC419" i="178" s="1"/>
  <c r="Q20" i="183"/>
  <c r="Q31" i="183"/>
  <c r="Q87" i="183"/>
  <c r="R87" i="183" s="1"/>
  <c r="S87" i="183" s="1"/>
  <c r="Q59" i="183"/>
  <c r="Q36" i="183"/>
  <c r="R36" i="183" s="1"/>
  <c r="S36" i="183" s="1"/>
  <c r="R75" i="183"/>
  <c r="S75" i="183" s="1"/>
  <c r="R12" i="183"/>
  <c r="S12" i="183" s="1"/>
  <c r="R89" i="183"/>
  <c r="S89" i="183" s="1"/>
  <c r="AC75" i="178"/>
  <c r="AC257" i="178"/>
  <c r="R73" i="183"/>
  <c r="S73" i="183" s="1"/>
  <c r="Q48" i="183"/>
  <c r="Z55" i="178"/>
  <c r="AC55" i="178" s="1"/>
  <c r="Z250" i="178"/>
  <c r="AC250" i="178" s="1"/>
  <c r="Q91" i="183"/>
  <c r="R91" i="183" s="1"/>
  <c r="S91" i="183" s="1"/>
  <c r="Z406" i="178"/>
  <c r="AC406" i="178" s="1"/>
  <c r="Q128" i="183"/>
  <c r="R128" i="183" s="1"/>
  <c r="S128" i="183" s="1"/>
  <c r="Q71" i="183"/>
  <c r="R71" i="183" s="1"/>
  <c r="S71" i="183" s="1"/>
  <c r="Q19" i="183"/>
  <c r="R19" i="183" s="1"/>
  <c r="S19" i="183" s="1"/>
  <c r="Q68" i="183"/>
  <c r="R68" i="183" s="1"/>
  <c r="S68" i="183" s="1"/>
  <c r="Z431" i="178"/>
  <c r="AC431" i="178" s="1"/>
  <c r="Z171" i="178"/>
  <c r="AC171" i="178" s="1"/>
  <c r="Q61" i="183"/>
  <c r="R61" i="183" s="1"/>
  <c r="S61" i="183" s="1"/>
  <c r="R44" i="183"/>
  <c r="S44" i="183" s="1"/>
  <c r="Q22" i="183"/>
  <c r="R22" i="183" s="1"/>
  <c r="S22" i="183" s="1"/>
  <c r="Q34" i="183"/>
  <c r="R34" i="183" s="1"/>
  <c r="S34" i="183" s="1"/>
  <c r="AC443" i="178"/>
  <c r="Q52" i="183"/>
  <c r="R52" i="183" s="1"/>
  <c r="S52" i="183" s="1"/>
  <c r="Z243" i="178"/>
  <c r="AC243" i="178" s="1"/>
  <c r="Z374" i="178"/>
  <c r="AC374" i="178" s="1"/>
  <c r="Z384" i="178"/>
  <c r="AC384" i="178" s="1"/>
  <c r="Z405" i="178"/>
  <c r="AC405" i="178" s="1"/>
  <c r="Z403" i="178"/>
  <c r="AC403" i="178" s="1"/>
  <c r="Q118" i="183"/>
  <c r="R118" i="183" s="1"/>
  <c r="S118" i="183" s="1"/>
  <c r="Z200" i="178"/>
  <c r="AC200" i="178" s="1"/>
  <c r="Z201" i="178"/>
  <c r="AC201" i="178" s="1"/>
  <c r="Z394" i="178"/>
  <c r="AC394" i="178" s="1"/>
  <c r="Q85" i="183"/>
  <c r="R85" i="183" s="1"/>
  <c r="S85" i="183" s="1"/>
  <c r="R132" i="183"/>
  <c r="S132" i="183" s="1"/>
  <c r="Q62" i="183"/>
  <c r="R62" i="183" s="1"/>
  <c r="S62" i="183" s="1"/>
  <c r="Q21" i="183"/>
  <c r="R21" i="183" s="1"/>
  <c r="S21" i="183" s="1"/>
  <c r="Q37" i="183"/>
  <c r="R37" i="183" s="1"/>
  <c r="S37" i="183" s="1"/>
  <c r="Q56" i="70"/>
  <c r="R56" i="70" s="1"/>
  <c r="S56" i="70" s="1"/>
  <c r="T17" i="70"/>
  <c r="T28" i="70"/>
  <c r="Q35" i="70"/>
  <c r="R35" i="70" s="1"/>
  <c r="S35" i="70" s="1"/>
  <c r="Q75" i="70"/>
  <c r="R75" i="70" s="1"/>
  <c r="S75" i="70" s="1"/>
  <c r="Q43" i="70"/>
  <c r="R43" i="70" s="1"/>
  <c r="S43" i="70" s="1"/>
  <c r="Q61" i="70"/>
  <c r="R61" i="70" s="1"/>
  <c r="S61" i="70" s="1"/>
  <c r="Q99" i="70"/>
  <c r="R99" i="70" s="1"/>
  <c r="S99" i="70" s="1"/>
  <c r="Q91" i="70"/>
  <c r="R91" i="70" s="1"/>
  <c r="Q77" i="70"/>
  <c r="R77" i="70" s="1"/>
  <c r="S77" i="70" s="1"/>
  <c r="Q19" i="70"/>
  <c r="R19" i="70" s="1"/>
  <c r="S19" i="70" s="1"/>
  <c r="Q81" i="70"/>
  <c r="R81" i="70" s="1"/>
  <c r="S81" i="70" s="1"/>
  <c r="Q38" i="70"/>
  <c r="R38" i="70" s="1"/>
  <c r="S38" i="70" s="1"/>
  <c r="Q105" i="70"/>
  <c r="R105" i="70" s="1"/>
  <c r="Q25" i="70"/>
  <c r="R25" i="70" s="1"/>
  <c r="S25" i="70" s="1"/>
  <c r="Q83" i="70"/>
  <c r="R83" i="70" s="1"/>
  <c r="Z42" i="178"/>
  <c r="AC42" i="178" s="1"/>
  <c r="Z88" i="178"/>
  <c r="AC88" i="178" s="1"/>
  <c r="Z86" i="178"/>
  <c r="AC86" i="178" s="1"/>
  <c r="Z109" i="178"/>
  <c r="AC109" i="178" s="1"/>
  <c r="Z451" i="178"/>
  <c r="AC451" i="178" s="1"/>
  <c r="Z238" i="178"/>
  <c r="AC238" i="178" s="1"/>
  <c r="Z245" i="178"/>
  <c r="AC245" i="178" s="1"/>
  <c r="Z434" i="178"/>
  <c r="AC434" i="178" s="1"/>
  <c r="Z52" i="178"/>
  <c r="AC52" i="178" s="1"/>
  <c r="Z456" i="178"/>
  <c r="AC456" i="178" s="1"/>
  <c r="Z172" i="178"/>
  <c r="AC172" i="178" s="1"/>
  <c r="Z392" i="178"/>
  <c r="AC392" i="178" s="1"/>
  <c r="Z362" i="178"/>
  <c r="AC362" i="178" s="1"/>
  <c r="AC297" i="178"/>
  <c r="Z355" i="178"/>
  <c r="AC355" i="178" s="1"/>
  <c r="AC304" i="178"/>
  <c r="Z178" i="178"/>
  <c r="AC178" i="178" s="1"/>
  <c r="Z20" i="178"/>
  <c r="AC20" i="178" s="1"/>
  <c r="Z63" i="178"/>
  <c r="AC63" i="178" s="1"/>
  <c r="Z101" i="178"/>
  <c r="AC101" i="178" s="1"/>
  <c r="Z108" i="178"/>
  <c r="AC108" i="178" s="1"/>
  <c r="Z209" i="178"/>
  <c r="AC209" i="178" s="1"/>
  <c r="Z366" i="178"/>
  <c r="AC366" i="178" s="1"/>
  <c r="Z236" i="178"/>
  <c r="AC236" i="178" s="1"/>
  <c r="Z307" i="178"/>
  <c r="AC307" i="178" s="1"/>
  <c r="Z85" i="178"/>
  <c r="AC85" i="178" s="1"/>
  <c r="Z196" i="178"/>
  <c r="AC196" i="178" s="1"/>
  <c r="Z338" i="178"/>
  <c r="AC338" i="178" s="1"/>
  <c r="AC373" i="178"/>
  <c r="Z271" i="178"/>
  <c r="AC271" i="178" s="1"/>
  <c r="AC199" i="178"/>
  <c r="Z179" i="178"/>
  <c r="AC179" i="178" s="1"/>
  <c r="Z269" i="178"/>
  <c r="AC269" i="178" s="1"/>
  <c r="Z417" i="178"/>
  <c r="AC417" i="178" s="1"/>
  <c r="AC195" i="178"/>
  <c r="AC365" i="178"/>
  <c r="AC71" i="178"/>
  <c r="AC247" i="178"/>
  <c r="Z272" i="178"/>
  <c r="AC272" i="178" s="1"/>
  <c r="Z270" i="178"/>
  <c r="AC270" i="178" s="1"/>
  <c r="Z46" i="178"/>
  <c r="AC46" i="178" s="1"/>
  <c r="AC19" i="178"/>
  <c r="S42" i="95"/>
  <c r="P42" i="95"/>
  <c r="Q107" i="70"/>
  <c r="R107" i="70" s="1"/>
  <c r="S107" i="70" s="1"/>
  <c r="Q41" i="70"/>
  <c r="R41" i="70" s="1"/>
  <c r="S41" i="70" s="1"/>
  <c r="Q42" i="70"/>
  <c r="R42" i="70" s="1"/>
  <c r="S42" i="70" s="1"/>
  <c r="Q3" i="70"/>
  <c r="R3" i="70" s="1"/>
  <c r="S3" i="70" s="1"/>
  <c r="Q33" i="70"/>
  <c r="R33" i="70" s="1"/>
  <c r="S33" i="70" s="1"/>
  <c r="O44" i="95"/>
  <c r="Q93" i="70"/>
  <c r="R93" i="70" s="1"/>
  <c r="S93" i="70" s="1"/>
  <c r="Q26" i="70"/>
  <c r="R26" i="70" s="1"/>
  <c r="S26" i="70" s="1"/>
  <c r="Q95" i="70"/>
  <c r="R95" i="70" s="1"/>
  <c r="Q27" i="70"/>
  <c r="R27" i="70" s="1"/>
  <c r="S27" i="70" s="1"/>
  <c r="Q51" i="70"/>
  <c r="R51" i="70" s="1"/>
  <c r="S51" i="70" s="1"/>
  <c r="Q60" i="70"/>
  <c r="R60" i="70" s="1"/>
  <c r="S60" i="70" s="1"/>
  <c r="Q2" i="70"/>
  <c r="R2" i="70" s="1"/>
  <c r="Q70" i="70"/>
  <c r="R70" i="70" s="1"/>
  <c r="Z351" i="178"/>
  <c r="AC351" i="178" s="1"/>
  <c r="Z369" i="178"/>
  <c r="AC369" i="178" s="1"/>
  <c r="Z361" i="178"/>
  <c r="AC361" i="178" s="1"/>
  <c r="Q98" i="70"/>
  <c r="R98" i="70" s="1"/>
  <c r="Q45" i="70"/>
  <c r="R45" i="70" s="1"/>
  <c r="S45" i="70" s="1"/>
  <c r="Q23" i="70"/>
  <c r="R23" i="70" s="1"/>
  <c r="S23" i="70" s="1"/>
  <c r="Q53" i="70"/>
  <c r="R53" i="70" s="1"/>
  <c r="S53" i="70" s="1"/>
  <c r="Q62" i="70"/>
  <c r="R62" i="70" s="1"/>
  <c r="S62" i="70" s="1"/>
  <c r="Q82" i="70"/>
  <c r="Q49" i="70"/>
  <c r="R49" i="70" s="1"/>
  <c r="S49" i="70" s="1"/>
  <c r="Q68" i="70"/>
  <c r="R68" i="70" s="1"/>
  <c r="S68" i="70" s="1"/>
  <c r="Z363" i="178"/>
  <c r="AC363" i="178" s="1"/>
  <c r="Z161" i="178"/>
  <c r="AC161" i="178" s="1"/>
  <c r="AC100" i="178"/>
  <c r="N44" i="95"/>
  <c r="G44" i="95"/>
  <c r="S12" i="70"/>
  <c r="Q106" i="70"/>
  <c r="R106" i="70" s="1"/>
  <c r="S106" i="70" s="1"/>
  <c r="M44" i="95"/>
  <c r="J44" i="95"/>
  <c r="F44" i="95"/>
  <c r="S24" i="95"/>
  <c r="T106" i="70"/>
  <c r="S102" i="70"/>
  <c r="Q100" i="70"/>
  <c r="R100" i="70" s="1"/>
  <c r="S100" i="70" s="1"/>
  <c r="Q65" i="70"/>
  <c r="R65" i="70" s="1"/>
  <c r="Q78" i="70"/>
  <c r="R78" i="70" s="1"/>
  <c r="Q55" i="70"/>
  <c r="R55" i="70" s="1"/>
  <c r="S55" i="70" s="1"/>
  <c r="Q64" i="70"/>
  <c r="R64" i="70" s="1"/>
  <c r="S64" i="70" s="1"/>
  <c r="Q89" i="70"/>
  <c r="R89" i="70" s="1"/>
  <c r="S89" i="70" s="1"/>
  <c r="AC105" i="178"/>
  <c r="AC211" i="178"/>
  <c r="Z280" i="178"/>
  <c r="AC280" i="178" s="1"/>
  <c r="AC327" i="178"/>
  <c r="S14" i="70"/>
  <c r="O50" i="177"/>
  <c r="N39" i="177"/>
  <c r="I50" i="177"/>
  <c r="K43" i="177"/>
  <c r="N43" i="177" s="1"/>
  <c r="Q42" i="95"/>
  <c r="P9" i="95"/>
  <c r="R9" i="95"/>
  <c r="Q9" i="95"/>
  <c r="H44" i="95"/>
  <c r="P30" i="95"/>
  <c r="S30" i="95"/>
  <c r="L44" i="95"/>
  <c r="K44" i="95"/>
  <c r="Q24" i="70"/>
  <c r="R24" i="70" s="1"/>
  <c r="S24" i="70" s="1"/>
  <c r="Q40" i="70"/>
  <c r="R40" i="70" s="1"/>
  <c r="S40" i="70" s="1"/>
  <c r="Q84" i="70"/>
  <c r="R84" i="70" s="1"/>
  <c r="S84" i="70" s="1"/>
  <c r="T3" i="70"/>
  <c r="T40" i="70"/>
  <c r="S97" i="70"/>
  <c r="Q80" i="70"/>
  <c r="R80" i="70" s="1"/>
  <c r="S80" i="70" s="1"/>
  <c r="Q39" i="70"/>
  <c r="Q57" i="70"/>
  <c r="R57" i="70" s="1"/>
  <c r="S57" i="70" s="1"/>
  <c r="T74" i="70"/>
  <c r="Q74" i="70"/>
  <c r="R74" i="70" s="1"/>
  <c r="S74" i="70" s="1"/>
  <c r="E16" i="3"/>
  <c r="R42" i="95"/>
  <c r="D16" i="3"/>
  <c r="E44" i="95"/>
  <c r="Q24" i="95"/>
  <c r="P24" i="95"/>
  <c r="S9" i="95"/>
  <c r="R24" i="95"/>
  <c r="D44" i="95"/>
  <c r="S54" i="70"/>
  <c r="S88" i="70"/>
  <c r="S15" i="70"/>
  <c r="S96" i="70"/>
  <c r="S22" i="70"/>
  <c r="I44" i="95"/>
  <c r="R28" i="70"/>
  <c r="S28" i="70" s="1"/>
  <c r="AC60" i="178"/>
  <c r="AC103" i="178"/>
  <c r="Z149" i="178"/>
  <c r="AC149" i="178" s="1"/>
  <c r="Z10" i="178"/>
  <c r="AC10" i="178" s="1"/>
  <c r="Z5" i="178"/>
  <c r="AC5" i="178" s="1"/>
  <c r="Z26" i="178"/>
  <c r="AC26" i="178" s="1"/>
  <c r="Z31" i="178"/>
  <c r="AC31" i="178" s="1"/>
  <c r="Z38" i="178"/>
  <c r="AC38" i="178" s="1"/>
  <c r="Z98" i="178"/>
  <c r="AC98" i="178" s="1"/>
  <c r="Z97" i="178"/>
  <c r="AC97" i="178" s="1"/>
  <c r="Z117" i="178"/>
  <c r="AC117" i="178" s="1"/>
  <c r="Z114" i="178"/>
  <c r="AC114" i="178" s="1"/>
  <c r="Z143" i="178"/>
  <c r="AC143" i="178" s="1"/>
  <c r="Z459" i="178"/>
  <c r="AC459" i="178" s="1"/>
  <c r="Z278" i="178"/>
  <c r="AC278" i="178" s="1"/>
  <c r="Z276" i="178"/>
  <c r="AC276" i="178" s="1"/>
  <c r="Z166" i="178"/>
  <c r="AC166" i="178" s="1"/>
  <c r="Z259" i="178"/>
  <c r="AC259" i="178" s="1"/>
  <c r="Z286" i="178"/>
  <c r="AC286" i="178" s="1"/>
  <c r="Z289" i="178"/>
  <c r="AC289" i="178" s="1"/>
  <c r="Z279" i="178"/>
  <c r="AC279" i="178" s="1"/>
  <c r="Z239" i="178"/>
  <c r="AC239" i="178" s="1"/>
  <c r="Z255" i="178"/>
  <c r="AC255" i="178" s="1"/>
  <c r="Z302" i="178"/>
  <c r="AC302" i="178" s="1"/>
  <c r="Z319" i="178"/>
  <c r="AC319" i="178" s="1"/>
  <c r="Z325" i="178"/>
  <c r="AC325" i="178" s="1"/>
  <c r="Z470" i="178"/>
  <c r="AC470" i="178" s="1"/>
  <c r="Z150" i="178"/>
  <c r="AC150" i="178" s="1"/>
  <c r="Z147" i="178"/>
  <c r="AC147" i="178" s="1"/>
  <c r="Z8" i="178"/>
  <c r="AC8" i="178" s="1"/>
  <c r="Z11" i="178"/>
  <c r="AC11" i="178" s="1"/>
  <c r="Z24" i="178"/>
  <c r="AC24" i="178" s="1"/>
  <c r="Z23" i="178"/>
  <c r="AC23" i="178" s="1"/>
  <c r="Z39" i="178"/>
  <c r="AC39" i="178" s="1"/>
  <c r="Z50" i="178"/>
  <c r="AC50" i="178" s="1"/>
  <c r="Z93" i="178"/>
  <c r="AC93" i="178" s="1"/>
  <c r="Z112" i="178"/>
  <c r="AC112" i="178" s="1"/>
  <c r="Z116" i="178"/>
  <c r="AC116" i="178" s="1"/>
  <c r="Z446" i="178"/>
  <c r="AC446" i="178" s="1"/>
  <c r="Z460" i="178"/>
  <c r="AC460" i="178" s="1"/>
  <c r="Z274" i="178"/>
  <c r="AC274" i="178" s="1"/>
  <c r="Z277" i="178"/>
  <c r="AC277" i="178" s="1"/>
  <c r="Z162" i="178"/>
  <c r="AC162" i="178" s="1"/>
  <c r="Z260" i="178"/>
  <c r="AC260" i="178" s="1"/>
  <c r="Z287" i="178"/>
  <c r="AC287" i="178" s="1"/>
  <c r="Z282" i="178"/>
  <c r="AC282" i="178" s="1"/>
  <c r="Z214" i="178"/>
  <c r="AC214" i="178" s="1"/>
  <c r="Z240" i="178"/>
  <c r="AC240" i="178" s="1"/>
  <c r="Z298" i="178"/>
  <c r="AC298" i="178" s="1"/>
  <c r="Z303" i="178"/>
  <c r="AC303" i="178" s="1"/>
  <c r="Z323" i="178"/>
  <c r="AC323" i="178" s="1"/>
  <c r="Z329" i="178"/>
  <c r="AC329" i="178" s="1"/>
  <c r="Z471" i="178"/>
  <c r="AC471" i="178" s="1"/>
  <c r="Z9" i="178"/>
  <c r="AC9" i="178" s="1"/>
  <c r="Z4" i="178"/>
  <c r="AC4" i="178" s="1"/>
  <c r="Z25" i="178"/>
  <c r="AC25" i="178" s="1"/>
  <c r="Z33" i="178"/>
  <c r="AC33" i="178" s="1"/>
  <c r="Z51" i="178"/>
  <c r="AC51" i="178" s="1"/>
  <c r="Z94" i="178"/>
  <c r="AC94" i="178" s="1"/>
  <c r="Z113" i="178"/>
  <c r="AC113" i="178" s="1"/>
  <c r="Z447" i="178"/>
  <c r="AC447" i="178" s="1"/>
  <c r="Z452" i="178"/>
  <c r="AC452" i="178" s="1"/>
  <c r="Z275" i="178"/>
  <c r="AC275" i="178" s="1"/>
  <c r="Z164" i="178"/>
  <c r="AC164" i="178" s="1"/>
  <c r="Z167" i="178"/>
  <c r="AC167" i="178" s="1"/>
  <c r="Z288" i="178"/>
  <c r="AC288" i="178" s="1"/>
  <c r="Z215" i="178"/>
  <c r="AC215" i="178" s="1"/>
  <c r="Z241" i="178"/>
  <c r="AC241" i="178" s="1"/>
  <c r="Z253" i="178"/>
  <c r="AC253" i="178" s="1"/>
  <c r="Z301" i="178"/>
  <c r="AC301" i="178" s="1"/>
  <c r="Z320" i="178"/>
  <c r="AC320" i="178" s="1"/>
  <c r="Z324" i="178"/>
  <c r="AC324" i="178" s="1"/>
  <c r="Z330" i="178"/>
  <c r="AC330" i="178" s="1"/>
  <c r="Z6" i="178"/>
  <c r="AC6" i="178" s="1"/>
  <c r="Z7" i="178"/>
  <c r="AC7" i="178" s="1"/>
  <c r="Z28" i="178"/>
  <c r="AC28" i="178" s="1"/>
  <c r="Z27" i="178"/>
  <c r="AC27" i="178" s="1"/>
  <c r="Z40" i="178"/>
  <c r="AC40" i="178" s="1"/>
  <c r="Z96" i="178"/>
  <c r="AC96" i="178" s="1"/>
  <c r="Z95" i="178"/>
  <c r="AC95" i="178" s="1"/>
  <c r="Z115" i="178"/>
  <c r="AC115" i="178" s="1"/>
  <c r="Z111" i="178"/>
  <c r="AC111" i="178" s="1"/>
  <c r="Z142" i="178"/>
  <c r="AC142" i="178" s="1"/>
  <c r="Z453" i="178"/>
  <c r="AC453" i="178" s="1"/>
  <c r="Z273" i="178"/>
  <c r="AC273" i="178" s="1"/>
  <c r="Z165" i="178"/>
  <c r="AC165" i="178" s="1"/>
  <c r="Z163" i="178"/>
  <c r="AC163" i="178" s="1"/>
  <c r="Z284" i="178"/>
  <c r="AC284" i="178" s="1"/>
  <c r="Z285" i="178"/>
  <c r="AC285" i="178" s="1"/>
  <c r="Z254" i="178"/>
  <c r="AC254" i="178" s="1"/>
  <c r="Z300" i="178"/>
  <c r="AC300" i="178" s="1"/>
  <c r="Z318" i="178"/>
  <c r="AC318" i="178" s="1"/>
  <c r="Z331" i="178"/>
  <c r="AC331" i="178" s="1"/>
  <c r="Z469" i="178"/>
  <c r="AC469" i="178" s="1"/>
  <c r="AZ487" i="178"/>
  <c r="H17" i="3" s="1"/>
  <c r="AZ486" i="178"/>
  <c r="BI483" i="178"/>
  <c r="AU483" i="178"/>
  <c r="BL483" i="178"/>
  <c r="AW483" i="178"/>
  <c r="AY483" i="178"/>
  <c r="AS483" i="178"/>
  <c r="AS485" i="178" s="1"/>
  <c r="I12" i="3" s="1"/>
  <c r="BE483" i="178"/>
  <c r="BC483" i="178"/>
  <c r="BA483" i="178"/>
  <c r="BA485" i="178" s="1"/>
  <c r="H12" i="3" s="1"/>
  <c r="BN483" i="178"/>
  <c r="BG483" i="178"/>
  <c r="AR487" i="178"/>
  <c r="AR486" i="178"/>
  <c r="S91" i="70" l="1"/>
  <c r="S44" i="70"/>
  <c r="S69" i="70"/>
  <c r="S59" i="70"/>
  <c r="S83" i="70"/>
  <c r="S105" i="70"/>
  <c r="S2" i="70"/>
  <c r="R48" i="183"/>
  <c r="S48" i="183" s="1"/>
  <c r="R31" i="183"/>
  <c r="S31" i="183" s="1"/>
  <c r="R119" i="183"/>
  <c r="S119" i="183" s="1"/>
  <c r="R20" i="183"/>
  <c r="S20" i="183" s="1"/>
  <c r="R35" i="183"/>
  <c r="S35" i="183" s="1"/>
  <c r="R92" i="183"/>
  <c r="S92" i="183" s="1"/>
  <c r="R59" i="183"/>
  <c r="S59" i="183" s="1"/>
  <c r="R90" i="183"/>
  <c r="S90" i="183" s="1"/>
  <c r="S95" i="70"/>
  <c r="S70" i="70"/>
  <c r="S98" i="70"/>
  <c r="R82" i="70"/>
  <c r="S82" i="70" s="1"/>
  <c r="S65" i="70"/>
  <c r="P44" i="95"/>
  <c r="Q44" i="95"/>
  <c r="R44" i="95"/>
  <c r="S44" i="95"/>
  <c r="S78" i="70"/>
  <c r="N50" i="177"/>
  <c r="U7" i="95"/>
  <c r="I17" i="3"/>
  <c r="C19" i="3" s="1"/>
  <c r="D31" i="3" s="1"/>
  <c r="R39" i="70"/>
  <c r="S39" i="70" s="1"/>
  <c r="AZ488" i="178"/>
  <c r="AR488" i="178"/>
  <c r="AS486" i="178"/>
  <c r="BA486" i="178"/>
  <c r="H16" i="3" s="1"/>
  <c r="V7" i="95" l="1"/>
  <c r="I16" i="3"/>
  <c r="C14" i="3" s="1"/>
  <c r="C16" i="3" s="1"/>
  <c r="C31" i="3" s="1"/>
  <c r="D49" i="95"/>
  <c r="BA488" i="178"/>
  <c r="AS488" i="178"/>
  <c r="C21" i="3" l="1"/>
  <c r="E31" i="3"/>
  <c r="E49" i="95"/>
  <c r="P47" i="95"/>
  <c r="P48" i="95" s="1"/>
  <c r="D51" i="95"/>
  <c r="Q47" i="95" l="1"/>
  <c r="Q48" i="95" s="1"/>
  <c r="E51" i="95"/>
</calcChain>
</file>

<file path=xl/comments1.xml><?xml version="1.0" encoding="utf-8"?>
<comments xmlns="http://schemas.openxmlformats.org/spreadsheetml/2006/main">
  <authors>
    <author>Agnetha Simm</author>
  </authors>
  <commentList>
    <comment ref="A6" authorId="0" shapeId="0">
      <text>
        <r>
          <rPr>
            <b/>
            <sz val="9"/>
            <color indexed="81"/>
            <rFont val="Tahoma"/>
            <family val="2"/>
          </rPr>
          <t>Agnetha Simm:</t>
        </r>
        <r>
          <rPr>
            <sz val="9"/>
            <color indexed="81"/>
            <rFont val="Tahoma"/>
            <family val="2"/>
          </rPr>
          <t xml:space="preserve">
Ersätter 6ID301</t>
        </r>
      </text>
    </comment>
    <comment ref="A7" authorId="0" shapeId="0">
      <text>
        <r>
          <rPr>
            <b/>
            <sz val="9"/>
            <color indexed="81"/>
            <rFont val="Tahoma"/>
            <family val="2"/>
          </rPr>
          <t>Agnetha Simm:</t>
        </r>
        <r>
          <rPr>
            <sz val="9"/>
            <color indexed="81"/>
            <rFont val="Tahoma"/>
            <family val="2"/>
          </rPr>
          <t xml:space="preserve">
Ersätter 6ID301</t>
        </r>
      </text>
    </comment>
    <comment ref="A8" authorId="0" shapeId="0">
      <text>
        <r>
          <rPr>
            <b/>
            <sz val="9"/>
            <color indexed="81"/>
            <rFont val="Tahoma"/>
            <family val="2"/>
          </rPr>
          <t>Agnetha Simm:</t>
        </r>
        <r>
          <rPr>
            <sz val="9"/>
            <color indexed="81"/>
            <rFont val="Tahoma"/>
            <family val="2"/>
          </rPr>
          <t xml:space="preserve">
Ers 6ID303</t>
        </r>
      </text>
    </comment>
    <comment ref="A13" authorId="0" shapeId="0">
      <text>
        <r>
          <rPr>
            <b/>
            <sz val="9"/>
            <color indexed="81"/>
            <rFont val="Tahoma"/>
            <family val="2"/>
          </rPr>
          <t>Agnetha Simm:</t>
        </r>
        <r>
          <rPr>
            <sz val="9"/>
            <color indexed="81"/>
            <rFont val="Tahoma"/>
            <family val="2"/>
          </rPr>
          <t xml:space="preserve">
Ers fiktiv 6GExx4</t>
        </r>
      </text>
    </comment>
    <comment ref="A15" authorId="0" shapeId="0">
      <text>
        <r>
          <rPr>
            <b/>
            <sz val="9"/>
            <color indexed="81"/>
            <rFont val="Tahoma"/>
            <family val="2"/>
          </rPr>
          <t>Agnetha Simm:</t>
        </r>
        <r>
          <rPr>
            <sz val="9"/>
            <color indexed="81"/>
            <rFont val="Tahoma"/>
            <family val="2"/>
          </rPr>
          <t xml:space="preserve">
Ersätter 6LI005</t>
        </r>
      </text>
    </comment>
    <comment ref="A64" authorId="0" shapeId="0">
      <text>
        <r>
          <rPr>
            <b/>
            <sz val="9"/>
            <color indexed="81"/>
            <rFont val="Tahoma"/>
            <family val="2"/>
          </rPr>
          <t>Agnetha Simm:</t>
        </r>
        <r>
          <rPr>
            <sz val="9"/>
            <color indexed="81"/>
            <rFont val="Tahoma"/>
            <family val="2"/>
          </rPr>
          <t xml:space="preserve">
Ersätter 6PE150</t>
        </r>
      </text>
    </comment>
    <comment ref="A103" authorId="0" shapeId="0">
      <text>
        <r>
          <rPr>
            <b/>
            <sz val="9"/>
            <color indexed="81"/>
            <rFont val="Tahoma"/>
            <family val="2"/>
          </rPr>
          <t>Agnetha Simm:</t>
        </r>
        <r>
          <rPr>
            <sz val="9"/>
            <color indexed="81"/>
            <rFont val="Tahoma"/>
            <family val="2"/>
          </rPr>
          <t xml:space="preserve">
Ers 6PE189</t>
        </r>
      </text>
    </comment>
    <comment ref="A104" authorId="0" shapeId="0">
      <text>
        <r>
          <rPr>
            <b/>
            <sz val="9"/>
            <color indexed="81"/>
            <rFont val="Tahoma"/>
            <family val="2"/>
          </rPr>
          <t>Agnetha Simm:</t>
        </r>
        <r>
          <rPr>
            <sz val="9"/>
            <color indexed="81"/>
            <rFont val="Tahoma"/>
            <family val="2"/>
          </rPr>
          <t xml:space="preserve">
Ers 6PE189</t>
        </r>
      </text>
    </comment>
    <comment ref="A105" authorId="0" shapeId="0">
      <text>
        <r>
          <rPr>
            <b/>
            <sz val="9"/>
            <color indexed="81"/>
            <rFont val="Tahoma"/>
            <family val="2"/>
          </rPr>
          <t>Agnetha Simm:</t>
        </r>
        <r>
          <rPr>
            <sz val="9"/>
            <color indexed="81"/>
            <rFont val="Tahoma"/>
            <family val="2"/>
          </rPr>
          <t xml:space="preserve">
Ersätter 6PE158</t>
        </r>
      </text>
    </comment>
    <comment ref="A106" authorId="0" shapeId="0">
      <text>
        <r>
          <rPr>
            <b/>
            <sz val="9"/>
            <color indexed="81"/>
            <rFont val="Tahoma"/>
            <family val="2"/>
          </rPr>
          <t>Agnetha Simm:</t>
        </r>
        <r>
          <rPr>
            <sz val="9"/>
            <color indexed="81"/>
            <rFont val="Tahoma"/>
            <family val="2"/>
          </rPr>
          <t xml:space="preserve">
Ersätter 6PE159</t>
        </r>
      </text>
    </comment>
    <comment ref="A107" authorId="0" shapeId="0">
      <text>
        <r>
          <rPr>
            <b/>
            <sz val="9"/>
            <color indexed="81"/>
            <rFont val="Tahoma"/>
            <family val="2"/>
          </rPr>
          <t>Agnetha Simm:</t>
        </r>
        <r>
          <rPr>
            <sz val="9"/>
            <color indexed="81"/>
            <rFont val="Tahoma"/>
            <family val="2"/>
          </rPr>
          <t xml:space="preserve">
Ers 6PE196</t>
        </r>
      </text>
    </comment>
    <comment ref="A108" authorId="0" shapeId="0">
      <text>
        <r>
          <rPr>
            <b/>
            <sz val="9"/>
            <color indexed="81"/>
            <rFont val="Tahoma"/>
            <family val="2"/>
          </rPr>
          <t>Agnetha Simm:</t>
        </r>
        <r>
          <rPr>
            <sz val="9"/>
            <color indexed="81"/>
            <rFont val="Tahoma"/>
            <family val="2"/>
          </rPr>
          <t xml:space="preserve">
Ers 6PE196</t>
        </r>
      </text>
    </comment>
    <comment ref="A126" authorId="0" shapeId="0">
      <text>
        <r>
          <rPr>
            <b/>
            <sz val="9"/>
            <color indexed="81"/>
            <rFont val="Tahoma"/>
            <family val="2"/>
          </rPr>
          <t>Agnetha Simm:</t>
        </r>
        <r>
          <rPr>
            <sz val="9"/>
            <color indexed="81"/>
            <rFont val="Tahoma"/>
            <family val="2"/>
          </rPr>
          <t xml:space="preserve">
Ersätter 6SP040</t>
        </r>
      </text>
    </comment>
  </commentList>
</comments>
</file>

<file path=xl/comments2.xml><?xml version="1.0" encoding="utf-8"?>
<comments xmlns="http://schemas.openxmlformats.org/spreadsheetml/2006/main">
  <authors>
    <author>Ulla Sehlberg</author>
  </authors>
  <commentList>
    <comment ref="C6" authorId="0" shapeId="0">
      <text>
        <r>
          <rPr>
            <b/>
            <sz val="10"/>
            <color indexed="81"/>
            <rFont val="Tahoma"/>
            <family val="2"/>
          </rPr>
          <t>Välj från lista</t>
        </r>
      </text>
    </comment>
  </commentList>
</comments>
</file>

<file path=xl/comments3.xml><?xml version="1.0" encoding="utf-8"?>
<comments xmlns="http://schemas.openxmlformats.org/spreadsheetml/2006/main">
  <authors>
    <author>Agnetha Simm</author>
  </authors>
  <commentList>
    <comment ref="D7" authorId="0" shapeId="0">
      <text>
        <r>
          <rPr>
            <b/>
            <sz val="9"/>
            <color indexed="81"/>
            <rFont val="Tahoma"/>
            <family val="2"/>
          </rPr>
          <t>Agnetha Simm:</t>
        </r>
        <r>
          <rPr>
            <sz val="9"/>
            <color indexed="81"/>
            <rFont val="Tahoma"/>
            <family val="2"/>
          </rPr>
          <t xml:space="preserve">
OBS! Se justering musik/design</t>
        </r>
      </text>
    </comment>
    <comment ref="E7" authorId="0" shapeId="0">
      <text>
        <r>
          <rPr>
            <b/>
            <sz val="9"/>
            <color indexed="81"/>
            <rFont val="Tahoma"/>
            <family val="2"/>
          </rPr>
          <t>Agnetha Simm:</t>
        </r>
        <r>
          <rPr>
            <sz val="9"/>
            <color indexed="81"/>
            <rFont val="Tahoma"/>
            <family val="2"/>
          </rPr>
          <t xml:space="preserve">
OBS! Se justering musik/design</t>
        </r>
      </text>
    </comment>
  </commentList>
</comments>
</file>

<file path=xl/comments4.xml><?xml version="1.0" encoding="utf-8"?>
<comments xmlns="http://schemas.openxmlformats.org/spreadsheetml/2006/main">
  <authors>
    <author>Agnetha Simm</author>
  </authors>
  <commentList>
    <comment ref="U9" authorId="0" shapeId="0">
      <text>
        <r>
          <rPr>
            <b/>
            <sz val="9"/>
            <color indexed="81"/>
            <rFont val="Tahoma"/>
            <family val="2"/>
          </rPr>
          <t>Agnetha Simm:</t>
        </r>
        <r>
          <rPr>
            <sz val="9"/>
            <color indexed="81"/>
            <rFont val="Tahoma"/>
            <family val="2"/>
          </rPr>
          <t xml:space="preserve">
Reduceras med justering av musik/design</t>
        </r>
      </text>
    </comment>
    <comment ref="V9" authorId="0" shapeId="0">
      <text>
        <r>
          <rPr>
            <b/>
            <sz val="9"/>
            <color indexed="81"/>
            <rFont val="Tahoma"/>
            <family val="2"/>
          </rPr>
          <t>Agnetha Simm:</t>
        </r>
        <r>
          <rPr>
            <sz val="9"/>
            <color indexed="81"/>
            <rFont val="Tahoma"/>
            <family val="2"/>
          </rPr>
          <t xml:space="preserve">
Reduceras med justering av musik/design</t>
        </r>
      </text>
    </comment>
    <comment ref="D12" authorId="0" shapeId="0">
      <text>
        <r>
          <rPr>
            <b/>
            <sz val="9"/>
            <color indexed="81"/>
            <rFont val="Tahoma"/>
            <family val="2"/>
          </rPr>
          <t>Agnetha Simm:</t>
        </r>
        <r>
          <rPr>
            <sz val="9"/>
            <color indexed="81"/>
            <rFont val="Tahoma"/>
            <family val="2"/>
          </rPr>
          <t xml:space="preserve">
Reducerat med justering av musik/design</t>
        </r>
      </text>
    </comment>
    <comment ref="E12" authorId="0" shapeId="0">
      <text>
        <r>
          <rPr>
            <b/>
            <sz val="9"/>
            <color indexed="81"/>
            <rFont val="Tahoma"/>
            <family val="2"/>
          </rPr>
          <t>Agnetha Simm:</t>
        </r>
        <r>
          <rPr>
            <sz val="9"/>
            <color indexed="81"/>
            <rFont val="Tahoma"/>
            <family val="2"/>
          </rPr>
          <t xml:space="preserve">
Reducerat med justering av musik/design</t>
        </r>
      </text>
    </comment>
  </commentList>
</comments>
</file>

<file path=xl/comments5.xml><?xml version="1.0" encoding="utf-8"?>
<comments xmlns="http://schemas.openxmlformats.org/spreadsheetml/2006/main">
  <authors>
    <author>Agnetha Simm</author>
  </authors>
  <commentList>
    <comment ref="A27" authorId="0" shapeId="0">
      <text>
        <r>
          <rPr>
            <b/>
            <sz val="9"/>
            <color indexed="81"/>
            <rFont val="Tahoma"/>
            <family val="2"/>
          </rPr>
          <t>Agnetha Simm:</t>
        </r>
        <r>
          <rPr>
            <sz val="9"/>
            <color indexed="81"/>
            <rFont val="Tahoma"/>
            <family val="2"/>
          </rPr>
          <t xml:space="preserve">
Ers 5BI151</t>
        </r>
      </text>
    </comment>
    <comment ref="A28" authorId="0" shapeId="0">
      <text>
        <r>
          <rPr>
            <b/>
            <sz val="9"/>
            <color indexed="81"/>
            <rFont val="Tahoma"/>
            <family val="2"/>
          </rPr>
          <t>Agnetha Simm:</t>
        </r>
        <r>
          <rPr>
            <sz val="9"/>
            <color indexed="81"/>
            <rFont val="Tahoma"/>
            <family val="2"/>
          </rPr>
          <t xml:space="preserve">
Ers 5BI204</t>
        </r>
      </text>
    </comment>
    <comment ref="A73" authorId="0" shapeId="0">
      <text>
        <r>
          <rPr>
            <b/>
            <sz val="9"/>
            <color indexed="81"/>
            <rFont val="Tahoma"/>
            <family val="2"/>
          </rPr>
          <t>Agnetha Simm:</t>
        </r>
        <r>
          <rPr>
            <sz val="9"/>
            <color indexed="81"/>
            <rFont val="Tahoma"/>
            <family val="2"/>
          </rPr>
          <t xml:space="preserve">
Ersätter 5BI184</t>
        </r>
      </text>
    </comment>
    <comment ref="A96" authorId="0" shapeId="0">
      <text>
        <r>
          <rPr>
            <b/>
            <sz val="9"/>
            <color indexed="81"/>
            <rFont val="Tahoma"/>
            <family val="2"/>
          </rPr>
          <t>Agnetha Simm:</t>
        </r>
        <r>
          <rPr>
            <sz val="9"/>
            <color indexed="81"/>
            <rFont val="Tahoma"/>
            <family val="2"/>
          </rPr>
          <t xml:space="preserve">
Ersätter 6EN028</t>
        </r>
      </text>
    </comment>
    <comment ref="A97" authorId="0" shapeId="0">
      <text>
        <r>
          <rPr>
            <b/>
            <sz val="9"/>
            <color indexed="81"/>
            <rFont val="Tahoma"/>
            <family val="2"/>
          </rPr>
          <t>Agnetha Simm:</t>
        </r>
        <r>
          <rPr>
            <sz val="9"/>
            <color indexed="81"/>
            <rFont val="Tahoma"/>
            <family val="2"/>
          </rPr>
          <t xml:space="preserve">
Fd 6EN021</t>
        </r>
      </text>
    </comment>
    <comment ref="A98" authorId="0" shapeId="0">
      <text>
        <r>
          <rPr>
            <b/>
            <sz val="9"/>
            <color indexed="81"/>
            <rFont val="Tahoma"/>
            <family val="2"/>
          </rPr>
          <t>Agnetha Simm:</t>
        </r>
        <r>
          <rPr>
            <sz val="9"/>
            <color indexed="81"/>
            <rFont val="Tahoma"/>
            <family val="2"/>
          </rPr>
          <t xml:space="preserve">
Fd 6EN023</t>
        </r>
      </text>
    </comment>
    <comment ref="A99" authorId="0" shapeId="0">
      <text>
        <r>
          <rPr>
            <b/>
            <sz val="9"/>
            <color indexed="81"/>
            <rFont val="Tahoma"/>
            <family val="2"/>
          </rPr>
          <t>Agnetha Simm:</t>
        </r>
        <r>
          <rPr>
            <sz val="9"/>
            <color indexed="81"/>
            <rFont val="Tahoma"/>
            <family val="2"/>
          </rPr>
          <t xml:space="preserve">
Ers 6EN022</t>
        </r>
      </text>
    </comment>
    <comment ref="A100" authorId="0" shapeId="0">
      <text>
        <r>
          <rPr>
            <b/>
            <sz val="9"/>
            <color indexed="81"/>
            <rFont val="Tahoma"/>
            <family val="2"/>
          </rPr>
          <t>Agnetha Simm:</t>
        </r>
        <r>
          <rPr>
            <sz val="9"/>
            <color indexed="81"/>
            <rFont val="Tahoma"/>
            <family val="2"/>
          </rPr>
          <t xml:space="preserve">
Ersätter 6EN024</t>
        </r>
      </text>
    </comment>
    <comment ref="A101" authorId="0" shapeId="0">
      <text>
        <r>
          <rPr>
            <b/>
            <sz val="9"/>
            <color indexed="81"/>
            <rFont val="Tahoma"/>
            <family val="2"/>
          </rPr>
          <t>Agnetha Simm:</t>
        </r>
        <r>
          <rPr>
            <sz val="9"/>
            <color indexed="81"/>
            <rFont val="Tahoma"/>
            <family val="2"/>
          </rPr>
          <t xml:space="preserve">
Ersätter 6EN025</t>
        </r>
      </text>
    </comment>
    <comment ref="A102" authorId="0" shapeId="0">
      <text>
        <r>
          <rPr>
            <b/>
            <sz val="9"/>
            <color indexed="81"/>
            <rFont val="Tahoma"/>
            <family val="2"/>
          </rPr>
          <t>Agnetha Simm:</t>
        </r>
        <r>
          <rPr>
            <sz val="9"/>
            <color indexed="81"/>
            <rFont val="Tahoma"/>
            <family val="2"/>
          </rPr>
          <t xml:space="preserve">
Ersätter fiktiv 6SOMSpråk2</t>
        </r>
      </text>
    </comment>
    <comment ref="A138" authorId="0" shapeId="0">
      <text>
        <r>
          <rPr>
            <b/>
            <sz val="9"/>
            <color indexed="81"/>
            <rFont val="Tahoma"/>
            <family val="2"/>
          </rPr>
          <t>Agnetha Simm:</t>
        </r>
        <r>
          <rPr>
            <sz val="9"/>
            <color indexed="81"/>
            <rFont val="Tahoma"/>
            <family val="2"/>
          </rPr>
          <t xml:space="preserve">
Fd fiktiv 6xxx15</t>
        </r>
      </text>
    </comment>
    <comment ref="A142" authorId="0" shapeId="0">
      <text>
        <r>
          <rPr>
            <b/>
            <sz val="9"/>
            <color indexed="81"/>
            <rFont val="Tahoma"/>
            <family val="2"/>
          </rPr>
          <t>Agnetha Simm:</t>
        </r>
        <r>
          <rPr>
            <sz val="9"/>
            <color indexed="81"/>
            <rFont val="Tahoma"/>
            <family val="2"/>
          </rPr>
          <t xml:space="preserve">
Fd fiktiv 6FRIEST7</t>
        </r>
      </text>
    </comment>
    <comment ref="B143" authorId="0" shapeId="0">
      <text>
        <r>
          <rPr>
            <b/>
            <sz val="9"/>
            <color indexed="81"/>
            <rFont val="Tahoma"/>
            <family val="2"/>
          </rPr>
          <t>Agnetha Simm:</t>
        </r>
        <r>
          <rPr>
            <sz val="9"/>
            <color indexed="81"/>
            <rFont val="Tahoma"/>
            <family val="2"/>
          </rPr>
          <t xml:space="preserve">
Bild/Slöjd</t>
        </r>
      </text>
    </comment>
    <comment ref="A147" authorId="0" shapeId="0">
      <text>
        <r>
          <rPr>
            <b/>
            <sz val="9"/>
            <color indexed="81"/>
            <rFont val="Tahoma"/>
            <family val="2"/>
          </rPr>
          <t>Agnetha Simm:</t>
        </r>
        <r>
          <rPr>
            <sz val="9"/>
            <color indexed="81"/>
            <rFont val="Tahoma"/>
            <family val="2"/>
          </rPr>
          <t xml:space="preserve">
fd fiktiv 6FRIEST6</t>
        </r>
      </text>
    </comment>
    <comment ref="A148" authorId="0" shapeId="0">
      <text>
        <r>
          <rPr>
            <b/>
            <sz val="9"/>
            <color indexed="81"/>
            <rFont val="Tahoma"/>
            <family val="2"/>
          </rPr>
          <t>Agnetha Simm:</t>
        </r>
        <r>
          <rPr>
            <sz val="9"/>
            <color indexed="81"/>
            <rFont val="Tahoma"/>
            <family val="2"/>
          </rPr>
          <t xml:space="preserve">
fd fiktiv 6FRIEST3</t>
        </r>
      </text>
    </comment>
    <comment ref="A149" authorId="0" shapeId="0">
      <text>
        <r>
          <rPr>
            <b/>
            <sz val="9"/>
            <color indexed="81"/>
            <rFont val="Tahoma"/>
            <family val="2"/>
          </rPr>
          <t>Agnetha Simm:</t>
        </r>
        <r>
          <rPr>
            <sz val="9"/>
            <color indexed="81"/>
            <rFont val="Tahoma"/>
            <family val="2"/>
          </rPr>
          <t xml:space="preserve">
fd fiktiv 6FRIEST4</t>
        </r>
      </text>
    </comment>
    <comment ref="A151" authorId="0" shapeId="0">
      <text>
        <r>
          <rPr>
            <b/>
            <sz val="9"/>
            <color indexed="81"/>
            <rFont val="Tahoma"/>
            <family val="2"/>
          </rPr>
          <t>Agnetha Simm:</t>
        </r>
        <r>
          <rPr>
            <sz val="9"/>
            <color indexed="81"/>
            <rFont val="Tahoma"/>
            <family val="2"/>
          </rPr>
          <t xml:space="preserve">
Ers fiktiv 6BIFÖ2</t>
        </r>
      </text>
    </comment>
    <comment ref="A154" authorId="0" shapeId="0">
      <text>
        <r>
          <rPr>
            <b/>
            <sz val="9"/>
            <color indexed="81"/>
            <rFont val="Tahoma"/>
            <family val="2"/>
          </rPr>
          <t>Agnetha Simm:</t>
        </r>
        <r>
          <rPr>
            <sz val="9"/>
            <color indexed="81"/>
            <rFont val="Tahoma"/>
            <family val="2"/>
          </rPr>
          <t xml:space="preserve">
Ers fd 6ES052
</t>
        </r>
      </text>
    </comment>
    <comment ref="A160" authorId="0" shapeId="0">
      <text>
        <r>
          <rPr>
            <b/>
            <sz val="9"/>
            <color indexed="81"/>
            <rFont val="Tahoma"/>
            <family val="2"/>
          </rPr>
          <t>Agnetha Simm:</t>
        </r>
        <r>
          <rPr>
            <sz val="9"/>
            <color indexed="81"/>
            <rFont val="Tahoma"/>
            <family val="2"/>
          </rPr>
          <t xml:space="preserve">
Ers fiktiv 6FRIEST3</t>
        </r>
      </text>
    </comment>
    <comment ref="A161" authorId="0" shapeId="0">
      <text>
        <r>
          <rPr>
            <b/>
            <sz val="9"/>
            <color indexed="81"/>
            <rFont val="Tahoma"/>
            <family val="2"/>
          </rPr>
          <t>Agnetha Simm:</t>
        </r>
        <r>
          <rPr>
            <sz val="9"/>
            <color indexed="81"/>
            <rFont val="Tahoma"/>
            <family val="2"/>
          </rPr>
          <t xml:space="preserve">
Ers 6ES031</t>
        </r>
      </text>
    </comment>
    <comment ref="A162" authorId="0" shapeId="0">
      <text>
        <r>
          <rPr>
            <b/>
            <sz val="9"/>
            <color indexed="81"/>
            <rFont val="Tahoma"/>
            <family val="2"/>
          </rPr>
          <t>Agnetha Simm:</t>
        </r>
        <r>
          <rPr>
            <sz val="9"/>
            <color indexed="81"/>
            <rFont val="Tahoma"/>
            <family val="2"/>
          </rPr>
          <t xml:space="preserve">
Ers fd 6ES069</t>
        </r>
      </text>
    </comment>
    <comment ref="A163" authorId="0" shapeId="0">
      <text>
        <r>
          <rPr>
            <b/>
            <sz val="9"/>
            <color indexed="81"/>
            <rFont val="Tahoma"/>
            <family val="2"/>
          </rPr>
          <t>Agnetha Simm:</t>
        </r>
        <r>
          <rPr>
            <sz val="9"/>
            <color indexed="81"/>
            <rFont val="Tahoma"/>
            <family val="2"/>
          </rPr>
          <t xml:space="preserve">
Fd fiktiv 6FRIEST2</t>
        </r>
      </text>
    </comment>
    <comment ref="A164" authorId="0" shapeId="0">
      <text>
        <r>
          <rPr>
            <b/>
            <sz val="9"/>
            <color indexed="81"/>
            <rFont val="Tahoma"/>
            <family val="2"/>
          </rPr>
          <t>Agnetha Simm:</t>
        </r>
        <r>
          <rPr>
            <sz val="9"/>
            <color indexed="81"/>
            <rFont val="Tahoma"/>
            <family val="2"/>
          </rPr>
          <t xml:space="preserve">
Fd fiktiv 6BIFÖ3</t>
        </r>
      </text>
    </comment>
    <comment ref="A165" authorId="0" shapeId="0">
      <text>
        <r>
          <rPr>
            <b/>
            <sz val="9"/>
            <color indexed="81"/>
            <rFont val="Tahoma"/>
            <family val="2"/>
          </rPr>
          <t>Agnetha Simm:</t>
        </r>
        <r>
          <rPr>
            <sz val="9"/>
            <color indexed="81"/>
            <rFont val="Tahoma"/>
            <family val="2"/>
          </rPr>
          <t xml:space="preserve">
Fd fiktiv 6FRIEST1</t>
        </r>
      </text>
    </comment>
    <comment ref="A177" authorId="0" shapeId="0">
      <text>
        <r>
          <rPr>
            <b/>
            <sz val="9"/>
            <color indexed="81"/>
            <rFont val="Tahoma"/>
            <family val="2"/>
          </rPr>
          <t>Agnetha Simm:</t>
        </r>
        <r>
          <rPr>
            <sz val="9"/>
            <color indexed="81"/>
            <rFont val="Tahoma"/>
            <family val="2"/>
          </rPr>
          <t xml:space="preserve">
Ers fd 6FA004</t>
        </r>
      </text>
    </comment>
    <comment ref="A190" authorId="0" shapeId="0">
      <text>
        <r>
          <rPr>
            <b/>
            <sz val="9"/>
            <color indexed="81"/>
            <rFont val="Tahoma"/>
            <family val="2"/>
          </rPr>
          <t>Agnetha Simm:</t>
        </r>
        <r>
          <rPr>
            <sz val="9"/>
            <color indexed="81"/>
            <rFont val="Tahoma"/>
            <family val="2"/>
          </rPr>
          <t xml:space="preserve">
Ers fiktiv 6GExx5</t>
        </r>
      </text>
    </comment>
    <comment ref="A191" authorId="0" shapeId="0">
      <text>
        <r>
          <rPr>
            <b/>
            <sz val="9"/>
            <color indexed="81"/>
            <rFont val="Tahoma"/>
            <family val="2"/>
          </rPr>
          <t>Agnetha Simm:</t>
        </r>
        <r>
          <rPr>
            <sz val="9"/>
            <color indexed="81"/>
            <rFont val="Tahoma"/>
            <family val="2"/>
          </rPr>
          <t xml:space="preserve">
Fd fiktiv 6GExx2</t>
        </r>
      </text>
    </comment>
    <comment ref="A192" authorId="0" shapeId="0">
      <text>
        <r>
          <rPr>
            <b/>
            <sz val="9"/>
            <color indexed="81"/>
            <rFont val="Tahoma"/>
            <family val="2"/>
          </rPr>
          <t>Agnetha Simm:</t>
        </r>
        <r>
          <rPr>
            <sz val="9"/>
            <color indexed="81"/>
            <rFont val="Tahoma"/>
            <family val="2"/>
          </rPr>
          <t xml:space="preserve">
Ers fiktiv 6GExx6</t>
        </r>
      </text>
    </comment>
    <comment ref="A193" authorId="0" shapeId="0">
      <text>
        <r>
          <rPr>
            <b/>
            <sz val="9"/>
            <color indexed="81"/>
            <rFont val="Tahoma"/>
            <family val="2"/>
          </rPr>
          <t>Agnetha Simm:</t>
        </r>
        <r>
          <rPr>
            <sz val="9"/>
            <color indexed="81"/>
            <rFont val="Tahoma"/>
            <family val="2"/>
          </rPr>
          <t xml:space="preserve">
Ers fiktiv 6GExx9</t>
        </r>
      </text>
    </comment>
    <comment ref="A207" authorId="0" shapeId="0">
      <text>
        <r>
          <rPr>
            <b/>
            <sz val="9"/>
            <color indexed="81"/>
            <rFont val="Tahoma"/>
            <family val="2"/>
          </rPr>
          <t>Agnetha Simm:</t>
        </r>
        <r>
          <rPr>
            <sz val="9"/>
            <color indexed="81"/>
            <rFont val="Tahoma"/>
            <family val="2"/>
          </rPr>
          <t xml:space="preserve">
Ersätter 6HI016</t>
        </r>
      </text>
    </comment>
    <comment ref="A209" authorId="0" shapeId="0">
      <text>
        <r>
          <rPr>
            <b/>
            <sz val="9"/>
            <color indexed="81"/>
            <rFont val="Tahoma"/>
            <family val="2"/>
          </rPr>
          <t>Agnetha Simm:</t>
        </r>
        <r>
          <rPr>
            <sz val="9"/>
            <color indexed="81"/>
            <rFont val="Tahoma"/>
            <family val="2"/>
          </rPr>
          <t xml:space="preserve">
Ersätter 6HI014</t>
        </r>
      </text>
    </comment>
    <comment ref="S216" authorId="0" shapeId="0">
      <text>
        <r>
          <rPr>
            <b/>
            <sz val="9"/>
            <color indexed="81"/>
            <rFont val="Tahoma"/>
            <family val="2"/>
          </rPr>
          <t>Agnetha Simm:</t>
        </r>
        <r>
          <rPr>
            <sz val="9"/>
            <color indexed="81"/>
            <rFont val="Tahoma"/>
            <family val="2"/>
          </rPr>
          <t xml:space="preserve">
OBS! Protokollet inkom 170307</t>
        </r>
      </text>
    </comment>
    <comment ref="S217" authorId="0" shapeId="0">
      <text>
        <r>
          <rPr>
            <b/>
            <sz val="9"/>
            <color indexed="81"/>
            <rFont val="Tahoma"/>
            <family val="2"/>
          </rPr>
          <t>Agnetha Simm:</t>
        </r>
        <r>
          <rPr>
            <sz val="9"/>
            <color indexed="81"/>
            <rFont val="Tahoma"/>
            <family val="2"/>
          </rPr>
          <t xml:space="preserve">
OBS! Protokollet inkom 170307</t>
        </r>
      </text>
    </comment>
    <comment ref="A218" authorId="0" shapeId="0">
      <text>
        <r>
          <rPr>
            <b/>
            <sz val="9"/>
            <color indexed="81"/>
            <rFont val="Tahoma"/>
            <family val="2"/>
          </rPr>
          <t>Agnetha Simm:</t>
        </r>
        <r>
          <rPr>
            <sz val="9"/>
            <color indexed="81"/>
            <rFont val="Tahoma"/>
            <family val="2"/>
          </rPr>
          <t xml:space="preserve">
Ersätter 6ID301</t>
        </r>
      </text>
    </comment>
    <comment ref="A220" authorId="0" shapeId="0">
      <text>
        <r>
          <rPr>
            <b/>
            <sz val="9"/>
            <color indexed="81"/>
            <rFont val="Tahoma"/>
            <family val="2"/>
          </rPr>
          <t>Agnetha Simm:</t>
        </r>
        <r>
          <rPr>
            <sz val="9"/>
            <color indexed="81"/>
            <rFont val="Tahoma"/>
            <family val="2"/>
          </rPr>
          <t xml:space="preserve">
Ers fiktiv 6FRIPED1</t>
        </r>
      </text>
    </comment>
    <comment ref="A226" authorId="0" shapeId="0">
      <text>
        <r>
          <rPr>
            <b/>
            <sz val="9"/>
            <color indexed="81"/>
            <rFont val="Tahoma"/>
            <family val="2"/>
          </rPr>
          <t>Agnetha Simm:</t>
        </r>
        <r>
          <rPr>
            <sz val="9"/>
            <color indexed="81"/>
            <rFont val="Tahoma"/>
            <family val="2"/>
          </rPr>
          <t xml:space="preserve">
Utgår! Se 6ID013</t>
        </r>
      </text>
    </comment>
    <comment ref="A232" authorId="0" shapeId="0">
      <text>
        <r>
          <rPr>
            <b/>
            <sz val="9"/>
            <color indexed="81"/>
            <rFont val="Tahoma"/>
            <family val="2"/>
          </rPr>
          <t>Agnetha Simm:</t>
        </r>
        <r>
          <rPr>
            <sz val="9"/>
            <color indexed="81"/>
            <rFont val="Tahoma"/>
            <family val="2"/>
          </rPr>
          <t xml:space="preserve">
Fd fiktiv 6FRITUV7</t>
        </r>
      </text>
    </comment>
    <comment ref="A233" authorId="0" shapeId="0">
      <text>
        <r>
          <rPr>
            <b/>
            <sz val="9"/>
            <color indexed="81"/>
            <rFont val="Tahoma"/>
            <family val="2"/>
          </rPr>
          <t>Agnetha Simm:</t>
        </r>
        <r>
          <rPr>
            <sz val="9"/>
            <color indexed="81"/>
            <rFont val="Tahoma"/>
            <family val="2"/>
          </rPr>
          <t xml:space="preserve">
Fd fiktiv 6FRITUV6</t>
        </r>
      </text>
    </comment>
    <comment ref="A246" authorId="0" shapeId="0">
      <text>
        <r>
          <rPr>
            <b/>
            <sz val="9"/>
            <color indexed="81"/>
            <rFont val="Tahoma"/>
            <family val="2"/>
          </rPr>
          <t>Agnetha Simm:</t>
        </r>
        <r>
          <rPr>
            <sz val="9"/>
            <color indexed="81"/>
            <rFont val="Tahoma"/>
            <family val="2"/>
          </rPr>
          <t xml:space="preserve">
Fd fiktiv 6GExx1</t>
        </r>
      </text>
    </comment>
    <comment ref="A247" authorId="0" shapeId="0">
      <text>
        <r>
          <rPr>
            <b/>
            <sz val="9"/>
            <color indexed="81"/>
            <rFont val="Tahoma"/>
            <family val="2"/>
          </rPr>
          <t>Agnetha Simm:</t>
        </r>
        <r>
          <rPr>
            <sz val="9"/>
            <color indexed="81"/>
            <rFont val="Tahoma"/>
            <family val="2"/>
          </rPr>
          <t xml:space="preserve">
Fd fiktiv 6GExx3</t>
        </r>
      </text>
    </comment>
    <comment ref="A248" authorId="0" shapeId="0">
      <text>
        <r>
          <rPr>
            <b/>
            <sz val="9"/>
            <color indexed="81"/>
            <rFont val="Tahoma"/>
            <family val="2"/>
          </rPr>
          <t>Agnetha Simm:</t>
        </r>
        <r>
          <rPr>
            <sz val="9"/>
            <color indexed="81"/>
            <rFont val="Tahoma"/>
            <family val="2"/>
          </rPr>
          <t xml:space="preserve">
Ersätter fiktiv 6GExx4</t>
        </r>
      </text>
    </comment>
    <comment ref="A249" authorId="0" shapeId="0">
      <text>
        <r>
          <rPr>
            <b/>
            <sz val="9"/>
            <color indexed="81"/>
            <rFont val="Tahoma"/>
            <family val="2"/>
          </rPr>
          <t>Agnetha Simm:</t>
        </r>
        <r>
          <rPr>
            <sz val="9"/>
            <color indexed="81"/>
            <rFont val="Tahoma"/>
            <family val="2"/>
          </rPr>
          <t xml:space="preserve">
Ers fiktiv 6GExx7</t>
        </r>
      </text>
    </comment>
    <comment ref="A251" authorId="0" shapeId="0">
      <text>
        <r>
          <rPr>
            <b/>
            <sz val="9"/>
            <color indexed="81"/>
            <rFont val="Tahoma"/>
            <family val="2"/>
          </rPr>
          <t>Agnetha Simm:</t>
        </r>
        <r>
          <rPr>
            <sz val="9"/>
            <color indexed="81"/>
            <rFont val="Tahoma"/>
            <family val="2"/>
          </rPr>
          <t xml:space="preserve">
Fd fiktiv 6GEund</t>
        </r>
      </text>
    </comment>
    <comment ref="A265" authorId="0" shapeId="0">
      <text>
        <r>
          <rPr>
            <b/>
            <sz val="9"/>
            <color indexed="81"/>
            <rFont val="Tahoma"/>
            <family val="2"/>
          </rPr>
          <t>Agnetha Simm:</t>
        </r>
        <r>
          <rPr>
            <sz val="9"/>
            <color indexed="81"/>
            <rFont val="Tahoma"/>
            <family val="2"/>
          </rPr>
          <t xml:space="preserve">
Ers 6KN009</t>
        </r>
      </text>
    </comment>
    <comment ref="A275" authorId="0" shapeId="0">
      <text>
        <r>
          <rPr>
            <b/>
            <sz val="9"/>
            <color indexed="81"/>
            <rFont val="Tahoma"/>
            <family val="2"/>
          </rPr>
          <t>Agnetha Simm:</t>
        </r>
        <r>
          <rPr>
            <sz val="9"/>
            <color indexed="81"/>
            <rFont val="Tahoma"/>
            <family val="2"/>
          </rPr>
          <t xml:space="preserve">
Fd 6FRISPRÅK1</t>
        </r>
      </text>
    </comment>
    <comment ref="A278" authorId="0" shapeId="0">
      <text>
        <r>
          <rPr>
            <b/>
            <sz val="9"/>
            <color indexed="81"/>
            <rFont val="Tahoma"/>
            <family val="2"/>
          </rPr>
          <t>Agnetha Simm:</t>
        </r>
        <r>
          <rPr>
            <sz val="9"/>
            <color indexed="81"/>
            <rFont val="Tahoma"/>
            <family val="2"/>
          </rPr>
          <t xml:space="preserve">
Fd fiktiv 6FRISPRÅK3</t>
        </r>
      </text>
    </comment>
    <comment ref="A279" authorId="0" shapeId="0">
      <text>
        <r>
          <rPr>
            <b/>
            <sz val="9"/>
            <color indexed="81"/>
            <rFont val="Tahoma"/>
            <family val="2"/>
          </rPr>
          <t>Agnetha Simm:</t>
        </r>
        <r>
          <rPr>
            <sz val="9"/>
            <color indexed="81"/>
            <rFont val="Tahoma"/>
            <family val="2"/>
          </rPr>
          <t xml:space="preserve">
Ersätter 6LI005</t>
        </r>
      </text>
    </comment>
    <comment ref="A303" authorId="0" shapeId="0">
      <text>
        <r>
          <rPr>
            <b/>
            <sz val="9"/>
            <color indexed="81"/>
            <rFont val="Tahoma"/>
            <family val="2"/>
          </rPr>
          <t>Agnetha Simm:</t>
        </r>
        <r>
          <rPr>
            <sz val="9"/>
            <color indexed="81"/>
            <rFont val="Tahoma"/>
            <family val="2"/>
          </rPr>
          <t xml:space="preserve">
fd fiktiv 6xxx12</t>
        </r>
      </text>
    </comment>
    <comment ref="A321" authorId="0" shapeId="0">
      <text>
        <r>
          <rPr>
            <b/>
            <sz val="9"/>
            <color indexed="81"/>
            <rFont val="Tahoma"/>
            <family val="2"/>
          </rPr>
          <t>Agnetha Simm:</t>
        </r>
        <r>
          <rPr>
            <sz val="9"/>
            <color indexed="81"/>
            <rFont val="Tahoma"/>
            <family val="2"/>
          </rPr>
          <t xml:space="preserve">
Ersätter 6MA021</t>
        </r>
      </text>
    </comment>
    <comment ref="A325" authorId="0" shapeId="0">
      <text>
        <r>
          <rPr>
            <b/>
            <sz val="9"/>
            <color indexed="81"/>
            <rFont val="Tahoma"/>
            <family val="2"/>
          </rPr>
          <t>Agnetha Simm:</t>
        </r>
        <r>
          <rPr>
            <sz val="9"/>
            <color indexed="81"/>
            <rFont val="Tahoma"/>
            <family val="2"/>
          </rPr>
          <t xml:space="preserve">
Fd 6MA019 enl uppg fr Nina Rudälv 150323</t>
        </r>
      </text>
    </comment>
    <comment ref="A371" authorId="0" shapeId="0">
      <text>
        <r>
          <rPr>
            <b/>
            <sz val="9"/>
            <color indexed="81"/>
            <rFont val="Tahoma"/>
            <family val="2"/>
          </rPr>
          <t>Agnetha Simm:</t>
        </r>
        <r>
          <rPr>
            <sz val="9"/>
            <color indexed="81"/>
            <rFont val="Tahoma"/>
            <family val="2"/>
          </rPr>
          <t xml:space="preserve">
Ers 6MA031 fr o m vt-19</t>
        </r>
      </text>
    </comment>
    <comment ref="A372" authorId="0" shapeId="0">
      <text>
        <r>
          <rPr>
            <b/>
            <sz val="9"/>
            <color indexed="81"/>
            <rFont val="Tahoma"/>
            <family val="2"/>
          </rPr>
          <t>Agnetha Simm:</t>
        </r>
        <r>
          <rPr>
            <sz val="9"/>
            <color indexed="81"/>
            <rFont val="Tahoma"/>
            <family val="2"/>
          </rPr>
          <t xml:space="preserve">
Ersätter 6MA020</t>
        </r>
      </text>
    </comment>
    <comment ref="A374" authorId="0" shapeId="0">
      <text>
        <r>
          <rPr>
            <b/>
            <sz val="9"/>
            <color indexed="81"/>
            <rFont val="Tahoma"/>
            <family val="2"/>
          </rPr>
          <t>Agnetha Simm:</t>
        </r>
        <r>
          <rPr>
            <sz val="9"/>
            <color indexed="81"/>
            <rFont val="Tahoma"/>
            <family val="2"/>
          </rPr>
          <t xml:space="preserve">
Ersätter 6MS001</t>
        </r>
      </text>
    </comment>
    <comment ref="A382" authorId="0" shapeId="0">
      <text>
        <r>
          <rPr>
            <b/>
            <sz val="9"/>
            <color indexed="81"/>
            <rFont val="Tahoma"/>
            <family val="2"/>
          </rPr>
          <t>Agnetha Simm:</t>
        </r>
        <r>
          <rPr>
            <sz val="9"/>
            <color indexed="81"/>
            <rFont val="Tahoma"/>
            <family val="2"/>
          </rPr>
          <t xml:space="preserve">
Ers 6MU022</t>
        </r>
      </text>
    </comment>
    <comment ref="A393" authorId="0" shapeId="0">
      <text>
        <r>
          <rPr>
            <b/>
            <sz val="9"/>
            <color indexed="81"/>
            <rFont val="Tahoma"/>
            <family val="2"/>
          </rPr>
          <t>Agnetha Simm:</t>
        </r>
        <r>
          <rPr>
            <sz val="9"/>
            <color indexed="81"/>
            <rFont val="Tahoma"/>
            <family val="2"/>
          </rPr>
          <t xml:space="preserve">
Fd fiktiv 6FRIEST4</t>
        </r>
      </text>
    </comment>
    <comment ref="A398" authorId="0" shapeId="0">
      <text>
        <r>
          <rPr>
            <b/>
            <sz val="9"/>
            <color indexed="81"/>
            <rFont val="Tahoma"/>
            <family val="2"/>
          </rPr>
          <t>Agnetha Simm:</t>
        </r>
        <r>
          <rPr>
            <sz val="9"/>
            <color indexed="81"/>
            <rFont val="Tahoma"/>
            <family val="2"/>
          </rPr>
          <t xml:space="preserve">
Ers 6MU022</t>
        </r>
      </text>
    </comment>
    <comment ref="A399" authorId="0" shapeId="0">
      <text>
        <r>
          <rPr>
            <b/>
            <sz val="9"/>
            <color indexed="81"/>
            <rFont val="Tahoma"/>
            <family val="2"/>
          </rPr>
          <t>Agnetha Simm:</t>
        </r>
        <r>
          <rPr>
            <sz val="9"/>
            <color indexed="81"/>
            <rFont val="Tahoma"/>
            <family val="2"/>
          </rPr>
          <t xml:space="preserve">
Ers 6MU050</t>
        </r>
      </text>
    </comment>
    <comment ref="A417" authorId="0" shapeId="0">
      <text>
        <r>
          <rPr>
            <b/>
            <sz val="9"/>
            <color indexed="81"/>
            <rFont val="Tahoma"/>
            <family val="2"/>
          </rPr>
          <t>Agnetha Simm:</t>
        </r>
        <r>
          <rPr>
            <sz val="9"/>
            <color indexed="81"/>
            <rFont val="Tahoma"/>
            <family val="2"/>
          </rPr>
          <t xml:space="preserve">
Fd fiktiv 6xxxx7</t>
        </r>
      </text>
    </comment>
    <comment ref="A418" authorId="0" shapeId="0">
      <text>
        <r>
          <rPr>
            <b/>
            <sz val="9"/>
            <color indexed="81"/>
            <rFont val="Tahoma"/>
            <family val="2"/>
          </rPr>
          <t>Agnetha Simm:</t>
        </r>
        <r>
          <rPr>
            <sz val="9"/>
            <color indexed="81"/>
            <rFont val="Tahoma"/>
            <family val="2"/>
          </rPr>
          <t xml:space="preserve">
Ers 6NO041</t>
        </r>
      </text>
    </comment>
    <comment ref="A458" authorId="0" shapeId="0">
      <text>
        <r>
          <rPr>
            <b/>
            <sz val="9"/>
            <color indexed="81"/>
            <rFont val="Tahoma"/>
            <family val="2"/>
          </rPr>
          <t>Agnetha Simm:</t>
        </r>
        <r>
          <rPr>
            <sz val="9"/>
            <color indexed="81"/>
            <rFont val="Tahoma"/>
            <family val="2"/>
          </rPr>
          <t xml:space="preserve">
Se 6PE259</t>
        </r>
      </text>
    </comment>
    <comment ref="A474" authorId="0" shapeId="0">
      <text>
        <r>
          <rPr>
            <b/>
            <sz val="9"/>
            <color indexed="81"/>
            <rFont val="Tahoma"/>
            <family val="2"/>
          </rPr>
          <t>Agnetha Simm:</t>
        </r>
        <r>
          <rPr>
            <sz val="9"/>
            <color indexed="81"/>
            <rFont val="Tahoma"/>
            <family val="2"/>
          </rPr>
          <t xml:space="preserve">
Se ny kurs 6PE258</t>
        </r>
      </text>
    </comment>
    <comment ref="A509" authorId="0" shapeId="0">
      <text>
        <r>
          <rPr>
            <b/>
            <sz val="9"/>
            <color indexed="81"/>
            <rFont val="Tahoma"/>
            <family val="2"/>
          </rPr>
          <t>Agnetha Simm:</t>
        </r>
        <r>
          <rPr>
            <sz val="9"/>
            <color indexed="81"/>
            <rFont val="Tahoma"/>
            <family val="2"/>
          </rPr>
          <t xml:space="preserve">
Fd 6NYFRIST12</t>
        </r>
      </text>
    </comment>
    <comment ref="A510" authorId="0" shapeId="0">
      <text>
        <r>
          <rPr>
            <b/>
            <sz val="9"/>
            <color indexed="81"/>
            <rFont val="Tahoma"/>
            <family val="2"/>
          </rPr>
          <t>Agnetha Simm:</t>
        </r>
        <r>
          <rPr>
            <sz val="9"/>
            <color indexed="81"/>
            <rFont val="Tahoma"/>
            <family val="2"/>
          </rPr>
          <t xml:space="preserve">
Fd fiktiv 6UKI1a</t>
        </r>
      </text>
    </comment>
    <comment ref="A511" authorId="0" shapeId="0">
      <text>
        <r>
          <rPr>
            <b/>
            <sz val="9"/>
            <color indexed="81"/>
            <rFont val="Tahoma"/>
            <family val="2"/>
          </rPr>
          <t>Agnetha Simm:</t>
        </r>
        <r>
          <rPr>
            <sz val="9"/>
            <color indexed="81"/>
            <rFont val="Tahoma"/>
            <family val="2"/>
          </rPr>
          <t xml:space="preserve">
Fd fiktiv 6VFU3a</t>
        </r>
      </text>
    </comment>
    <comment ref="A528" authorId="0" shapeId="0">
      <text>
        <r>
          <rPr>
            <b/>
            <sz val="9"/>
            <color indexed="81"/>
            <rFont val="Tahoma"/>
            <family val="2"/>
          </rPr>
          <t>Agnetha Simm:</t>
        </r>
        <r>
          <rPr>
            <sz val="9"/>
            <color indexed="81"/>
            <rFont val="Tahoma"/>
            <family val="2"/>
          </rPr>
          <t xml:space="preserve">
Ers 6PE093 fr o m ht-16 (kull h15)</t>
        </r>
      </text>
    </comment>
    <comment ref="A529" authorId="0" shapeId="0">
      <text>
        <r>
          <rPr>
            <b/>
            <sz val="9"/>
            <color indexed="81"/>
            <rFont val="Tahoma"/>
            <family val="2"/>
          </rPr>
          <t>Agnetha Simm:</t>
        </r>
        <r>
          <rPr>
            <sz val="9"/>
            <color indexed="81"/>
            <rFont val="Tahoma"/>
            <family val="2"/>
          </rPr>
          <t xml:space="preserve">
Ersätter 6PE174</t>
        </r>
      </text>
    </comment>
    <comment ref="A532" authorId="0" shapeId="0">
      <text>
        <r>
          <rPr>
            <b/>
            <sz val="9"/>
            <color indexed="81"/>
            <rFont val="Tahoma"/>
            <family val="2"/>
          </rPr>
          <t>Agnetha Simm:</t>
        </r>
        <r>
          <rPr>
            <sz val="9"/>
            <color indexed="81"/>
            <rFont val="Tahoma"/>
            <family val="2"/>
          </rPr>
          <t xml:space="preserve">
Ersätter 6PE173</t>
        </r>
      </text>
    </comment>
    <comment ref="A534" authorId="0" shapeId="0">
      <text>
        <r>
          <rPr>
            <b/>
            <sz val="9"/>
            <color indexed="81"/>
            <rFont val="Tahoma"/>
            <family val="2"/>
          </rPr>
          <t>Agnetha Simm:</t>
        </r>
        <r>
          <rPr>
            <sz val="9"/>
            <color indexed="81"/>
            <rFont val="Tahoma"/>
            <family val="2"/>
          </rPr>
          <t xml:space="preserve">
Ersätter 6LÄ050</t>
        </r>
      </text>
    </comment>
    <comment ref="A535" authorId="0" shapeId="0">
      <text>
        <r>
          <rPr>
            <b/>
            <sz val="9"/>
            <color indexed="81"/>
            <rFont val="Tahoma"/>
            <family val="2"/>
          </rPr>
          <t>Agnetha Simm:</t>
        </r>
        <r>
          <rPr>
            <sz val="9"/>
            <color indexed="81"/>
            <rFont val="Tahoma"/>
            <family val="2"/>
          </rPr>
          <t xml:space="preserve">
Ersätter 6LÄ051</t>
        </r>
      </text>
    </comment>
    <comment ref="A543" authorId="0" shapeId="0">
      <text>
        <r>
          <rPr>
            <b/>
            <sz val="9"/>
            <color indexed="81"/>
            <rFont val="Tahoma"/>
            <family val="2"/>
          </rPr>
          <t>Agnetha Simm:</t>
        </r>
        <r>
          <rPr>
            <sz val="9"/>
            <color indexed="81"/>
            <rFont val="Tahoma"/>
            <family val="2"/>
          </rPr>
          <t xml:space="preserve">
Fd fiktiv 6xxx23</t>
        </r>
      </text>
    </comment>
    <comment ref="A556" authorId="0" shapeId="0">
      <text>
        <r>
          <rPr>
            <b/>
            <sz val="9"/>
            <color indexed="81"/>
            <rFont val="Tahoma"/>
            <family val="2"/>
          </rPr>
          <t>Agnetha Simm:</t>
        </r>
        <r>
          <rPr>
            <sz val="9"/>
            <color indexed="81"/>
            <rFont val="Tahoma"/>
            <family val="2"/>
          </rPr>
          <t xml:space="preserve">
Fd 6FRITUV5</t>
        </r>
      </text>
    </comment>
    <comment ref="B556" authorId="0" shapeId="0">
      <text>
        <r>
          <rPr>
            <b/>
            <sz val="9"/>
            <color indexed="81"/>
            <rFont val="Tahoma"/>
            <family val="2"/>
          </rPr>
          <t>Agnetha Simm:</t>
        </r>
        <r>
          <rPr>
            <sz val="9"/>
            <color indexed="81"/>
            <rFont val="Tahoma"/>
            <family val="2"/>
          </rPr>
          <t xml:space="preserve">
Benämning förändrad efter första inskick till LH</t>
        </r>
      </text>
    </comment>
    <comment ref="A557" authorId="0" shapeId="0">
      <text>
        <r>
          <rPr>
            <b/>
            <sz val="9"/>
            <color indexed="81"/>
            <rFont val="Tahoma"/>
            <family val="2"/>
          </rPr>
          <t>Agnetha Simm:</t>
        </r>
        <r>
          <rPr>
            <sz val="9"/>
            <color indexed="81"/>
            <rFont val="Tahoma"/>
            <family val="2"/>
          </rPr>
          <t xml:space="preserve">
Fd fiktiv 6FRINMD1</t>
        </r>
      </text>
    </comment>
    <comment ref="A558" authorId="0" shapeId="0">
      <text>
        <r>
          <rPr>
            <b/>
            <sz val="9"/>
            <color indexed="81"/>
            <rFont val="Tahoma"/>
            <family val="2"/>
          </rPr>
          <t>Agnetha Simm:</t>
        </r>
        <r>
          <rPr>
            <sz val="9"/>
            <color indexed="81"/>
            <rFont val="Tahoma"/>
            <family val="2"/>
          </rPr>
          <t xml:space="preserve">
Ers 6PE139</t>
        </r>
      </text>
    </comment>
    <comment ref="A559" authorId="0" shapeId="0">
      <text>
        <r>
          <rPr>
            <b/>
            <sz val="9"/>
            <color indexed="81"/>
            <rFont val="Tahoma"/>
            <family val="2"/>
          </rPr>
          <t>Agnetha Simm:</t>
        </r>
        <r>
          <rPr>
            <sz val="9"/>
            <color indexed="81"/>
            <rFont val="Tahoma"/>
            <family val="2"/>
          </rPr>
          <t xml:space="preserve">
Ers 6PE140</t>
        </r>
      </text>
    </comment>
    <comment ref="A560" authorId="0" shapeId="0">
      <text>
        <r>
          <rPr>
            <b/>
            <sz val="9"/>
            <color indexed="81"/>
            <rFont val="Tahoma"/>
            <family val="2"/>
          </rPr>
          <t>Agnetha Simm:</t>
        </r>
        <r>
          <rPr>
            <sz val="9"/>
            <color indexed="81"/>
            <rFont val="Tahoma"/>
            <family val="2"/>
          </rPr>
          <t xml:space="preserve">
Fd fiktiv 6FRITUV9</t>
        </r>
      </text>
    </comment>
    <comment ref="A561" authorId="0" shapeId="0">
      <text>
        <r>
          <rPr>
            <b/>
            <sz val="9"/>
            <color indexed="81"/>
            <rFont val="Tahoma"/>
            <family val="2"/>
          </rPr>
          <t>Agnetha Simm:</t>
        </r>
        <r>
          <rPr>
            <sz val="9"/>
            <color indexed="81"/>
            <rFont val="Tahoma"/>
            <family val="2"/>
          </rPr>
          <t xml:space="preserve">
Fd fiktiv 6FRITUV8</t>
        </r>
      </text>
    </comment>
    <comment ref="A562" authorId="0" shapeId="0">
      <text>
        <r>
          <rPr>
            <b/>
            <sz val="9"/>
            <color indexed="81"/>
            <rFont val="Tahoma"/>
            <family val="2"/>
          </rPr>
          <t>Agnetha Simm:</t>
        </r>
        <r>
          <rPr>
            <sz val="9"/>
            <color indexed="81"/>
            <rFont val="Tahoma"/>
            <family val="2"/>
          </rPr>
          <t xml:space="preserve">
Ers fd 6PE232</t>
        </r>
      </text>
    </comment>
    <comment ref="A563" authorId="0" shapeId="0">
      <text>
        <r>
          <rPr>
            <b/>
            <sz val="9"/>
            <color indexed="81"/>
            <rFont val="Tahoma"/>
            <family val="2"/>
          </rPr>
          <t>Agnetha Simm:</t>
        </r>
        <r>
          <rPr>
            <sz val="9"/>
            <color indexed="81"/>
            <rFont val="Tahoma"/>
            <family val="2"/>
          </rPr>
          <t xml:space="preserve">
Ers fd 6PE233</t>
        </r>
      </text>
    </comment>
    <comment ref="B564" authorId="0" shapeId="0">
      <text>
        <r>
          <rPr>
            <b/>
            <sz val="9"/>
            <color indexed="81"/>
            <rFont val="Tahoma"/>
            <family val="2"/>
          </rPr>
          <t>Agnetha Simm:</t>
        </r>
        <r>
          <rPr>
            <sz val="9"/>
            <color indexed="81"/>
            <rFont val="Tahoma"/>
            <family val="2"/>
          </rPr>
          <t xml:space="preserve">
IDRH</t>
        </r>
      </text>
    </comment>
    <comment ref="A566" authorId="0" shapeId="0">
      <text>
        <r>
          <rPr>
            <b/>
            <sz val="9"/>
            <color indexed="81"/>
            <rFont val="Tahoma"/>
            <family val="2"/>
          </rPr>
          <t>Agnetha Simm:</t>
        </r>
        <r>
          <rPr>
            <sz val="9"/>
            <color indexed="81"/>
            <rFont val="Tahoma"/>
            <family val="2"/>
          </rPr>
          <t xml:space="preserve">
Ers 6PE100</t>
        </r>
      </text>
    </comment>
    <comment ref="A568" authorId="0" shapeId="0">
      <text>
        <r>
          <rPr>
            <b/>
            <sz val="9"/>
            <color indexed="81"/>
            <rFont val="Tahoma"/>
            <family val="2"/>
          </rPr>
          <t>Agnetha Simm:</t>
        </r>
        <r>
          <rPr>
            <sz val="9"/>
            <color indexed="81"/>
            <rFont val="Tahoma"/>
            <family val="2"/>
          </rPr>
          <t xml:space="preserve">
Fd 6PE102</t>
        </r>
      </text>
    </comment>
    <comment ref="A569" authorId="0" shapeId="0">
      <text>
        <r>
          <rPr>
            <b/>
            <sz val="9"/>
            <color indexed="81"/>
            <rFont val="Tahoma"/>
            <family val="2"/>
          </rPr>
          <t>Agnetha Simm:</t>
        </r>
        <r>
          <rPr>
            <sz val="9"/>
            <color indexed="81"/>
            <rFont val="Tahoma"/>
            <family val="2"/>
          </rPr>
          <t xml:space="preserve">
Fd 6PE105</t>
        </r>
      </text>
    </comment>
    <comment ref="A574" authorId="0" shapeId="0">
      <text>
        <r>
          <rPr>
            <b/>
            <sz val="9"/>
            <color indexed="81"/>
            <rFont val="Tahoma"/>
            <family val="2"/>
          </rPr>
          <t>Agnetha Simm:</t>
        </r>
        <r>
          <rPr>
            <sz val="9"/>
            <color indexed="81"/>
            <rFont val="Tahoma"/>
            <family val="2"/>
          </rPr>
          <t xml:space="preserve">
Ers 6PE117 fr o m vt-18</t>
        </r>
      </text>
    </comment>
    <comment ref="A575" authorId="0" shapeId="0">
      <text>
        <r>
          <rPr>
            <b/>
            <sz val="9"/>
            <color indexed="81"/>
            <rFont val="Tahoma"/>
            <family val="2"/>
          </rPr>
          <t>Agnetha Simm:</t>
        </r>
        <r>
          <rPr>
            <sz val="9"/>
            <color indexed="81"/>
            <rFont val="Tahoma"/>
            <family val="2"/>
          </rPr>
          <t xml:space="preserve">
Fd fiktiv 6xxxx8</t>
        </r>
      </text>
    </comment>
    <comment ref="A578" authorId="0" shapeId="0">
      <text>
        <r>
          <rPr>
            <b/>
            <sz val="9"/>
            <color indexed="81"/>
            <rFont val="Tahoma"/>
            <family val="2"/>
          </rPr>
          <t>Agnetha Simm:</t>
        </r>
        <r>
          <rPr>
            <sz val="9"/>
            <color indexed="81"/>
            <rFont val="Tahoma"/>
            <family val="2"/>
          </rPr>
          <t xml:space="preserve">
Fd fiktiv 6FRITUV1</t>
        </r>
      </text>
    </comment>
    <comment ref="B578" authorId="0" shapeId="0">
      <text>
        <r>
          <rPr>
            <b/>
            <sz val="9"/>
            <color indexed="81"/>
            <rFont val="Tahoma"/>
            <family val="2"/>
          </rPr>
          <t>Agnetha Simm:</t>
        </r>
        <r>
          <rPr>
            <sz val="9"/>
            <color indexed="81"/>
            <rFont val="Tahoma"/>
            <family val="2"/>
          </rPr>
          <t xml:space="preserve">
Benämningen förändrad efter äskandet till LH</t>
        </r>
      </text>
    </comment>
    <comment ref="A579" authorId="0" shapeId="0">
      <text>
        <r>
          <rPr>
            <b/>
            <sz val="9"/>
            <color indexed="81"/>
            <rFont val="Tahoma"/>
            <family val="2"/>
          </rPr>
          <t>Agnetha Simm:</t>
        </r>
        <r>
          <rPr>
            <sz val="9"/>
            <color indexed="81"/>
            <rFont val="Tahoma"/>
            <family val="2"/>
          </rPr>
          <t xml:space="preserve">
Ers 6PE189</t>
        </r>
      </text>
    </comment>
    <comment ref="A580" authorId="0" shapeId="0">
      <text>
        <r>
          <rPr>
            <b/>
            <sz val="9"/>
            <color indexed="81"/>
            <rFont val="Tahoma"/>
            <family val="2"/>
          </rPr>
          <t>Agnetha Simm:</t>
        </r>
        <r>
          <rPr>
            <sz val="9"/>
            <color indexed="81"/>
            <rFont val="Tahoma"/>
            <family val="2"/>
          </rPr>
          <t xml:space="preserve">
Ersätter 6PE158</t>
        </r>
      </text>
    </comment>
    <comment ref="A581" authorId="0" shapeId="0">
      <text>
        <r>
          <rPr>
            <b/>
            <sz val="9"/>
            <color indexed="81"/>
            <rFont val="Tahoma"/>
            <family val="2"/>
          </rPr>
          <t>Agnetha Simm:</t>
        </r>
        <r>
          <rPr>
            <sz val="9"/>
            <color indexed="81"/>
            <rFont val="Tahoma"/>
            <family val="2"/>
          </rPr>
          <t xml:space="preserve">
Ersätter 6PE159</t>
        </r>
      </text>
    </comment>
    <comment ref="A583" authorId="0" shapeId="0">
      <text>
        <r>
          <rPr>
            <b/>
            <sz val="9"/>
            <color indexed="81"/>
            <rFont val="Tahoma"/>
            <family val="2"/>
          </rPr>
          <t>Agnetha Simm:</t>
        </r>
        <r>
          <rPr>
            <sz val="9"/>
            <color indexed="81"/>
            <rFont val="Tahoma"/>
            <family val="2"/>
          </rPr>
          <t xml:space="preserve">
Ers 6PE196</t>
        </r>
      </text>
    </comment>
    <comment ref="A586" authorId="0" shapeId="0">
      <text>
        <r>
          <rPr>
            <b/>
            <sz val="9"/>
            <color indexed="81"/>
            <rFont val="Tahoma"/>
            <family val="2"/>
          </rPr>
          <t>Agnetha Simm:</t>
        </r>
        <r>
          <rPr>
            <sz val="9"/>
            <color indexed="81"/>
            <rFont val="Tahoma"/>
            <family val="2"/>
          </rPr>
          <t xml:space="preserve">
Ers 6SH303</t>
        </r>
      </text>
    </comment>
    <comment ref="A587" authorId="0" shapeId="0">
      <text>
        <r>
          <rPr>
            <b/>
            <sz val="9"/>
            <color indexed="81"/>
            <rFont val="Tahoma"/>
            <family val="2"/>
          </rPr>
          <t>Agnetha Simm:</t>
        </r>
        <r>
          <rPr>
            <sz val="9"/>
            <color indexed="81"/>
            <rFont val="Tahoma"/>
            <family val="2"/>
          </rPr>
          <t xml:space="preserve">
Ers fiktiv 6SOMPed1</t>
        </r>
      </text>
    </comment>
    <comment ref="A588" authorId="0" shapeId="0">
      <text>
        <r>
          <rPr>
            <b/>
            <sz val="9"/>
            <color indexed="81"/>
            <rFont val="Tahoma"/>
            <family val="2"/>
          </rPr>
          <t>Agnetha Simm:</t>
        </r>
        <r>
          <rPr>
            <sz val="9"/>
            <color indexed="81"/>
            <rFont val="Tahoma"/>
            <family val="2"/>
          </rPr>
          <t xml:space="preserve">
Fd fiktiv 6FRIPED2</t>
        </r>
      </text>
    </comment>
    <comment ref="A589" authorId="0" shapeId="0">
      <text>
        <r>
          <rPr>
            <b/>
            <sz val="9"/>
            <color indexed="81"/>
            <rFont val="Tahoma"/>
            <family val="2"/>
          </rPr>
          <t>Agnetha Simm:</t>
        </r>
        <r>
          <rPr>
            <sz val="9"/>
            <color indexed="81"/>
            <rFont val="Tahoma"/>
            <family val="2"/>
          </rPr>
          <t xml:space="preserve">
Ers fd 6PE231</t>
        </r>
      </text>
    </comment>
    <comment ref="A590" authorId="0" shapeId="0">
      <text>
        <r>
          <rPr>
            <b/>
            <sz val="9"/>
            <color indexed="81"/>
            <rFont val="Tahoma"/>
            <family val="2"/>
          </rPr>
          <t>Agnetha Simm:</t>
        </r>
        <r>
          <rPr>
            <sz val="9"/>
            <color indexed="81"/>
            <rFont val="Tahoma"/>
            <family val="2"/>
          </rPr>
          <t xml:space="preserve">
Ers fd 6PE230</t>
        </r>
      </text>
    </comment>
    <comment ref="A591" authorId="0" shapeId="0">
      <text>
        <r>
          <rPr>
            <b/>
            <sz val="9"/>
            <color indexed="81"/>
            <rFont val="Tahoma"/>
            <family val="2"/>
          </rPr>
          <t>Agnetha Simm:</t>
        </r>
        <r>
          <rPr>
            <sz val="9"/>
            <color indexed="81"/>
            <rFont val="Tahoma"/>
            <family val="2"/>
          </rPr>
          <t xml:space="preserve">
Ers fiktiv 6SPxx2b</t>
        </r>
      </text>
    </comment>
    <comment ref="A592" authorId="0" shapeId="0">
      <text>
        <r>
          <rPr>
            <b/>
            <sz val="9"/>
            <color indexed="81"/>
            <rFont val="Tahoma"/>
            <family val="2"/>
          </rPr>
          <t>Agnetha Simm:</t>
        </r>
        <r>
          <rPr>
            <sz val="9"/>
            <color indexed="81"/>
            <rFont val="Tahoma"/>
            <family val="2"/>
          </rPr>
          <t xml:space="preserve">
Fd fiktiv 6FRITUV2</t>
        </r>
      </text>
    </comment>
    <comment ref="A621" authorId="0" shapeId="0">
      <text>
        <r>
          <rPr>
            <b/>
            <sz val="9"/>
            <color indexed="81"/>
            <rFont val="Tahoma"/>
            <family val="2"/>
          </rPr>
          <t>Agnetha Simm:</t>
        </r>
        <r>
          <rPr>
            <sz val="9"/>
            <color indexed="81"/>
            <rFont val="Tahoma"/>
            <family val="2"/>
          </rPr>
          <t xml:space="preserve">
Fd fiktiv 6FRIIDE2</t>
        </r>
      </text>
    </comment>
    <comment ref="A622" authorId="0" shapeId="0">
      <text>
        <r>
          <rPr>
            <b/>
            <sz val="9"/>
            <color indexed="81"/>
            <rFont val="Tahoma"/>
            <family val="2"/>
          </rPr>
          <t>Agnetha Simm:</t>
        </r>
        <r>
          <rPr>
            <sz val="9"/>
            <color indexed="81"/>
            <rFont val="Tahoma"/>
            <family val="2"/>
          </rPr>
          <t xml:space="preserve">
Fd fiktiv 6FRIIDE3</t>
        </r>
      </text>
    </comment>
    <comment ref="A623" authorId="0" shapeId="0">
      <text>
        <r>
          <rPr>
            <b/>
            <sz val="9"/>
            <color indexed="81"/>
            <rFont val="Tahoma"/>
            <family val="2"/>
          </rPr>
          <t>Agnetha Simm:</t>
        </r>
        <r>
          <rPr>
            <sz val="9"/>
            <color indexed="81"/>
            <rFont val="Tahoma"/>
            <family val="2"/>
          </rPr>
          <t xml:space="preserve">
Fd fiktiv 6FRIIDE4</t>
        </r>
      </text>
    </comment>
    <comment ref="A624" authorId="0" shapeId="0">
      <text>
        <r>
          <rPr>
            <b/>
            <sz val="9"/>
            <color indexed="81"/>
            <rFont val="Tahoma"/>
            <family val="2"/>
          </rPr>
          <t>Agnetha Simm:</t>
        </r>
        <r>
          <rPr>
            <sz val="9"/>
            <color indexed="81"/>
            <rFont val="Tahoma"/>
            <family val="2"/>
          </rPr>
          <t xml:space="preserve">
Fd fiktiv 6FRIIDE5</t>
        </r>
      </text>
    </comment>
    <comment ref="A625" authorId="0" shapeId="0">
      <text>
        <r>
          <rPr>
            <b/>
            <sz val="9"/>
            <color indexed="81"/>
            <rFont val="Tahoma"/>
            <family val="2"/>
          </rPr>
          <t>Agnetha Simm:</t>
        </r>
        <r>
          <rPr>
            <sz val="9"/>
            <color indexed="81"/>
            <rFont val="Tahoma"/>
            <family val="2"/>
          </rPr>
          <t xml:space="preserve">
Fd fiktiv 6FRIIDE1</t>
        </r>
      </text>
    </comment>
    <comment ref="A628" authorId="0" shapeId="0">
      <text>
        <r>
          <rPr>
            <b/>
            <sz val="9"/>
            <color indexed="81"/>
            <rFont val="Tahoma"/>
            <family val="2"/>
          </rPr>
          <t>Agnetha Simm:</t>
        </r>
        <r>
          <rPr>
            <sz val="9"/>
            <color indexed="81"/>
            <rFont val="Tahoma"/>
            <family val="2"/>
          </rPr>
          <t xml:space="preserve">
Ersätter 6RV001</t>
        </r>
      </text>
    </comment>
    <comment ref="A637" authorId="0" shapeId="0">
      <text>
        <r>
          <rPr>
            <b/>
            <sz val="9"/>
            <color indexed="81"/>
            <rFont val="Tahoma"/>
            <family val="2"/>
          </rPr>
          <t>Agnetha Simm:</t>
        </r>
        <r>
          <rPr>
            <sz val="9"/>
            <color indexed="81"/>
            <rFont val="Tahoma"/>
            <family val="2"/>
          </rPr>
          <t xml:space="preserve">
Ers fiktiv 6SAund</t>
        </r>
      </text>
    </comment>
    <comment ref="A648" authorId="0" shapeId="0">
      <text>
        <r>
          <rPr>
            <b/>
            <sz val="9"/>
            <color indexed="81"/>
            <rFont val="Tahoma"/>
            <family val="2"/>
          </rPr>
          <t>Agnetha Simm:</t>
        </r>
        <r>
          <rPr>
            <sz val="9"/>
            <color indexed="81"/>
            <rFont val="Tahoma"/>
            <family val="2"/>
          </rPr>
          <t xml:space="preserve">
Ers 6LI004</t>
        </r>
      </text>
    </comment>
    <comment ref="A649" authorId="0" shapeId="0">
      <text>
        <r>
          <rPr>
            <b/>
            <sz val="9"/>
            <color indexed="81"/>
            <rFont val="Tahoma"/>
            <family val="2"/>
          </rPr>
          <t>Agnetha Simm:</t>
        </r>
        <r>
          <rPr>
            <sz val="9"/>
            <color indexed="81"/>
            <rFont val="Tahoma"/>
            <family val="2"/>
          </rPr>
          <t xml:space="preserve">
Ers fiktiv 6SPxx2a</t>
        </r>
      </text>
    </comment>
    <comment ref="A650" authorId="0" shapeId="0">
      <text>
        <r>
          <rPr>
            <b/>
            <sz val="9"/>
            <color indexed="81"/>
            <rFont val="Tahoma"/>
            <family val="2"/>
          </rPr>
          <t>Agnetha Simm:</t>
        </r>
        <r>
          <rPr>
            <sz val="9"/>
            <color indexed="81"/>
            <rFont val="Tahoma"/>
            <family val="2"/>
          </rPr>
          <t xml:space="preserve">
Ers fiktiv 6SPxx3</t>
        </r>
      </text>
    </comment>
    <comment ref="A672" authorId="0" shapeId="0">
      <text>
        <r>
          <rPr>
            <b/>
            <sz val="9"/>
            <color indexed="81"/>
            <rFont val="Tahoma"/>
            <family val="2"/>
          </rPr>
          <t>Agnetha Simm:</t>
        </r>
        <r>
          <rPr>
            <sz val="9"/>
            <color indexed="81"/>
            <rFont val="Tahoma"/>
            <family val="2"/>
          </rPr>
          <t xml:space="preserve">
Fd 6FRIEST6</t>
        </r>
      </text>
    </comment>
    <comment ref="A676" authorId="0" shapeId="0">
      <text>
        <r>
          <rPr>
            <b/>
            <sz val="9"/>
            <color indexed="81"/>
            <rFont val="Tahoma"/>
            <family val="2"/>
          </rPr>
          <t>Agnetha Simm:</t>
        </r>
        <r>
          <rPr>
            <sz val="9"/>
            <color indexed="81"/>
            <rFont val="Tahoma"/>
            <family val="2"/>
          </rPr>
          <t xml:space="preserve">
Fd fiktiv 6SLxx3</t>
        </r>
      </text>
    </comment>
    <comment ref="A677" authorId="0" shapeId="0">
      <text>
        <r>
          <rPr>
            <b/>
            <sz val="9"/>
            <color indexed="81"/>
            <rFont val="Tahoma"/>
            <family val="2"/>
          </rPr>
          <t>Agnetha Simm:</t>
        </r>
        <r>
          <rPr>
            <sz val="9"/>
            <color indexed="81"/>
            <rFont val="Tahoma"/>
            <family val="2"/>
          </rPr>
          <t xml:space="preserve">
fd fiktiv 6FRIEST1</t>
        </r>
      </text>
    </comment>
    <comment ref="A688" authorId="0" shapeId="0">
      <text>
        <r>
          <rPr>
            <b/>
            <sz val="9"/>
            <color indexed="81"/>
            <rFont val="Tahoma"/>
            <family val="2"/>
          </rPr>
          <t>Agnetha Simm:</t>
        </r>
        <r>
          <rPr>
            <sz val="9"/>
            <color indexed="81"/>
            <rFont val="Tahoma"/>
            <family val="2"/>
          </rPr>
          <t xml:space="preserve">
Ers 6SP038</t>
        </r>
      </text>
    </comment>
    <comment ref="A689" authorId="0" shapeId="0">
      <text>
        <r>
          <rPr>
            <b/>
            <sz val="9"/>
            <color indexed="81"/>
            <rFont val="Tahoma"/>
            <family val="2"/>
          </rPr>
          <t>Agnetha Simm:</t>
        </r>
        <r>
          <rPr>
            <sz val="9"/>
            <color indexed="81"/>
            <rFont val="Tahoma"/>
            <family val="2"/>
          </rPr>
          <t xml:space="preserve">
Ers 6SP039</t>
        </r>
      </text>
    </comment>
    <comment ref="A691" authorId="0" shapeId="0">
      <text>
        <r>
          <rPr>
            <b/>
            <sz val="9"/>
            <color indexed="81"/>
            <rFont val="Tahoma"/>
            <family val="2"/>
          </rPr>
          <t>Agnetha Simm:</t>
        </r>
        <r>
          <rPr>
            <sz val="9"/>
            <color indexed="81"/>
            <rFont val="Tahoma"/>
            <family val="2"/>
          </rPr>
          <t xml:space="preserve">
Ers 6SP040</t>
        </r>
      </text>
    </comment>
    <comment ref="A692" authorId="0" shapeId="0">
      <text>
        <r>
          <rPr>
            <b/>
            <sz val="9"/>
            <color indexed="81"/>
            <rFont val="Tahoma"/>
            <family val="2"/>
          </rPr>
          <t>Agnetha Simm:</t>
        </r>
        <r>
          <rPr>
            <sz val="9"/>
            <color indexed="81"/>
            <rFont val="Tahoma"/>
            <family val="2"/>
          </rPr>
          <t xml:space="preserve">
Ers 6SP049</t>
        </r>
      </text>
    </comment>
    <comment ref="A693" authorId="0" shapeId="0">
      <text>
        <r>
          <rPr>
            <b/>
            <sz val="9"/>
            <color indexed="81"/>
            <rFont val="Tahoma"/>
            <family val="2"/>
          </rPr>
          <t>Agnetha Simm:</t>
        </r>
        <r>
          <rPr>
            <sz val="9"/>
            <color indexed="81"/>
            <rFont val="Tahoma"/>
            <family val="2"/>
          </rPr>
          <t xml:space="preserve">
Ers 6SP048</t>
        </r>
      </text>
    </comment>
    <comment ref="A694" authorId="0" shapeId="0">
      <text>
        <r>
          <rPr>
            <b/>
            <sz val="9"/>
            <color indexed="81"/>
            <rFont val="Tahoma"/>
            <family val="2"/>
          </rPr>
          <t>Agnetha Simm:</t>
        </r>
        <r>
          <rPr>
            <sz val="9"/>
            <color indexed="81"/>
            <rFont val="Tahoma"/>
            <family val="2"/>
          </rPr>
          <t xml:space="preserve">
Fd fiktiv 6FRITUV1</t>
        </r>
      </text>
    </comment>
    <comment ref="A695" authorId="0" shapeId="0">
      <text>
        <r>
          <rPr>
            <b/>
            <sz val="9"/>
            <color indexed="81"/>
            <rFont val="Tahoma"/>
            <family val="2"/>
          </rPr>
          <t>Agnetha Simm:</t>
        </r>
        <r>
          <rPr>
            <sz val="9"/>
            <color indexed="81"/>
            <rFont val="Tahoma"/>
            <family val="2"/>
          </rPr>
          <t xml:space="preserve">
Ers 6SP024</t>
        </r>
      </text>
    </comment>
    <comment ref="A696" authorId="0" shapeId="0">
      <text>
        <r>
          <rPr>
            <b/>
            <sz val="9"/>
            <color indexed="81"/>
            <rFont val="Tahoma"/>
            <family val="2"/>
          </rPr>
          <t>Agnetha Simm:</t>
        </r>
        <r>
          <rPr>
            <sz val="9"/>
            <color indexed="81"/>
            <rFont val="Tahoma"/>
            <family val="2"/>
          </rPr>
          <t xml:space="preserve">
Ers fiktiv 6SPxx1</t>
        </r>
      </text>
    </comment>
    <comment ref="A697" authorId="0" shapeId="0">
      <text>
        <r>
          <rPr>
            <b/>
            <sz val="9"/>
            <color indexed="81"/>
            <rFont val="Tahoma"/>
            <family val="2"/>
          </rPr>
          <t>Agnetha Simm:</t>
        </r>
        <r>
          <rPr>
            <sz val="9"/>
            <color indexed="81"/>
            <rFont val="Tahoma"/>
            <family val="2"/>
          </rPr>
          <t xml:space="preserve">
Ers fiktiv 6SPxx2c</t>
        </r>
      </text>
    </comment>
    <comment ref="A698" authorId="0" shapeId="0">
      <text>
        <r>
          <rPr>
            <b/>
            <sz val="9"/>
            <color indexed="81"/>
            <rFont val="Tahoma"/>
            <family val="2"/>
          </rPr>
          <t>Agnetha Simm:</t>
        </r>
        <r>
          <rPr>
            <sz val="9"/>
            <color indexed="81"/>
            <rFont val="Tahoma"/>
            <family val="2"/>
          </rPr>
          <t xml:space="preserve">
Ers fiktiv 6SPxx2</t>
        </r>
      </text>
    </comment>
    <comment ref="A730" authorId="0" shapeId="0">
      <text>
        <r>
          <rPr>
            <b/>
            <sz val="9"/>
            <color indexed="81"/>
            <rFont val="Tahoma"/>
            <family val="2"/>
          </rPr>
          <t>Agnetha Simm:</t>
        </r>
        <r>
          <rPr>
            <sz val="9"/>
            <color indexed="81"/>
            <rFont val="Tahoma"/>
            <family val="2"/>
          </rPr>
          <t xml:space="preserve">
Ers 6SVund</t>
        </r>
      </text>
    </comment>
    <comment ref="A731" authorId="0" shapeId="0">
      <text>
        <r>
          <rPr>
            <b/>
            <sz val="9"/>
            <color indexed="81"/>
            <rFont val="Tahoma"/>
            <family val="2"/>
          </rPr>
          <t>Agnetha Simm:</t>
        </r>
        <r>
          <rPr>
            <sz val="9"/>
            <color indexed="81"/>
            <rFont val="Tahoma"/>
            <family val="2"/>
          </rPr>
          <t xml:space="preserve">
Ersätter 6SV034</t>
        </r>
      </text>
    </comment>
    <comment ref="A743" authorId="0" shapeId="0">
      <text>
        <r>
          <rPr>
            <b/>
            <sz val="9"/>
            <color indexed="81"/>
            <rFont val="Tahoma"/>
            <family val="2"/>
          </rPr>
          <t>Agnetha Simm:</t>
        </r>
        <r>
          <rPr>
            <sz val="9"/>
            <color indexed="81"/>
            <rFont val="Tahoma"/>
            <family val="2"/>
          </rPr>
          <t xml:space="preserve">
Ers fiktiv 6SOMSpråk3</t>
        </r>
      </text>
    </comment>
    <comment ref="A744" authorId="0" shapeId="0">
      <text>
        <r>
          <rPr>
            <b/>
            <sz val="9"/>
            <color indexed="81"/>
            <rFont val="Tahoma"/>
            <family val="2"/>
          </rPr>
          <t>Agnetha Simm:</t>
        </r>
        <r>
          <rPr>
            <sz val="9"/>
            <color indexed="81"/>
            <rFont val="Tahoma"/>
            <family val="2"/>
          </rPr>
          <t xml:space="preserve">
Ers fiktiv 6SOMSpråk3</t>
        </r>
      </text>
    </comment>
    <comment ref="A745" authorId="0" shapeId="0">
      <text>
        <r>
          <rPr>
            <b/>
            <sz val="9"/>
            <color indexed="81"/>
            <rFont val="Tahoma"/>
            <family val="2"/>
          </rPr>
          <t>Agnetha Simm:</t>
        </r>
        <r>
          <rPr>
            <sz val="9"/>
            <color indexed="81"/>
            <rFont val="Tahoma"/>
            <family val="2"/>
          </rPr>
          <t xml:space="preserve">
Ersätter fiktiv 6SOMSpråk1</t>
        </r>
      </text>
    </comment>
    <comment ref="A767" authorId="0" shapeId="0">
      <text>
        <r>
          <rPr>
            <b/>
            <sz val="9"/>
            <color indexed="81"/>
            <rFont val="Tahoma"/>
            <family val="2"/>
          </rPr>
          <t>Agnetha Simm:</t>
        </r>
        <r>
          <rPr>
            <sz val="9"/>
            <color indexed="81"/>
            <rFont val="Tahoma"/>
            <family val="2"/>
          </rPr>
          <t xml:space="preserve">
Ers 6SY027</t>
        </r>
      </text>
    </comment>
    <comment ref="A785" authorId="0" shapeId="0">
      <text>
        <r>
          <rPr>
            <b/>
            <sz val="9"/>
            <color indexed="81"/>
            <rFont val="Tahoma"/>
            <family val="2"/>
          </rPr>
          <t>Agnetha Simm:</t>
        </r>
        <r>
          <rPr>
            <sz val="9"/>
            <color indexed="81"/>
            <rFont val="Tahoma"/>
            <family val="2"/>
          </rPr>
          <t xml:space="preserve">
Fd 6FRIEST5</t>
        </r>
      </text>
    </comment>
    <comment ref="A786" authorId="0" shapeId="0">
      <text>
        <r>
          <rPr>
            <b/>
            <sz val="9"/>
            <color indexed="81"/>
            <rFont val="Tahoma"/>
            <family val="2"/>
          </rPr>
          <t>Agnetha Simm:</t>
        </r>
        <r>
          <rPr>
            <sz val="9"/>
            <color indexed="81"/>
            <rFont val="Tahoma"/>
            <family val="2"/>
          </rPr>
          <t xml:space="preserve">
Fd fiktiv 6FRIEST3</t>
        </r>
      </text>
    </comment>
    <comment ref="A787" authorId="0" shapeId="0">
      <text>
        <r>
          <rPr>
            <b/>
            <sz val="9"/>
            <color indexed="81"/>
            <rFont val="Tahoma"/>
            <family val="2"/>
          </rPr>
          <t>Agnetha Simm:</t>
        </r>
        <r>
          <rPr>
            <sz val="9"/>
            <color indexed="81"/>
            <rFont val="Tahoma"/>
            <family val="2"/>
          </rPr>
          <t xml:space="preserve">
Fd fiktiv 6FRIEST9</t>
        </r>
      </text>
    </comment>
    <comment ref="A788" authorId="0" shapeId="0">
      <text>
        <r>
          <rPr>
            <b/>
            <sz val="9"/>
            <color indexed="81"/>
            <rFont val="Tahoma"/>
            <family val="2"/>
          </rPr>
          <t>Agnetha Simm:</t>
        </r>
        <r>
          <rPr>
            <sz val="9"/>
            <color indexed="81"/>
            <rFont val="Tahoma"/>
            <family val="2"/>
          </rPr>
          <t xml:space="preserve">
Fd 6FRIEST8</t>
        </r>
      </text>
    </comment>
    <comment ref="A790" authorId="0" shapeId="0">
      <text>
        <r>
          <rPr>
            <b/>
            <sz val="9"/>
            <color indexed="81"/>
            <rFont val="Tahoma"/>
            <family val="2"/>
          </rPr>
          <t>Agnetha Simm:</t>
        </r>
        <r>
          <rPr>
            <sz val="9"/>
            <color indexed="81"/>
            <rFont val="Tahoma"/>
            <family val="2"/>
          </rPr>
          <t xml:space="preserve">
Fd fiktiv 6TXxx3</t>
        </r>
      </text>
    </comment>
    <comment ref="A791" authorId="0" shapeId="0">
      <text>
        <r>
          <rPr>
            <b/>
            <sz val="9"/>
            <color indexed="81"/>
            <rFont val="Tahoma"/>
            <family val="2"/>
          </rPr>
          <t>Agnetha Simm:</t>
        </r>
        <r>
          <rPr>
            <sz val="9"/>
            <color indexed="81"/>
            <rFont val="Tahoma"/>
            <family val="2"/>
          </rPr>
          <t xml:space="preserve">
fd fiktiv 6FRIEST2</t>
        </r>
      </text>
    </comment>
    <comment ref="A792" authorId="0" shapeId="0">
      <text>
        <r>
          <rPr>
            <b/>
            <sz val="9"/>
            <color indexed="81"/>
            <rFont val="Tahoma"/>
            <family val="2"/>
          </rPr>
          <t>Agnetha Simm:</t>
        </r>
        <r>
          <rPr>
            <sz val="9"/>
            <color indexed="81"/>
            <rFont val="Tahoma"/>
            <family val="2"/>
          </rPr>
          <t xml:space="preserve">
Ers 6TX018</t>
        </r>
      </text>
    </comment>
    <comment ref="A797" authorId="0" shapeId="0">
      <text>
        <r>
          <rPr>
            <b/>
            <sz val="9"/>
            <color indexed="81"/>
            <rFont val="Tahoma"/>
            <family val="2"/>
          </rPr>
          <t>Agnetha Simm:</t>
        </r>
        <r>
          <rPr>
            <sz val="9"/>
            <color indexed="81"/>
            <rFont val="Tahoma"/>
            <family val="2"/>
          </rPr>
          <t xml:space="preserve">
Fd 6FRISPRÅK2</t>
        </r>
      </text>
    </comment>
    <comment ref="A798" authorId="0" shapeId="0">
      <text>
        <r>
          <rPr>
            <b/>
            <sz val="9"/>
            <color indexed="81"/>
            <rFont val="Tahoma"/>
            <family val="2"/>
          </rPr>
          <t>Agnetha Simm:</t>
        </r>
        <r>
          <rPr>
            <sz val="9"/>
            <color indexed="81"/>
            <rFont val="Tahoma"/>
            <family val="2"/>
          </rPr>
          <t xml:space="preserve">
Ers 6TYund</t>
        </r>
      </text>
    </comment>
  </commentList>
</comments>
</file>

<file path=xl/comments6.xml><?xml version="1.0" encoding="utf-8"?>
<comments xmlns="http://schemas.openxmlformats.org/spreadsheetml/2006/main">
  <authors>
    <author>Agnetha Simm</author>
  </authors>
  <commentList>
    <comment ref="A118" authorId="0" shapeId="0">
      <text>
        <r>
          <rPr>
            <b/>
            <sz val="9"/>
            <color indexed="81"/>
            <rFont val="Tahoma"/>
            <family val="2"/>
          </rPr>
          <t>Agnetha Simm:</t>
        </r>
        <r>
          <rPr>
            <sz val="9"/>
            <color indexed="81"/>
            <rFont val="Tahoma"/>
            <family val="2"/>
          </rPr>
          <t xml:space="preserve">
Fd 3704 fr o m mars-19</t>
        </r>
      </text>
    </comment>
  </commentList>
</comments>
</file>

<file path=xl/comments7.xml><?xml version="1.0" encoding="utf-8"?>
<comments xmlns="http://schemas.openxmlformats.org/spreadsheetml/2006/main">
  <authors>
    <author>Agnetha Simm</author>
  </authors>
  <commentList>
    <comment ref="A37" authorId="0" shapeId="0">
      <text>
        <r>
          <rPr>
            <b/>
            <sz val="9"/>
            <color indexed="81"/>
            <rFont val="Tahoma"/>
            <family val="2"/>
          </rPr>
          <t>Agnetha Simm:</t>
        </r>
        <r>
          <rPr>
            <sz val="9"/>
            <color indexed="81"/>
            <rFont val="Tahoma"/>
            <family val="2"/>
          </rPr>
          <t xml:space="preserve">
Ers 5BI151</t>
        </r>
      </text>
    </comment>
    <comment ref="A90" authorId="0" shapeId="0">
      <text>
        <r>
          <rPr>
            <b/>
            <sz val="9"/>
            <color indexed="81"/>
            <rFont val="Tahoma"/>
            <family val="2"/>
          </rPr>
          <t>Agnetha Simm:</t>
        </r>
        <r>
          <rPr>
            <sz val="9"/>
            <color indexed="81"/>
            <rFont val="Tahoma"/>
            <family val="2"/>
          </rPr>
          <t xml:space="preserve">
Ersätter 5BI184</t>
        </r>
      </text>
    </comment>
    <comment ref="A92" authorId="0" shapeId="0">
      <text>
        <r>
          <rPr>
            <b/>
            <sz val="9"/>
            <color indexed="81"/>
            <rFont val="Tahoma"/>
            <family val="2"/>
          </rPr>
          <t>Agnetha Simm:</t>
        </r>
        <r>
          <rPr>
            <sz val="9"/>
            <color indexed="81"/>
            <rFont val="Tahoma"/>
            <family val="2"/>
          </rPr>
          <t xml:space="preserve">
Ersätter 6DI009</t>
        </r>
      </text>
    </comment>
    <comment ref="A93" authorId="0" shapeId="0">
      <text>
        <r>
          <rPr>
            <b/>
            <sz val="9"/>
            <color indexed="81"/>
            <rFont val="Tahoma"/>
            <family val="2"/>
          </rPr>
          <t>Agnetha Simm:
Ersätter 6DI007</t>
        </r>
      </text>
    </comment>
    <comment ref="A94" authorId="0" shapeId="0">
      <text>
        <r>
          <rPr>
            <b/>
            <sz val="9"/>
            <color indexed="81"/>
            <rFont val="Tahoma"/>
            <family val="2"/>
          </rPr>
          <t>Agnetha Simm:</t>
        </r>
        <r>
          <rPr>
            <sz val="9"/>
            <color indexed="81"/>
            <rFont val="Tahoma"/>
            <family val="2"/>
          </rPr>
          <t xml:space="preserve">
Ersätter 6DI008</t>
        </r>
      </text>
    </comment>
    <comment ref="A115" authorId="0" shapeId="0">
      <text>
        <r>
          <rPr>
            <b/>
            <sz val="9"/>
            <color indexed="81"/>
            <rFont val="Tahoma"/>
            <family val="2"/>
          </rPr>
          <t>Agnetha Simm:</t>
        </r>
        <r>
          <rPr>
            <sz val="9"/>
            <color indexed="81"/>
            <rFont val="Tahoma"/>
            <family val="2"/>
          </rPr>
          <t xml:space="preserve">
Ersätter 6EN028</t>
        </r>
      </text>
    </comment>
    <comment ref="A116" authorId="0" shapeId="0">
      <text>
        <r>
          <rPr>
            <b/>
            <sz val="9"/>
            <color indexed="81"/>
            <rFont val="Tahoma"/>
            <family val="2"/>
          </rPr>
          <t>Agnetha Simm:</t>
        </r>
        <r>
          <rPr>
            <sz val="9"/>
            <color indexed="81"/>
            <rFont val="Tahoma"/>
            <family val="2"/>
          </rPr>
          <t xml:space="preserve">
Fd 6EN021</t>
        </r>
      </text>
    </comment>
    <comment ref="A117" authorId="0" shapeId="0">
      <text>
        <r>
          <rPr>
            <b/>
            <sz val="9"/>
            <color indexed="81"/>
            <rFont val="Tahoma"/>
            <family val="2"/>
          </rPr>
          <t>Agnetha Simm:</t>
        </r>
        <r>
          <rPr>
            <sz val="9"/>
            <color indexed="81"/>
            <rFont val="Tahoma"/>
            <family val="2"/>
          </rPr>
          <t xml:space="preserve">
Fd 6EN023</t>
        </r>
      </text>
    </comment>
    <comment ref="A118" authorId="0" shapeId="0">
      <text>
        <r>
          <rPr>
            <b/>
            <sz val="9"/>
            <color indexed="81"/>
            <rFont val="Tahoma"/>
            <family val="2"/>
          </rPr>
          <t>Agnetha Simm:</t>
        </r>
        <r>
          <rPr>
            <sz val="9"/>
            <color indexed="81"/>
            <rFont val="Tahoma"/>
            <family val="2"/>
          </rPr>
          <t xml:space="preserve">
Ersätter 6EN022</t>
        </r>
      </text>
    </comment>
    <comment ref="A119" authorId="0" shapeId="0">
      <text>
        <r>
          <rPr>
            <b/>
            <sz val="9"/>
            <color indexed="81"/>
            <rFont val="Tahoma"/>
            <family val="2"/>
          </rPr>
          <t>Agnetha Simm:</t>
        </r>
        <r>
          <rPr>
            <sz val="9"/>
            <color indexed="81"/>
            <rFont val="Tahoma"/>
            <family val="2"/>
          </rPr>
          <t xml:space="preserve">
Ersätter 6EN024</t>
        </r>
      </text>
    </comment>
    <comment ref="A120" authorId="0" shapeId="0">
      <text>
        <r>
          <rPr>
            <b/>
            <sz val="9"/>
            <color indexed="81"/>
            <rFont val="Tahoma"/>
            <family val="2"/>
          </rPr>
          <t>Agnetha Simm:</t>
        </r>
        <r>
          <rPr>
            <sz val="9"/>
            <color indexed="81"/>
            <rFont val="Tahoma"/>
            <family val="2"/>
          </rPr>
          <t xml:space="preserve">
Ersätter 6EN025</t>
        </r>
      </text>
    </comment>
    <comment ref="A121" authorId="0" shapeId="0">
      <text>
        <r>
          <rPr>
            <b/>
            <sz val="9"/>
            <color indexed="81"/>
            <rFont val="Tahoma"/>
            <family val="2"/>
          </rPr>
          <t>Agnetha Simm:</t>
        </r>
        <r>
          <rPr>
            <sz val="9"/>
            <color indexed="81"/>
            <rFont val="Tahoma"/>
            <family val="2"/>
          </rPr>
          <t xml:space="preserve">
Ersätter fiktiv 6SOMSpråk2</t>
        </r>
      </text>
    </comment>
    <comment ref="A159" authorId="0" shapeId="0">
      <text>
        <r>
          <rPr>
            <b/>
            <sz val="9"/>
            <color indexed="81"/>
            <rFont val="Tahoma"/>
            <family val="2"/>
          </rPr>
          <t>Agnetha Simm:</t>
        </r>
        <r>
          <rPr>
            <sz val="9"/>
            <color indexed="81"/>
            <rFont val="Tahoma"/>
            <family val="2"/>
          </rPr>
          <t xml:space="preserve">
Fd fiktiv 6xxx20</t>
        </r>
      </text>
    </comment>
    <comment ref="A161" authorId="0" shapeId="0">
      <text>
        <r>
          <rPr>
            <b/>
            <sz val="9"/>
            <color indexed="81"/>
            <rFont val="Tahoma"/>
            <family val="2"/>
          </rPr>
          <t>Agnetha Simm:</t>
        </r>
        <r>
          <rPr>
            <sz val="9"/>
            <color indexed="81"/>
            <rFont val="Tahoma"/>
            <family val="2"/>
          </rPr>
          <t xml:space="preserve">
Fd fiktiv 6FRIEST7</t>
        </r>
      </text>
    </comment>
    <comment ref="A162" authorId="0" shapeId="0">
      <text>
        <r>
          <rPr>
            <b/>
            <sz val="9"/>
            <color indexed="81"/>
            <rFont val="Tahoma"/>
            <family val="2"/>
          </rPr>
          <t>Agnetha Simm:</t>
        </r>
        <r>
          <rPr>
            <sz val="9"/>
            <color indexed="81"/>
            <rFont val="Tahoma"/>
            <family val="2"/>
          </rPr>
          <t xml:space="preserve">
Fd fiktiv 6xxx22</t>
        </r>
      </text>
    </comment>
    <comment ref="A166" authorId="0" shapeId="0">
      <text>
        <r>
          <rPr>
            <b/>
            <sz val="9"/>
            <color indexed="81"/>
            <rFont val="Tahoma"/>
            <family val="2"/>
          </rPr>
          <t>Agnetha Simm:</t>
        </r>
        <r>
          <rPr>
            <sz val="9"/>
            <color indexed="81"/>
            <rFont val="Tahoma"/>
            <family val="2"/>
          </rPr>
          <t xml:space="preserve">
fd fiktiv 6FRIEST6</t>
        </r>
      </text>
    </comment>
    <comment ref="A167" authorId="0" shapeId="0">
      <text>
        <r>
          <rPr>
            <b/>
            <sz val="9"/>
            <color indexed="81"/>
            <rFont val="Tahoma"/>
            <family val="2"/>
          </rPr>
          <t>Agnetha Simm:</t>
        </r>
        <r>
          <rPr>
            <sz val="9"/>
            <color indexed="81"/>
            <rFont val="Tahoma"/>
            <family val="2"/>
          </rPr>
          <t xml:space="preserve">
fd fiktiv 6FRIEST3</t>
        </r>
      </text>
    </comment>
    <comment ref="A168" authorId="0" shapeId="0">
      <text>
        <r>
          <rPr>
            <b/>
            <sz val="9"/>
            <color indexed="81"/>
            <rFont val="Tahoma"/>
            <family val="2"/>
          </rPr>
          <t>Agnetha Simm:</t>
        </r>
        <r>
          <rPr>
            <sz val="9"/>
            <color indexed="81"/>
            <rFont val="Tahoma"/>
            <family val="2"/>
          </rPr>
          <t xml:space="preserve">
fd fiktiv 6FRIEST4</t>
        </r>
      </text>
    </comment>
    <comment ref="A170" authorId="0" shapeId="0">
      <text>
        <r>
          <rPr>
            <b/>
            <sz val="9"/>
            <color indexed="81"/>
            <rFont val="Tahoma"/>
            <family val="2"/>
          </rPr>
          <t>Agnetha Simm:</t>
        </r>
        <r>
          <rPr>
            <sz val="9"/>
            <color indexed="81"/>
            <rFont val="Tahoma"/>
            <family val="2"/>
          </rPr>
          <t xml:space="preserve">
Ers fiktiv 6BIFÖ2</t>
        </r>
      </text>
    </comment>
    <comment ref="A173" authorId="0" shapeId="0">
      <text>
        <r>
          <rPr>
            <b/>
            <sz val="9"/>
            <color indexed="81"/>
            <rFont val="Tahoma"/>
            <family val="2"/>
          </rPr>
          <t>Agnetha Simm:</t>
        </r>
        <r>
          <rPr>
            <sz val="9"/>
            <color indexed="81"/>
            <rFont val="Tahoma"/>
            <family val="2"/>
          </rPr>
          <t xml:space="preserve">
Ers fd 6ES052
</t>
        </r>
      </text>
    </comment>
    <comment ref="A174" authorId="0" shapeId="0">
      <text>
        <r>
          <rPr>
            <b/>
            <sz val="9"/>
            <color indexed="81"/>
            <rFont val="Tahoma"/>
            <family val="2"/>
          </rPr>
          <t>Agnetha Simm:</t>
        </r>
        <r>
          <rPr>
            <sz val="9"/>
            <color indexed="81"/>
            <rFont val="Tahoma"/>
            <family val="2"/>
          </rPr>
          <t xml:space="preserve">
Ers 6ES032</t>
        </r>
      </text>
    </comment>
    <comment ref="A175" authorId="0" shapeId="0">
      <text>
        <r>
          <rPr>
            <b/>
            <sz val="9"/>
            <color indexed="81"/>
            <rFont val="Tahoma"/>
            <family val="2"/>
          </rPr>
          <t>Agnetha Simm:</t>
        </r>
        <r>
          <rPr>
            <sz val="9"/>
            <color indexed="81"/>
            <rFont val="Tahoma"/>
            <family val="2"/>
          </rPr>
          <t xml:space="preserve">
Ers 6ES033</t>
        </r>
      </text>
    </comment>
    <comment ref="A176" authorId="0" shapeId="0">
      <text>
        <r>
          <rPr>
            <b/>
            <sz val="9"/>
            <color indexed="81"/>
            <rFont val="Tahoma"/>
            <family val="2"/>
          </rPr>
          <t>Agnetha Simm:</t>
        </r>
        <r>
          <rPr>
            <sz val="9"/>
            <color indexed="81"/>
            <rFont val="Tahoma"/>
            <family val="2"/>
          </rPr>
          <t xml:space="preserve">
Ers fiktiv 6xxxx9</t>
        </r>
      </text>
    </comment>
    <comment ref="A177" authorId="0" shapeId="0">
      <text>
        <r>
          <rPr>
            <b/>
            <sz val="9"/>
            <color indexed="81"/>
            <rFont val="Tahoma"/>
            <family val="2"/>
          </rPr>
          <t>Agnetha Simm:</t>
        </r>
        <r>
          <rPr>
            <sz val="9"/>
            <color indexed="81"/>
            <rFont val="Tahoma"/>
            <family val="2"/>
          </rPr>
          <t xml:space="preserve">
Ers 6ES041</t>
        </r>
      </text>
    </comment>
    <comment ref="A179" authorId="0" shapeId="0">
      <text>
        <r>
          <rPr>
            <b/>
            <sz val="9"/>
            <color indexed="81"/>
            <rFont val="Tahoma"/>
            <family val="2"/>
          </rPr>
          <t>Agnetha Simm:</t>
        </r>
        <r>
          <rPr>
            <sz val="9"/>
            <color indexed="81"/>
            <rFont val="Tahoma"/>
            <family val="2"/>
          </rPr>
          <t xml:space="preserve">
Ers fiktiv 6FRIEST3</t>
        </r>
      </text>
    </comment>
    <comment ref="A180" authorId="0" shapeId="0">
      <text>
        <r>
          <rPr>
            <b/>
            <sz val="9"/>
            <color indexed="81"/>
            <rFont val="Tahoma"/>
            <family val="2"/>
          </rPr>
          <t>Agnetha Simm:</t>
        </r>
        <r>
          <rPr>
            <sz val="9"/>
            <color indexed="81"/>
            <rFont val="Tahoma"/>
            <family val="2"/>
          </rPr>
          <t xml:space="preserve">
Ers 6ES031</t>
        </r>
      </text>
    </comment>
    <comment ref="A181" authorId="0" shapeId="0">
      <text>
        <r>
          <rPr>
            <b/>
            <sz val="9"/>
            <color indexed="81"/>
            <rFont val="Tahoma"/>
            <family val="2"/>
          </rPr>
          <t>Agnetha Simm:</t>
        </r>
        <r>
          <rPr>
            <sz val="9"/>
            <color indexed="81"/>
            <rFont val="Tahoma"/>
            <family val="2"/>
          </rPr>
          <t xml:space="preserve">
Ers fd 6ES069</t>
        </r>
      </text>
    </comment>
    <comment ref="A182" authorId="0" shapeId="0">
      <text>
        <r>
          <rPr>
            <b/>
            <sz val="9"/>
            <color indexed="81"/>
            <rFont val="Tahoma"/>
            <family val="2"/>
          </rPr>
          <t>Agnetha Simm:</t>
        </r>
        <r>
          <rPr>
            <sz val="9"/>
            <color indexed="81"/>
            <rFont val="Tahoma"/>
            <family val="2"/>
          </rPr>
          <t xml:space="preserve">
Fd fiktiv 6FRIEST2</t>
        </r>
      </text>
    </comment>
    <comment ref="A183" authorId="0" shapeId="0">
      <text>
        <r>
          <rPr>
            <b/>
            <sz val="9"/>
            <color indexed="81"/>
            <rFont val="Tahoma"/>
            <family val="2"/>
          </rPr>
          <t>Agnetha Simm:</t>
        </r>
        <r>
          <rPr>
            <sz val="9"/>
            <color indexed="81"/>
            <rFont val="Tahoma"/>
            <family val="2"/>
          </rPr>
          <t xml:space="preserve">
Fd fiktiv 6BIFÖ3</t>
        </r>
      </text>
    </comment>
    <comment ref="A184" authorId="0" shapeId="0">
      <text>
        <r>
          <rPr>
            <b/>
            <sz val="9"/>
            <color indexed="81"/>
            <rFont val="Tahoma"/>
            <family val="2"/>
          </rPr>
          <t>Agnetha Simm:</t>
        </r>
        <r>
          <rPr>
            <sz val="9"/>
            <color indexed="81"/>
            <rFont val="Tahoma"/>
            <family val="2"/>
          </rPr>
          <t xml:space="preserve">
Fd fiktiv 6FRIEST1</t>
        </r>
      </text>
    </comment>
    <comment ref="A196" authorId="0" shapeId="0">
      <text>
        <r>
          <rPr>
            <b/>
            <sz val="9"/>
            <color indexed="81"/>
            <rFont val="Tahoma"/>
            <family val="2"/>
          </rPr>
          <t>Agnetha Simm:</t>
        </r>
        <r>
          <rPr>
            <sz val="9"/>
            <color indexed="81"/>
            <rFont val="Tahoma"/>
            <family val="2"/>
          </rPr>
          <t xml:space="preserve">
Ers fd 6FA004</t>
        </r>
      </text>
    </comment>
    <comment ref="A208" authorId="0" shapeId="0">
      <text>
        <r>
          <rPr>
            <b/>
            <sz val="9"/>
            <color indexed="81"/>
            <rFont val="Tahoma"/>
            <family val="2"/>
          </rPr>
          <t>Agnetha Simm:</t>
        </r>
        <r>
          <rPr>
            <sz val="9"/>
            <color indexed="81"/>
            <rFont val="Tahoma"/>
            <family val="2"/>
          </rPr>
          <t xml:space="preserve">
Ersätter 6DI012</t>
        </r>
      </text>
    </comment>
    <comment ref="A209" authorId="0" shapeId="0">
      <text>
        <r>
          <rPr>
            <b/>
            <sz val="9"/>
            <color indexed="81"/>
            <rFont val="Tahoma"/>
            <family val="2"/>
          </rPr>
          <t>Agnetha Simm:</t>
        </r>
        <r>
          <rPr>
            <sz val="9"/>
            <color indexed="81"/>
            <rFont val="Tahoma"/>
            <family val="2"/>
          </rPr>
          <t xml:space="preserve">
Ersätter 6DI010</t>
        </r>
      </text>
    </comment>
    <comment ref="A210" authorId="0" shapeId="0">
      <text>
        <r>
          <rPr>
            <b/>
            <sz val="9"/>
            <color indexed="81"/>
            <rFont val="Tahoma"/>
            <family val="2"/>
          </rPr>
          <t>Agnetha Simm:</t>
        </r>
        <r>
          <rPr>
            <sz val="9"/>
            <color indexed="81"/>
            <rFont val="Tahoma"/>
            <family val="2"/>
          </rPr>
          <t xml:space="preserve">
Ersätter 6DI011</t>
        </r>
      </text>
    </comment>
    <comment ref="A213" authorId="0" shapeId="0">
      <text>
        <r>
          <rPr>
            <b/>
            <sz val="9"/>
            <color indexed="81"/>
            <rFont val="Tahoma"/>
            <family val="2"/>
          </rPr>
          <t>Agnetha Simm:</t>
        </r>
        <r>
          <rPr>
            <sz val="9"/>
            <color indexed="81"/>
            <rFont val="Tahoma"/>
            <family val="2"/>
          </rPr>
          <t xml:space="preserve">
Ers fiktiv 6GExx5</t>
        </r>
      </text>
    </comment>
    <comment ref="A214" authorId="0" shapeId="0">
      <text>
        <r>
          <rPr>
            <b/>
            <sz val="9"/>
            <color indexed="81"/>
            <rFont val="Tahoma"/>
            <family val="2"/>
          </rPr>
          <t>Agnetha Simm:</t>
        </r>
        <r>
          <rPr>
            <sz val="9"/>
            <color indexed="81"/>
            <rFont val="Tahoma"/>
            <family val="2"/>
          </rPr>
          <t xml:space="preserve">
Fd fiktiv 6GExx2</t>
        </r>
      </text>
    </comment>
    <comment ref="A215" authorId="0" shapeId="0">
      <text>
        <r>
          <rPr>
            <b/>
            <sz val="9"/>
            <color indexed="81"/>
            <rFont val="Tahoma"/>
            <family val="2"/>
          </rPr>
          <t>Agnetha Simm:</t>
        </r>
        <r>
          <rPr>
            <sz val="9"/>
            <color indexed="81"/>
            <rFont val="Tahoma"/>
            <family val="2"/>
          </rPr>
          <t xml:space="preserve">
Ers fiktiv 6GExx6</t>
        </r>
      </text>
    </comment>
    <comment ref="A227" authorId="0" shapeId="0">
      <text>
        <r>
          <rPr>
            <b/>
            <sz val="9"/>
            <color indexed="81"/>
            <rFont val="Tahoma"/>
            <family val="2"/>
          </rPr>
          <t>Agnetha Simm:</t>
        </r>
        <r>
          <rPr>
            <sz val="9"/>
            <color indexed="81"/>
            <rFont val="Tahoma"/>
            <family val="2"/>
          </rPr>
          <t xml:space="preserve">
Fd fiktiv kurskod 6HI8XX</t>
        </r>
      </text>
    </comment>
    <comment ref="A230" authorId="0" shapeId="0">
      <text>
        <r>
          <rPr>
            <b/>
            <sz val="9"/>
            <color indexed="81"/>
            <rFont val="Tahoma"/>
            <family val="2"/>
          </rPr>
          <t>Agnetha Simm:</t>
        </r>
        <r>
          <rPr>
            <sz val="9"/>
            <color indexed="81"/>
            <rFont val="Tahoma"/>
            <family val="2"/>
          </rPr>
          <t xml:space="preserve">
Ersätter 6HI016</t>
        </r>
      </text>
    </comment>
    <comment ref="A232" authorId="0" shapeId="0">
      <text>
        <r>
          <rPr>
            <b/>
            <sz val="9"/>
            <color indexed="81"/>
            <rFont val="Tahoma"/>
            <family val="2"/>
          </rPr>
          <t>Agnetha Simm:</t>
        </r>
        <r>
          <rPr>
            <sz val="9"/>
            <color indexed="81"/>
            <rFont val="Tahoma"/>
            <family val="2"/>
          </rPr>
          <t xml:space="preserve">
Ersätter 6HI014</t>
        </r>
      </text>
    </comment>
    <comment ref="A242" authorId="0" shapeId="0">
      <text>
        <r>
          <rPr>
            <b/>
            <sz val="9"/>
            <color indexed="81"/>
            <rFont val="Tahoma"/>
            <family val="2"/>
          </rPr>
          <t>Agnetha Simm:</t>
        </r>
        <r>
          <rPr>
            <sz val="9"/>
            <color indexed="81"/>
            <rFont val="Tahoma"/>
            <family val="2"/>
          </rPr>
          <t xml:space="preserve">
Ersätter 6ID301</t>
        </r>
      </text>
    </comment>
    <comment ref="A243" authorId="0" shapeId="0">
      <text>
        <r>
          <rPr>
            <b/>
            <sz val="9"/>
            <color indexed="81"/>
            <rFont val="Tahoma"/>
            <family val="2"/>
          </rPr>
          <t>Agnetha Simm:</t>
        </r>
        <r>
          <rPr>
            <sz val="9"/>
            <color indexed="81"/>
            <rFont val="Tahoma"/>
            <family val="2"/>
          </rPr>
          <t xml:space="preserve">
Ers 6ID303</t>
        </r>
      </text>
    </comment>
    <comment ref="A244" authorId="0" shapeId="0">
      <text>
        <r>
          <rPr>
            <b/>
            <sz val="9"/>
            <color indexed="81"/>
            <rFont val="Tahoma"/>
            <family val="2"/>
          </rPr>
          <t>Agnetha Simm:</t>
        </r>
        <r>
          <rPr>
            <sz val="9"/>
            <color indexed="81"/>
            <rFont val="Tahoma"/>
            <family val="2"/>
          </rPr>
          <t xml:space="preserve">
Ers fiktiv 6FRIPED1</t>
        </r>
      </text>
    </comment>
    <comment ref="A256" authorId="0" shapeId="0">
      <text>
        <r>
          <rPr>
            <b/>
            <sz val="9"/>
            <color indexed="81"/>
            <rFont val="Tahoma"/>
            <family val="2"/>
          </rPr>
          <t>Agnetha Simm:</t>
        </r>
        <r>
          <rPr>
            <sz val="9"/>
            <color indexed="81"/>
            <rFont val="Tahoma"/>
            <family val="2"/>
          </rPr>
          <t xml:space="preserve">
Fd fiktiv 6FRITUV7</t>
        </r>
      </text>
    </comment>
    <comment ref="A257" authorId="0" shapeId="0">
      <text>
        <r>
          <rPr>
            <b/>
            <sz val="9"/>
            <color indexed="81"/>
            <rFont val="Tahoma"/>
            <family val="2"/>
          </rPr>
          <t>Agnetha Simm:</t>
        </r>
        <r>
          <rPr>
            <sz val="9"/>
            <color indexed="81"/>
            <rFont val="Tahoma"/>
            <family val="2"/>
          </rPr>
          <t xml:space="preserve">
Fd fiktiv 6FRITUV6</t>
        </r>
      </text>
    </comment>
    <comment ref="A265" authorId="0" shapeId="0">
      <text>
        <r>
          <rPr>
            <b/>
            <sz val="9"/>
            <color indexed="81"/>
            <rFont val="Tahoma"/>
            <family val="2"/>
          </rPr>
          <t>Agnetha Simm:</t>
        </r>
        <r>
          <rPr>
            <sz val="9"/>
            <color indexed="81"/>
            <rFont val="Tahoma"/>
            <family val="2"/>
          </rPr>
          <t xml:space="preserve">
Ersätter 6DI015</t>
        </r>
      </text>
    </comment>
    <comment ref="A266" authorId="0" shapeId="0">
      <text>
        <r>
          <rPr>
            <b/>
            <sz val="9"/>
            <color indexed="81"/>
            <rFont val="Tahoma"/>
            <family val="2"/>
          </rPr>
          <t>Agnetha Simm:</t>
        </r>
        <r>
          <rPr>
            <sz val="9"/>
            <color indexed="81"/>
            <rFont val="Tahoma"/>
            <family val="2"/>
          </rPr>
          <t xml:space="preserve">
Ersätter 6DI013</t>
        </r>
      </text>
    </comment>
    <comment ref="A267" authorId="0" shapeId="0">
      <text>
        <r>
          <rPr>
            <b/>
            <sz val="9"/>
            <color indexed="81"/>
            <rFont val="Tahoma"/>
            <family val="2"/>
          </rPr>
          <t>Agnetha Simm:
Ersätter 6DI014</t>
        </r>
      </text>
    </comment>
    <comment ref="A270" authorId="0" shapeId="0">
      <text>
        <r>
          <rPr>
            <b/>
            <sz val="9"/>
            <color indexed="81"/>
            <rFont val="Tahoma"/>
            <family val="2"/>
          </rPr>
          <t>Agnetha Simm:</t>
        </r>
        <r>
          <rPr>
            <sz val="9"/>
            <color indexed="81"/>
            <rFont val="Tahoma"/>
            <family val="2"/>
          </rPr>
          <t xml:space="preserve">
Ers fiktiv 6GExx8</t>
        </r>
      </text>
    </comment>
    <comment ref="A271" authorId="0" shapeId="0">
      <text>
        <r>
          <rPr>
            <b/>
            <sz val="9"/>
            <color indexed="81"/>
            <rFont val="Tahoma"/>
            <family val="2"/>
          </rPr>
          <t>Agnetha Simm:</t>
        </r>
        <r>
          <rPr>
            <sz val="9"/>
            <color indexed="81"/>
            <rFont val="Tahoma"/>
            <family val="2"/>
          </rPr>
          <t xml:space="preserve">
Fd fiktiv 6GExx1</t>
        </r>
      </text>
    </comment>
    <comment ref="A272" authorId="0" shapeId="0">
      <text>
        <r>
          <rPr>
            <b/>
            <sz val="9"/>
            <color indexed="81"/>
            <rFont val="Tahoma"/>
            <family val="2"/>
          </rPr>
          <t>Agnetha Simm:</t>
        </r>
        <r>
          <rPr>
            <sz val="9"/>
            <color indexed="81"/>
            <rFont val="Tahoma"/>
            <family val="2"/>
          </rPr>
          <t xml:space="preserve">
Fd fiktiv 6GExx3</t>
        </r>
      </text>
    </comment>
    <comment ref="A273" authorId="0" shapeId="0">
      <text>
        <r>
          <rPr>
            <b/>
            <sz val="9"/>
            <color indexed="81"/>
            <rFont val="Tahoma"/>
            <family val="2"/>
          </rPr>
          <t>Agnetha Simm:</t>
        </r>
        <r>
          <rPr>
            <sz val="9"/>
            <color indexed="81"/>
            <rFont val="Tahoma"/>
            <family val="2"/>
          </rPr>
          <t xml:space="preserve">
Ersätter fiktiv 6GExx4</t>
        </r>
      </text>
    </comment>
    <comment ref="A274" authorId="0" shapeId="0">
      <text>
        <r>
          <rPr>
            <b/>
            <sz val="9"/>
            <color indexed="81"/>
            <rFont val="Tahoma"/>
            <family val="2"/>
          </rPr>
          <t>Agnetha Simm:</t>
        </r>
        <r>
          <rPr>
            <sz val="9"/>
            <color indexed="81"/>
            <rFont val="Tahoma"/>
            <family val="2"/>
          </rPr>
          <t xml:space="preserve">
Ers fiktiv 6GExx7</t>
        </r>
      </text>
    </comment>
    <comment ref="A275" authorId="0" shapeId="0">
      <text>
        <r>
          <rPr>
            <b/>
            <sz val="9"/>
            <color indexed="81"/>
            <rFont val="Tahoma"/>
            <family val="2"/>
          </rPr>
          <t>Agnetha Simm:</t>
        </r>
        <r>
          <rPr>
            <sz val="9"/>
            <color indexed="81"/>
            <rFont val="Tahoma"/>
            <family val="2"/>
          </rPr>
          <t xml:space="preserve">
Ers fiktiv 6GEx10</t>
        </r>
      </text>
    </comment>
    <comment ref="A276" authorId="0" shapeId="0">
      <text>
        <r>
          <rPr>
            <b/>
            <sz val="9"/>
            <color indexed="81"/>
            <rFont val="Tahoma"/>
            <family val="2"/>
          </rPr>
          <t>Agnetha Simm:</t>
        </r>
        <r>
          <rPr>
            <sz val="9"/>
            <color indexed="81"/>
            <rFont val="Tahoma"/>
            <family val="2"/>
          </rPr>
          <t xml:space="preserve">
Fd fiktiv 6GEund</t>
        </r>
      </text>
    </comment>
    <comment ref="A290" authorId="0" shapeId="0">
      <text>
        <r>
          <rPr>
            <b/>
            <sz val="9"/>
            <color indexed="81"/>
            <rFont val="Tahoma"/>
            <family val="2"/>
          </rPr>
          <t>Agnetha Simm:</t>
        </r>
        <r>
          <rPr>
            <sz val="9"/>
            <color indexed="81"/>
            <rFont val="Tahoma"/>
            <family val="2"/>
          </rPr>
          <t xml:space="preserve">
Ers 6KN009</t>
        </r>
      </text>
    </comment>
    <comment ref="A298" authorId="0" shapeId="0">
      <text>
        <r>
          <rPr>
            <b/>
            <sz val="9"/>
            <color indexed="81"/>
            <rFont val="Tahoma"/>
            <family val="2"/>
          </rPr>
          <t>Agnetha Simm:</t>
        </r>
        <r>
          <rPr>
            <sz val="9"/>
            <color indexed="81"/>
            <rFont val="Tahoma"/>
            <family val="2"/>
          </rPr>
          <t xml:space="preserve">
Se 6PE171 resp 169</t>
        </r>
      </text>
    </comment>
    <comment ref="A303" authorId="0" shapeId="0">
      <text>
        <r>
          <rPr>
            <b/>
            <sz val="9"/>
            <color indexed="81"/>
            <rFont val="Tahoma"/>
            <family val="2"/>
          </rPr>
          <t>Agnetha Simm:</t>
        </r>
        <r>
          <rPr>
            <sz val="9"/>
            <color indexed="81"/>
            <rFont val="Tahoma"/>
            <family val="2"/>
          </rPr>
          <t xml:space="preserve">
Ersätter 6LI006</t>
        </r>
      </text>
    </comment>
    <comment ref="A304" authorId="0" shapeId="0">
      <text>
        <r>
          <rPr>
            <b/>
            <sz val="9"/>
            <color indexed="81"/>
            <rFont val="Tahoma"/>
            <family val="2"/>
          </rPr>
          <t>Agnetha Simm:</t>
        </r>
        <r>
          <rPr>
            <sz val="9"/>
            <color indexed="81"/>
            <rFont val="Tahoma"/>
            <family val="2"/>
          </rPr>
          <t xml:space="preserve">
Fd 6FRISPRÅK1</t>
        </r>
      </text>
    </comment>
    <comment ref="A307" authorId="0" shapeId="0">
      <text>
        <r>
          <rPr>
            <b/>
            <sz val="9"/>
            <color indexed="81"/>
            <rFont val="Tahoma"/>
            <family val="2"/>
          </rPr>
          <t>Agnetha Simm:</t>
        </r>
        <r>
          <rPr>
            <sz val="9"/>
            <color indexed="81"/>
            <rFont val="Tahoma"/>
            <family val="2"/>
          </rPr>
          <t xml:space="preserve">
Fd fiktiv 6FRISPRÅK3</t>
        </r>
      </text>
    </comment>
    <comment ref="A308" authorId="0" shapeId="0">
      <text>
        <r>
          <rPr>
            <b/>
            <sz val="9"/>
            <color indexed="81"/>
            <rFont val="Tahoma"/>
            <family val="2"/>
          </rPr>
          <t>Agnetha Simm:</t>
        </r>
        <r>
          <rPr>
            <sz val="9"/>
            <color indexed="81"/>
            <rFont val="Tahoma"/>
            <family val="2"/>
          </rPr>
          <t xml:space="preserve">
Ersätter 6LI005</t>
        </r>
      </text>
    </comment>
    <comment ref="A313" authorId="0" shapeId="0">
      <text>
        <r>
          <rPr>
            <b/>
            <sz val="9"/>
            <color indexed="81"/>
            <rFont val="Tahoma"/>
            <family val="2"/>
          </rPr>
          <t>Agnetha Simm:</t>
        </r>
        <r>
          <rPr>
            <sz val="9"/>
            <color indexed="81"/>
            <rFont val="Tahoma"/>
            <family val="2"/>
          </rPr>
          <t xml:space="preserve">
Fd fiktiv 6UKI4</t>
        </r>
      </text>
    </comment>
    <comment ref="A314" authorId="0" shapeId="0">
      <text>
        <r>
          <rPr>
            <b/>
            <sz val="9"/>
            <color indexed="81"/>
            <rFont val="Tahoma"/>
            <family val="2"/>
          </rPr>
          <t>Agnetha Simm:</t>
        </r>
        <r>
          <rPr>
            <sz val="9"/>
            <color indexed="81"/>
            <rFont val="Tahoma"/>
            <family val="2"/>
          </rPr>
          <t xml:space="preserve">
Fd fiktiv 6UKI5</t>
        </r>
      </text>
    </comment>
    <comment ref="A316" authorId="0" shapeId="0">
      <text>
        <r>
          <rPr>
            <b/>
            <sz val="9"/>
            <color indexed="81"/>
            <rFont val="Tahoma"/>
            <family val="2"/>
          </rPr>
          <t>Agnetha Simm:</t>
        </r>
        <r>
          <rPr>
            <sz val="9"/>
            <color indexed="81"/>
            <rFont val="Tahoma"/>
            <family val="2"/>
          </rPr>
          <t xml:space="preserve">
Fd fiktiv kurskod 6NYFRIST30</t>
        </r>
      </text>
    </comment>
    <comment ref="A328" authorId="0" shapeId="0">
      <text>
        <r>
          <rPr>
            <b/>
            <sz val="9"/>
            <color indexed="81"/>
            <rFont val="Tahoma"/>
            <family val="2"/>
          </rPr>
          <t>Agnetha Simm:</t>
        </r>
        <r>
          <rPr>
            <sz val="9"/>
            <color indexed="81"/>
            <rFont val="Tahoma"/>
            <family val="2"/>
          </rPr>
          <t xml:space="preserve">
Fd fiktiv kurskod 6SP8YY</t>
        </r>
      </text>
    </comment>
    <comment ref="A333" authorId="0" shapeId="0">
      <text>
        <r>
          <rPr>
            <b/>
            <sz val="9"/>
            <color indexed="81"/>
            <rFont val="Tahoma"/>
            <family val="2"/>
          </rPr>
          <t>Agnetha Simm:</t>
        </r>
        <r>
          <rPr>
            <sz val="9"/>
            <color indexed="81"/>
            <rFont val="Tahoma"/>
            <family val="2"/>
          </rPr>
          <t xml:space="preserve">
fd fiktiv 6xxx12</t>
        </r>
      </text>
    </comment>
    <comment ref="A402" authorId="0" shapeId="0">
      <text>
        <r>
          <rPr>
            <b/>
            <sz val="9"/>
            <color indexed="81"/>
            <rFont val="Tahoma"/>
            <family val="2"/>
          </rPr>
          <t>Agnetha Simm:</t>
        </r>
        <r>
          <rPr>
            <sz val="9"/>
            <color indexed="81"/>
            <rFont val="Tahoma"/>
            <family val="2"/>
          </rPr>
          <t xml:space="preserve">
Ers 6MA031 fr o m vt-19</t>
        </r>
      </text>
    </comment>
    <comment ref="A403" authorId="0" shapeId="0">
      <text>
        <r>
          <rPr>
            <b/>
            <sz val="9"/>
            <color indexed="81"/>
            <rFont val="Tahoma"/>
            <family val="2"/>
          </rPr>
          <t>Agnetha Simm:</t>
        </r>
        <r>
          <rPr>
            <sz val="9"/>
            <color indexed="81"/>
            <rFont val="Tahoma"/>
            <family val="2"/>
          </rPr>
          <t xml:space="preserve">
Ersätter 6MA020</t>
        </r>
      </text>
    </comment>
    <comment ref="A405" authorId="0" shapeId="0">
      <text>
        <r>
          <rPr>
            <b/>
            <sz val="9"/>
            <color indexed="81"/>
            <rFont val="Tahoma"/>
            <family val="2"/>
          </rPr>
          <t>Agnetha Simm:</t>
        </r>
        <r>
          <rPr>
            <sz val="9"/>
            <color indexed="81"/>
            <rFont val="Tahoma"/>
            <family val="2"/>
          </rPr>
          <t xml:space="preserve">
Ersätter 6MS001</t>
        </r>
      </text>
    </comment>
    <comment ref="A416" authorId="0" shapeId="0">
      <text>
        <r>
          <rPr>
            <b/>
            <sz val="9"/>
            <color indexed="81"/>
            <rFont val="Tahoma"/>
            <family val="2"/>
          </rPr>
          <t>Agnetha Simm:</t>
        </r>
        <r>
          <rPr>
            <sz val="9"/>
            <color indexed="81"/>
            <rFont val="Tahoma"/>
            <family val="2"/>
          </rPr>
          <t xml:space="preserve">
Fd 6NYFRIST25</t>
        </r>
      </text>
    </comment>
    <comment ref="A423" authorId="0" shapeId="0">
      <text>
        <r>
          <rPr>
            <b/>
            <sz val="9"/>
            <color indexed="81"/>
            <rFont val="Tahoma"/>
            <family val="2"/>
          </rPr>
          <t>Agnetha Simm:</t>
        </r>
        <r>
          <rPr>
            <sz val="9"/>
            <color indexed="81"/>
            <rFont val="Tahoma"/>
            <family val="2"/>
          </rPr>
          <t xml:space="preserve">
Fd fiktiv 6FRIEST4</t>
        </r>
      </text>
    </comment>
    <comment ref="A428" authorId="0" shapeId="0">
      <text>
        <r>
          <rPr>
            <b/>
            <sz val="9"/>
            <color indexed="81"/>
            <rFont val="Tahoma"/>
            <family val="2"/>
          </rPr>
          <t>Agnetha Simm:</t>
        </r>
        <r>
          <rPr>
            <sz val="9"/>
            <color indexed="81"/>
            <rFont val="Tahoma"/>
            <family val="2"/>
          </rPr>
          <t xml:space="preserve">
Ers 6MU022</t>
        </r>
      </text>
    </comment>
    <comment ref="A429" authorId="0" shapeId="0">
      <text>
        <r>
          <rPr>
            <b/>
            <sz val="9"/>
            <color indexed="81"/>
            <rFont val="Tahoma"/>
            <family val="2"/>
          </rPr>
          <t>Agnetha Simm:</t>
        </r>
        <r>
          <rPr>
            <sz val="9"/>
            <color indexed="81"/>
            <rFont val="Tahoma"/>
            <family val="2"/>
          </rPr>
          <t xml:space="preserve">
Ers 6MU050</t>
        </r>
      </text>
    </comment>
    <comment ref="A447" authorId="0" shapeId="0">
      <text>
        <r>
          <rPr>
            <b/>
            <sz val="9"/>
            <color indexed="81"/>
            <rFont val="Tahoma"/>
            <family val="2"/>
          </rPr>
          <t>Agnetha Simm:</t>
        </r>
        <r>
          <rPr>
            <sz val="9"/>
            <color indexed="81"/>
            <rFont val="Tahoma"/>
            <family val="2"/>
          </rPr>
          <t xml:space="preserve">
Fd fiktiv 6xxxx7</t>
        </r>
      </text>
    </comment>
    <comment ref="A488" authorId="0" shapeId="0">
      <text>
        <r>
          <rPr>
            <b/>
            <sz val="9"/>
            <color indexed="81"/>
            <rFont val="Tahoma"/>
            <family val="2"/>
          </rPr>
          <t>Agnetha Simm:</t>
        </r>
        <r>
          <rPr>
            <sz val="9"/>
            <color indexed="81"/>
            <rFont val="Tahoma"/>
            <family val="2"/>
          </rPr>
          <t xml:space="preserve">
Se 6PE259</t>
        </r>
      </text>
    </comment>
    <comment ref="A490" authorId="0" shapeId="0">
      <text>
        <r>
          <rPr>
            <b/>
            <sz val="9"/>
            <color indexed="81"/>
            <rFont val="Tahoma"/>
            <family val="2"/>
          </rPr>
          <t>Agnetha Simm:</t>
        </r>
        <r>
          <rPr>
            <sz val="9"/>
            <color indexed="81"/>
            <rFont val="Tahoma"/>
            <family val="2"/>
          </rPr>
          <t xml:space="preserve">
Fd fiktiv kurskod 6SH7XX
Kursansvar tillfälligt Pedagogik vt-15. Ny kurs (kurskod) på g inför ht -15. OBS Stämmer ej med kursplan där TUV står som kursansvarig.</t>
        </r>
      </text>
    </comment>
    <comment ref="B490" authorId="0" shapeId="0">
      <text>
        <r>
          <rPr>
            <b/>
            <sz val="9"/>
            <color indexed="81"/>
            <rFont val="Tahoma"/>
            <family val="2"/>
          </rPr>
          <t>Agnetha Simm:</t>
        </r>
        <r>
          <rPr>
            <sz val="9"/>
            <color indexed="81"/>
            <rFont val="Tahoma"/>
            <family val="2"/>
          </rPr>
          <t xml:space="preserve">
Ändrat 150112</t>
        </r>
      </text>
    </comment>
    <comment ref="A504" authorId="0" shapeId="0">
      <text>
        <r>
          <rPr>
            <b/>
            <sz val="9"/>
            <color indexed="81"/>
            <rFont val="Tahoma"/>
            <family val="2"/>
          </rPr>
          <t>Agnetha Simm:</t>
        </r>
        <r>
          <rPr>
            <sz val="9"/>
            <color indexed="81"/>
            <rFont val="Tahoma"/>
            <family val="2"/>
          </rPr>
          <t xml:space="preserve">
Fd kurskod 6PE142</t>
        </r>
      </text>
    </comment>
    <comment ref="A505" authorId="0" shapeId="0">
      <text>
        <r>
          <rPr>
            <b/>
            <sz val="9"/>
            <color indexed="81"/>
            <rFont val="Tahoma"/>
            <family val="2"/>
          </rPr>
          <t>Agnetha Simm:</t>
        </r>
        <r>
          <rPr>
            <sz val="9"/>
            <color indexed="81"/>
            <rFont val="Tahoma"/>
            <family val="2"/>
          </rPr>
          <t xml:space="preserve">
Fd kurskod 6PE141</t>
        </r>
      </text>
    </comment>
    <comment ref="A508" authorId="0" shapeId="0">
      <text>
        <r>
          <rPr>
            <b/>
            <sz val="9"/>
            <color indexed="81"/>
            <rFont val="Tahoma"/>
            <family val="2"/>
          </rPr>
          <t>Agnetha Simm:</t>
        </r>
        <r>
          <rPr>
            <sz val="9"/>
            <color indexed="81"/>
            <rFont val="Tahoma"/>
            <family val="2"/>
          </rPr>
          <t xml:space="preserve">
Fd fiktiv kurskod 6LU0xx</t>
        </r>
      </text>
    </comment>
    <comment ref="A539" authorId="0" shapeId="0">
      <text>
        <r>
          <rPr>
            <b/>
            <sz val="9"/>
            <color indexed="81"/>
            <rFont val="Tahoma"/>
            <family val="2"/>
          </rPr>
          <t>Agnetha Simm:</t>
        </r>
        <r>
          <rPr>
            <sz val="9"/>
            <color indexed="81"/>
            <rFont val="Tahoma"/>
            <family val="2"/>
          </rPr>
          <t xml:space="preserve">
Fd 6NYFRIST12</t>
        </r>
      </text>
    </comment>
    <comment ref="A540" authorId="0" shapeId="0">
      <text>
        <r>
          <rPr>
            <b/>
            <sz val="9"/>
            <color indexed="81"/>
            <rFont val="Tahoma"/>
            <family val="2"/>
          </rPr>
          <t>Agnetha Simm:</t>
        </r>
        <r>
          <rPr>
            <sz val="9"/>
            <color indexed="81"/>
            <rFont val="Tahoma"/>
            <family val="2"/>
          </rPr>
          <t xml:space="preserve">
Fd fiktiv 6UKI1a</t>
        </r>
      </text>
    </comment>
    <comment ref="A541" authorId="0" shapeId="0">
      <text>
        <r>
          <rPr>
            <b/>
            <sz val="9"/>
            <color indexed="81"/>
            <rFont val="Tahoma"/>
            <family val="2"/>
          </rPr>
          <t>Agnetha Simm:</t>
        </r>
        <r>
          <rPr>
            <sz val="9"/>
            <color indexed="81"/>
            <rFont val="Tahoma"/>
            <family val="2"/>
          </rPr>
          <t xml:space="preserve">
Fd fiktiv 6VFU3a</t>
        </r>
      </text>
    </comment>
    <comment ref="A558" authorId="0" shapeId="0">
      <text>
        <r>
          <rPr>
            <b/>
            <sz val="9"/>
            <color indexed="81"/>
            <rFont val="Tahoma"/>
            <family val="2"/>
          </rPr>
          <t>Agnetha Simm:</t>
        </r>
        <r>
          <rPr>
            <sz val="9"/>
            <color indexed="81"/>
            <rFont val="Tahoma"/>
            <family val="2"/>
          </rPr>
          <t xml:space="preserve">
Ers 6PE093 fr o m ht-16 (kull h15)</t>
        </r>
      </text>
    </comment>
    <comment ref="A560" authorId="0" shapeId="0">
      <text>
        <r>
          <rPr>
            <b/>
            <sz val="9"/>
            <color indexed="81"/>
            <rFont val="Tahoma"/>
            <family val="2"/>
          </rPr>
          <t>Agnetha Simm:</t>
        </r>
        <r>
          <rPr>
            <sz val="9"/>
            <color indexed="81"/>
            <rFont val="Tahoma"/>
            <family val="2"/>
          </rPr>
          <t xml:space="preserve">
Ersätter 6PE174</t>
        </r>
      </text>
    </comment>
    <comment ref="A562" authorId="0" shapeId="0">
      <text>
        <r>
          <rPr>
            <b/>
            <sz val="9"/>
            <color indexed="81"/>
            <rFont val="Tahoma"/>
            <family val="2"/>
          </rPr>
          <t>Agnetha Simm:</t>
        </r>
        <r>
          <rPr>
            <sz val="9"/>
            <color indexed="81"/>
            <rFont val="Tahoma"/>
            <family val="2"/>
          </rPr>
          <t xml:space="preserve">
Ersätter 6PE173</t>
        </r>
      </text>
    </comment>
    <comment ref="A586" authorId="0" shapeId="0">
      <text>
        <r>
          <rPr>
            <b/>
            <sz val="9"/>
            <color indexed="81"/>
            <rFont val="Tahoma"/>
            <family val="2"/>
          </rPr>
          <t>Agnetha Simm:</t>
        </r>
        <r>
          <rPr>
            <sz val="9"/>
            <color indexed="81"/>
            <rFont val="Tahoma"/>
            <family val="2"/>
          </rPr>
          <t xml:space="preserve">
Fd 6FRITUV5</t>
        </r>
      </text>
    </comment>
    <comment ref="A587" authorId="0" shapeId="0">
      <text>
        <r>
          <rPr>
            <b/>
            <sz val="9"/>
            <color indexed="81"/>
            <rFont val="Tahoma"/>
            <family val="2"/>
          </rPr>
          <t>Agnetha Simm:</t>
        </r>
        <r>
          <rPr>
            <sz val="9"/>
            <color indexed="81"/>
            <rFont val="Tahoma"/>
            <family val="2"/>
          </rPr>
          <t xml:space="preserve">
Fd fiktiv 6FRINMD1</t>
        </r>
      </text>
    </comment>
    <comment ref="A588" authorId="0" shapeId="0">
      <text>
        <r>
          <rPr>
            <b/>
            <sz val="9"/>
            <color indexed="81"/>
            <rFont val="Tahoma"/>
            <family val="2"/>
          </rPr>
          <t>Agnetha Simm:</t>
        </r>
        <r>
          <rPr>
            <sz val="9"/>
            <color indexed="81"/>
            <rFont val="Tahoma"/>
            <family val="2"/>
          </rPr>
          <t xml:space="preserve">
Ers 6PE139</t>
        </r>
      </text>
    </comment>
    <comment ref="A589" authorId="0" shapeId="0">
      <text>
        <r>
          <rPr>
            <b/>
            <sz val="9"/>
            <color indexed="81"/>
            <rFont val="Tahoma"/>
            <family val="2"/>
          </rPr>
          <t>Agnetha Simm:</t>
        </r>
        <r>
          <rPr>
            <sz val="9"/>
            <color indexed="81"/>
            <rFont val="Tahoma"/>
            <family val="2"/>
          </rPr>
          <t xml:space="preserve">
Ers 6PE140</t>
        </r>
      </text>
    </comment>
    <comment ref="A590" authorId="0" shapeId="0">
      <text>
        <r>
          <rPr>
            <b/>
            <sz val="9"/>
            <color indexed="81"/>
            <rFont val="Tahoma"/>
            <family val="2"/>
          </rPr>
          <t>Agnetha Simm:</t>
        </r>
        <r>
          <rPr>
            <sz val="9"/>
            <color indexed="81"/>
            <rFont val="Tahoma"/>
            <family val="2"/>
          </rPr>
          <t xml:space="preserve">
Fd fiktiv 6FRITUV9</t>
        </r>
      </text>
    </comment>
    <comment ref="A591" authorId="0" shapeId="0">
      <text>
        <r>
          <rPr>
            <b/>
            <sz val="9"/>
            <color indexed="81"/>
            <rFont val="Tahoma"/>
            <family val="2"/>
          </rPr>
          <t>Agnetha Simm:</t>
        </r>
        <r>
          <rPr>
            <sz val="9"/>
            <color indexed="81"/>
            <rFont val="Tahoma"/>
            <family val="2"/>
          </rPr>
          <t xml:space="preserve">
Fd fiktiv 6FRITUV8</t>
        </r>
      </text>
    </comment>
    <comment ref="A592" authorId="0" shapeId="0">
      <text>
        <r>
          <rPr>
            <b/>
            <sz val="9"/>
            <color indexed="81"/>
            <rFont val="Tahoma"/>
            <family val="2"/>
          </rPr>
          <t>Agnetha Simm:</t>
        </r>
        <r>
          <rPr>
            <sz val="9"/>
            <color indexed="81"/>
            <rFont val="Tahoma"/>
            <family val="2"/>
          </rPr>
          <t xml:space="preserve">
Ers fd 6PE232</t>
        </r>
      </text>
    </comment>
    <comment ref="A593" authorId="0" shapeId="0">
      <text>
        <r>
          <rPr>
            <b/>
            <sz val="9"/>
            <color indexed="81"/>
            <rFont val="Tahoma"/>
            <family val="2"/>
          </rPr>
          <t>Agnetha Simm:</t>
        </r>
        <r>
          <rPr>
            <sz val="9"/>
            <color indexed="81"/>
            <rFont val="Tahoma"/>
            <family val="2"/>
          </rPr>
          <t xml:space="preserve">
Ers fd 6PE233</t>
        </r>
      </text>
    </comment>
    <comment ref="A594" authorId="0" shapeId="0">
      <text>
        <r>
          <rPr>
            <b/>
            <sz val="9"/>
            <color indexed="81"/>
            <rFont val="Tahoma"/>
            <family val="2"/>
          </rPr>
          <t>Agnetha Simm:</t>
        </r>
        <r>
          <rPr>
            <sz val="9"/>
            <color indexed="81"/>
            <rFont val="Tahoma"/>
            <family val="2"/>
          </rPr>
          <t xml:space="preserve">
Fd fiktiv 6xxx22</t>
        </r>
      </text>
    </comment>
    <comment ref="A595" authorId="0" shapeId="0">
      <text>
        <r>
          <rPr>
            <b/>
            <sz val="9"/>
            <color indexed="81"/>
            <rFont val="Tahoma"/>
            <family val="2"/>
          </rPr>
          <t>Agnetha Simm:</t>
        </r>
        <r>
          <rPr>
            <sz val="9"/>
            <color indexed="81"/>
            <rFont val="Tahoma"/>
            <family val="2"/>
          </rPr>
          <t xml:space="preserve">
Fd fiktiv 6xxx24</t>
        </r>
      </text>
    </comment>
    <comment ref="A596" authorId="0" shapeId="0">
      <text>
        <r>
          <rPr>
            <b/>
            <sz val="9"/>
            <color indexed="81"/>
            <rFont val="Tahoma"/>
            <family val="2"/>
          </rPr>
          <t>Agnetha Simm:</t>
        </r>
        <r>
          <rPr>
            <sz val="9"/>
            <color indexed="81"/>
            <rFont val="Tahoma"/>
            <family val="2"/>
          </rPr>
          <t xml:space="preserve">
Ers 6PE100</t>
        </r>
      </text>
    </comment>
    <comment ref="A597" authorId="0" shapeId="0">
      <text>
        <r>
          <rPr>
            <b/>
            <sz val="9"/>
            <color indexed="81"/>
            <rFont val="Tahoma"/>
            <family val="2"/>
          </rPr>
          <t>Agnetha Simm:</t>
        </r>
        <r>
          <rPr>
            <sz val="9"/>
            <color indexed="81"/>
            <rFont val="Tahoma"/>
            <family val="2"/>
          </rPr>
          <t xml:space="preserve">
Fd fiktiv 6xxxx6</t>
        </r>
      </text>
    </comment>
    <comment ref="A598" authorId="0" shapeId="0">
      <text>
        <r>
          <rPr>
            <b/>
            <sz val="9"/>
            <color indexed="81"/>
            <rFont val="Tahoma"/>
            <family val="2"/>
          </rPr>
          <t>Agnetha Simm:</t>
        </r>
        <r>
          <rPr>
            <sz val="9"/>
            <color indexed="81"/>
            <rFont val="Tahoma"/>
            <family val="2"/>
          </rPr>
          <t xml:space="preserve">
Fd 6PE102</t>
        </r>
      </text>
    </comment>
    <comment ref="A599" authorId="0" shapeId="0">
      <text>
        <r>
          <rPr>
            <b/>
            <sz val="9"/>
            <color indexed="81"/>
            <rFont val="Tahoma"/>
            <family val="2"/>
          </rPr>
          <t>Agnetha Simm:</t>
        </r>
        <r>
          <rPr>
            <sz val="9"/>
            <color indexed="81"/>
            <rFont val="Tahoma"/>
            <family val="2"/>
          </rPr>
          <t xml:space="preserve">
Fd 6PE105</t>
        </r>
      </text>
    </comment>
    <comment ref="A604" authorId="0" shapeId="0">
      <text>
        <r>
          <rPr>
            <b/>
            <sz val="9"/>
            <color indexed="81"/>
            <rFont val="Tahoma"/>
            <family val="2"/>
          </rPr>
          <t>Agnetha Simm:</t>
        </r>
        <r>
          <rPr>
            <sz val="9"/>
            <color indexed="81"/>
            <rFont val="Tahoma"/>
            <family val="2"/>
          </rPr>
          <t xml:space="preserve">
Ersätter 6PE117 fr o m vt-18</t>
        </r>
      </text>
    </comment>
    <comment ref="A605" authorId="0" shapeId="0">
      <text>
        <r>
          <rPr>
            <b/>
            <sz val="9"/>
            <color indexed="81"/>
            <rFont val="Tahoma"/>
            <family val="2"/>
          </rPr>
          <t>Agnetha Simm:</t>
        </r>
        <r>
          <rPr>
            <sz val="9"/>
            <color indexed="81"/>
            <rFont val="Tahoma"/>
            <family val="2"/>
          </rPr>
          <t xml:space="preserve">
Fd fiktiv 6xxxx8</t>
        </r>
      </text>
    </comment>
    <comment ref="A608" authorId="0" shapeId="0">
      <text>
        <r>
          <rPr>
            <b/>
            <sz val="9"/>
            <color indexed="81"/>
            <rFont val="Tahoma"/>
            <family val="2"/>
          </rPr>
          <t>Agnetha Simm:</t>
        </r>
        <r>
          <rPr>
            <sz val="9"/>
            <color indexed="81"/>
            <rFont val="Tahoma"/>
            <family val="2"/>
          </rPr>
          <t xml:space="preserve">
Fd fiktiv 6FRITUV1</t>
        </r>
      </text>
    </comment>
    <comment ref="A609" authorId="0" shapeId="0">
      <text>
        <r>
          <rPr>
            <b/>
            <sz val="9"/>
            <color indexed="81"/>
            <rFont val="Tahoma"/>
            <family val="2"/>
          </rPr>
          <t>Agnetha Simm:</t>
        </r>
        <r>
          <rPr>
            <sz val="9"/>
            <color indexed="81"/>
            <rFont val="Tahoma"/>
            <family val="2"/>
          </rPr>
          <t xml:space="preserve">
Ers 6PE189</t>
        </r>
      </text>
    </comment>
    <comment ref="A610" authorId="0" shapeId="0">
      <text>
        <r>
          <rPr>
            <b/>
            <sz val="9"/>
            <color indexed="81"/>
            <rFont val="Tahoma"/>
            <family val="2"/>
          </rPr>
          <t>Agnetha Simm:</t>
        </r>
        <r>
          <rPr>
            <sz val="9"/>
            <color indexed="81"/>
            <rFont val="Tahoma"/>
            <family val="2"/>
          </rPr>
          <t xml:space="preserve">
Ersätter 6PE158</t>
        </r>
      </text>
    </comment>
    <comment ref="A611" authorId="0" shapeId="0">
      <text>
        <r>
          <rPr>
            <b/>
            <sz val="9"/>
            <color indexed="81"/>
            <rFont val="Tahoma"/>
            <family val="2"/>
          </rPr>
          <t>Agnetha Simm:</t>
        </r>
        <r>
          <rPr>
            <sz val="9"/>
            <color indexed="81"/>
            <rFont val="Tahoma"/>
            <family val="2"/>
          </rPr>
          <t xml:space="preserve">
Ersätter 6PE159</t>
        </r>
      </text>
    </comment>
    <comment ref="A612" authorId="0" shapeId="0">
      <text>
        <r>
          <rPr>
            <b/>
            <sz val="9"/>
            <color indexed="81"/>
            <rFont val="Tahoma"/>
            <family val="2"/>
          </rPr>
          <t>Agnetha Simm:</t>
        </r>
        <r>
          <rPr>
            <sz val="9"/>
            <color indexed="81"/>
            <rFont val="Tahoma"/>
            <family val="2"/>
          </rPr>
          <t xml:space="preserve">
Ers 6PE215</t>
        </r>
      </text>
    </comment>
    <comment ref="A613" authorId="0" shapeId="0">
      <text>
        <r>
          <rPr>
            <b/>
            <sz val="9"/>
            <color indexed="81"/>
            <rFont val="Tahoma"/>
            <family val="2"/>
          </rPr>
          <t>Agnetha Simm:</t>
        </r>
        <r>
          <rPr>
            <sz val="9"/>
            <color indexed="81"/>
            <rFont val="Tahoma"/>
            <family val="2"/>
          </rPr>
          <t xml:space="preserve">
Ers 6PE196</t>
        </r>
      </text>
    </comment>
    <comment ref="A614" authorId="0" shapeId="0">
      <text>
        <r>
          <rPr>
            <b/>
            <sz val="9"/>
            <color indexed="81"/>
            <rFont val="Tahoma"/>
            <family val="2"/>
          </rPr>
          <t>Agnetha Simm:</t>
        </r>
        <r>
          <rPr>
            <sz val="9"/>
            <color indexed="81"/>
            <rFont val="Tahoma"/>
            <family val="2"/>
          </rPr>
          <t xml:space="preserve">
Ers 6BI019</t>
        </r>
      </text>
    </comment>
    <comment ref="A616" authorId="0" shapeId="0">
      <text>
        <r>
          <rPr>
            <b/>
            <sz val="9"/>
            <color indexed="81"/>
            <rFont val="Tahoma"/>
            <family val="2"/>
          </rPr>
          <t>Agnetha Simm:</t>
        </r>
        <r>
          <rPr>
            <sz val="9"/>
            <color indexed="81"/>
            <rFont val="Tahoma"/>
            <family val="2"/>
          </rPr>
          <t xml:space="preserve">
Ers 6SH303</t>
        </r>
      </text>
    </comment>
    <comment ref="A617" authorId="0" shapeId="0">
      <text>
        <r>
          <rPr>
            <b/>
            <sz val="9"/>
            <color indexed="81"/>
            <rFont val="Tahoma"/>
            <family val="2"/>
          </rPr>
          <t>Agnetha Simm:</t>
        </r>
        <r>
          <rPr>
            <sz val="9"/>
            <color indexed="81"/>
            <rFont val="Tahoma"/>
            <family val="2"/>
          </rPr>
          <t xml:space="preserve">
Ers fiktiv 6SOMPed1</t>
        </r>
      </text>
    </comment>
    <comment ref="A618" authorId="0" shapeId="0">
      <text>
        <r>
          <rPr>
            <b/>
            <sz val="9"/>
            <color indexed="81"/>
            <rFont val="Tahoma"/>
            <family val="2"/>
          </rPr>
          <t>Agnetha Simm:</t>
        </r>
        <r>
          <rPr>
            <sz val="9"/>
            <color indexed="81"/>
            <rFont val="Tahoma"/>
            <family val="2"/>
          </rPr>
          <t xml:space="preserve">
Fd fiktiv 6FRIPED2</t>
        </r>
      </text>
    </comment>
    <comment ref="A619" authorId="0" shapeId="0">
      <text>
        <r>
          <rPr>
            <b/>
            <sz val="9"/>
            <color indexed="81"/>
            <rFont val="Tahoma"/>
            <family val="2"/>
          </rPr>
          <t>Agnetha Simm:</t>
        </r>
        <r>
          <rPr>
            <sz val="9"/>
            <color indexed="81"/>
            <rFont val="Tahoma"/>
            <family val="2"/>
          </rPr>
          <t xml:space="preserve">
Ers fd 6PE231</t>
        </r>
      </text>
    </comment>
    <comment ref="A620" authorId="0" shapeId="0">
      <text>
        <r>
          <rPr>
            <b/>
            <sz val="9"/>
            <color indexed="81"/>
            <rFont val="Tahoma"/>
            <family val="2"/>
          </rPr>
          <t>Agnetha Simm:</t>
        </r>
        <r>
          <rPr>
            <sz val="9"/>
            <color indexed="81"/>
            <rFont val="Tahoma"/>
            <family val="2"/>
          </rPr>
          <t xml:space="preserve">
Ers fd 6PE230</t>
        </r>
      </text>
    </comment>
    <comment ref="A621" authorId="0" shapeId="0">
      <text>
        <r>
          <rPr>
            <b/>
            <sz val="9"/>
            <color indexed="81"/>
            <rFont val="Tahoma"/>
            <family val="2"/>
          </rPr>
          <t>Agnetha Simm:</t>
        </r>
        <r>
          <rPr>
            <sz val="9"/>
            <color indexed="81"/>
            <rFont val="Tahoma"/>
            <family val="2"/>
          </rPr>
          <t xml:space="preserve">
Ers fiktiv 6SPxx2b</t>
        </r>
      </text>
    </comment>
    <comment ref="A622" authorId="0" shapeId="0">
      <text>
        <r>
          <rPr>
            <b/>
            <sz val="9"/>
            <color indexed="81"/>
            <rFont val="Tahoma"/>
            <family val="2"/>
          </rPr>
          <t>Agnetha Simm:</t>
        </r>
        <r>
          <rPr>
            <sz val="9"/>
            <color indexed="81"/>
            <rFont val="Tahoma"/>
            <family val="2"/>
          </rPr>
          <t xml:space="preserve">
Fd fiktiv 6FRITUV2</t>
        </r>
      </text>
    </comment>
    <comment ref="A659" authorId="0" shapeId="0">
      <text>
        <r>
          <rPr>
            <b/>
            <sz val="9"/>
            <color indexed="81"/>
            <rFont val="Tahoma"/>
            <family val="2"/>
          </rPr>
          <t>Agnetha Simm:</t>
        </r>
        <r>
          <rPr>
            <sz val="9"/>
            <color indexed="81"/>
            <rFont val="Tahoma"/>
            <family val="2"/>
          </rPr>
          <t xml:space="preserve">
Ersätter 6RV001</t>
        </r>
      </text>
    </comment>
    <comment ref="A660" authorId="0" shapeId="0">
      <text>
        <r>
          <rPr>
            <b/>
            <sz val="9"/>
            <color indexed="81"/>
            <rFont val="Tahoma"/>
            <family val="2"/>
          </rPr>
          <t>Agnetha Simm:</t>
        </r>
        <r>
          <rPr>
            <sz val="9"/>
            <color indexed="81"/>
            <rFont val="Tahoma"/>
            <family val="2"/>
          </rPr>
          <t xml:space="preserve">
Ers 6RV000</t>
        </r>
      </text>
    </comment>
    <comment ref="A661" authorId="0" shapeId="0">
      <text>
        <r>
          <rPr>
            <b/>
            <sz val="9"/>
            <color indexed="81"/>
            <rFont val="Tahoma"/>
            <family val="2"/>
          </rPr>
          <t>Agnetha Simm:</t>
        </r>
        <r>
          <rPr>
            <sz val="9"/>
            <color indexed="81"/>
            <rFont val="Tahoma"/>
            <family val="2"/>
          </rPr>
          <t xml:space="preserve">
Ers 6RV002</t>
        </r>
      </text>
    </comment>
    <comment ref="A668" authorId="0" shapeId="0">
      <text>
        <r>
          <rPr>
            <b/>
            <sz val="9"/>
            <color indexed="81"/>
            <rFont val="Tahoma"/>
            <family val="2"/>
          </rPr>
          <t>Agnetha Simm:</t>
        </r>
        <r>
          <rPr>
            <sz val="9"/>
            <color indexed="81"/>
            <rFont val="Tahoma"/>
            <family val="2"/>
          </rPr>
          <t xml:space="preserve">
Ers fiktiv 6SAund</t>
        </r>
      </text>
    </comment>
    <comment ref="A679" authorId="0" shapeId="0">
      <text>
        <r>
          <rPr>
            <b/>
            <sz val="9"/>
            <color indexed="81"/>
            <rFont val="Tahoma"/>
            <family val="2"/>
          </rPr>
          <t>Agnetha Simm:</t>
        </r>
        <r>
          <rPr>
            <sz val="9"/>
            <color indexed="81"/>
            <rFont val="Tahoma"/>
            <family val="2"/>
          </rPr>
          <t xml:space="preserve">
Ers 6LI004</t>
        </r>
      </text>
    </comment>
    <comment ref="A680" authorId="0" shapeId="0">
      <text>
        <r>
          <rPr>
            <b/>
            <sz val="9"/>
            <color indexed="81"/>
            <rFont val="Tahoma"/>
            <family val="2"/>
          </rPr>
          <t>Agnetha Simm:</t>
        </r>
        <r>
          <rPr>
            <sz val="9"/>
            <color indexed="81"/>
            <rFont val="Tahoma"/>
            <family val="2"/>
          </rPr>
          <t xml:space="preserve">
Ers fiktiv 6SPxx2a</t>
        </r>
      </text>
    </comment>
    <comment ref="A681" authorId="0" shapeId="0">
      <text>
        <r>
          <rPr>
            <b/>
            <sz val="9"/>
            <color indexed="81"/>
            <rFont val="Tahoma"/>
            <family val="2"/>
          </rPr>
          <t>Agnetha Simm:</t>
        </r>
        <r>
          <rPr>
            <sz val="9"/>
            <color indexed="81"/>
            <rFont val="Tahoma"/>
            <family val="2"/>
          </rPr>
          <t xml:space="preserve">
Ers fiktiv 6SPxx3</t>
        </r>
      </text>
    </comment>
    <comment ref="A690" authorId="0" shapeId="0">
      <text>
        <r>
          <rPr>
            <b/>
            <sz val="9"/>
            <color indexed="81"/>
            <rFont val="Tahoma"/>
            <family val="2"/>
          </rPr>
          <t>Agnetha Simm:</t>
        </r>
        <r>
          <rPr>
            <sz val="9"/>
            <color indexed="81"/>
            <rFont val="Tahoma"/>
            <family val="2"/>
          </rPr>
          <t xml:space="preserve">
Se 6PE119</t>
        </r>
      </text>
    </comment>
    <comment ref="A703" authorId="0" shapeId="0">
      <text>
        <r>
          <rPr>
            <b/>
            <sz val="9"/>
            <color indexed="81"/>
            <rFont val="Tahoma"/>
            <family val="2"/>
          </rPr>
          <t>Agnetha Simm:</t>
        </r>
        <r>
          <rPr>
            <sz val="9"/>
            <color indexed="81"/>
            <rFont val="Tahoma"/>
            <family val="2"/>
          </rPr>
          <t xml:space="preserve">
Fd 6FRIEST6</t>
        </r>
      </text>
    </comment>
    <comment ref="A707" authorId="0" shapeId="0">
      <text>
        <r>
          <rPr>
            <b/>
            <sz val="9"/>
            <color indexed="81"/>
            <rFont val="Tahoma"/>
            <family val="2"/>
          </rPr>
          <t>Agnetha Simm:</t>
        </r>
        <r>
          <rPr>
            <sz val="9"/>
            <color indexed="81"/>
            <rFont val="Tahoma"/>
            <family val="2"/>
          </rPr>
          <t xml:space="preserve">
Fd fiktiv 6SLxx3</t>
        </r>
      </text>
    </comment>
    <comment ref="A708" authorId="0" shapeId="0">
      <text>
        <r>
          <rPr>
            <b/>
            <sz val="9"/>
            <color indexed="81"/>
            <rFont val="Tahoma"/>
            <family val="2"/>
          </rPr>
          <t>Agnetha Simm:</t>
        </r>
        <r>
          <rPr>
            <sz val="9"/>
            <color indexed="81"/>
            <rFont val="Tahoma"/>
            <family val="2"/>
          </rPr>
          <t xml:space="preserve">
fd fiktiv 6FRIEST1</t>
        </r>
      </text>
    </comment>
    <comment ref="A714" authorId="0" shapeId="0">
      <text>
        <r>
          <rPr>
            <b/>
            <sz val="9"/>
            <color indexed="81"/>
            <rFont val="Tahoma"/>
            <family val="2"/>
          </rPr>
          <t>Agnetha Simm:</t>
        </r>
        <r>
          <rPr>
            <sz val="9"/>
            <color indexed="81"/>
            <rFont val="Tahoma"/>
            <family val="2"/>
          </rPr>
          <t xml:space="preserve">
Fd 6FRISPRÅK8</t>
        </r>
      </text>
    </comment>
    <comment ref="A721" authorId="0" shapeId="0">
      <text>
        <r>
          <rPr>
            <b/>
            <sz val="9"/>
            <color indexed="81"/>
            <rFont val="Tahoma"/>
            <family val="2"/>
          </rPr>
          <t>Agnetha Simm:</t>
        </r>
        <r>
          <rPr>
            <sz val="9"/>
            <color indexed="81"/>
            <rFont val="Tahoma"/>
            <family val="2"/>
          </rPr>
          <t xml:space="preserve">
Ers 6SP038</t>
        </r>
      </text>
    </comment>
    <comment ref="A722" authorId="0" shapeId="0">
      <text>
        <r>
          <rPr>
            <b/>
            <sz val="9"/>
            <color indexed="81"/>
            <rFont val="Tahoma"/>
            <family val="2"/>
          </rPr>
          <t>Agnetha Simm:</t>
        </r>
        <r>
          <rPr>
            <sz val="9"/>
            <color indexed="81"/>
            <rFont val="Tahoma"/>
            <family val="2"/>
          </rPr>
          <t xml:space="preserve">
Ers 6SP039</t>
        </r>
      </text>
    </comment>
    <comment ref="A724" authorId="0" shapeId="0">
      <text>
        <r>
          <rPr>
            <b/>
            <sz val="9"/>
            <color indexed="81"/>
            <rFont val="Tahoma"/>
            <family val="2"/>
          </rPr>
          <t>Agnetha Simm:</t>
        </r>
        <r>
          <rPr>
            <sz val="9"/>
            <color indexed="81"/>
            <rFont val="Tahoma"/>
            <family val="2"/>
          </rPr>
          <t xml:space="preserve">
Ers 6SP040</t>
        </r>
      </text>
    </comment>
    <comment ref="A725" authorId="0" shapeId="0">
      <text>
        <r>
          <rPr>
            <b/>
            <sz val="9"/>
            <color indexed="81"/>
            <rFont val="Tahoma"/>
            <family val="2"/>
          </rPr>
          <t>Agnetha Simm:</t>
        </r>
        <r>
          <rPr>
            <sz val="9"/>
            <color indexed="81"/>
            <rFont val="Tahoma"/>
            <family val="2"/>
          </rPr>
          <t xml:space="preserve">
Ers 6SP049</t>
        </r>
      </text>
    </comment>
    <comment ref="A726" authorId="0" shapeId="0">
      <text>
        <r>
          <rPr>
            <b/>
            <sz val="9"/>
            <color indexed="81"/>
            <rFont val="Tahoma"/>
            <family val="2"/>
          </rPr>
          <t>Agnetha Simm:</t>
        </r>
        <r>
          <rPr>
            <sz val="9"/>
            <color indexed="81"/>
            <rFont val="Tahoma"/>
            <family val="2"/>
          </rPr>
          <t xml:space="preserve">
Ers 6SP048</t>
        </r>
      </text>
    </comment>
    <comment ref="A727" authorId="0" shapeId="0">
      <text>
        <r>
          <rPr>
            <b/>
            <sz val="9"/>
            <color indexed="81"/>
            <rFont val="Tahoma"/>
            <family val="2"/>
          </rPr>
          <t>Agnetha Simm:</t>
        </r>
        <r>
          <rPr>
            <sz val="9"/>
            <color indexed="81"/>
            <rFont val="Tahoma"/>
            <family val="2"/>
          </rPr>
          <t xml:space="preserve">
Fd fiktiv 6FRITUV1</t>
        </r>
      </text>
    </comment>
    <comment ref="A728" authorId="0" shapeId="0">
      <text>
        <r>
          <rPr>
            <b/>
            <sz val="9"/>
            <color indexed="81"/>
            <rFont val="Tahoma"/>
            <family val="2"/>
          </rPr>
          <t>Agnetha Simm:</t>
        </r>
        <r>
          <rPr>
            <sz val="9"/>
            <color indexed="81"/>
            <rFont val="Tahoma"/>
            <family val="2"/>
          </rPr>
          <t xml:space="preserve">
Ersätter 6SP024</t>
        </r>
      </text>
    </comment>
    <comment ref="A729" authorId="0" shapeId="0">
      <text>
        <r>
          <rPr>
            <b/>
            <sz val="9"/>
            <color indexed="81"/>
            <rFont val="Tahoma"/>
            <family val="2"/>
          </rPr>
          <t>Agnetha Simm:</t>
        </r>
        <r>
          <rPr>
            <sz val="9"/>
            <color indexed="81"/>
            <rFont val="Tahoma"/>
            <family val="2"/>
          </rPr>
          <t xml:space="preserve">
Ers fiktiv 6SPxx1</t>
        </r>
      </text>
    </comment>
    <comment ref="A730" authorId="0" shapeId="0">
      <text>
        <r>
          <rPr>
            <b/>
            <sz val="9"/>
            <color indexed="81"/>
            <rFont val="Tahoma"/>
            <family val="2"/>
          </rPr>
          <t>Agnetha Simm:</t>
        </r>
        <r>
          <rPr>
            <sz val="9"/>
            <color indexed="81"/>
            <rFont val="Tahoma"/>
            <family val="2"/>
          </rPr>
          <t xml:space="preserve">
Ers fiktiv 6SPxx2c</t>
        </r>
      </text>
    </comment>
    <comment ref="A731" authorId="0" shapeId="0">
      <text>
        <r>
          <rPr>
            <b/>
            <sz val="9"/>
            <color indexed="81"/>
            <rFont val="Tahoma"/>
            <family val="2"/>
          </rPr>
          <t>Agnetha Simm:</t>
        </r>
        <r>
          <rPr>
            <sz val="9"/>
            <color indexed="81"/>
            <rFont val="Tahoma"/>
            <family val="2"/>
          </rPr>
          <t xml:space="preserve">
Ers fiktiv 6SPxx2</t>
        </r>
      </text>
    </comment>
    <comment ref="A766" authorId="0" shapeId="0">
      <text>
        <r>
          <rPr>
            <b/>
            <sz val="9"/>
            <color indexed="81"/>
            <rFont val="Tahoma"/>
            <family val="2"/>
          </rPr>
          <t>Agnetha Simm:</t>
        </r>
        <r>
          <rPr>
            <sz val="9"/>
            <color indexed="81"/>
            <rFont val="Tahoma"/>
            <family val="2"/>
          </rPr>
          <t xml:space="preserve">
Ers 6SVund</t>
        </r>
      </text>
    </comment>
    <comment ref="A767" authorId="0" shapeId="0">
      <text>
        <r>
          <rPr>
            <b/>
            <sz val="9"/>
            <color indexed="81"/>
            <rFont val="Tahoma"/>
            <family val="2"/>
          </rPr>
          <t>Agnetha Simm:</t>
        </r>
        <r>
          <rPr>
            <sz val="9"/>
            <color indexed="81"/>
            <rFont val="Tahoma"/>
            <family val="2"/>
          </rPr>
          <t xml:space="preserve">
Ersätter 6SV034</t>
        </r>
      </text>
    </comment>
    <comment ref="A781" authorId="0" shapeId="0">
      <text>
        <r>
          <rPr>
            <b/>
            <sz val="9"/>
            <color indexed="81"/>
            <rFont val="Tahoma"/>
            <family val="2"/>
          </rPr>
          <t>Agnetha Simm:</t>
        </r>
        <r>
          <rPr>
            <sz val="9"/>
            <color indexed="81"/>
            <rFont val="Tahoma"/>
            <family val="2"/>
          </rPr>
          <t xml:space="preserve">
Ersätter fiktiv 6SOMSpråk1</t>
        </r>
      </text>
    </comment>
    <comment ref="A819" authorId="0" shapeId="0">
      <text>
        <r>
          <rPr>
            <b/>
            <sz val="9"/>
            <color indexed="81"/>
            <rFont val="Tahoma"/>
            <family val="2"/>
          </rPr>
          <t>Agnetha Simm:</t>
        </r>
        <r>
          <rPr>
            <sz val="9"/>
            <color indexed="81"/>
            <rFont val="Tahoma"/>
            <family val="2"/>
          </rPr>
          <t xml:space="preserve">
Fd 6NYFRIST23</t>
        </r>
      </text>
    </comment>
    <comment ref="A821" authorId="0" shapeId="0">
      <text>
        <r>
          <rPr>
            <b/>
            <sz val="9"/>
            <color indexed="81"/>
            <rFont val="Tahoma"/>
            <family val="2"/>
          </rPr>
          <t>Agnetha Simm:</t>
        </r>
        <r>
          <rPr>
            <sz val="9"/>
            <color indexed="81"/>
            <rFont val="Tahoma"/>
            <family val="2"/>
          </rPr>
          <t xml:space="preserve">
Fd 6FRIEST5</t>
        </r>
      </text>
    </comment>
    <comment ref="A822" authorId="0" shapeId="0">
      <text>
        <r>
          <rPr>
            <b/>
            <sz val="9"/>
            <color indexed="81"/>
            <rFont val="Tahoma"/>
            <family val="2"/>
          </rPr>
          <t>Agnetha Simm:</t>
        </r>
        <r>
          <rPr>
            <sz val="9"/>
            <color indexed="81"/>
            <rFont val="Tahoma"/>
            <family val="2"/>
          </rPr>
          <t xml:space="preserve">
Fd fiktiv 6FRIEST3</t>
        </r>
      </text>
    </comment>
    <comment ref="A823" authorId="0" shapeId="0">
      <text>
        <r>
          <rPr>
            <b/>
            <sz val="9"/>
            <color indexed="81"/>
            <rFont val="Tahoma"/>
            <family val="2"/>
          </rPr>
          <t>Agnetha Simm:</t>
        </r>
        <r>
          <rPr>
            <sz val="9"/>
            <color indexed="81"/>
            <rFont val="Tahoma"/>
            <family val="2"/>
          </rPr>
          <t xml:space="preserve">
Fd fiktiv 6FRIEST9</t>
        </r>
      </text>
    </comment>
    <comment ref="A824" authorId="0" shapeId="0">
      <text>
        <r>
          <rPr>
            <b/>
            <sz val="9"/>
            <color indexed="81"/>
            <rFont val="Tahoma"/>
            <family val="2"/>
          </rPr>
          <t>Agnetha Simm:</t>
        </r>
        <r>
          <rPr>
            <sz val="9"/>
            <color indexed="81"/>
            <rFont val="Tahoma"/>
            <family val="2"/>
          </rPr>
          <t xml:space="preserve">
Fd 6FRIEST8</t>
        </r>
      </text>
    </comment>
    <comment ref="A826" authorId="0" shapeId="0">
      <text>
        <r>
          <rPr>
            <b/>
            <sz val="9"/>
            <color indexed="81"/>
            <rFont val="Tahoma"/>
            <family val="2"/>
          </rPr>
          <t>Agnetha Simm:</t>
        </r>
        <r>
          <rPr>
            <sz val="9"/>
            <color indexed="81"/>
            <rFont val="Tahoma"/>
            <family val="2"/>
          </rPr>
          <t xml:space="preserve">
Fd fiktiv 6TXxx3</t>
        </r>
      </text>
    </comment>
    <comment ref="A827" authorId="0" shapeId="0">
      <text>
        <r>
          <rPr>
            <b/>
            <sz val="9"/>
            <color indexed="81"/>
            <rFont val="Tahoma"/>
            <family val="2"/>
          </rPr>
          <t>Agnetha Simm:</t>
        </r>
        <r>
          <rPr>
            <sz val="9"/>
            <color indexed="81"/>
            <rFont val="Tahoma"/>
            <family val="2"/>
          </rPr>
          <t xml:space="preserve">
fd fiktiv 6FRIEST2</t>
        </r>
      </text>
    </comment>
    <comment ref="A828" authorId="0" shapeId="0">
      <text>
        <r>
          <rPr>
            <b/>
            <sz val="9"/>
            <color indexed="81"/>
            <rFont val="Tahoma"/>
            <family val="2"/>
          </rPr>
          <t>Agnetha Simm:</t>
        </r>
        <r>
          <rPr>
            <sz val="9"/>
            <color indexed="81"/>
            <rFont val="Tahoma"/>
            <family val="2"/>
          </rPr>
          <t xml:space="preserve">
Ers 6TX018</t>
        </r>
      </text>
    </comment>
    <comment ref="A833" authorId="0" shapeId="0">
      <text>
        <r>
          <rPr>
            <b/>
            <sz val="9"/>
            <color indexed="81"/>
            <rFont val="Tahoma"/>
            <family val="2"/>
          </rPr>
          <t>Agnetha Simm:</t>
        </r>
        <r>
          <rPr>
            <sz val="9"/>
            <color indexed="81"/>
            <rFont val="Tahoma"/>
            <family val="2"/>
          </rPr>
          <t xml:space="preserve">
Fd 6FRISPRÅK2</t>
        </r>
      </text>
    </comment>
    <comment ref="A834" authorId="0" shapeId="0">
      <text>
        <r>
          <rPr>
            <b/>
            <sz val="9"/>
            <color indexed="81"/>
            <rFont val="Tahoma"/>
            <family val="2"/>
          </rPr>
          <t>Agnetha Simm:</t>
        </r>
        <r>
          <rPr>
            <sz val="9"/>
            <color indexed="81"/>
            <rFont val="Tahoma"/>
            <family val="2"/>
          </rPr>
          <t xml:space="preserve">
Ers 6TYund</t>
        </r>
      </text>
    </comment>
  </commentList>
</comments>
</file>

<file path=xl/comments8.xml><?xml version="1.0" encoding="utf-8"?>
<comments xmlns="http://schemas.openxmlformats.org/spreadsheetml/2006/main">
  <authors>
    <author>Agnetha Simm</author>
  </authors>
  <commentList>
    <comment ref="A7" authorId="0" shapeId="0">
      <text>
        <r>
          <rPr>
            <b/>
            <sz val="9"/>
            <color indexed="81"/>
            <rFont val="Tahoma"/>
            <family val="2"/>
          </rPr>
          <t>Agnetha Simm:</t>
        </r>
        <r>
          <rPr>
            <sz val="9"/>
            <color indexed="81"/>
            <rFont val="Tahoma"/>
            <family val="2"/>
          </rPr>
          <t xml:space="preserve">
Ersätter 6ID301</t>
        </r>
      </text>
    </comment>
    <comment ref="A8" authorId="0" shapeId="0">
      <text>
        <r>
          <rPr>
            <b/>
            <sz val="9"/>
            <color indexed="81"/>
            <rFont val="Tahoma"/>
            <family val="2"/>
          </rPr>
          <t>Agnetha Simm:</t>
        </r>
        <r>
          <rPr>
            <sz val="9"/>
            <color indexed="81"/>
            <rFont val="Tahoma"/>
            <family val="2"/>
          </rPr>
          <t xml:space="preserve">
Ersätter 6ID301</t>
        </r>
      </text>
    </comment>
    <comment ref="A9" authorId="0" shapeId="0">
      <text>
        <r>
          <rPr>
            <b/>
            <sz val="9"/>
            <color indexed="81"/>
            <rFont val="Tahoma"/>
            <family val="2"/>
          </rPr>
          <t>Agnetha Simm:</t>
        </r>
        <r>
          <rPr>
            <sz val="9"/>
            <color indexed="81"/>
            <rFont val="Tahoma"/>
            <family val="2"/>
          </rPr>
          <t xml:space="preserve">
Ers 6ID303</t>
        </r>
      </text>
    </comment>
    <comment ref="A12" authorId="0" shapeId="0">
      <text>
        <r>
          <rPr>
            <b/>
            <sz val="9"/>
            <color indexed="81"/>
            <rFont val="Tahoma"/>
            <family val="2"/>
          </rPr>
          <t>Agnetha Simm:</t>
        </r>
        <r>
          <rPr>
            <sz val="9"/>
            <color indexed="81"/>
            <rFont val="Tahoma"/>
            <family val="2"/>
          </rPr>
          <t xml:space="preserve">
Ers fiktiv 6GExx4</t>
        </r>
      </text>
    </comment>
    <comment ref="A13" authorId="0" shapeId="0">
      <text>
        <r>
          <rPr>
            <b/>
            <sz val="9"/>
            <color indexed="81"/>
            <rFont val="Tahoma"/>
            <family val="2"/>
          </rPr>
          <t>Agnetha Simm:</t>
        </r>
        <r>
          <rPr>
            <sz val="9"/>
            <color indexed="81"/>
            <rFont val="Tahoma"/>
            <family val="2"/>
          </rPr>
          <t xml:space="preserve">
Ersätter 6LI005</t>
        </r>
      </text>
    </comment>
    <comment ref="A78" authorId="0" shapeId="0">
      <text>
        <r>
          <rPr>
            <b/>
            <sz val="9"/>
            <color indexed="81"/>
            <rFont val="Tahoma"/>
            <family val="2"/>
          </rPr>
          <t>Agnetha Simm:</t>
        </r>
        <r>
          <rPr>
            <sz val="9"/>
            <color indexed="81"/>
            <rFont val="Tahoma"/>
            <family val="2"/>
          </rPr>
          <t xml:space="preserve">
Ers 6PE189</t>
        </r>
      </text>
    </comment>
    <comment ref="A79" authorId="0" shapeId="0">
      <text>
        <r>
          <rPr>
            <b/>
            <sz val="9"/>
            <color indexed="81"/>
            <rFont val="Tahoma"/>
            <family val="2"/>
          </rPr>
          <t>Agnetha Simm:</t>
        </r>
        <r>
          <rPr>
            <sz val="9"/>
            <color indexed="81"/>
            <rFont val="Tahoma"/>
            <family val="2"/>
          </rPr>
          <t xml:space="preserve">
Ers 6PE189</t>
        </r>
      </text>
    </comment>
    <comment ref="A80" authorId="0" shapeId="0">
      <text>
        <r>
          <rPr>
            <b/>
            <sz val="9"/>
            <color indexed="81"/>
            <rFont val="Tahoma"/>
            <family val="2"/>
          </rPr>
          <t>Agnetha Simm:</t>
        </r>
        <r>
          <rPr>
            <sz val="9"/>
            <color indexed="81"/>
            <rFont val="Tahoma"/>
            <family val="2"/>
          </rPr>
          <t xml:space="preserve">
Ersätter 6PE158</t>
        </r>
      </text>
    </comment>
    <comment ref="A81" authorId="0" shapeId="0">
      <text>
        <r>
          <rPr>
            <b/>
            <sz val="9"/>
            <color indexed="81"/>
            <rFont val="Tahoma"/>
            <family val="2"/>
          </rPr>
          <t>Agnetha Simm:</t>
        </r>
        <r>
          <rPr>
            <sz val="9"/>
            <color indexed="81"/>
            <rFont val="Tahoma"/>
            <family val="2"/>
          </rPr>
          <t xml:space="preserve">
Ersätter 6PE159</t>
        </r>
      </text>
    </comment>
    <comment ref="A82" authorId="0" shapeId="0">
      <text>
        <r>
          <rPr>
            <b/>
            <sz val="9"/>
            <color indexed="81"/>
            <rFont val="Tahoma"/>
            <family val="2"/>
          </rPr>
          <t>Agnetha Simm:</t>
        </r>
        <r>
          <rPr>
            <sz val="9"/>
            <color indexed="81"/>
            <rFont val="Tahoma"/>
            <family val="2"/>
          </rPr>
          <t xml:space="preserve">
Ers 6PE196</t>
        </r>
      </text>
    </comment>
    <comment ref="A83" authorId="0" shapeId="0">
      <text>
        <r>
          <rPr>
            <b/>
            <sz val="9"/>
            <color indexed="81"/>
            <rFont val="Tahoma"/>
            <family val="2"/>
          </rPr>
          <t>Agnetha Simm:</t>
        </r>
        <r>
          <rPr>
            <sz val="9"/>
            <color indexed="81"/>
            <rFont val="Tahoma"/>
            <family val="2"/>
          </rPr>
          <t xml:space="preserve">
Ers 6PE196</t>
        </r>
      </text>
    </comment>
    <comment ref="A101" authorId="0" shapeId="0">
      <text>
        <r>
          <rPr>
            <b/>
            <sz val="9"/>
            <color indexed="81"/>
            <rFont val="Tahoma"/>
            <family val="2"/>
          </rPr>
          <t>Agnetha Simm:</t>
        </r>
        <r>
          <rPr>
            <sz val="9"/>
            <color indexed="81"/>
            <rFont val="Tahoma"/>
            <family val="2"/>
          </rPr>
          <t xml:space="preserve">
Ersätter 6SP040</t>
        </r>
      </text>
    </comment>
  </commentList>
</comments>
</file>

<file path=xl/sharedStrings.xml><?xml version="1.0" encoding="utf-8"?>
<sst xmlns="http://schemas.openxmlformats.org/spreadsheetml/2006/main" count="7999" uniqueCount="2223">
  <si>
    <t>AUO (76-90) Examensarbete, 15 hp</t>
  </si>
  <si>
    <t>6SY021</t>
  </si>
  <si>
    <t>Kursansvar namn</t>
  </si>
  <si>
    <t>Total HST</t>
  </si>
  <si>
    <t>Data</t>
  </si>
  <si>
    <t>Total HPR</t>
  </si>
  <si>
    <t>Prislapp HST</t>
  </si>
  <si>
    <t>Prislapp HPR</t>
  </si>
  <si>
    <t>Avdrag</t>
  </si>
  <si>
    <t>Intäkter för medverkande institutioner (tkr)</t>
  </si>
  <si>
    <t>% org 1</t>
  </si>
  <si>
    <t xml:space="preserve">Estetiska ämnen               </t>
  </si>
  <si>
    <t xml:space="preserve">Gemensamt för universitetet   </t>
  </si>
  <si>
    <t xml:space="preserve">Gemensamma funktioner m m </t>
  </si>
  <si>
    <t>ÖS-medel</t>
  </si>
  <si>
    <t xml:space="preserve">Fondförvaltning               </t>
  </si>
  <si>
    <t xml:space="preserve">Internbank                    </t>
  </si>
  <si>
    <t>Ladokkonsortiet</t>
  </si>
  <si>
    <t>Regionala etikprövningsnämnden</t>
  </si>
  <si>
    <t xml:space="preserve">Universitetsledningen         </t>
  </si>
  <si>
    <t xml:space="preserve">Universitetsledningens kansli </t>
  </si>
  <si>
    <t xml:space="preserve">Universitetsbiblioteket       </t>
  </si>
  <si>
    <t xml:space="preserve">Umdac                         </t>
  </si>
  <si>
    <t xml:space="preserve">Umdac/RDS                     </t>
  </si>
  <si>
    <t xml:space="preserve">HPC2N                         </t>
  </si>
  <si>
    <t xml:space="preserve">Förvaltningen gemensamt       </t>
  </si>
  <si>
    <t xml:space="preserve">Ekonomiadministrativa enheten </t>
  </si>
  <si>
    <t xml:space="preserve">Informationsenheten                  </t>
  </si>
  <si>
    <t xml:space="preserve">Internrevision                </t>
  </si>
  <si>
    <t xml:space="preserve">IT-enheten                </t>
  </si>
  <si>
    <t>Ladok enheten</t>
  </si>
  <si>
    <t xml:space="preserve">Lokalförsörjningen            </t>
  </si>
  <si>
    <t xml:space="preserve">Lokalförsörjningsenheten/Tele </t>
  </si>
  <si>
    <t xml:space="preserve">Studentcentrum                </t>
  </si>
  <si>
    <t xml:space="preserve">Ledning, universitetsservice       </t>
  </si>
  <si>
    <t>Institution</t>
  </si>
  <si>
    <t>Totalt HUM</t>
  </si>
  <si>
    <t>Totalt SAM</t>
  </si>
  <si>
    <t>Totalt MED</t>
  </si>
  <si>
    <t>Totalt TEKN</t>
  </si>
  <si>
    <t xml:space="preserve">Friskvård                     </t>
  </si>
  <si>
    <t xml:space="preserve">Lokaluthyrning </t>
  </si>
  <si>
    <t xml:space="preserve">Husservice                    </t>
  </si>
  <si>
    <t xml:space="preserve">Kontorsbutiken                </t>
  </si>
  <si>
    <t xml:space="preserve">Kronlund                      </t>
  </si>
  <si>
    <t xml:space="preserve">Lokalvård                     </t>
  </si>
  <si>
    <t>Post och transportservice</t>
  </si>
  <si>
    <t>Print &amp; Media</t>
  </si>
  <si>
    <t xml:space="preserve">Skrivningsbevakningen         </t>
  </si>
  <si>
    <t xml:space="preserve">Unimeg                        </t>
  </si>
  <si>
    <t>Gemensamma avsättningar</t>
  </si>
  <si>
    <t>Forum för tvärvetenskap</t>
  </si>
  <si>
    <t xml:space="preserve">Miljöhögskolan                </t>
  </si>
  <si>
    <t xml:space="preserve">Centrum för miljövetenskaplig </t>
  </si>
  <si>
    <t>Centrum för molekylär patogene</t>
  </si>
  <si>
    <t xml:space="preserve">Biomedicinsk forskarskola     </t>
  </si>
  <si>
    <t xml:space="preserve">Centrala ombokningar          </t>
  </si>
  <si>
    <t xml:space="preserve">Centrala betalningar          </t>
  </si>
  <si>
    <t>Orgenhet nr</t>
  </si>
  <si>
    <t>Kurskod NyA</t>
  </si>
  <si>
    <t>Kursansvar</t>
  </si>
  <si>
    <t>HST</t>
  </si>
  <si>
    <t>HPR</t>
  </si>
  <si>
    <t>6ÖÄ003</t>
  </si>
  <si>
    <t>6ÖÄ005</t>
  </si>
  <si>
    <t>6ES016</t>
  </si>
  <si>
    <t>6EN005</t>
  </si>
  <si>
    <t>6ES002</t>
  </si>
  <si>
    <t>6SL001</t>
  </si>
  <si>
    <t>Kurspris HST</t>
  </si>
  <si>
    <t>Kurspris HPR</t>
  </si>
  <si>
    <t>Fakultet</t>
  </si>
  <si>
    <t>Hum</t>
  </si>
  <si>
    <t>Sam</t>
  </si>
  <si>
    <t>Med</t>
  </si>
  <si>
    <t>TekNat</t>
  </si>
  <si>
    <t>USE</t>
  </si>
  <si>
    <t>Total ersättning</t>
  </si>
  <si>
    <t>Fak medv</t>
  </si>
  <si>
    <t>Fak kursansvar</t>
  </si>
  <si>
    <t>6SL000</t>
  </si>
  <si>
    <t>6TX011</t>
  </si>
  <si>
    <t>6SL008</t>
  </si>
  <si>
    <t>6ES003</t>
  </si>
  <si>
    <t>LYLÄP</t>
  </si>
  <si>
    <t>LYSYV</t>
  </si>
  <si>
    <t>6TX003</t>
  </si>
  <si>
    <t>6TX000</t>
  </si>
  <si>
    <t>6FA001</t>
  </si>
  <si>
    <t>6EN006</t>
  </si>
  <si>
    <t>6MA000</t>
  </si>
  <si>
    <t>6PE045</t>
  </si>
  <si>
    <t>6HS000</t>
  </si>
  <si>
    <t>6LÄ020</t>
  </si>
  <si>
    <t>6LÄ022</t>
  </si>
  <si>
    <t>6HI001</t>
  </si>
  <si>
    <t>6RE002</t>
  </si>
  <si>
    <t>6SH002</t>
  </si>
  <si>
    <t>6SH001</t>
  </si>
  <si>
    <t>6HI002</t>
  </si>
  <si>
    <t>6SV004</t>
  </si>
  <si>
    <t>6ST000</t>
  </si>
  <si>
    <t>6ST001</t>
  </si>
  <si>
    <t>6NO010</t>
  </si>
  <si>
    <t>6KN001</t>
  </si>
  <si>
    <t>Prkod</t>
  </si>
  <si>
    <t>HtVt</t>
  </si>
  <si>
    <t>Ort</t>
  </si>
  <si>
    <t>Form</t>
  </si>
  <si>
    <t>Studie takt</t>
  </si>
  <si>
    <t>Benämn</t>
  </si>
  <si>
    <t>Poäng</t>
  </si>
  <si>
    <t>Ant</t>
  </si>
  <si>
    <t>HPR %</t>
  </si>
  <si>
    <t>LLÄRY</t>
  </si>
  <si>
    <t>LYSPL</t>
  </si>
  <si>
    <t>LYLÄR</t>
  </si>
  <si>
    <t>FRIST</t>
  </si>
  <si>
    <t>LSYOY distans</t>
  </si>
  <si>
    <t>LSYOY</t>
  </si>
  <si>
    <t>LYSPE</t>
  </si>
  <si>
    <t>6PE082</t>
  </si>
  <si>
    <t>LSPPY</t>
  </si>
  <si>
    <t>Kreativt skapande - från idé till produkt</t>
  </si>
  <si>
    <t>Fristående och övriga kurser</t>
  </si>
  <si>
    <t>Forskning och utvecklingsarbete</t>
  </si>
  <si>
    <t>TE</t>
  </si>
  <si>
    <t>6ST008</t>
  </si>
  <si>
    <t>6ST006</t>
  </si>
  <si>
    <t>6PE080</t>
  </si>
  <si>
    <t>DE</t>
  </si>
  <si>
    <t>HU</t>
  </si>
  <si>
    <t>ID</t>
  </si>
  <si>
    <t>LU</t>
  </si>
  <si>
    <t>MU</t>
  </si>
  <si>
    <t>NA</t>
  </si>
  <si>
    <t>SA</t>
  </si>
  <si>
    <t>ÖV</t>
  </si>
  <si>
    <t>6SH000</t>
  </si>
  <si>
    <t>6PE053</t>
  </si>
  <si>
    <t>6PE055</t>
  </si>
  <si>
    <t>6RE001</t>
  </si>
  <si>
    <t>6RE000</t>
  </si>
  <si>
    <t>6LÄ005</t>
  </si>
  <si>
    <t>6FA002</t>
  </si>
  <si>
    <t>Statistik för lärare</t>
  </si>
  <si>
    <t>6PE034</t>
  </si>
  <si>
    <t>6PE035</t>
  </si>
  <si>
    <t>6SY003</t>
  </si>
  <si>
    <t>Lokalintäkt</t>
  </si>
  <si>
    <t>6SY013</t>
  </si>
  <si>
    <t>6MU008</t>
  </si>
  <si>
    <t>6SL007</t>
  </si>
  <si>
    <t>Orgenh</t>
  </si>
  <si>
    <t>Totalt</t>
  </si>
  <si>
    <t>Namn</t>
  </si>
  <si>
    <t>År</t>
  </si>
  <si>
    <t>Enhet</t>
  </si>
  <si>
    <t>Benämning</t>
  </si>
  <si>
    <t>TOTALT</t>
  </si>
  <si>
    <t>Centrum för utvärderingsforskning</t>
  </si>
  <si>
    <t>Umeå centrum för idrottsvetenskap</t>
  </si>
  <si>
    <t>Centrum för befolkningsstudier</t>
  </si>
  <si>
    <t>Receptarieutbildning</t>
  </si>
  <si>
    <t>EMG</t>
  </si>
  <si>
    <t xml:space="preserve">Kemiska institutionen         </t>
  </si>
  <si>
    <t>Inst för MA och MA statistik</t>
  </si>
  <si>
    <t>Enheten för näringsliv o samhälle ENS</t>
  </si>
  <si>
    <t>Akademiker i företag</t>
  </si>
  <si>
    <t>Administration service</t>
  </si>
  <si>
    <t>Profil- &amp; Copyshop</t>
  </si>
  <si>
    <t>Upphandling</t>
  </si>
  <si>
    <t>Inst för ide- o samhällsstudier</t>
  </si>
  <si>
    <t>Inst för kultur- o medievetenskap</t>
  </si>
  <si>
    <t>Umeå centrum för genusstudier (UCGS)</t>
  </si>
  <si>
    <t xml:space="preserve">MIMS </t>
  </si>
  <si>
    <t>Inst för språkstudier</t>
  </si>
  <si>
    <t xml:space="preserve">Bildmuseet                    </t>
  </si>
  <si>
    <t>FDN</t>
  </si>
  <si>
    <t>GDL</t>
  </si>
  <si>
    <t>UTCF</t>
  </si>
  <si>
    <t>BIS</t>
  </si>
  <si>
    <t>Personal- och organisationsutv enheten</t>
  </si>
  <si>
    <t>Planeringsenheten</t>
  </si>
  <si>
    <t xml:space="preserve">Hum fak kansli                </t>
  </si>
  <si>
    <t xml:space="preserve">Hum fak gemensamt             </t>
  </si>
  <si>
    <t xml:space="preserve">Hum lab                       </t>
  </si>
  <si>
    <t xml:space="preserve">Centrum för samisk forskning  </t>
  </si>
  <si>
    <t xml:space="preserve">Konsthögskolan                </t>
  </si>
  <si>
    <t>Gemensamt för samhällsvetenskap</t>
  </si>
  <si>
    <t>Kansliet för samhällsvetenskap</t>
  </si>
  <si>
    <t xml:space="preserve">Enh för Polisutb. vid UmU     </t>
  </si>
  <si>
    <t xml:space="preserve">Pedagogik                     </t>
  </si>
  <si>
    <t>Inst för beteendevetenskapliga mätningar</t>
  </si>
  <si>
    <t xml:space="preserve">Inst för psykologi            </t>
  </si>
  <si>
    <t xml:space="preserve">Sociologi                     </t>
  </si>
  <si>
    <t xml:space="preserve">Nationalekonomi               </t>
  </si>
  <si>
    <t xml:space="preserve">Juridiska institutionen       </t>
  </si>
  <si>
    <t xml:space="preserve">Statsvetenskap                </t>
  </si>
  <si>
    <t xml:space="preserve">Ekonomisk historia            </t>
  </si>
  <si>
    <t xml:space="preserve">Statistik                     </t>
  </si>
  <si>
    <t xml:space="preserve">Socialt arbete                </t>
  </si>
  <si>
    <t xml:space="preserve">Centrum f handikappvetenskap  </t>
  </si>
  <si>
    <t>Transportforskningsenheten</t>
  </si>
  <si>
    <t xml:space="preserve">Informatik                    </t>
  </si>
  <si>
    <t xml:space="preserve">Kostvetenskap                 </t>
  </si>
  <si>
    <t xml:space="preserve">CERUM                         </t>
  </si>
  <si>
    <t xml:space="preserve">Enheten f restauranghögskolan </t>
  </si>
  <si>
    <t xml:space="preserve">Datorlab HASTA                </t>
  </si>
  <si>
    <t>BVH-labben</t>
  </si>
  <si>
    <t xml:space="preserve">DDB Umeå                          </t>
  </si>
  <si>
    <t xml:space="preserve">DDB Haparanda                     </t>
  </si>
  <si>
    <t xml:space="preserve">DDB Jörn                          </t>
  </si>
  <si>
    <t xml:space="preserve">DDB Karesuando                    </t>
  </si>
  <si>
    <t>ALC</t>
  </si>
  <si>
    <t>Medicinska fakulteten</t>
  </si>
  <si>
    <t xml:space="preserve">Kansliet för med fak          </t>
  </si>
  <si>
    <t xml:space="preserve">Vårdutbildningar              </t>
  </si>
  <si>
    <t>Grundutbildningsrådet</t>
  </si>
  <si>
    <t>Vetenskaplig baskurs</t>
  </si>
  <si>
    <t>UGL/Grupprocesser</t>
  </si>
  <si>
    <t xml:space="preserve">Klinisk vetenskap             </t>
  </si>
  <si>
    <t xml:space="preserve">Psykiatri                     </t>
  </si>
  <si>
    <t xml:space="preserve">Barn- och ungdomspsykiatri    </t>
  </si>
  <si>
    <t xml:space="preserve">Psykoterapi                   </t>
  </si>
  <si>
    <t xml:space="preserve">Obstetrik och gynekologi      </t>
  </si>
  <si>
    <t xml:space="preserve">Oftalmiatrik                  </t>
  </si>
  <si>
    <t xml:space="preserve">Öron- näs- och halssjukdomar  </t>
  </si>
  <si>
    <t xml:space="preserve">Logopedi                      </t>
  </si>
  <si>
    <t xml:space="preserve">Pediatrik                     </t>
  </si>
  <si>
    <t xml:space="preserve">Strålningsvetenskaper         </t>
  </si>
  <si>
    <t xml:space="preserve">Diagnostisk radiologi         </t>
  </si>
  <si>
    <t xml:space="preserve">Onkologi                      </t>
  </si>
  <si>
    <t xml:space="preserve">Radiofysik                    </t>
  </si>
  <si>
    <t>Radiobiologi</t>
  </si>
  <si>
    <t>Molekylärbiologi</t>
  </si>
  <si>
    <t xml:space="preserve">Kirurgisk o perioperativ vetenskap </t>
  </si>
  <si>
    <t xml:space="preserve">Kirurgi                       </t>
  </si>
  <si>
    <t xml:space="preserve">Anestesiologi o intensivvård  </t>
  </si>
  <si>
    <t xml:space="preserve">Klinisk fysiologi             </t>
  </si>
  <si>
    <t xml:space="preserve">Ortopedi                      </t>
  </si>
  <si>
    <t xml:space="preserve">Handkirurgi                   </t>
  </si>
  <si>
    <t xml:space="preserve">Idrottsmedicin                </t>
  </si>
  <si>
    <t xml:space="preserve">Urologi och andrologi         </t>
  </si>
  <si>
    <t xml:space="preserve">Samhällsmedicin och rehab     </t>
  </si>
  <si>
    <t xml:space="preserve">Rehabiliteringsmedicin        </t>
  </si>
  <si>
    <t xml:space="preserve">Arbetsterapi                  </t>
  </si>
  <si>
    <t xml:space="preserve">Sjukgymnastik                 </t>
  </si>
  <si>
    <t xml:space="preserve">Geriatrik                     </t>
  </si>
  <si>
    <t xml:space="preserve">Rättsmedicin                  </t>
  </si>
  <si>
    <t>Farmakologi/klin neurovet.skap</t>
  </si>
  <si>
    <t xml:space="preserve">Farmakologi                   </t>
  </si>
  <si>
    <t xml:space="preserve">Klinisk farmakologi           </t>
  </si>
  <si>
    <t>Klinisk neurovetenskap</t>
  </si>
  <si>
    <t xml:space="preserve">Inst f medicinsk biovetenskap </t>
  </si>
  <si>
    <t xml:space="preserve">Patologi                      </t>
  </si>
  <si>
    <t xml:space="preserve">Klinisk kemi                  </t>
  </si>
  <si>
    <t xml:space="preserve">Fysiologisk kemi              </t>
  </si>
  <si>
    <t xml:space="preserve">Medicinsk genetik             </t>
  </si>
  <si>
    <t xml:space="preserve">Klinisk mikrobiologi          </t>
  </si>
  <si>
    <t xml:space="preserve">Klinisk bakteriologi          </t>
  </si>
  <si>
    <t xml:space="preserve">Klinisk immunologi       </t>
  </si>
  <si>
    <t xml:space="preserve">Virologi                      </t>
  </si>
  <si>
    <t>Biomedicinsk laboratorievetenskap</t>
  </si>
  <si>
    <t xml:space="preserve">Infektionssjukdomar           </t>
  </si>
  <si>
    <t xml:space="preserve">Immunologi                    </t>
  </si>
  <si>
    <t xml:space="preserve">Omvårdnad                     </t>
  </si>
  <si>
    <t xml:space="preserve">Medicinsk kemi och biofysik   </t>
  </si>
  <si>
    <t>Interaktiv medicinsk biologi</t>
  </si>
  <si>
    <t xml:space="preserve">Anatomi                       </t>
  </si>
  <si>
    <t xml:space="preserve">Histologi med cellbiologi     </t>
  </si>
  <si>
    <t xml:space="preserve">Fysiologi                     </t>
  </si>
  <si>
    <t xml:space="preserve">Folkhälsa och klin medicin    </t>
  </si>
  <si>
    <t xml:space="preserve">Allmänmedicin                 </t>
  </si>
  <si>
    <t xml:space="preserve">Tillämpad medicin             </t>
  </si>
  <si>
    <t xml:space="preserve">Dermatologi och venereologi   </t>
  </si>
  <si>
    <t xml:space="preserve">Medicin                       </t>
  </si>
  <si>
    <t xml:space="preserve">Lungmedicin                   </t>
  </si>
  <si>
    <t xml:space="preserve">Reumatologi                   </t>
  </si>
  <si>
    <t xml:space="preserve">Miljömedicin                  </t>
  </si>
  <si>
    <t xml:space="preserve">Yrkesmedicin                  </t>
  </si>
  <si>
    <t>Folkhälsovetenskap</t>
  </si>
  <si>
    <t xml:space="preserve">Näringsforskning              </t>
  </si>
  <si>
    <t>Umeå centrum för molekylär med</t>
  </si>
  <si>
    <t xml:space="preserve">Odontologiska inst            </t>
  </si>
  <si>
    <t>Administration odontologi</t>
  </si>
  <si>
    <t xml:space="preserve">Cariologi                     </t>
  </si>
  <si>
    <t xml:space="preserve">Protetik                      </t>
  </si>
  <si>
    <t xml:space="preserve">Endodonti                     </t>
  </si>
  <si>
    <t xml:space="preserve">Oral mikrobiologi             </t>
  </si>
  <si>
    <t xml:space="preserve">Oral cellbiologi              </t>
  </si>
  <si>
    <t xml:space="preserve">Oral diagn radiologi          </t>
  </si>
  <si>
    <t xml:space="preserve">Odont materialvetenskap       </t>
  </si>
  <si>
    <t xml:space="preserve">Käkkirurgi                    </t>
  </si>
  <si>
    <t xml:space="preserve">Parodontologi                 </t>
  </si>
  <si>
    <t xml:space="preserve">Klinisk oral fysiologi        </t>
  </si>
  <si>
    <t xml:space="preserve">Pedodonti                     </t>
  </si>
  <si>
    <t xml:space="preserve">Ortodonti                     </t>
  </si>
  <si>
    <t xml:space="preserve">Tandhygienistutbildning       </t>
  </si>
  <si>
    <t>Tandteknikerprogrammet</t>
  </si>
  <si>
    <t xml:space="preserve">Gem Teknisk nat fakulteten    </t>
  </si>
  <si>
    <t xml:space="preserve">Plangrupp f tekn biologi      </t>
  </si>
  <si>
    <t xml:space="preserve">Interaktionsteknik och design </t>
  </si>
  <si>
    <t xml:space="preserve">Umeå Marina Forskningscentrum </t>
  </si>
  <si>
    <t xml:space="preserve">Växthuset                     </t>
  </si>
  <si>
    <t xml:space="preserve">Inst för Fysiologisk botanik  </t>
  </si>
  <si>
    <t>UPSC Umeå Plant Science Center</t>
  </si>
  <si>
    <t xml:space="preserve">Inst Designhögskolan          </t>
  </si>
  <si>
    <t xml:space="preserve">Inst för Fysik                </t>
  </si>
  <si>
    <t>Energiteknik</t>
  </si>
  <si>
    <t xml:space="preserve">Säkerhetshuset                </t>
  </si>
  <si>
    <t xml:space="preserve">Kemiförrådet                  </t>
  </si>
  <si>
    <t xml:space="preserve">VMC KBC                   </t>
  </si>
  <si>
    <t xml:space="preserve">Inst för datavetenskap        </t>
  </si>
  <si>
    <t xml:space="preserve">UCIT                          </t>
  </si>
  <si>
    <t xml:space="preserve">Lärarutbildningarna gem       </t>
  </si>
  <si>
    <t>Universitetspedagogiskt centrum</t>
  </si>
  <si>
    <t>Värdegrundcentrum VGC</t>
  </si>
  <si>
    <t>Inst f interakt medier o lärande</t>
  </si>
  <si>
    <t xml:space="preserve">SV/SO                         </t>
  </si>
  <si>
    <t>BUSV</t>
  </si>
  <si>
    <t>Månad</t>
  </si>
  <si>
    <t>VÅ</t>
  </si>
  <si>
    <t>Examensarbete för lärarexamen</t>
  </si>
  <si>
    <t>HST Medv</t>
  </si>
  <si>
    <t>HPR Medv</t>
  </si>
  <si>
    <t>Medv namn</t>
  </si>
  <si>
    <t>Ansv org</t>
  </si>
  <si>
    <t>Kreativt skapande - trä och metall</t>
  </si>
  <si>
    <t>6KN002</t>
  </si>
  <si>
    <t>Examensarbete, 30 hp</t>
  </si>
  <si>
    <t>LEXC</t>
  </si>
  <si>
    <t>6TX007</t>
  </si>
  <si>
    <t>6SL002</t>
  </si>
  <si>
    <t>6PE081</t>
  </si>
  <si>
    <t>6MU006</t>
  </si>
  <si>
    <t>6ES004</t>
  </si>
  <si>
    <t>Hyrespris</t>
  </si>
  <si>
    <t>6MA007</t>
  </si>
  <si>
    <t>6SP024</t>
  </si>
  <si>
    <t>6SY020</t>
  </si>
  <si>
    <t>6SY015</t>
  </si>
  <si>
    <t>XXX</t>
  </si>
  <si>
    <t>Takbelopp</t>
  </si>
  <si>
    <t>6MN011</t>
  </si>
  <si>
    <t>6MN013</t>
  </si>
  <si>
    <t>6MN014</t>
  </si>
  <si>
    <t>Musik III</t>
  </si>
  <si>
    <t>5FY020</t>
  </si>
  <si>
    <t>5FY084</t>
  </si>
  <si>
    <t>Termodynamik B</t>
  </si>
  <si>
    <t>Fasta tillståndets fysik C, 7,5 hp</t>
  </si>
  <si>
    <t>Bioorganisk kemi, 15 hp</t>
  </si>
  <si>
    <t>6ST007</t>
  </si>
  <si>
    <t>6SY014</t>
  </si>
  <si>
    <t>6MA006</t>
  </si>
  <si>
    <t>LGYLY</t>
  </si>
  <si>
    <t>LLÄPY</t>
  </si>
  <si>
    <t>LGRSY</t>
  </si>
  <si>
    <t>Examensarbete - Lärarprogrammet</t>
  </si>
  <si>
    <t>Vetenskaplig teori och metod</t>
  </si>
  <si>
    <t>Utbildning</t>
  </si>
  <si>
    <t>Specialpedagogprogram</t>
  </si>
  <si>
    <t>Studie- och yrkesvägledarprogram</t>
  </si>
  <si>
    <t>SGSOC</t>
  </si>
  <si>
    <t>TMASY</t>
  </si>
  <si>
    <t>TENEY</t>
  </si>
  <si>
    <t>6EN013</t>
  </si>
  <si>
    <t>6LV001</t>
  </si>
  <si>
    <t>6PE085</t>
  </si>
  <si>
    <t>6PE087</t>
  </si>
  <si>
    <t>6ÖÄ012</t>
  </si>
  <si>
    <t>6SP027</t>
  </si>
  <si>
    <t>Examensarbete Specialpedagogprogrammet</t>
  </si>
  <si>
    <t>(tom)</t>
  </si>
  <si>
    <t>Kursintäkt</t>
  </si>
  <si>
    <t>Kurs-ansvar</t>
  </si>
  <si>
    <t>6SY022</t>
  </si>
  <si>
    <t>6SY016</t>
  </si>
  <si>
    <t>Utbildningssystem i Sverige och andra länder</t>
  </si>
  <si>
    <t>Utbildningsomr</t>
  </si>
  <si>
    <t>Design</t>
  </si>
  <si>
    <t>Idrott</t>
  </si>
  <si>
    <t>Musik</t>
  </si>
  <si>
    <t>Natur</t>
  </si>
  <si>
    <t>Teknik</t>
  </si>
  <si>
    <t>Undervisning</t>
  </si>
  <si>
    <t>Övrigt</t>
  </si>
  <si>
    <t>Pris HST netto</t>
  </si>
  <si>
    <t>PrisHPR netto</t>
  </si>
  <si>
    <t>Lokalers</t>
  </si>
  <si>
    <t>6HI005</t>
  </si>
  <si>
    <t>6LÄ039</t>
  </si>
  <si>
    <t>6PE083</t>
  </si>
  <si>
    <t>6PSXY</t>
  </si>
  <si>
    <t>6PSXZ</t>
  </si>
  <si>
    <t>6SY018</t>
  </si>
  <si>
    <t>6ÖÄ011</t>
  </si>
  <si>
    <t>Studieveckor</t>
  </si>
  <si>
    <t>Org 1</t>
  </si>
  <si>
    <t>6ES026</t>
  </si>
  <si>
    <t>Psykologi II</t>
  </si>
  <si>
    <t>Psykologi III</t>
  </si>
  <si>
    <t>Värden</t>
  </si>
  <si>
    <t>Lokalintäkter</t>
  </si>
  <si>
    <t>Enheten för undervisning och lärande</t>
  </si>
  <si>
    <t>Kursansvarig</t>
  </si>
  <si>
    <t>Lokalin/hst</t>
  </si>
  <si>
    <t>Som medv</t>
  </si>
  <si>
    <t>Till medv</t>
  </si>
  <si>
    <t>HUM</t>
  </si>
  <si>
    <t>SAM</t>
  </si>
  <si>
    <t>TEKN</t>
  </si>
  <si>
    <t>MED</t>
  </si>
  <si>
    <t>6MU018</t>
  </si>
  <si>
    <t>Kursers</t>
  </si>
  <si>
    <t>Som kursansvarig</t>
  </si>
  <si>
    <t>Till medverkande (efter avdrag för kursansvar)</t>
  </si>
  <si>
    <t>Som medverkande (från kursansvarig efter avdrag för kursansvar)</t>
  </si>
  <si>
    <t>Summa av HPR Medv</t>
  </si>
  <si>
    <t>Vernr</t>
  </si>
  <si>
    <t>Verdatum</t>
  </si>
  <si>
    <t>Bokföringsorder</t>
  </si>
  <si>
    <t>Baskto</t>
  </si>
  <si>
    <t>Proj inst</t>
  </si>
  <si>
    <t>V-het</t>
  </si>
  <si>
    <t>Text</t>
  </si>
  <si>
    <t>Kurs- o lokalintäkt</t>
  </si>
  <si>
    <t>D/K</t>
  </si>
  <si>
    <t>LGYPY</t>
  </si>
  <si>
    <t>LTEXY</t>
  </si>
  <si>
    <t>Introduktion till diskret matematik</t>
  </si>
  <si>
    <t>6SY027</t>
  </si>
  <si>
    <t>Anm</t>
  </si>
  <si>
    <t>6NE001</t>
  </si>
  <si>
    <t>6RE006</t>
  </si>
  <si>
    <t>6PE025</t>
  </si>
  <si>
    <t>anmkod</t>
  </si>
  <si>
    <t>Inriktning</t>
  </si>
  <si>
    <t>Verksamhetsområde</t>
  </si>
  <si>
    <t>Hämtat ur</t>
  </si>
  <si>
    <t>TUV</t>
  </si>
  <si>
    <t>Utvärdering, ledarskap och förändringsarbete</t>
  </si>
  <si>
    <t>Vård</t>
  </si>
  <si>
    <t>Totala intäkter</t>
  </si>
  <si>
    <t xml:space="preserve"> HST</t>
  </si>
  <si>
    <t xml:space="preserve"> HPR</t>
  </si>
  <si>
    <t xml:space="preserve"> Lokalintäkt</t>
  </si>
  <si>
    <t xml:space="preserve"> Kursintäkt</t>
  </si>
  <si>
    <t xml:space="preserve"> HST medv</t>
  </si>
  <si>
    <t xml:space="preserve"> HPr medv</t>
  </si>
  <si>
    <t xml:space="preserve"> HPR medv</t>
  </si>
  <si>
    <t>Totala kursintäkter</t>
  </si>
  <si>
    <t>Totala lokalintäkter</t>
  </si>
  <si>
    <t>Lokalintäkter**</t>
  </si>
  <si>
    <t xml:space="preserve">Summa </t>
  </si>
  <si>
    <t>Totala intäkter till institutionen</t>
  </si>
  <si>
    <t>Kursavdrag</t>
  </si>
  <si>
    <t xml:space="preserve"> Kursintäkt efter avdrag</t>
  </si>
  <si>
    <t>Kursintäkt efter avdrag</t>
  </si>
  <si>
    <t>Examensarbete för lärarexamen (grund)</t>
  </si>
  <si>
    <t>NMD</t>
  </si>
  <si>
    <t>Inkopierat från flik "Totalt per inst"</t>
  </si>
  <si>
    <t>Sam fak</t>
  </si>
  <si>
    <t>Kursintäkter</t>
  </si>
  <si>
    <t>TEKNAT</t>
  </si>
  <si>
    <t>Justering musik/design</t>
  </si>
  <si>
    <t>lokalint</t>
  </si>
  <si>
    <t>kursint</t>
  </si>
  <si>
    <t>Attest</t>
  </si>
  <si>
    <t>6LU002</t>
  </si>
  <si>
    <t>6LU003</t>
  </si>
  <si>
    <t>6PE301</t>
  </si>
  <si>
    <t>Demokrati, individ och samhälle</t>
  </si>
  <si>
    <t>Kunskap, undervisning och lärande I</t>
  </si>
  <si>
    <t>SAKNA</t>
  </si>
  <si>
    <t>6ES029</t>
  </si>
  <si>
    <t>Musik 1a</t>
  </si>
  <si>
    <t>6MU019</t>
  </si>
  <si>
    <t>6SL012</t>
  </si>
  <si>
    <t>6TX014</t>
  </si>
  <si>
    <t>6PE097</t>
  </si>
  <si>
    <t>LYAGR</t>
  </si>
  <si>
    <t>LYAGY</t>
  </si>
  <si>
    <t>LYFSK</t>
  </si>
  <si>
    <t>LYGFR</t>
  </si>
  <si>
    <t>LYGFT</t>
  </si>
  <si>
    <t>6EN019</t>
  </si>
  <si>
    <t>6EN020</t>
  </si>
  <si>
    <t>6EN022</t>
  </si>
  <si>
    <t>6EN024</t>
  </si>
  <si>
    <t>6EN026</t>
  </si>
  <si>
    <t>6EN027</t>
  </si>
  <si>
    <t>6ES032</t>
  </si>
  <si>
    <t>6ES033</t>
  </si>
  <si>
    <t>6ES050</t>
  </si>
  <si>
    <t>6HI013</t>
  </si>
  <si>
    <t>6ID302</t>
  </si>
  <si>
    <t>6KN008</t>
  </si>
  <si>
    <t>6MN019</t>
  </si>
  <si>
    <t>6MN020</t>
  </si>
  <si>
    <t>6PE059</t>
  </si>
  <si>
    <t>6PE098</t>
  </si>
  <si>
    <t>6PE100</t>
  </si>
  <si>
    <t>6PE109</t>
  </si>
  <si>
    <t>6PE110</t>
  </si>
  <si>
    <t>6PE111</t>
  </si>
  <si>
    <t>6PE112</t>
  </si>
  <si>
    <t>6PE113</t>
  </si>
  <si>
    <t>6PE114</t>
  </si>
  <si>
    <t>6RV000</t>
  </si>
  <si>
    <t>6RV001</t>
  </si>
  <si>
    <t>6SH009</t>
  </si>
  <si>
    <t>6SH010</t>
  </si>
  <si>
    <t>6SP041</t>
  </si>
  <si>
    <t>6ST010</t>
  </si>
  <si>
    <t>6SV020</t>
  </si>
  <si>
    <t>6SV021</t>
  </si>
  <si>
    <t>6SV022</t>
  </si>
  <si>
    <t>6SV024</t>
  </si>
  <si>
    <t>6SV025</t>
  </si>
  <si>
    <t>6SV027</t>
  </si>
  <si>
    <t>6TX017</t>
  </si>
  <si>
    <t>6EXA</t>
  </si>
  <si>
    <t>LYGRM</t>
  </si>
  <si>
    <t>6ES030</t>
  </si>
  <si>
    <t>6MU020</t>
  </si>
  <si>
    <t>6SL013</t>
  </si>
  <si>
    <t>6TX015</t>
  </si>
  <si>
    <t>6KN010</t>
  </si>
  <si>
    <t>LGRTY</t>
  </si>
  <si>
    <t>Lärarprogram NYA fr ht11</t>
  </si>
  <si>
    <t>SAMAM</t>
  </si>
  <si>
    <t>TYCID</t>
  </si>
  <si>
    <t>Slöjd, Textil 1b</t>
  </si>
  <si>
    <t>Svenska I för ämneslärare</t>
  </si>
  <si>
    <t>Svenska II för ämneslärare</t>
  </si>
  <si>
    <t>Bild 2a</t>
  </si>
  <si>
    <t>Bild 2b</t>
  </si>
  <si>
    <t>Bild 1</t>
  </si>
  <si>
    <t>Bild 1b</t>
  </si>
  <si>
    <t>Musik 1b</t>
  </si>
  <si>
    <t>Slöjd, Trä- och metall 1b</t>
  </si>
  <si>
    <t>Engelska för F-3, kurs 1</t>
  </si>
  <si>
    <t>Engelska för F-3, kurs 2</t>
  </si>
  <si>
    <t>Engelska för åk 4-6, kurs 1</t>
  </si>
  <si>
    <t>Engelska för åk 4-6, kurs 2</t>
  </si>
  <si>
    <t>Historia I</t>
  </si>
  <si>
    <t>Hem- och konsumentkunskap B</t>
  </si>
  <si>
    <t>Matematik för åk 4-6, kurs 2</t>
  </si>
  <si>
    <t>Matematik för åk 4-6, kurs 3</t>
  </si>
  <si>
    <t>Matematikdidaktik 2</t>
  </si>
  <si>
    <t>Matematik för åk 4-6, kurs 1</t>
  </si>
  <si>
    <t>Lärande, lek och utveckling i förskolan I</t>
  </si>
  <si>
    <t>Barnet och omvärlden</t>
  </si>
  <si>
    <t>Grupprocesser och samverkan ur ett fritidshemsperspektiv</t>
  </si>
  <si>
    <t>Barns behov av stöd och stimulans ur ett fritidshemsperspektiv</t>
  </si>
  <si>
    <t>Kunskap, undervisning och lärande i fritidshem II</t>
  </si>
  <si>
    <t>Samhällskunskap 1</t>
  </si>
  <si>
    <t>Samhällskunskap 2</t>
  </si>
  <si>
    <t>Svenska för F-3, kurs 1</t>
  </si>
  <si>
    <t>Svenska för F-3, kurs 2</t>
  </si>
  <si>
    <t>Svenska för åk 4-6, kurs 1</t>
  </si>
  <si>
    <t>Svenska för åk 4-6, kurs 2</t>
  </si>
  <si>
    <t>Inst kod</t>
  </si>
  <si>
    <t>Agnetha Simm, ekonomisamordnare</t>
  </si>
  <si>
    <t>6ES051</t>
  </si>
  <si>
    <t>6MU033</t>
  </si>
  <si>
    <t>6TX016</t>
  </si>
  <si>
    <t>6SL021</t>
  </si>
  <si>
    <t>6MA018</t>
  </si>
  <si>
    <t>6MA001</t>
  </si>
  <si>
    <t>6MA019</t>
  </si>
  <si>
    <t>6MA020</t>
  </si>
  <si>
    <t>Inst för Psykologi</t>
  </si>
  <si>
    <t>Ekonomisk historia</t>
  </si>
  <si>
    <t>6MN023</t>
  </si>
  <si>
    <t>6MN026</t>
  </si>
  <si>
    <t>6MN024</t>
  </si>
  <si>
    <t>6MN027</t>
  </si>
  <si>
    <t>6EN025</t>
  </si>
  <si>
    <t>6EN029</t>
  </si>
  <si>
    <t>6ES034</t>
  </si>
  <si>
    <t>6ES041</t>
  </si>
  <si>
    <t>6ID303</t>
  </si>
  <si>
    <t>6ID306</t>
  </si>
  <si>
    <t>6ID314</t>
  </si>
  <si>
    <t>6LU001</t>
  </si>
  <si>
    <t>6MA021</t>
  </si>
  <si>
    <t>6MA022</t>
  </si>
  <si>
    <t>6MA023</t>
  </si>
  <si>
    <t>6MN025</t>
  </si>
  <si>
    <t>6MN028</t>
  </si>
  <si>
    <t>6PE096</t>
  </si>
  <si>
    <t>6PE099</t>
  </si>
  <si>
    <t>6PE101</t>
  </si>
  <si>
    <t>6PE102</t>
  </si>
  <si>
    <t>6PE103</t>
  </si>
  <si>
    <t>6PE115</t>
  </si>
  <si>
    <t>6PE116</t>
  </si>
  <si>
    <t>6PE302</t>
  </si>
  <si>
    <t>6RV002</t>
  </si>
  <si>
    <t>6RV003</t>
  </si>
  <si>
    <t>6SH011</t>
  </si>
  <si>
    <t>6SV023</t>
  </si>
  <si>
    <t>6SV026</t>
  </si>
  <si>
    <t>6SV028</t>
  </si>
  <si>
    <t>6SY026</t>
  </si>
  <si>
    <t>Engelska för åk 4-6, kurs 3</t>
  </si>
  <si>
    <t>Bild 3</t>
  </si>
  <si>
    <t>6HI014</t>
  </si>
  <si>
    <t>Idrott och hälsa III</t>
  </si>
  <si>
    <t>Matematikdidaktik 3</t>
  </si>
  <si>
    <t>Matematik för åk 4-6, kurs 4</t>
  </si>
  <si>
    <t>Lärande, lek och utveckling i förskolan II</t>
  </si>
  <si>
    <t>Bedömning för lärande i fritidshem (UK II)</t>
  </si>
  <si>
    <t>Läraryrkets dimensioner i fritidshem I (VFU III)</t>
  </si>
  <si>
    <t>Differentialekvationer och flervariabelanalys</t>
  </si>
  <si>
    <t>Samhällskunskap 3</t>
  </si>
  <si>
    <t>Kunskap, undervisning och lärande II för åk 4-6</t>
  </si>
  <si>
    <t>Att undervisa i F-3</t>
  </si>
  <si>
    <t>Att undervisa i åk 4-6</t>
  </si>
  <si>
    <t>Svenska för F-3, kurs 3</t>
  </si>
  <si>
    <t>Svenska för åk 4-6, kurs 3</t>
  </si>
  <si>
    <t>Svenska III för ämneslärare</t>
  </si>
  <si>
    <t>Matematiska metoder</t>
  </si>
  <si>
    <t>Funktionslära och grundläggande analys</t>
  </si>
  <si>
    <t>LYYRK</t>
  </si>
  <si>
    <t>LYKGR</t>
  </si>
  <si>
    <t>LYKGY</t>
  </si>
  <si>
    <t>Kompletterande pedagogisk utbildning - åk 7-9, 90 hp, fr ht12</t>
  </si>
  <si>
    <t>Kompletterande pedagogisk utbildning - gymnasieskolan, 90 hp, fr ht12</t>
  </si>
  <si>
    <t>6PE121</t>
  </si>
  <si>
    <t>6PE122</t>
  </si>
  <si>
    <t>Lärarhögskolan - Umeå universitet</t>
  </si>
  <si>
    <t>* U-gem och F-gem ingår ej utan fördelas direkt till respektive fakultet</t>
  </si>
  <si>
    <t>** För institutioner inom Samfak går lokalintäkterna till fakulteten</t>
  </si>
  <si>
    <t>6PE120</t>
  </si>
  <si>
    <t>Education: Teaching and Learning in an International Context</t>
  </si>
  <si>
    <t>6MA026</t>
  </si>
  <si>
    <t>6MS001</t>
  </si>
  <si>
    <t>6SD001</t>
  </si>
  <si>
    <t>6SD000</t>
  </si>
  <si>
    <t>6MA024</t>
  </si>
  <si>
    <t>6MA025</t>
  </si>
  <si>
    <t>6MA027</t>
  </si>
  <si>
    <t>6MU034</t>
  </si>
  <si>
    <t>6SL022</t>
  </si>
  <si>
    <t>6SL014</t>
  </si>
  <si>
    <t>6TX020</t>
  </si>
  <si>
    <t>6TX021</t>
  </si>
  <si>
    <t>6KN011</t>
  </si>
  <si>
    <t>6MN018</t>
  </si>
  <si>
    <t>6MN021</t>
  </si>
  <si>
    <t>6MN022</t>
  </si>
  <si>
    <t>6NO018</t>
  </si>
  <si>
    <t>6TE004</t>
  </si>
  <si>
    <t>6ES053</t>
  </si>
  <si>
    <t>6ES054</t>
  </si>
  <si>
    <t>Engelska för blivande senarelärare, Etapp 3</t>
  </si>
  <si>
    <t>Engelska för blivande gymnasielärare, Etapp 3</t>
  </si>
  <si>
    <t>Engelska I för ämneslärare med inriktning mot gymnasiet</t>
  </si>
  <si>
    <t>Engelska I för ämneslärare med inriktning mot åk 7-9</t>
  </si>
  <si>
    <t>Engelska II för ämneslärare med inriktning mot åk 7-9</t>
  </si>
  <si>
    <t>Engelska II för ämneslärare med inriktning mot gymnasiet</t>
  </si>
  <si>
    <t>Bild I</t>
  </si>
  <si>
    <t>Bild II</t>
  </si>
  <si>
    <t>Bild III</t>
  </si>
  <si>
    <t>Skapande bild, distans</t>
  </si>
  <si>
    <t>Bild 1a</t>
  </si>
  <si>
    <t>Skapande i förskolan</t>
  </si>
  <si>
    <t>Bild 2a, distans</t>
  </si>
  <si>
    <t>Franska C med didaktisk inriktning inom lärarprogrammet</t>
  </si>
  <si>
    <t>Historia 1-2 för lärare</t>
  </si>
  <si>
    <t>Historia 3 för lärare</t>
  </si>
  <si>
    <t>Historia II forts.</t>
  </si>
  <si>
    <t>Idrott och hälsa II för grundskolan</t>
  </si>
  <si>
    <t>Idrott och hälsa II för gymnasieskolan</t>
  </si>
  <si>
    <t>Hem- och konsumentkunskap 2</t>
  </si>
  <si>
    <t>Hem- och konsumentkunskap 3</t>
  </si>
  <si>
    <t>Hem- och konsumentkunskap A</t>
  </si>
  <si>
    <t>Hem- och konsumentkunskap, distans A</t>
  </si>
  <si>
    <t>Hem- och konsumentkunskap B, distans</t>
  </si>
  <si>
    <t>Språk-, skriv- och läsutveckling för speciallärare</t>
  </si>
  <si>
    <t>Information och undervisning</t>
  </si>
  <si>
    <t>Svenska IV</t>
  </si>
  <si>
    <t>Förskolans och Förskoleklassens kultur och uppdrag</t>
  </si>
  <si>
    <t>Förskolans pedagogiska verksamhet</t>
  </si>
  <si>
    <t>Ledarskap i förskola, förskoleklass och fritidshem</t>
  </si>
  <si>
    <t>Examensarbete för lärarexamen (grundnivå)</t>
  </si>
  <si>
    <t>Matematikdidaktik 1</t>
  </si>
  <si>
    <t>Problemlösning i matematik</t>
  </si>
  <si>
    <t>Analys, fördjupning</t>
  </si>
  <si>
    <t>Geometri och matematikens historia</t>
  </si>
  <si>
    <t>Algebra</t>
  </si>
  <si>
    <t>Linjär algebra</t>
  </si>
  <si>
    <t>Matematikundervisning med fokus på elever i behov av särskilda utbildningsinsatser</t>
  </si>
  <si>
    <t>Kartläggning, diagnotisering och bedömning i matematik</t>
  </si>
  <si>
    <t>Åtgärder</t>
  </si>
  <si>
    <t>Matematik för lärande och undervisning för åk F-3 och 4-6, del 1</t>
  </si>
  <si>
    <t>Matematik för åk F-3, kurs 1</t>
  </si>
  <si>
    <t>Matematik för lärande och undervisning för åk f-3, del II</t>
  </si>
  <si>
    <t>Matematik för lärande och undervisning för åk 4-6, del II</t>
  </si>
  <si>
    <t>Matematik för åk F-3, kurs 2</t>
  </si>
  <si>
    <t>Matematik för åk F-3, kurs 3</t>
  </si>
  <si>
    <t>Musik &amp; skapande, kommunikation</t>
  </si>
  <si>
    <t>Musik 2a, distans</t>
  </si>
  <si>
    <t>Makroekonomi och arbetsmarknad A23</t>
  </si>
  <si>
    <t>Utomhuspedagogik - Sommar</t>
  </si>
  <si>
    <t>Utomhuspedagogik i förskola, fritidshem och grundskolans tidiga år, 7,5hp</t>
  </si>
  <si>
    <t>Ämnesdidaktik 1 - naturvetenskapliga ämnen och matematik</t>
  </si>
  <si>
    <t>Ämnesdidaktik 1 - samhällsvetenskapliga och humanistiska ämnen</t>
  </si>
  <si>
    <t>Ämnesdidaktik 2 - samhällsvetenskapliga och humanistiska ämnen</t>
  </si>
  <si>
    <t>Examensarbete Lärarprogrammet</t>
  </si>
  <si>
    <t>Examensarbete för Studie- och yrkesvägledarprogrammet</t>
  </si>
  <si>
    <t>Examensarbete för speciallärarexamen med inriktning svenska</t>
  </si>
  <si>
    <t>Lärares professionella och vetenskapliga förhållningssätt</t>
  </si>
  <si>
    <t>Lärares professionella och vetenskapliga förhållningssätt i skolpraktiken</t>
  </si>
  <si>
    <t>Professionella samtal och rådgivning i specialpedagogiska frågor</t>
  </si>
  <si>
    <t>Didaktisk analys (avancerad nivå)</t>
  </si>
  <si>
    <t>6PE086</t>
  </si>
  <si>
    <t>Att undervisa i förskolan (VFU II)</t>
  </si>
  <si>
    <t>Barns lärande och utveckling i ett fritidshemsperspektiv</t>
  </si>
  <si>
    <t>Demokrati, mänskliga rättigheter och gender: globala perspektiv i utbildning</t>
  </si>
  <si>
    <t>Undervisning och lärande inom det svenska skolsystemet</t>
  </si>
  <si>
    <t>Pedagogiskt ledarskap, sociala relationer och konflikthantering</t>
  </si>
  <si>
    <t>Religionsvetenskap med didaktisk inriktning: fortsättningskurs</t>
  </si>
  <si>
    <t>Religionsvetenskap med didaktisk inriktning: påbyggnadskurs</t>
  </si>
  <si>
    <t>Religionsvetenskap med didaktisk inriktning: grundkurs</t>
  </si>
  <si>
    <t>Religionsvetenskap I</t>
  </si>
  <si>
    <t>Religionsvetenskap II: fortsättningskurs</t>
  </si>
  <si>
    <t>Examensarbete för lärarexamen: Språkdidaktisk inriktning</t>
  </si>
  <si>
    <t>Samhällskunskap I</t>
  </si>
  <si>
    <t>Samhällskunskap II</t>
  </si>
  <si>
    <t>Samhällskunskap III</t>
  </si>
  <si>
    <t>Slöjd- trä och metall inriktning I</t>
  </si>
  <si>
    <t>Slöjd - trä och metall inriktning II</t>
  </si>
  <si>
    <t>Slöjd- trä och metall inriktning III</t>
  </si>
  <si>
    <t>Slöjd, Trä- och metall 1a</t>
  </si>
  <si>
    <t>Slöjd, Trä- och metall 2a, distans</t>
  </si>
  <si>
    <t>Politik och samhälle</t>
  </si>
  <si>
    <t>Utbildning och arbetsmarknad I</t>
  </si>
  <si>
    <t>Svenska V: Språk och litteratur i samhälle och värld</t>
  </si>
  <si>
    <t>Studie- och yrkesvägledningens grunder</t>
  </si>
  <si>
    <t>Vetenskapliga perspektiv på studie- och yrkesvägledning</t>
  </si>
  <si>
    <t>Arbetsliv och lärande</t>
  </si>
  <si>
    <t>Teorier, modeller och metoder för vägledning och dess praktik</t>
  </si>
  <si>
    <t>Studie- och yrkesvägledningens praktik</t>
  </si>
  <si>
    <t>Teorier om studie- och yrkesval samt karriärutveckling</t>
  </si>
  <si>
    <t>Vägledning och stödinsatser för elever i behov av särskilt stöd</t>
  </si>
  <si>
    <t>Studie- och yrkesvägledningens teori och metod</t>
  </si>
  <si>
    <t>Introduktion till studie- och yrkesvägledning</t>
  </si>
  <si>
    <t>Samhällsvetenskap</t>
  </si>
  <si>
    <t>Teknik för lärare F-6</t>
  </si>
  <si>
    <t>Vävdesign</t>
  </si>
  <si>
    <t>Textila uttryck II</t>
  </si>
  <si>
    <t>Slöjd - textil inriktning III</t>
  </si>
  <si>
    <t>Kläddesign</t>
  </si>
  <si>
    <t>Slöjd, Textil 1a</t>
  </si>
  <si>
    <t>Slöjd, textil 2a, distans</t>
  </si>
  <si>
    <t>Vävdesign, fördjupning</t>
  </si>
  <si>
    <t>Examensarbete</t>
  </si>
  <si>
    <t>Att undervisa</t>
  </si>
  <si>
    <t>Bild 2b, distans</t>
  </si>
  <si>
    <t>Musik 1</t>
  </si>
  <si>
    <t>Musik 2</t>
  </si>
  <si>
    <t>Musik 2b, distans</t>
  </si>
  <si>
    <t>Slöjd, Trä- och metall 2b, distans</t>
  </si>
  <si>
    <t>6MU021</t>
  </si>
  <si>
    <t>6SL015</t>
  </si>
  <si>
    <t>6BIxxx</t>
  </si>
  <si>
    <t>6LI005</t>
  </si>
  <si>
    <t>Totalsumma</t>
  </si>
  <si>
    <t>Hum Summa</t>
  </si>
  <si>
    <t>VFU</t>
  </si>
  <si>
    <t>6HI015</t>
  </si>
  <si>
    <t>6KG001</t>
  </si>
  <si>
    <t>Företagsekonomi</t>
  </si>
  <si>
    <t>Historia III forts.</t>
  </si>
  <si>
    <t>Geografi I</t>
  </si>
  <si>
    <t>2180 Summa</t>
  </si>
  <si>
    <t>DE HST</t>
  </si>
  <si>
    <t>DE HPR</t>
  </si>
  <si>
    <t>HU HPR</t>
  </si>
  <si>
    <t>HU HST</t>
  </si>
  <si>
    <t>ID HPR</t>
  </si>
  <si>
    <t>ID HST</t>
  </si>
  <si>
    <t>LU HPR</t>
  </si>
  <si>
    <t>LU HST</t>
  </si>
  <si>
    <t>MU HPR</t>
  </si>
  <si>
    <t>MU HST</t>
  </si>
  <si>
    <t>NA HST</t>
  </si>
  <si>
    <t>NA HPR</t>
  </si>
  <si>
    <t>SA HST</t>
  </si>
  <si>
    <t>SA HPR</t>
  </si>
  <si>
    <t>TE HST</t>
  </si>
  <si>
    <t>TE HPR</t>
  </si>
  <si>
    <t>VFU HST</t>
  </si>
  <si>
    <t>VFU HPR</t>
  </si>
  <si>
    <t>XXX HST</t>
  </si>
  <si>
    <t>ÖV HST</t>
  </si>
  <si>
    <t>ÖV HPR</t>
  </si>
  <si>
    <t>VÅ HST</t>
  </si>
  <si>
    <t>VÅ HPR</t>
  </si>
  <si>
    <t>max antal</t>
  </si>
  <si>
    <t>Justering</t>
  </si>
  <si>
    <t>Justering över max</t>
  </si>
  <si>
    <t>Summa</t>
  </si>
  <si>
    <t>Orgnr</t>
  </si>
  <si>
    <t>K</t>
  </si>
  <si>
    <t>D</t>
  </si>
  <si>
    <t>Justering musik/design (tkr)</t>
  </si>
  <si>
    <t>Estetiska</t>
  </si>
  <si>
    <t>Epidemiologi och global hälsa</t>
  </si>
  <si>
    <t>6PE130</t>
  </si>
  <si>
    <t>6PE131</t>
  </si>
  <si>
    <t>Bedömning för lärande för åk F-3 och 4-6</t>
  </si>
  <si>
    <t>Bedömning för lärande för ämneslärare för åk 7-9 och gymnasium</t>
  </si>
  <si>
    <t>6LÄ048</t>
  </si>
  <si>
    <t>6LÄ046</t>
  </si>
  <si>
    <t>Enl ök mellan inst</t>
  </si>
  <si>
    <t>6KN013</t>
  </si>
  <si>
    <t>Franska B med didaktisk inriktning inom lärarprogrammet</t>
  </si>
  <si>
    <t>6PE303</t>
  </si>
  <si>
    <t>6LÄ045</t>
  </si>
  <si>
    <t>6LÄ047</t>
  </si>
  <si>
    <t>6PE129</t>
  </si>
  <si>
    <t>6ES042</t>
  </si>
  <si>
    <t>6ES043</t>
  </si>
  <si>
    <t>6KN012</t>
  </si>
  <si>
    <t>Bild I för fritidshemmet</t>
  </si>
  <si>
    <t>Bild II för fritidshemmet</t>
  </si>
  <si>
    <t>Hem- och konsumentkunskap C</t>
  </si>
  <si>
    <t>6TX022</t>
  </si>
  <si>
    <t>Kläddesign II</t>
  </si>
  <si>
    <t>6PE303a</t>
  </si>
  <si>
    <t>6PE303b</t>
  </si>
  <si>
    <t>6PE303c</t>
  </si>
  <si>
    <t>6PE303d</t>
  </si>
  <si>
    <t>6PE303e</t>
  </si>
  <si>
    <t>6PE303f</t>
  </si>
  <si>
    <t>Kunskap, undervisning och lärande II (7-9)(Gy), Mom 2 (Idr+Sh), 3 hp</t>
  </si>
  <si>
    <t>Kunskap, undervisning och lärande II (7-9)(Gy), Mom 2 (Sv+Eng), 3 hp</t>
  </si>
  <si>
    <t>Kunskap, undervisning och lärande II (7-9)(Gy), Mom 2 (Hi+Re), 3 hp</t>
  </si>
  <si>
    <t>Kunskap, undervisning och lärande II (7-9)(Gy), Mom 2 (Hk), 3 hp</t>
  </si>
  <si>
    <t>Kunskap, undervisning och lärande II (7-9)(Gy), Mom 2 (Ma), 3 hp</t>
  </si>
  <si>
    <t>1620 Summa</t>
  </si>
  <si>
    <t>1630 Summa</t>
  </si>
  <si>
    <t>2193 Summa</t>
  </si>
  <si>
    <t>2340 Summa</t>
  </si>
  <si>
    <t>5740 Summa</t>
  </si>
  <si>
    <t>Summa av Totala intäkter</t>
  </si>
  <si>
    <t>LH</t>
  </si>
  <si>
    <t>Justering lokaler</t>
  </si>
  <si>
    <t>6ES044</t>
  </si>
  <si>
    <t>6ES045</t>
  </si>
  <si>
    <t>6FA000</t>
  </si>
  <si>
    <t>6FA005</t>
  </si>
  <si>
    <t>6FYXXX</t>
  </si>
  <si>
    <t>6HI009</t>
  </si>
  <si>
    <t>6ID311</t>
  </si>
  <si>
    <t>6ID313</t>
  </si>
  <si>
    <t>6KExxx</t>
  </si>
  <si>
    <t>6KN005</t>
  </si>
  <si>
    <t>6LU005</t>
  </si>
  <si>
    <t>6MU023</t>
  </si>
  <si>
    <t>6NO023</t>
  </si>
  <si>
    <t>6NO024</t>
  </si>
  <si>
    <t>6PE006</t>
  </si>
  <si>
    <t>6PE104</t>
  </si>
  <si>
    <t>6PE105</t>
  </si>
  <si>
    <t>6PE106</t>
  </si>
  <si>
    <t>6PE107</t>
  </si>
  <si>
    <t>6PE108</t>
  </si>
  <si>
    <t>6PE117</t>
  </si>
  <si>
    <t>6PE118</t>
  </si>
  <si>
    <t>6PES01</t>
  </si>
  <si>
    <t>6SA008</t>
  </si>
  <si>
    <t>6SA009</t>
  </si>
  <si>
    <t>6ST009</t>
  </si>
  <si>
    <t>6SV030</t>
  </si>
  <si>
    <t>6SV031</t>
  </si>
  <si>
    <t>6TX001</t>
  </si>
  <si>
    <t>6TY012</t>
  </si>
  <si>
    <t>6TY013</t>
  </si>
  <si>
    <t>Bild I för 4-6</t>
  </si>
  <si>
    <t>Lärande, lek och utveckling i förskolan III. Skapande och lek i förskolan I:II</t>
  </si>
  <si>
    <t>Profession och vetenskap i fritidshem (UK III)</t>
  </si>
  <si>
    <t>Svenska som andraspråk II för ämneslärare med inriktning mot gymnasiet</t>
  </si>
  <si>
    <t>Enl mejl från Jonas Nilsson (fr Conny S)</t>
  </si>
  <si>
    <t>Bild II för 4-6</t>
  </si>
  <si>
    <t>6SY032</t>
  </si>
  <si>
    <t>6SY028</t>
  </si>
  <si>
    <t>6SY031</t>
  </si>
  <si>
    <t>6SY029</t>
  </si>
  <si>
    <t>6SY030</t>
  </si>
  <si>
    <t>6NO031</t>
  </si>
  <si>
    <t>6NO033</t>
  </si>
  <si>
    <t>6MN029</t>
  </si>
  <si>
    <t>2IT029</t>
  </si>
  <si>
    <t>2IT030</t>
  </si>
  <si>
    <t>2IT017</t>
  </si>
  <si>
    <t>2IT018</t>
  </si>
  <si>
    <t>2IT019</t>
  </si>
  <si>
    <t>2IT020</t>
  </si>
  <si>
    <t>Utomhuspedagogik i förskola, fritidshem och grundskola II</t>
  </si>
  <si>
    <t>Matematik, påbyggnadskurs</t>
  </si>
  <si>
    <t>6ES055</t>
  </si>
  <si>
    <t>Magisterarbete för examen i pedagogiskt yrkesarbete på magisternivå</t>
  </si>
  <si>
    <t>2500 Summa</t>
  </si>
  <si>
    <t>Summa av Lokalintäkt</t>
  </si>
  <si>
    <t>6PE135</t>
  </si>
  <si>
    <t>6PE136</t>
  </si>
  <si>
    <t>Tips: Fliken "kurser alla" innehåller i princip all underliggande data (förutom fördelning mellan kursansvarig och medverkande). Här kan ni alltså filtrera på programkod, kurskod, kursansvarig inst mm, eller göra en egen pivot med denna flik som datakälla.</t>
  </si>
  <si>
    <t>Inst för Fysik</t>
  </si>
  <si>
    <t>Juridiska institutionen</t>
  </si>
  <si>
    <t>Grundlärarprogrammet - fritidshem</t>
  </si>
  <si>
    <t>Förskollärarprogrammet</t>
  </si>
  <si>
    <t>Grundlärarprogrammet - förskoleklass och åk 1-3</t>
  </si>
  <si>
    <t>Grundlärarprogrammet - grundskolans åk 4-6</t>
  </si>
  <si>
    <t>Ämneslärarprogrammet - åk 7-9</t>
  </si>
  <si>
    <t>Fr o m ht12</t>
  </si>
  <si>
    <t>Yrkeslärarprogrammet</t>
  </si>
  <si>
    <t>KPU - åk 7-9</t>
  </si>
  <si>
    <t>KPU - Gy</t>
  </si>
  <si>
    <t>Specialpedagogprogrammet</t>
  </si>
  <si>
    <t>Speciallärarprogrammet</t>
  </si>
  <si>
    <t>Lärarprogram långa - före ht11</t>
  </si>
  <si>
    <t>Lärarprogram kort - före ht11</t>
  </si>
  <si>
    <t>agnetha.simm@umu.se</t>
  </si>
  <si>
    <t>6MA029</t>
  </si>
  <si>
    <t>Beställda kurser KPU förhöjd studietakt (150%)</t>
  </si>
  <si>
    <t>Enl kkk 130918 p 5</t>
  </si>
  <si>
    <t>6SY033</t>
  </si>
  <si>
    <t>6SY034</t>
  </si>
  <si>
    <t>6SY035</t>
  </si>
  <si>
    <t>Överbryggande SYV</t>
  </si>
  <si>
    <t>6PE137</t>
  </si>
  <si>
    <t>6TE006</t>
  </si>
  <si>
    <t>6SV037</t>
  </si>
  <si>
    <t>6KG002</t>
  </si>
  <si>
    <t>fd fiktiv kurskod 6GEXX7 (klassificerad 50NA 50SA)</t>
  </si>
  <si>
    <t>5BI152</t>
  </si>
  <si>
    <t>5BI012</t>
  </si>
  <si>
    <t>5BI156</t>
  </si>
  <si>
    <t>5FY041</t>
  </si>
  <si>
    <t>5KE011</t>
  </si>
  <si>
    <t>5KE105</t>
  </si>
  <si>
    <t>Ekologi A</t>
  </si>
  <si>
    <t>Ekologi</t>
  </si>
  <si>
    <t>Genetik och evolution</t>
  </si>
  <si>
    <t>Artkunskap och ekologisk fältmetodik</t>
  </si>
  <si>
    <t>Klassisk mekanik A</t>
  </si>
  <si>
    <t>Kemins grunder med miljö- och samhällsperspektiv, 15 hp</t>
  </si>
  <si>
    <t>6KNxx1</t>
  </si>
  <si>
    <t>Enl kkk 131203</t>
  </si>
  <si>
    <t>6JU000</t>
  </si>
  <si>
    <t>Skoljurudik, 7,5 hp</t>
  </si>
  <si>
    <t>fd fiktiv kurskod 6NYFRIST6</t>
  </si>
  <si>
    <t>Enl ök mellan inst 131211</t>
  </si>
  <si>
    <t>fd fiktiv kurskod 6SP7XX</t>
  </si>
  <si>
    <t>fd fiktiv kurskod 6SP7YY</t>
  </si>
  <si>
    <t>6PE141</t>
  </si>
  <si>
    <t>6PE142</t>
  </si>
  <si>
    <t>6RV009</t>
  </si>
  <si>
    <t>fd fiktiv kurskod 6REXX1</t>
  </si>
  <si>
    <t>6MA030</t>
  </si>
  <si>
    <t>6PE134</t>
  </si>
  <si>
    <t>6PE139</t>
  </si>
  <si>
    <t>6PE140</t>
  </si>
  <si>
    <t>6PE145</t>
  </si>
  <si>
    <t>fd fiktiv kurskod 6VFUYRK</t>
  </si>
  <si>
    <t>6HI030</t>
  </si>
  <si>
    <t>Att undervisa i historia</t>
  </si>
  <si>
    <t>Bytt namn och kurskod från 6HI022</t>
  </si>
  <si>
    <t>6PE144</t>
  </si>
  <si>
    <t>6PE143</t>
  </si>
  <si>
    <t>6RV010</t>
  </si>
  <si>
    <t>6SY036</t>
  </si>
  <si>
    <t>Ersätter 6SY014?</t>
  </si>
  <si>
    <t>6LÄ050</t>
  </si>
  <si>
    <t>6LÄ051</t>
  </si>
  <si>
    <t>fd fiktiv 6SP8XX</t>
  </si>
  <si>
    <t>fd fiktiv 6SP8YY</t>
  </si>
  <si>
    <t>6PE150</t>
  </si>
  <si>
    <t>Fd 6KPUF2</t>
  </si>
  <si>
    <t>Fd 6KPUF6</t>
  </si>
  <si>
    <t>6PE151</t>
  </si>
  <si>
    <t>Fd 6LU0xx</t>
  </si>
  <si>
    <t>6PE147</t>
  </si>
  <si>
    <t>fd 6LU0xx</t>
  </si>
  <si>
    <t>Enl ny ök mellan inst</t>
  </si>
  <si>
    <t>6ID315</t>
  </si>
  <si>
    <t>6ID316</t>
  </si>
  <si>
    <t>Ers 6ID310 kommer att klassas till Idrott enl BW</t>
  </si>
  <si>
    <t>Ers 6ID312 kommer att klassas till Idrott enl BW</t>
  </si>
  <si>
    <t>Anm 1</t>
  </si>
  <si>
    <t>Anm 2</t>
  </si>
  <si>
    <t>6PE152</t>
  </si>
  <si>
    <t>6PE153</t>
  </si>
  <si>
    <t>6PE154</t>
  </si>
  <si>
    <t>6PE155</t>
  </si>
  <si>
    <t>Fd 6KPUF4</t>
  </si>
  <si>
    <t>Fd 6KPUF1</t>
  </si>
  <si>
    <t>Fd 6KPUF5</t>
  </si>
  <si>
    <t>Fd 6KPUF3</t>
  </si>
  <si>
    <t>500xxx</t>
  </si>
  <si>
    <t>50xxx</t>
  </si>
  <si>
    <t>50xxx5</t>
  </si>
  <si>
    <t>50xxxx</t>
  </si>
  <si>
    <t>5BI137</t>
  </si>
  <si>
    <t>5EL204</t>
  </si>
  <si>
    <t>5FY036</t>
  </si>
  <si>
    <t>5FY108</t>
  </si>
  <si>
    <t>5FY110</t>
  </si>
  <si>
    <t>5FY118</t>
  </si>
  <si>
    <t>5KE002</t>
  </si>
  <si>
    <t>5KE081</t>
  </si>
  <si>
    <t>60xxxx</t>
  </si>
  <si>
    <t>6BIxx1</t>
  </si>
  <si>
    <t>6EN030</t>
  </si>
  <si>
    <t>6ES037</t>
  </si>
  <si>
    <t>6ES038</t>
  </si>
  <si>
    <t>6ES048</t>
  </si>
  <si>
    <t>6ES049</t>
  </si>
  <si>
    <t>6FA006</t>
  </si>
  <si>
    <t>6FYYY7</t>
  </si>
  <si>
    <t>6HI022</t>
  </si>
  <si>
    <t>6HI9XX</t>
  </si>
  <si>
    <t>6ID307</t>
  </si>
  <si>
    <t>6ID308</t>
  </si>
  <si>
    <t>6ID309</t>
  </si>
  <si>
    <t>6KN9XX</t>
  </si>
  <si>
    <t>6KPU150a</t>
  </si>
  <si>
    <t>6KPU150b</t>
  </si>
  <si>
    <t>6MA222</t>
  </si>
  <si>
    <t>6PE026</t>
  </si>
  <si>
    <t>6PE029</t>
  </si>
  <si>
    <t>6PE058</t>
  </si>
  <si>
    <t>6PE148</t>
  </si>
  <si>
    <t>6PE149</t>
  </si>
  <si>
    <t>6RV006</t>
  </si>
  <si>
    <t>6SA010</t>
  </si>
  <si>
    <t>6SH013</t>
  </si>
  <si>
    <t>6SH014</t>
  </si>
  <si>
    <t>6SH7XX</t>
  </si>
  <si>
    <t>6SV032</t>
  </si>
  <si>
    <t>6TX012</t>
  </si>
  <si>
    <t>6TY014</t>
  </si>
  <si>
    <t>NV didaktik (dst)</t>
  </si>
  <si>
    <t>Fysiologi och cellbiologi</t>
  </si>
  <si>
    <t>Grundläggande mätteknik B</t>
  </si>
  <si>
    <t>El- och vågrörelselära</t>
  </si>
  <si>
    <t>Laborativ problemlösning i fysik</t>
  </si>
  <si>
    <t>Kvantfysik</t>
  </si>
  <si>
    <t>Akvatisk kemi</t>
  </si>
  <si>
    <t>Analytisk kemi</t>
  </si>
  <si>
    <t>Läraryrkets dimensioner (Estetiska ämnen)</t>
  </si>
  <si>
    <t>Bild fördjupning - Design textil II</t>
  </si>
  <si>
    <t>Franska III för ämneslärare med inriktning mot gymnasiet</t>
  </si>
  <si>
    <t>UK III - Profession och vetenskap, Idrott och hälsa</t>
  </si>
  <si>
    <t>VFU III - Läraryrkets dimensioner, Idrott och hälsa</t>
  </si>
  <si>
    <t>Läraryrkets dimensioner (Hem- och konsumentkunskap)</t>
  </si>
  <si>
    <t>Matematiska metoder för ämneslärare med inriktning mot 7-9 och gymnasiet</t>
  </si>
  <si>
    <t>Examensarbete (Matematik), 30 hp</t>
  </si>
  <si>
    <t>Ämnesdidaktik 2 - naturvetenskapliga ämnen och matematik</t>
  </si>
  <si>
    <t>Spanska III för ämneslärare med inriktning mot gymnasiet</t>
  </si>
  <si>
    <t>Svenska som andraspråk III för ämneslärare med inriktning mot gymnasiet</t>
  </si>
  <si>
    <t>Tyska III för ämneslärare med inriktning mot gymnasiet</t>
  </si>
  <si>
    <t>Enl kkk 140409</t>
  </si>
  <si>
    <t>Summa av HST</t>
  </si>
  <si>
    <t>6PE119</t>
  </si>
  <si>
    <t>6SV041</t>
  </si>
  <si>
    <t>5FY129</t>
  </si>
  <si>
    <t>5FY130</t>
  </si>
  <si>
    <t>6HI023</t>
  </si>
  <si>
    <t>6HI024</t>
  </si>
  <si>
    <t>6LI006</t>
  </si>
  <si>
    <t>6SV042</t>
  </si>
  <si>
    <t>Fd fiktiv kurskod 6SV7XX</t>
  </si>
  <si>
    <t>Fd fiktiv kurskod 6HI8XX</t>
  </si>
  <si>
    <t>Svenska som andraspråk III - för ämneslärare med inriktning mot gymnasieskolan</t>
  </si>
  <si>
    <t>Solceller, 7,5 hp</t>
  </si>
  <si>
    <t>Avancerade material, 7,5 hp</t>
  </si>
  <si>
    <t>Läraryrkets dimensioner (Samhällskunskap), 22,5 hp</t>
  </si>
  <si>
    <t>Sex och samlevnad, 7,5 hp</t>
  </si>
  <si>
    <t>6SV040</t>
  </si>
  <si>
    <t>1LV048</t>
  </si>
  <si>
    <t>6PE138</t>
  </si>
  <si>
    <t>6KN015</t>
  </si>
  <si>
    <t>6KN014</t>
  </si>
  <si>
    <t>Svenska som andraspråk II - för ämneslärare</t>
  </si>
  <si>
    <t>Utbildningsvetenskap i pedagogisk praktik</t>
  </si>
  <si>
    <t>Mat och hälsa för barn och ungdomar</t>
  </si>
  <si>
    <t>Hem- och konsumentkunskap B15, distans</t>
  </si>
  <si>
    <t>6MA031</t>
  </si>
  <si>
    <t>TFE</t>
  </si>
  <si>
    <t>Agnetha Simm, Lärarhögskolans kansli</t>
  </si>
  <si>
    <t>enl kkk 140221</t>
  </si>
  <si>
    <t>6PE169</t>
  </si>
  <si>
    <t>6PE171</t>
  </si>
  <si>
    <t>6PE172</t>
  </si>
  <si>
    <t>6PE170</t>
  </si>
  <si>
    <t>6PE175</t>
  </si>
  <si>
    <t>6LÄ052</t>
  </si>
  <si>
    <t>6PE146</t>
  </si>
  <si>
    <t>VFU-kurs</t>
  </si>
  <si>
    <t>Enl uppg fr AKL till Ladok 141014</t>
  </si>
  <si>
    <t>6MA032</t>
  </si>
  <si>
    <t>6MN032</t>
  </si>
  <si>
    <t>6MN033</t>
  </si>
  <si>
    <t>6MN035</t>
  </si>
  <si>
    <t>Biologididaktik för ämneslärare för åk 7-9</t>
  </si>
  <si>
    <t>Fysikdidaktik för ämneslärare för åk 7-9</t>
  </si>
  <si>
    <t>Kemididaktik för ämneslärare för åk 7-9</t>
  </si>
  <si>
    <t>6PE174</t>
  </si>
  <si>
    <t>6LV002</t>
  </si>
  <si>
    <t>6ID010</t>
  </si>
  <si>
    <t>6ID012</t>
  </si>
  <si>
    <t>Ny fr o m 2015, ers 6ID315</t>
  </si>
  <si>
    <t>Ny fr o m 2015, ers 6ID316</t>
  </si>
  <si>
    <t xml:space="preserve">TUV </t>
  </si>
  <si>
    <t>6PE182</t>
  </si>
  <si>
    <t>Bild med fördjupning. Slöjd - Design, textil I</t>
  </si>
  <si>
    <t>6SL030</t>
  </si>
  <si>
    <t>6TX023</t>
  </si>
  <si>
    <t>6MU044</t>
  </si>
  <si>
    <t>Ingår i utbildningsvet kärna</t>
  </si>
  <si>
    <t>LYAGR/LYAGY</t>
  </si>
  <si>
    <t>Kunskap, vetenskap och forskningsmetodik, 7,5 hp</t>
  </si>
  <si>
    <t>Etik, demokrati och det heterogena klassrummet, 7,5 hp</t>
  </si>
  <si>
    <t>Enl styrelse 141204</t>
  </si>
  <si>
    <t>5FY001</t>
  </si>
  <si>
    <t>5FY114</t>
  </si>
  <si>
    <t>5FY140</t>
  </si>
  <si>
    <t>5FY141</t>
  </si>
  <si>
    <t>Analytisk mekanik, 6 hp</t>
  </si>
  <si>
    <t>Virtuella världars fysik, 7,5 hp</t>
  </si>
  <si>
    <t>Kvantfysik, 6 hp</t>
  </si>
  <si>
    <t>Vågrörelselära, 6 hp</t>
  </si>
  <si>
    <t>Fd 3257</t>
  </si>
  <si>
    <t>6PE183</t>
  </si>
  <si>
    <t>6PE184</t>
  </si>
  <si>
    <t>6LU006</t>
  </si>
  <si>
    <t>Summa av Ant</t>
  </si>
  <si>
    <t>6LU007</t>
  </si>
  <si>
    <t>Enl ök mellan inst 150204</t>
  </si>
  <si>
    <t>Biologididaktik 1 för ämneslärare för gymnasium</t>
  </si>
  <si>
    <t>Biologididaktik 2 för ämneslärare för gymnasium</t>
  </si>
  <si>
    <t>Fysikdidaktik 1 för ämneslärare för gymnasium</t>
  </si>
  <si>
    <t>Fysikdidaktik 2 för ämneslärare för gymnasium</t>
  </si>
  <si>
    <t>Kemididaktik 1 för ämneslärare för gymnasium</t>
  </si>
  <si>
    <t>Kemididaktik 2 för ämneslärare för gymnasium</t>
  </si>
  <si>
    <t>Engelska III för ämneslärare med inriktning mot gymnasiet</t>
  </si>
  <si>
    <t>Läraryrkets dimensioner</t>
  </si>
  <si>
    <t>Examensarbete - estetiska ämnen</t>
  </si>
  <si>
    <t>Att undervisa - estetiska ämnen</t>
  </si>
  <si>
    <t>Ämnesdidaktik i estetiska ämnen med fördjupningar</t>
  </si>
  <si>
    <t>Franska A med didaktisk inriktning inom lärarprogrammet</t>
  </si>
  <si>
    <t>Franska II för ämneslärare</t>
  </si>
  <si>
    <t>Andraämne Historia fördjupning</t>
  </si>
  <si>
    <t>Examensarbete kurs I</t>
  </si>
  <si>
    <t>Idrott och hälsa I, för lägre åldrar</t>
  </si>
  <si>
    <t>Idrott och hälsa II, för lägre åldrar</t>
  </si>
  <si>
    <t>VFU II - Att undervisa, Idrott och hälsa</t>
  </si>
  <si>
    <t>Examensarbete Lärarprogrammet, Idrott och hälsa</t>
  </si>
  <si>
    <t>Lek, rörelseglädje och hälsa II</t>
  </si>
  <si>
    <t>Leda rörelse för lärande II</t>
  </si>
  <si>
    <t>Idrott och hälsa I, för F-3</t>
  </si>
  <si>
    <t>Idrott och hälsa II, för F-3</t>
  </si>
  <si>
    <t>Geografi II</t>
  </si>
  <si>
    <t>Att undervisa i Hem- och konsumentkunskap</t>
  </si>
  <si>
    <t>Specialpedagogik med fokus på svenska och matematik för F-3</t>
  </si>
  <si>
    <t>Samhällsorientering åk 4-6</t>
  </si>
  <si>
    <t>Ungdomsromanen i samtiden</t>
  </si>
  <si>
    <t>Kunskap undervisning och lärande II för F-3</t>
  </si>
  <si>
    <t>Examensarbete för grundlärarexamen med inriktning mot förskoleklass och grundskolans år 1-3</t>
  </si>
  <si>
    <t>Examensarbete för grundlärarexamen med inriktning mot grundskolans år 4-6</t>
  </si>
  <si>
    <t>Examensarbete i engelska eller svenska för ämneslärarexamen med inriktning mot åk 7-9</t>
  </si>
  <si>
    <t>Att undervisa i matematik</t>
  </si>
  <si>
    <t>Matematik för åk F-3, kurs 4</t>
  </si>
  <si>
    <t>Musik I</t>
  </si>
  <si>
    <t>Musik 3</t>
  </si>
  <si>
    <t>Musik 1 30 hp, fristående</t>
  </si>
  <si>
    <t>Naturorientering och teknik för lärande och undervisning för åk F-3 och 4-6</t>
  </si>
  <si>
    <t>Naturorientering och teknik för åk 4-6</t>
  </si>
  <si>
    <t>Naturorientering och teknik för lärande och undervisning för åk 4-6, del II</t>
  </si>
  <si>
    <t>Examensarbete Studie- och yrkesvägledarprogrammet</t>
  </si>
  <si>
    <t>Beteendevetenskapliga grunder</t>
  </si>
  <si>
    <t>Att vara lärare (VFU I)</t>
  </si>
  <si>
    <t>Examensarbete i Förskollärarprogrammet</t>
  </si>
  <si>
    <t>Att undervisa i fritidshem (VFU II)</t>
  </si>
  <si>
    <t>Läraryrkets dimensioner II i fritidshem (VFU III)</t>
  </si>
  <si>
    <t>Examensarbete grundlärare - fritidshem</t>
  </si>
  <si>
    <t>Kunskap, undervisning och lärande för yrkeslärare II</t>
  </si>
  <si>
    <t>Vetenskapsteori och vetenskaplig metod</t>
  </si>
  <si>
    <t>Samhällsorientering, åk F-3</t>
  </si>
  <si>
    <t>Magisteruppsats i Pedagogisk yrkesverksamhet</t>
  </si>
  <si>
    <t>Läraryrkets dimensioner för åk 4-6 (VFU III)</t>
  </si>
  <si>
    <t>Läraryrkets dimensioner för F-3 (VFU III)</t>
  </si>
  <si>
    <t>Samhällsorientering, F-3</t>
  </si>
  <si>
    <t>Kunskap undervisning och lärande II</t>
  </si>
  <si>
    <t>Ämnesdidaktik i skolpraktiken, del 1</t>
  </si>
  <si>
    <t>Ämnesdidaktik i skolpraktiken, del 2</t>
  </si>
  <si>
    <t>Vetenskap och kunskap</t>
  </si>
  <si>
    <t>Bedömning</t>
  </si>
  <si>
    <t>Den professionella läraren I: Barns och ungas utveckling, specialpedagogik, sociala relationer och kommunikation</t>
  </si>
  <si>
    <t>Utbildningens villkor och samhälleliga funktion</t>
  </si>
  <si>
    <t>Den professionella läraren II: Uppdrag, ledarskap och undervisning</t>
  </si>
  <si>
    <t>Undervisning och lärande - läroplansteori och didaktik</t>
  </si>
  <si>
    <t>Examensarbete med ämnesdidaktisk inriktning</t>
  </si>
  <si>
    <t>Profession och vetenskap</t>
  </si>
  <si>
    <t>Profession och vetenskap för åk 4-6 (UK III)</t>
  </si>
  <si>
    <t>Profession och vetenskap för F-3 (UK III)</t>
  </si>
  <si>
    <t>Verksamhetsförlagd utbildning (KPU)</t>
  </si>
  <si>
    <t>Verksamhetsförlagd utbildning</t>
  </si>
  <si>
    <t>Handledarutbildning för VFU-handledare, handledningssamtal</t>
  </si>
  <si>
    <t>Handledarutbildning för VFU-handledare, bedömning</t>
  </si>
  <si>
    <t>Skolutvärdering i granskningssamhället</t>
  </si>
  <si>
    <t>Förskollärare som profession</t>
  </si>
  <si>
    <t>Att vara förskollärare (VFU)</t>
  </si>
  <si>
    <t>Kunskap, undervisning och lärande II för 7-9 och gymnasiet</t>
  </si>
  <si>
    <t>Religionsvetenskap III: påbyggnadskurs</t>
  </si>
  <si>
    <t>Att undervisa.</t>
  </si>
  <si>
    <t>Läraryrkets dimensioner.</t>
  </si>
  <si>
    <t>Religionsvetenskap II för ämneslärare med inriktning mot åk 7-9</t>
  </si>
  <si>
    <t>Att undervisa i religion.</t>
  </si>
  <si>
    <t>Spanska I för ämneslärare</t>
  </si>
  <si>
    <t>Spanska II för ämneslärare</t>
  </si>
  <si>
    <t>Slöjd trä och metall 1 30 hp</t>
  </si>
  <si>
    <t>Slöjd trä och metall 2 30 hp</t>
  </si>
  <si>
    <t>Slöjd trä och metall 1 30 hp, fristående</t>
  </si>
  <si>
    <t>Specialpedagogiska kunskapsområden</t>
  </si>
  <si>
    <t>Svenska som andraspråk I för ämneslärare</t>
  </si>
  <si>
    <t>Svenska för tidigare år, kurs 2 (22,5 -30 hp)</t>
  </si>
  <si>
    <t>Karriärutveckling i socialt och kulturellt perspektiv</t>
  </si>
  <si>
    <t>Karriärvägledning och andra insatser för människor i behov av särskilt stöd</t>
  </si>
  <si>
    <t>Karriärteori och vägledning</t>
  </si>
  <si>
    <t>Gruppvägledning med inriktning mot karriärutveckling</t>
  </si>
  <si>
    <t>Kommunikation och undervisning</t>
  </si>
  <si>
    <t>Teorier, modeller och metoder för karriärvägledning</t>
  </si>
  <si>
    <t>Naturorientering och teknik för F-3</t>
  </si>
  <si>
    <t>Vävdesign - från idé till uttryck</t>
  </si>
  <si>
    <t>Kläddesign - från idé till uttryck</t>
  </si>
  <si>
    <t>Slöjd textil 1 30 hp</t>
  </si>
  <si>
    <t>Slöjd, textil 2b, distans</t>
  </si>
  <si>
    <t>Slöjd textil 1 30 hp, fristående</t>
  </si>
  <si>
    <t>Tyska I för ämneslärare</t>
  </si>
  <si>
    <t>Tyska II för ämneslärare</t>
  </si>
  <si>
    <t>Ämnesdidaktik för yrkeslärare</t>
  </si>
  <si>
    <t>Profession och vetenskap för yrkeslärare</t>
  </si>
  <si>
    <t>Verksamhetsförlagd utbildning för yrkeslärare</t>
  </si>
  <si>
    <t>5FY139</t>
  </si>
  <si>
    <t>Elektromagnetism</t>
  </si>
  <si>
    <t>50xxx6</t>
  </si>
  <si>
    <t>6BIOxx</t>
  </si>
  <si>
    <t>6BIxx7</t>
  </si>
  <si>
    <t>6EN9XX</t>
  </si>
  <si>
    <t>6ES040</t>
  </si>
  <si>
    <t>6EX10</t>
  </si>
  <si>
    <t>6HI016</t>
  </si>
  <si>
    <t>6KExx2</t>
  </si>
  <si>
    <t>6MA333</t>
  </si>
  <si>
    <t>6PE156</t>
  </si>
  <si>
    <t>6RV007</t>
  </si>
  <si>
    <t>6RV008</t>
  </si>
  <si>
    <t>6SD002</t>
  </si>
  <si>
    <t>Biokemi 15 hp</t>
  </si>
  <si>
    <t>NV-didaktik distans 15 hp</t>
  </si>
  <si>
    <t>Profession och vetenskap (Engelska)</t>
  </si>
  <si>
    <t>Profession och vetenskap (Estetiska ämnen)</t>
  </si>
  <si>
    <t>Examensarbete för ämneslärare med inriktning mot gymnasiet (andra ämnet)</t>
  </si>
  <si>
    <t>Matematik III för ämneslärare med inriktning mot gymnasiet</t>
  </si>
  <si>
    <t>Examensarbete (Religion åk 7-9)</t>
  </si>
  <si>
    <t>Examensarbete (Religion gy)</t>
  </si>
  <si>
    <t>Examensarbete i svenska för ämneslärarexamen</t>
  </si>
  <si>
    <t>6SP047</t>
  </si>
  <si>
    <t>6PE187</t>
  </si>
  <si>
    <t>6PE188</t>
  </si>
  <si>
    <t>6PE185</t>
  </si>
  <si>
    <t>6PE186</t>
  </si>
  <si>
    <t>Att utveckla lärande i skola och vardag - Utvecklingsstörning</t>
  </si>
  <si>
    <t>Undervisning, kommunikation och kunskapsutveckling - Utvecklingsstörning</t>
  </si>
  <si>
    <t>Lärande och undervisning</t>
  </si>
  <si>
    <t>Ämneslärare som profession</t>
  </si>
  <si>
    <t>Att vara ämneslärare (VFU)</t>
  </si>
  <si>
    <t>Att vara grundlärare (VFU)</t>
  </si>
  <si>
    <t>Enl uppg fr AS till Ladok 150318</t>
  </si>
  <si>
    <t>Enl uppg fr AS till Ladok 150324</t>
  </si>
  <si>
    <t>6MA036</t>
  </si>
  <si>
    <t>Ingår i utbildningsvet kärna LYFSK</t>
  </si>
  <si>
    <t>VFU - LYFSK</t>
  </si>
  <si>
    <t>VFU - LYGFR/LYGFT/LYGRM</t>
  </si>
  <si>
    <t>Ingår i utbildningsvet kärna -LYGFR/LYGFT/LYGRM</t>
  </si>
  <si>
    <t>6SD003</t>
  </si>
  <si>
    <t>Examensarbete i språkdidaktik för ämneslärarexamen</t>
  </si>
  <si>
    <t>Kunskap, undervisning och lärande II (7-9)(Gy), Mom 2 (Bild+Mu+Slöjd), 3 hp</t>
  </si>
  <si>
    <t>Enl ök mellan inst 150325</t>
  </si>
  <si>
    <t>5KE154</t>
  </si>
  <si>
    <t>Grundläggande biokemi</t>
  </si>
  <si>
    <t>6LÄ053</t>
  </si>
  <si>
    <t>6LÄ054</t>
  </si>
  <si>
    <t>Läraryrkets dimensioner - ingångsämne engelska</t>
  </si>
  <si>
    <t>Läraryrkets dimensioner - ingångsämne svenska</t>
  </si>
  <si>
    <t>Enl kkk 150415</t>
  </si>
  <si>
    <t>6MA034</t>
  </si>
  <si>
    <t>Läraryrkets dimensioner - ingångsämne matematik</t>
  </si>
  <si>
    <t>6KA000</t>
  </si>
  <si>
    <t>Det mångkulturella klassrummet</t>
  </si>
  <si>
    <t>6KA001</t>
  </si>
  <si>
    <t>Heteronormativitet i skolan</t>
  </si>
  <si>
    <t>6KN016</t>
  </si>
  <si>
    <t>6KO000</t>
  </si>
  <si>
    <t>6LV003</t>
  </si>
  <si>
    <t>6LV004</t>
  </si>
  <si>
    <t>Litteraturdidaktik och läsning</t>
  </si>
  <si>
    <t>6MU045</t>
  </si>
  <si>
    <t>Dans och rörelse I</t>
  </si>
  <si>
    <t>6MU047</t>
  </si>
  <si>
    <t>6PE160</t>
  </si>
  <si>
    <t>6PE161</t>
  </si>
  <si>
    <t>6PE162</t>
  </si>
  <si>
    <t>6PE163</t>
  </si>
  <si>
    <t>6PE164</t>
  </si>
  <si>
    <t>6PE165</t>
  </si>
  <si>
    <t>6PE166</t>
  </si>
  <si>
    <t>6PE167</t>
  </si>
  <si>
    <t>6PE168</t>
  </si>
  <si>
    <t>6PE190</t>
  </si>
  <si>
    <t>Intersektionell genuspedagogik</t>
  </si>
  <si>
    <t>6PE191</t>
  </si>
  <si>
    <t xml:space="preserve">Musik 3, fristående </t>
  </si>
  <si>
    <t xml:space="preserve">Bild 1, fristående </t>
  </si>
  <si>
    <t xml:space="preserve">Bild 2, fristående </t>
  </si>
  <si>
    <t>Didaktik för modersmålslärare</t>
  </si>
  <si>
    <t>Svenska som andraspråk A</t>
  </si>
  <si>
    <t>Svenska som andraspråk B</t>
  </si>
  <si>
    <t>Svenska som andraspråk C, diskriminerande strukturer, grammatik och fonetik</t>
  </si>
  <si>
    <t>Hem- och konsumentkunskap C - fördjupning</t>
  </si>
  <si>
    <t>Digitala och sociala medier</t>
  </si>
  <si>
    <t>Bilderboken och barnromanen</t>
  </si>
  <si>
    <t>Musik 2 30.0 hp, fristående</t>
  </si>
  <si>
    <t>Mobbning, kränkande behandling och diskriminering</t>
  </si>
  <si>
    <t>6SY037</t>
  </si>
  <si>
    <t>6MA033</t>
  </si>
  <si>
    <t>6MA035</t>
  </si>
  <si>
    <t>6MA038</t>
  </si>
  <si>
    <t>Matematik 1 för grundskolans årskurs 4-6</t>
  </si>
  <si>
    <t>Ersätter 6SY015 fr o m ht-15</t>
  </si>
  <si>
    <t>6MN039</t>
  </si>
  <si>
    <t>Matematik 1 för förskoleklass och grundskolans årskurs 1-3</t>
  </si>
  <si>
    <t>6ES065</t>
  </si>
  <si>
    <t>Bild med fördjupning. Slöjd - Design, textil III</t>
  </si>
  <si>
    <t>Enl kkk 151009</t>
  </si>
  <si>
    <t>6MU048</t>
  </si>
  <si>
    <t>6MU049</t>
  </si>
  <si>
    <t>Musik IV</t>
  </si>
  <si>
    <t>6KN021</t>
  </si>
  <si>
    <t>1640 Summa</t>
  </si>
  <si>
    <t>1650 Summa</t>
  </si>
  <si>
    <t>Ämneslärarprogrammet - Gy</t>
  </si>
  <si>
    <t>Varifrån uppgifterna (antal studenter - HST) har hämtats kan ni se i kolumnen "Hämtat ur"</t>
  </si>
  <si>
    <t>6PE192</t>
  </si>
  <si>
    <t>6PE194</t>
  </si>
  <si>
    <t>6PE193</t>
  </si>
  <si>
    <t>6PE195</t>
  </si>
  <si>
    <t>Utbildning: Undervisning och lärande i en internationell kontext</t>
  </si>
  <si>
    <t>Demokrati, mänskliga rättigheter och hållbar utveckling: globala perspektiv i utbildning</t>
  </si>
  <si>
    <t>Forskningsdesign och metod inom utbildningsvetenskap</t>
  </si>
  <si>
    <t>Enl uppg fr AS till Ladok 151104</t>
  </si>
  <si>
    <t>6ES066</t>
  </si>
  <si>
    <t>6ES067</t>
  </si>
  <si>
    <t>6ES068</t>
  </si>
  <si>
    <t>6SD004</t>
  </si>
  <si>
    <t>Ämnesdidaktik, Att utveckla lärande och undervisning i språkliga kontexter</t>
  </si>
  <si>
    <t>6SV044</t>
  </si>
  <si>
    <t>6SV046</t>
  </si>
  <si>
    <t>Svenska som andraspråk C, Språk- och maktstrukturer</t>
  </si>
  <si>
    <t>6SV047</t>
  </si>
  <si>
    <t>Svenska som andraspråk C, Examensarbete för kandidatexamen</t>
  </si>
  <si>
    <t>Orgenhet</t>
  </si>
  <si>
    <t>Ersätter 6PE188 fr o m ht-16</t>
  </si>
  <si>
    <t>LISTA</t>
  </si>
  <si>
    <t>Summa av HPR</t>
  </si>
  <si>
    <t>Nationalekonomi</t>
  </si>
  <si>
    <t>VAL-projektet</t>
  </si>
  <si>
    <t>1EN047</t>
  </si>
  <si>
    <t>Engelska C, Allmän inriktning, nätkurs</t>
  </si>
  <si>
    <t>1EN050</t>
  </si>
  <si>
    <t>Engelska A1, nätkurs</t>
  </si>
  <si>
    <t>1EN053</t>
  </si>
  <si>
    <t>Engelska B2, nätkurs</t>
  </si>
  <si>
    <t>1SP009</t>
  </si>
  <si>
    <t>Spanska C1</t>
  </si>
  <si>
    <t>1SV026</t>
  </si>
  <si>
    <t>6DI003</t>
  </si>
  <si>
    <t>6DI004</t>
  </si>
  <si>
    <t>6DI005</t>
  </si>
  <si>
    <t>6DI006</t>
  </si>
  <si>
    <t>Bedömning-avancerad nivå (VAL,ULV)</t>
  </si>
  <si>
    <t>Vetenskap och kunskap, avancerad nivå (VAL,ULV)</t>
  </si>
  <si>
    <t>Bedömning-grundnivå (VAL,ULV)</t>
  </si>
  <si>
    <t>Vetenskap och kunskap-grundnivå (VAL,ULV)</t>
  </si>
  <si>
    <t>6PE176</t>
  </si>
  <si>
    <t>6PE177</t>
  </si>
  <si>
    <t>6PE178</t>
  </si>
  <si>
    <t>6PE179</t>
  </si>
  <si>
    <t>6PE180</t>
  </si>
  <si>
    <t>Utbildningens villkor och samhälleliga funktion - grundnivå (VAL, ULV)</t>
  </si>
  <si>
    <t>Specialpedagogik, sociala relationer och kommunikation - grundnivå (VAL, ULV)</t>
  </si>
  <si>
    <t>Specialpedagogik, sociala relationer och kommunikation - avancerad nivå (VAL, ULV)</t>
  </si>
  <si>
    <t>Uppdrag, ledarskap och undervisning - grundnivå (VAL, ULV)</t>
  </si>
  <si>
    <t>Undervisning och lärande - läroplansteori och didaktik - grundnivå (VAL, ULV)</t>
  </si>
  <si>
    <t>6PE181</t>
  </si>
  <si>
    <t>Enl ök mellan inst 151217</t>
  </si>
  <si>
    <t>Barns lärande och omsorg</t>
  </si>
  <si>
    <t>Förskolans uppdrag och arbetssätt 1</t>
  </si>
  <si>
    <t>Matematik för förskolan</t>
  </si>
  <si>
    <t>Förskolans uppdrag och arbetssätt 2</t>
  </si>
  <si>
    <t>Samhällsorientering för förskolan</t>
  </si>
  <si>
    <t>Skapande och lek för förskolan 2</t>
  </si>
  <si>
    <t>Barnet, omvärlden och fritidshemmets uppdrag</t>
  </si>
  <si>
    <t>Grupprocesser och samverkan i fritidshem</t>
  </si>
  <si>
    <t>Att undervisa i fritidshem (VFU)</t>
  </si>
  <si>
    <t>Praktiskt estetiskt ämne - Bild 1</t>
  </si>
  <si>
    <t>Praktiskt estetiskt ämne - Idrott och hälsa 1</t>
  </si>
  <si>
    <t>Läraryrkets dimensioner för fritidshem 1 (VFU)</t>
  </si>
  <si>
    <t>Praktiskt estetiskt ämne - Bild 2</t>
  </si>
  <si>
    <t>Praktiskt estetiskt ämne - Idrott och hälsa 2</t>
  </si>
  <si>
    <t>Enl kkk 151202</t>
  </si>
  <si>
    <t>Matematik, naturvetenskap och utomhuspedagogik för fritidshem</t>
  </si>
  <si>
    <t>6PE201</t>
  </si>
  <si>
    <t>Läraryrkets dimensioner - ingångsämne idrott och hälsa</t>
  </si>
  <si>
    <t>Enl uppg fr AS till Ladok 160122</t>
  </si>
  <si>
    <t>Ersätter 6ID308 fr o m ht-16</t>
  </si>
  <si>
    <t>6PE202</t>
  </si>
  <si>
    <t>6PE203</t>
  </si>
  <si>
    <t>6PE204</t>
  </si>
  <si>
    <t>Examensarbete för speciallärarexamen med specialisering mot matematikutveckling</t>
  </si>
  <si>
    <t>Ersätter 6PE093 fr o m ht-16</t>
  </si>
  <si>
    <t>6RV012</t>
  </si>
  <si>
    <t>Läraryrkets dimensioner - ingångsämne religion</t>
  </si>
  <si>
    <t>Ersätter 6RV006 fr o m ht-16</t>
  </si>
  <si>
    <t>6KN022</t>
  </si>
  <si>
    <t>Examensarbete i kostvetenskap för ämneslärarexamen med inriktning hem- och konsumentkunskap</t>
  </si>
  <si>
    <t>Ers 6KN007 fr o m vt-16</t>
  </si>
  <si>
    <t>Examensarbete speciallärarprogrammet med specialisering mot utvecklingsstörning</t>
  </si>
  <si>
    <t>6MA037</t>
  </si>
  <si>
    <t>Matematik 2 för förskoleklass och grundskolans årskurs 1-3</t>
  </si>
  <si>
    <t>6MN040</t>
  </si>
  <si>
    <t>Matematik 3 för förskoleklass och grundskolans årskurs 1-3</t>
  </si>
  <si>
    <t>6MN041</t>
  </si>
  <si>
    <t>Matematik 4 för förskoleklass och grundskolans årskurs 1-3</t>
  </si>
  <si>
    <t>6MN042</t>
  </si>
  <si>
    <t>Matematik 2 för grundskolans årskurs 4-6</t>
  </si>
  <si>
    <t>6MN043</t>
  </si>
  <si>
    <t>Matematik 3 för grundskolans årskurs 4-6</t>
  </si>
  <si>
    <t>6MN044</t>
  </si>
  <si>
    <t>Matematik 4 för grundskolans årskurs 4-6</t>
  </si>
  <si>
    <t>6ES073</t>
  </si>
  <si>
    <t>6ES074</t>
  </si>
  <si>
    <t>6ES075</t>
  </si>
  <si>
    <t>Praktiskt estetiskt ämne - Slöjd trä och metall 1</t>
  </si>
  <si>
    <t>Praktiskt estetiskt ämne - Slöjd textil 1</t>
  </si>
  <si>
    <t>6ID016</t>
  </si>
  <si>
    <t>Enl ök mellan inst 150910</t>
  </si>
  <si>
    <t>6PE214</t>
  </si>
  <si>
    <t>Undervisning och lärande - läroplansteori och didaktik inklusive VFU (UK och VFU)</t>
  </si>
  <si>
    <t>6HI029</t>
  </si>
  <si>
    <t>Examensarbete för ämneslärarexamen - historia</t>
  </si>
  <si>
    <t>Examensarbete för speciallärarexamen med specialisering mot språk-, skriv- och läsutveckling</t>
  </si>
  <si>
    <t>6LI008</t>
  </si>
  <si>
    <t>Verksamhetsförlagd utbildning för yrkeslärare (VFU)</t>
  </si>
  <si>
    <t>6PE209</t>
  </si>
  <si>
    <t>6ID015</t>
  </si>
  <si>
    <t>6PE212</t>
  </si>
  <si>
    <t>6PE213</t>
  </si>
  <si>
    <t>6PE206</t>
  </si>
  <si>
    <t>6BI009</t>
  </si>
  <si>
    <t>Examensarbete för ämneslärarexamen - Biologi</t>
  </si>
  <si>
    <t>Examensarbete för ämneslärarexamen - Fysik</t>
  </si>
  <si>
    <t>6FY008</t>
  </si>
  <si>
    <t>Examensarbete för ämneslärarexamen - Kemi</t>
  </si>
  <si>
    <t>6KE004</t>
  </si>
  <si>
    <t>Kunskap, undervisning och lärande för förskolan (UK)</t>
  </si>
  <si>
    <t>Bedömning för lärande för förskolan 1 (UK)</t>
  </si>
  <si>
    <t>Bedömning för lärande för förskolan 2 (UK)</t>
  </si>
  <si>
    <t>Profession och vetenskap för förskolan (UK)</t>
  </si>
  <si>
    <t>6BI100</t>
  </si>
  <si>
    <t>6BI101</t>
  </si>
  <si>
    <t>6BI102</t>
  </si>
  <si>
    <t>6KE100</t>
  </si>
  <si>
    <t>6KE101</t>
  </si>
  <si>
    <t>6KE102</t>
  </si>
  <si>
    <t>6FY100</t>
  </si>
  <si>
    <t>6FY101</t>
  </si>
  <si>
    <t>6FY102</t>
  </si>
  <si>
    <t>1FR008</t>
  </si>
  <si>
    <t>1FR009</t>
  </si>
  <si>
    <t>1HI005</t>
  </si>
  <si>
    <t>1LV002</t>
  </si>
  <si>
    <t>1NS059</t>
  </si>
  <si>
    <t>1SP003</t>
  </si>
  <si>
    <t>1SP024</t>
  </si>
  <si>
    <t>2SV014</t>
  </si>
  <si>
    <t>5FY040</t>
  </si>
  <si>
    <t>6PE205</t>
  </si>
  <si>
    <t>6PE207</t>
  </si>
  <si>
    <t>Franska B med allmän inriktning</t>
  </si>
  <si>
    <t>Franska C med allmän inriktning</t>
  </si>
  <si>
    <t>Litteraturvetenskap B</t>
  </si>
  <si>
    <t>Textanalys</t>
  </si>
  <si>
    <t>Spanska A1</t>
  </si>
  <si>
    <t>Spanska A1:6, Litteratur och kultur</t>
  </si>
  <si>
    <t>Statsvetenskap B</t>
  </si>
  <si>
    <t>Läraryrkets dimensioner - ingångsämne Samhällskunskap</t>
  </si>
  <si>
    <t>Analog kretsteknik</t>
  </si>
  <si>
    <t>Enl kkk 160113</t>
  </si>
  <si>
    <t>6PE215</t>
  </si>
  <si>
    <t>6HI031</t>
  </si>
  <si>
    <t>Fördela resurser hit enl uppg från Sam fak</t>
  </si>
  <si>
    <t>fr o m ht-16</t>
  </si>
  <si>
    <t>5MA164</t>
  </si>
  <si>
    <t>5MS042</t>
  </si>
  <si>
    <t>6SM000</t>
  </si>
  <si>
    <t>6SM001</t>
  </si>
  <si>
    <t>6xxx17</t>
  </si>
  <si>
    <t>6xxx11</t>
  </si>
  <si>
    <t>Samiska I för ämneslärare med inriktning mot nordsamiska</t>
  </si>
  <si>
    <t>6PE216</t>
  </si>
  <si>
    <t>6PE198</t>
  </si>
  <si>
    <t>6PE199</t>
  </si>
  <si>
    <t>6PE200</t>
  </si>
  <si>
    <t>Flervariabelanalys</t>
  </si>
  <si>
    <t>Statistik för teknologer</t>
  </si>
  <si>
    <t>Läraryrketes dimensioner</t>
  </si>
  <si>
    <t>Samiska II för ämneslärare med inriktning mot nordsamiska</t>
  </si>
  <si>
    <t>6xxx13</t>
  </si>
  <si>
    <t>6xxx14</t>
  </si>
  <si>
    <t>6xxx15</t>
  </si>
  <si>
    <t>6xxx16</t>
  </si>
  <si>
    <t>6xxx21</t>
  </si>
  <si>
    <t>Verksamhets förlagd utbildning (VFU)</t>
  </si>
  <si>
    <t>Examensarbete med ämnesdidaktisk inriktning (UK)</t>
  </si>
  <si>
    <t>Bedömning (UK)</t>
  </si>
  <si>
    <t>Matematikutveckling och lärande i ett specialpedagogiskt perspektiv</t>
  </si>
  <si>
    <t>Identifiering och kartläggning av undervisning och lärande med fokus på elever i behov av särskilda utbildningsinsatser</t>
  </si>
  <si>
    <t>Stöd och stimulans i arbetet med elever i behov av särskilda utbildningsinsatser</t>
  </si>
  <si>
    <t>6ID013</t>
  </si>
  <si>
    <t>Examensarbete i Idrott och hälsa för ämneslärarexamen</t>
  </si>
  <si>
    <t>6PE222</t>
  </si>
  <si>
    <t>Specialpedagogik för grundskolan (UK)</t>
  </si>
  <si>
    <t>Enl ök mellan inst 160419 (inkom 160902)</t>
  </si>
  <si>
    <t>5BI194</t>
  </si>
  <si>
    <t>5BI202</t>
  </si>
  <si>
    <t>6RV011</t>
  </si>
  <si>
    <t>6LÄ055</t>
  </si>
  <si>
    <t>6MN045</t>
  </si>
  <si>
    <t>6PE221</t>
  </si>
  <si>
    <t>6ES072</t>
  </si>
  <si>
    <t>6PE237</t>
  </si>
  <si>
    <t>6PE220</t>
  </si>
  <si>
    <t>6NO039</t>
  </si>
  <si>
    <t>6PE228</t>
  </si>
  <si>
    <t>6NO036</t>
  </si>
  <si>
    <t>6NO040</t>
  </si>
  <si>
    <t>6PE229</t>
  </si>
  <si>
    <t>6PE224</t>
  </si>
  <si>
    <t>6PE225</t>
  </si>
  <si>
    <t>6PE236</t>
  </si>
  <si>
    <t>6MA039</t>
  </si>
  <si>
    <t>5BI193</t>
  </si>
  <si>
    <t>5BI184</t>
  </si>
  <si>
    <t>5MA121</t>
  </si>
  <si>
    <t>5FY083</t>
  </si>
  <si>
    <t>5FYyyy</t>
  </si>
  <si>
    <t>6MU051</t>
  </si>
  <si>
    <t>6ID017</t>
  </si>
  <si>
    <t>6MU052</t>
  </si>
  <si>
    <t>6PE235</t>
  </si>
  <si>
    <t>6PE234</t>
  </si>
  <si>
    <t>Kull</t>
  </si>
  <si>
    <t>Artkunskap och systematik</t>
  </si>
  <si>
    <t>Musik fördjupning 2</t>
  </si>
  <si>
    <t>Examensarbete för ämneslärarexamen - religion</t>
  </si>
  <si>
    <t>Språk, kommunikation och språkutveckling i förskolans verksamhet</t>
  </si>
  <si>
    <t>Naturens mångfald</t>
  </si>
  <si>
    <t>Inventeringsmetodik och systematik</t>
  </si>
  <si>
    <t>5FY154</t>
  </si>
  <si>
    <t>Fördjupning i termodynamik</t>
  </si>
  <si>
    <t>Astronomi och meteorologi</t>
  </si>
  <si>
    <t>Differentialekvationer för teknologer</t>
  </si>
  <si>
    <t>Skapande lek i förskolan 1</t>
  </si>
  <si>
    <t>Idrott och hälsa 1</t>
  </si>
  <si>
    <t>Musik fördjupning 3</t>
  </si>
  <si>
    <t>Musik fördjupning 1</t>
  </si>
  <si>
    <t>Naturorientering och teknik för förskoleklass och grundskolans årskurs 1-3</t>
  </si>
  <si>
    <t>Naturorientering och teknik för förskoleklass och grundskolans årskurs 4-6</t>
  </si>
  <si>
    <t>Specialpedagogik för förskolan (UK)</t>
  </si>
  <si>
    <t>Utbildningsvetenskap, undervisning och lärande för förskolan (UK)</t>
  </si>
  <si>
    <t>Utbildningsvetenskap, undervisning och lärande för grundskolan - fritidshem (UK)</t>
  </si>
  <si>
    <t>Utbildningsvetenskap, undervisning och lärande för grundskolan (UK)</t>
  </si>
  <si>
    <t>Bedömning för och av lärande i grundskolan (UK)</t>
  </si>
  <si>
    <t>Bedömning för lärande i förskolan (UK)</t>
  </si>
  <si>
    <t>6SY038</t>
  </si>
  <si>
    <t>6PE218</t>
  </si>
  <si>
    <t>Utbildningens villkor och samhälleliga funktion (UK)</t>
  </si>
  <si>
    <t>Enl ök 160425</t>
  </si>
  <si>
    <t>6PE219</t>
  </si>
  <si>
    <t>Den professionella läraren 1: Barns utveckling, specialpedagogik, sociala relationer och kommunikation (UK)</t>
  </si>
  <si>
    <t>6PE227</t>
  </si>
  <si>
    <t>Den professionella läraren 2: Uppdrag, ledarskap och undervisning (UK)</t>
  </si>
  <si>
    <t>Prognos avhopp %</t>
  </si>
  <si>
    <t>Utgångs-värde 1:a kurs</t>
  </si>
  <si>
    <t>LYKFO</t>
  </si>
  <si>
    <t>6ES076</t>
  </si>
  <si>
    <t>6SL038</t>
  </si>
  <si>
    <t>6ES070</t>
  </si>
  <si>
    <t>6ES071</t>
  </si>
  <si>
    <t>6SL036</t>
  </si>
  <si>
    <t>6SL037</t>
  </si>
  <si>
    <t>Skapandets intryck - utveckla och tala om hantverkets tysta kunskap</t>
  </si>
  <si>
    <t>Bild fördjupning 2 fristående</t>
  </si>
  <si>
    <t>Musik för barn i för- och grundskolan</t>
  </si>
  <si>
    <t>Slöjd 1, textil</t>
  </si>
  <si>
    <t>Slöjd 1, trä- och metall</t>
  </si>
  <si>
    <t>Att undervisa om islam i skolan</t>
  </si>
  <si>
    <t>Etik i världsreligioner</t>
  </si>
  <si>
    <t>Reformationen 500 år och dess konsekvenser för Europas religiösa och politiska utveckling.</t>
  </si>
  <si>
    <t>Yoga från öst till väst</t>
  </si>
  <si>
    <t>Perspektiv på islam: Globalisering, migration och islamism</t>
  </si>
  <si>
    <t>KPU - Förhöjd studietakt - utbildningsbidrag</t>
  </si>
  <si>
    <t>6MN049</t>
  </si>
  <si>
    <t>6NO035</t>
  </si>
  <si>
    <t>6MN047</t>
  </si>
  <si>
    <t>6MN048</t>
  </si>
  <si>
    <t>Formativ bedömning och motivation</t>
  </si>
  <si>
    <t>6PE223</t>
  </si>
  <si>
    <t>6SV048</t>
  </si>
  <si>
    <t>6SV050</t>
  </si>
  <si>
    <t>6SD006</t>
  </si>
  <si>
    <t>Ditt barns språk 2. Språkutveckling mellan 2 och 4 år</t>
  </si>
  <si>
    <t>Tyska C, Deutsch lernen und lehren III</t>
  </si>
  <si>
    <t>"Fatta Sapmi" (prel. namn)</t>
  </si>
  <si>
    <t>Barns och ungas identitetsskapande på nätet</t>
  </si>
  <si>
    <t>Mobbning och kränkande handlingar i teori och praktik</t>
  </si>
  <si>
    <t>Design av digital didaktik</t>
  </si>
  <si>
    <t>Matematikundervisning med IT</t>
  </si>
  <si>
    <t>Normkritisk genuspedagogik</t>
  </si>
  <si>
    <t>Trygga lärmiljöer, identitet och intersektionalitet</t>
  </si>
  <si>
    <t>Forskning och utvecklingsarbete i skolan 1</t>
  </si>
  <si>
    <t>6ES078</t>
  </si>
  <si>
    <t>Forskning och utvecklingsarbete 2</t>
  </si>
  <si>
    <t>Form, färg, estetik och uttryck - Utveckla ditt formspråk i trä</t>
  </si>
  <si>
    <t>Slöjd trä och metall 2, fristående</t>
  </si>
  <si>
    <t>Matematik 1 för lärande och undervisning för förskoleklass och grundskolans årskurs 1-6</t>
  </si>
  <si>
    <t>Matematik 2 för lärande och undervisning för förskoleklass och grundskolans årskurs 1-3</t>
  </si>
  <si>
    <t>Matematik 2 för lärande och undervisning för grundskolans årskurs 4-6</t>
  </si>
  <si>
    <t>Specialpedagogik - åk 7-9 och gymnasieskolan (UK)</t>
  </si>
  <si>
    <t>Svenska som andraspråk A, Det mångkulturella klassrummet och svenskans fonologi</t>
  </si>
  <si>
    <t>Svenska som andraspråk B, Flerspråkiga inlärares litteracitet</t>
  </si>
  <si>
    <t>6LÄ058</t>
  </si>
  <si>
    <t>Kommunikation och språkutveckling för fritidshem</t>
  </si>
  <si>
    <t>6RV013</t>
  </si>
  <si>
    <t>6RV014</t>
  </si>
  <si>
    <t>6RV015</t>
  </si>
  <si>
    <t>6RV016</t>
  </si>
  <si>
    <t>6RV017</t>
  </si>
  <si>
    <t>Från kursansvarig inst till medverkande inst</t>
  </si>
  <si>
    <t>6PE226</t>
  </si>
  <si>
    <t>Utbildningsvetenskap, undervisning och lärande - Ämneslärarprogrammet (UK)</t>
  </si>
  <si>
    <t>Enl styrelse 160225 p.11B</t>
  </si>
  <si>
    <t>Totalt prislappar</t>
  </si>
  <si>
    <t>3306 Summa</t>
  </si>
  <si>
    <t>Med Summa</t>
  </si>
  <si>
    <t>2200 Summa</t>
  </si>
  <si>
    <t>2220 Summa</t>
  </si>
  <si>
    <t>2271 Summa</t>
  </si>
  <si>
    <t>2272 Summa</t>
  </si>
  <si>
    <t>2300 Summa</t>
  </si>
  <si>
    <t>2360 Summa</t>
  </si>
  <si>
    <t>2750 Summa</t>
  </si>
  <si>
    <t>Sam Summa</t>
  </si>
  <si>
    <t>5100 Summa</t>
  </si>
  <si>
    <t>5730 Summa</t>
  </si>
  <si>
    <t>TekNat Summa</t>
  </si>
  <si>
    <t>6PE238</t>
  </si>
  <si>
    <t>Bedömning för och av lärande för åk 7-9 och gymnasium (UK)</t>
  </si>
  <si>
    <t>Utomhuspedagogik i förskola, fritidshem och grundskola</t>
  </si>
  <si>
    <t>6TY020</t>
  </si>
  <si>
    <t>6PE239</t>
  </si>
  <si>
    <t>6LI009</t>
  </si>
  <si>
    <t>6PE241</t>
  </si>
  <si>
    <t>6PE242</t>
  </si>
  <si>
    <t>6IT047</t>
  </si>
  <si>
    <t>6IT023</t>
  </si>
  <si>
    <t>6PE243</t>
  </si>
  <si>
    <t>Enl ök mellan inst 161011</t>
  </si>
  <si>
    <t>Besked om ny benämn 161121</t>
  </si>
  <si>
    <t>Undervisning för elever i språk-, läs- och skrivsvårigheter</t>
  </si>
  <si>
    <t>6LI012</t>
  </si>
  <si>
    <t>Enl ök mellan inst 161129</t>
  </si>
  <si>
    <t>Enl kkk 161206</t>
  </si>
  <si>
    <t>6ES077</t>
  </si>
  <si>
    <t>Enl ök 161121</t>
  </si>
  <si>
    <t>6PE253</t>
  </si>
  <si>
    <t>Läraryrkets dimensioner för förskolan 1 (VFU)</t>
  </si>
  <si>
    <t>6PE254</t>
  </si>
  <si>
    <t>Läraryrkets dimensioner för förskolan 2 (VFU)</t>
  </si>
  <si>
    <t>6ES080</t>
  </si>
  <si>
    <t>6PE249</t>
  </si>
  <si>
    <t>Läraryrkets dimensioner för fritidshem 2 (VFU)</t>
  </si>
  <si>
    <t>6PE250</t>
  </si>
  <si>
    <t>Elever i behov av extra anpassningar och särskilt stöd ur ett fritidshemsperspektiv</t>
  </si>
  <si>
    <t>6PE252</t>
  </si>
  <si>
    <t>Vetenskap och kunskap (UK)</t>
  </si>
  <si>
    <t>6ES079</t>
  </si>
  <si>
    <t>Undervisning och lärande 1</t>
  </si>
  <si>
    <t>6MU053</t>
  </si>
  <si>
    <t>6PE240</t>
  </si>
  <si>
    <t>6PE244</t>
  </si>
  <si>
    <t>6TX028</t>
  </si>
  <si>
    <t>6TX027</t>
  </si>
  <si>
    <t>Anna Nordström, controller</t>
  </si>
  <si>
    <t>Kurser inom VAL-projektet utfördelas i separat RTV. Kurser inom detta projekt ligger alla under programkoden LYLÄP. Observera att för dessa kurser måste ni (studieadmin) skapa Ej sökbara kurstillfällen och märka dessa med finansieringsform VAL, detta är viktigt för att ni ska få intäkter även för dessa studenter!</t>
  </si>
  <si>
    <t>birgitta.wilhelmsson@umu.se</t>
  </si>
  <si>
    <t>5FY153</t>
  </si>
  <si>
    <t>6FY009</t>
  </si>
  <si>
    <t>6EN035</t>
  </si>
  <si>
    <t>6EN036</t>
  </si>
  <si>
    <t>6SA011</t>
  </si>
  <si>
    <t>6SA012</t>
  </si>
  <si>
    <t>6PE258</t>
  </si>
  <si>
    <t>6PE257</t>
  </si>
  <si>
    <t>6ES081</t>
  </si>
  <si>
    <t>6PE251</t>
  </si>
  <si>
    <t>Engelska 3 för ämneslärare med inriktning mot gymnasiet</t>
  </si>
  <si>
    <t>Engelska 2 för ämneslärare med inriktning mot gymnasiet</t>
  </si>
  <si>
    <t>Spanska för ämneslärare, kurs III</t>
  </si>
  <si>
    <t>Spanska för ämneslärare, kurs II</t>
  </si>
  <si>
    <t>Läraryrkets dimensioner för grundskolans årskurs 4-6 (VFU)</t>
  </si>
  <si>
    <t>Läraryrkets dimensioner för förskoleklass och grundskolans årskurs 1-3 (VFU)</t>
  </si>
  <si>
    <t>Praktiskt estetiskt ämne - Slöjd trä- och metall 2</t>
  </si>
  <si>
    <t>Läraryrkets dimensioner i förskolan II (VFU)</t>
  </si>
  <si>
    <t>Att undervisa i förskolan (VFU)</t>
  </si>
  <si>
    <t>6PE256</t>
  </si>
  <si>
    <t>Kunskap, undervisning och lärande 2</t>
  </si>
  <si>
    <t>Läraryrkets dimensioner i förskolan I (VFU)</t>
  </si>
  <si>
    <t>Matematiska metoder i fysik</t>
  </si>
  <si>
    <t>Väv- och kläddesign: Estetiska skapandeprocesser</t>
  </si>
  <si>
    <t>6TX026</t>
  </si>
  <si>
    <t>6SL035</t>
  </si>
  <si>
    <t>6TX029</t>
  </si>
  <si>
    <t>Klassades till ID 3k-möte 160531</t>
  </si>
  <si>
    <t>Omklassades fr ID till ÖV vid 3k-möte 161206</t>
  </si>
  <si>
    <t>Summa av DE HST</t>
  </si>
  <si>
    <t>Summa av HU HST</t>
  </si>
  <si>
    <t>Summa av ID HST</t>
  </si>
  <si>
    <t>Summa av LU HST</t>
  </si>
  <si>
    <t>Summa av MU HST</t>
  </si>
  <si>
    <t>Summa av NA HST</t>
  </si>
  <si>
    <t>Summa av SA HST</t>
  </si>
  <si>
    <t>Summa av TE HST</t>
  </si>
  <si>
    <t>Summa av VFU HST</t>
  </si>
  <si>
    <t>Summa av XXX HST</t>
  </si>
  <si>
    <t>Summa av ÖV HST</t>
  </si>
  <si>
    <t>Summa av VÅ HST</t>
  </si>
  <si>
    <t>Summa av DE HPR</t>
  </si>
  <si>
    <t>Summa av HU HPR</t>
  </si>
  <si>
    <t>Summa av ID HPR</t>
  </si>
  <si>
    <t>Summa av LU HPR</t>
  </si>
  <si>
    <t>Summa av MU HPR</t>
  </si>
  <si>
    <t>Summa av NA HPR</t>
  </si>
  <si>
    <t>Summa av SA HPR</t>
  </si>
  <si>
    <t>Summa av TE HPR</t>
  </si>
  <si>
    <t>Summa av VFU HPR</t>
  </si>
  <si>
    <t>Summa av ÖV HPR</t>
  </si>
  <si>
    <t>Summa av VÅ HPR</t>
  </si>
  <si>
    <t>Uppgifterna är hämtade från pivottabeller på utbomr!</t>
  </si>
  <si>
    <t>Summa av XXX HPR</t>
  </si>
  <si>
    <t>6SM007</t>
  </si>
  <si>
    <t>Enl reglbrev</t>
  </si>
  <si>
    <t>6SM004</t>
  </si>
  <si>
    <t>6SM005</t>
  </si>
  <si>
    <t>6SM006</t>
  </si>
  <si>
    <t>Samiska 1 för ämneslärare med inriktning mot sydsamiska</t>
  </si>
  <si>
    <t>Samiska 2 för ämneslärare med inriktning mot sydsamiska</t>
  </si>
  <si>
    <t>Samiska 3 för ämneslärare med inriktning mot sydsamiska</t>
  </si>
  <si>
    <t>6PE259</t>
  </si>
  <si>
    <t>Läraryrkets dimensioner för fritidshem 3 (VFU)</t>
  </si>
  <si>
    <t>Vid övriga frågor kontakta utbildningsledare Birgitta Wilhelmsson</t>
  </si>
  <si>
    <t>6PE255</t>
  </si>
  <si>
    <t>Examensarbete för förskollärarexamen</t>
  </si>
  <si>
    <t>6FRI2</t>
  </si>
  <si>
    <t>Valbar kurs: Bild/Idrott och hälsa 2</t>
  </si>
  <si>
    <t>Slöjd - trä och metall 3</t>
  </si>
  <si>
    <t>Slöjd - textil 3</t>
  </si>
  <si>
    <t>5FY091</t>
  </si>
  <si>
    <t>5FY127</t>
  </si>
  <si>
    <t>5KE020</t>
  </si>
  <si>
    <t>6EX30</t>
  </si>
  <si>
    <t>6GEgy1</t>
  </si>
  <si>
    <t>6NK000</t>
  </si>
  <si>
    <t>6NK101</t>
  </si>
  <si>
    <t>6NK102</t>
  </si>
  <si>
    <t>6RV018</t>
  </si>
  <si>
    <t>Vågfysik och optik B</t>
  </si>
  <si>
    <t>Elektromagnetismens grunder</t>
  </si>
  <si>
    <t>Att undervisa i biologi (VFU)</t>
  </si>
  <si>
    <t>Examensarbete - Ämne 1/Ämne 2</t>
  </si>
  <si>
    <t>Att undervisa i naturkunskap (VFU)</t>
  </si>
  <si>
    <t>Naturkunskapsdidaktik 1 för ämneslärare för gymnasiet</t>
  </si>
  <si>
    <t>Naturkunskapsdidaktik 2 för ämneslärare för gymnasiet</t>
  </si>
  <si>
    <t>Läraryrkets dimensioner- ingångsämne religion (VFU)</t>
  </si>
  <si>
    <t>Introduktion till geografi</t>
  </si>
  <si>
    <t>Processer i naturen</t>
  </si>
  <si>
    <t>Befolkningsgeografi</t>
  </si>
  <si>
    <t>Kartor och GIS</t>
  </si>
  <si>
    <t>Klimatförändringar</t>
  </si>
  <si>
    <t>Geografididaktik 1</t>
  </si>
  <si>
    <t>6ES082</t>
  </si>
  <si>
    <t>6ID018</t>
  </si>
  <si>
    <t>6SD005</t>
  </si>
  <si>
    <t>6SV043</t>
  </si>
  <si>
    <t>6SV049</t>
  </si>
  <si>
    <t>6SV051</t>
  </si>
  <si>
    <t>6NO042</t>
  </si>
  <si>
    <t>6NO041</t>
  </si>
  <si>
    <t>6LI010</t>
  </si>
  <si>
    <t>6LI011</t>
  </si>
  <si>
    <t>Bild 1, distans</t>
  </si>
  <si>
    <t>Idrott och hälsa 3</t>
  </si>
  <si>
    <t>Examensarbete med språkdidaktisk inriktning för lärarexamen</t>
  </si>
  <si>
    <t>Svenska som andraspråk II för ämneslärare med inriktning mot årskurs 7-9</t>
  </si>
  <si>
    <t>Svenska som andraspråk A, Att lära på ett andraspråk och svenskans grammatik</t>
  </si>
  <si>
    <t>Svenska som andraspråk B, Flerspråkighet och fördjupning</t>
  </si>
  <si>
    <t>Fördelning mellan kursansvarig och ev medverkande institutioner ska meddelas Lärarhögskolans kansli (Agnetha Simm) genom en skriftlig överenskommelse (underskriven av berörda prefekter), detta gäller både nya kurser och kurser där en förändring av nu gällande fördelning ska ske.</t>
  </si>
  <si>
    <t>Enl ök mellan inst fr o m vt-17 (inkom 170817)</t>
  </si>
  <si>
    <t>Slöjd, trä- och metall 3, fristående</t>
  </si>
  <si>
    <t>Slöjd, textil 3, fristående</t>
  </si>
  <si>
    <t>Bild 3, fristående</t>
  </si>
  <si>
    <t>Bild fördjupning 1 fristående</t>
  </si>
  <si>
    <t>Utomhuspedagogik, naturvetenskap och matematik i förskola, fritidshem och grundskola</t>
  </si>
  <si>
    <t>6FRISPRÅK1</t>
  </si>
  <si>
    <t>Idrott, fostran och socialisation</t>
  </si>
  <si>
    <t>Matematik, naturvetenskap och utomhuspedagogik - Sommar</t>
  </si>
  <si>
    <t>Forskning och utvecklingsarbete i skolan 2</t>
  </si>
  <si>
    <t>Undervisning och lärande 2</t>
  </si>
  <si>
    <t>Ditt barns språk I - Språkutvecklingen mellan 0 och 2 år</t>
  </si>
  <si>
    <t>Människans språk: Lingvistik för lärare</t>
  </si>
  <si>
    <t>5KE034</t>
  </si>
  <si>
    <t>5KE038</t>
  </si>
  <si>
    <t>5KE165</t>
  </si>
  <si>
    <t>6ES083</t>
  </si>
  <si>
    <t>6FY010</t>
  </si>
  <si>
    <t>6FY011</t>
  </si>
  <si>
    <t>6GV001</t>
  </si>
  <si>
    <t>6KG004</t>
  </si>
  <si>
    <t>6KG005</t>
  </si>
  <si>
    <t>6MA040</t>
  </si>
  <si>
    <t>6MA041</t>
  </si>
  <si>
    <t>6MA042</t>
  </si>
  <si>
    <t>6NO043</t>
  </si>
  <si>
    <t>6PE260</t>
  </si>
  <si>
    <t>6PE261</t>
  </si>
  <si>
    <t>6PE262</t>
  </si>
  <si>
    <t>6SL043</t>
  </si>
  <si>
    <t>6TX031</t>
  </si>
  <si>
    <t>Biofysikalisk kemi: Spektroskopi</t>
  </si>
  <si>
    <t>Biofysikalisk kemi: Termodynamik</t>
  </si>
  <si>
    <t>Kemins grunder</t>
  </si>
  <si>
    <t>Bild fördjupning 2</t>
  </si>
  <si>
    <t>Bild fördjupning 1</t>
  </si>
  <si>
    <t>Kärnfysik</t>
  </si>
  <si>
    <t>Envariabelanalys 1</t>
  </si>
  <si>
    <t>Naturvetenskap och teknik i förskolan</t>
  </si>
  <si>
    <t>Profession och vetenskap för fritidshem (UK)</t>
  </si>
  <si>
    <t>6SL044</t>
  </si>
  <si>
    <t>6TX032</t>
  </si>
  <si>
    <t>6ES085</t>
  </si>
  <si>
    <t>6ES086</t>
  </si>
  <si>
    <t>6ES084</t>
  </si>
  <si>
    <t>Enl uppg från Pedagogik 171012</t>
  </si>
  <si>
    <t>Bör omklassificeras till ID</t>
  </si>
  <si>
    <t>Klassad till SAM i Ladok</t>
  </si>
  <si>
    <t>6PE265</t>
  </si>
  <si>
    <t>6PE266</t>
  </si>
  <si>
    <t>6PE264</t>
  </si>
  <si>
    <t>Grundlärare som profession (UK)</t>
  </si>
  <si>
    <t>6PE268</t>
  </si>
  <si>
    <t>Att undervisa i engelska (VFU)</t>
  </si>
  <si>
    <t>Att undervisa i Spanska (VFU)</t>
  </si>
  <si>
    <t>Att undervisa i svenska (VFU)</t>
  </si>
  <si>
    <t>Att undervisa i svenska som andraspråk (VFU)</t>
  </si>
  <si>
    <t>Att undervisa i tyska (VFU)</t>
  </si>
  <si>
    <t>6EN038</t>
  </si>
  <si>
    <t>6SA013</t>
  </si>
  <si>
    <t>6SV058</t>
  </si>
  <si>
    <t>6SV057</t>
  </si>
  <si>
    <t>6TY021</t>
  </si>
  <si>
    <t>6FA007</t>
  </si>
  <si>
    <t>Att undervisa i franska (VFU)</t>
  </si>
  <si>
    <t>Enl RBM-beslut 171211</t>
  </si>
  <si>
    <t>Utbildningspolicy och pedagogisk praktik ur internationella perspektiv</t>
  </si>
  <si>
    <t>Utbildningspolicy i nationell och internationell kontext</t>
  </si>
  <si>
    <t>6PE263</t>
  </si>
  <si>
    <t>Enl RBM-beslut 171211 p87</t>
  </si>
  <si>
    <t>Undervisning och lärande - läroplansteori och didaktik - avancerad nivå (VAL, ULV)</t>
  </si>
  <si>
    <t>6MA048</t>
  </si>
  <si>
    <t>6PE267</t>
  </si>
  <si>
    <t>Ämnesdidaktik (UK)</t>
  </si>
  <si>
    <t>Matematikens historia</t>
  </si>
  <si>
    <t>6EN039</t>
  </si>
  <si>
    <t>6EN040</t>
  </si>
  <si>
    <t>6MU054</t>
  </si>
  <si>
    <t>Jazzimprovisation i ensemble för lärare</t>
  </si>
  <si>
    <t>Ni är alltid välkomna att höra av er om ni önskar en genomgång av detta resurstilldelningsverktyg (RTV), här på kansliet eller hos er på institutionen!</t>
  </si>
  <si>
    <t xml:space="preserve">Övrigt att ta hänsyn till: Ett flertal kurser har ff inget beslut om klassificering, jag har lagt in det jag tror att de borde bli klassade till ex DE, LU, MU, TE, ÖV), </t>
  </si>
  <si>
    <t>se separat dokument.</t>
  </si>
  <si>
    <t>se mail fr Mikael L, Ladok 170508</t>
  </si>
  <si>
    <t>6PE208</t>
  </si>
  <si>
    <t>Enl ök mellan inst 180305 (mejl) ers 6PE145)</t>
  </si>
  <si>
    <t>Enl ök mellan inst 180313</t>
  </si>
  <si>
    <t>6SP050</t>
  </si>
  <si>
    <t>Introduktion till det specialpedagogiska fältet</t>
  </si>
  <si>
    <t>6SP052</t>
  </si>
  <si>
    <t>6SP051</t>
  </si>
  <si>
    <t>Neuropsykiatriska svårigheter i olika lärmiljöer</t>
  </si>
  <si>
    <t>Speciallärarens och specialpedagogens yrkesfunktion</t>
  </si>
  <si>
    <t>Enl styrelse 180215 p16C</t>
  </si>
  <si>
    <t>Kurs i examensarbete - Matematikutveckling</t>
  </si>
  <si>
    <t>6MN050</t>
  </si>
  <si>
    <t>Matematikdidaktik 1 för grundskolans åk 7-9 och gymnasiet</t>
  </si>
  <si>
    <t>6BI023</t>
  </si>
  <si>
    <t>6KG006</t>
  </si>
  <si>
    <t>6GV000</t>
  </si>
  <si>
    <t>6GV002</t>
  </si>
  <si>
    <t>6KG007</t>
  </si>
  <si>
    <t>6HI033</t>
  </si>
  <si>
    <t>6MS002</t>
  </si>
  <si>
    <t>6MN051</t>
  </si>
  <si>
    <t>6MA046</t>
  </si>
  <si>
    <t>6BI022</t>
  </si>
  <si>
    <t>6RV020</t>
  </si>
  <si>
    <t>Artkunskap och systematik för biologilärare</t>
  </si>
  <si>
    <t>Historia 2</t>
  </si>
  <si>
    <t>Enl beslutsmöte 180326</t>
  </si>
  <si>
    <t>Envariabelanalys 2</t>
  </si>
  <si>
    <t>Naturens mångfald för naturkunskapslärare</t>
  </si>
  <si>
    <t>Religionsvetenskap 2</t>
  </si>
  <si>
    <t>6LI013</t>
  </si>
  <si>
    <t>5KE177</t>
  </si>
  <si>
    <t>6A2T7</t>
  </si>
  <si>
    <t>6BI020</t>
  </si>
  <si>
    <t>6GExx9</t>
  </si>
  <si>
    <t>6HI032</t>
  </si>
  <si>
    <t>6KExx1</t>
  </si>
  <si>
    <t>6MA043</t>
  </si>
  <si>
    <t>6MA044</t>
  </si>
  <si>
    <t>6MA045</t>
  </si>
  <si>
    <t>6MA049</t>
  </si>
  <si>
    <t>6MAIII</t>
  </si>
  <si>
    <t>6MN036</t>
  </si>
  <si>
    <t>6PE271</t>
  </si>
  <si>
    <t>6PE272</t>
  </si>
  <si>
    <t>6RV019</t>
  </si>
  <si>
    <t>Avancerad miljökemi</t>
  </si>
  <si>
    <t>Läraryrkets dimensioner - ingångsämne biologi (VFU)</t>
  </si>
  <si>
    <t>Att undervisa i historia (VFU)</t>
  </si>
  <si>
    <t>Diskret matematik</t>
  </si>
  <si>
    <t>Problemlösning och matematiska resonemang</t>
  </si>
  <si>
    <t>Att undervisa i matematik (VFU)</t>
  </si>
  <si>
    <t>Examensarbete för ämneslärarexamen - Matematik</t>
  </si>
  <si>
    <t>Att undervisa i Idrott och hälsa (VFU)</t>
  </si>
  <si>
    <t>Att undervisa i Samhällskunskap (VFU)</t>
  </si>
  <si>
    <t>Att undervisa i religionskunskap (VFU)</t>
  </si>
  <si>
    <t>Ekonomisk och soial geografi</t>
  </si>
  <si>
    <t>Vetenskapliga metoder i geografi</t>
  </si>
  <si>
    <t>Geografididaktik 2</t>
  </si>
  <si>
    <t>Bild fördjupning 3</t>
  </si>
  <si>
    <t>Att undervisa i geografi (VFU)</t>
  </si>
  <si>
    <t>Kemi I för ämneslärare med inriktning mot gymnasiet - för val av 2a ämne</t>
  </si>
  <si>
    <t>Kommer trol att klassas till NA</t>
  </si>
  <si>
    <t>Kemi II för ämneslärare med inriktning mot gymnasiet - för val av 2a ämne</t>
  </si>
  <si>
    <t>De få HST som hamnat under utbomr XXX avser ett par studenter som ännu ej gjort sitt val av andra ämne. Förslag: 50/50 mellan SA och NA</t>
  </si>
  <si>
    <t>6EN041</t>
  </si>
  <si>
    <t>6EN042</t>
  </si>
  <si>
    <t>6EN043</t>
  </si>
  <si>
    <t>2IP027</t>
  </si>
  <si>
    <t>6DV000</t>
  </si>
  <si>
    <t>6MA047</t>
  </si>
  <si>
    <t>6MA050</t>
  </si>
  <si>
    <t>6MS003</t>
  </si>
  <si>
    <t>6SV060</t>
  </si>
  <si>
    <t>6SV063</t>
  </si>
  <si>
    <t>6SV066</t>
  </si>
  <si>
    <t>6SV067</t>
  </si>
  <si>
    <t>6SV068</t>
  </si>
  <si>
    <t>6SV069</t>
  </si>
  <si>
    <t>6SV070</t>
  </si>
  <si>
    <t>6ES089</t>
  </si>
  <si>
    <t>6ES087</t>
  </si>
  <si>
    <t>6SD007</t>
  </si>
  <si>
    <t>6SD008</t>
  </si>
  <si>
    <t>2ID004</t>
  </si>
  <si>
    <t>6SOMKostv1</t>
  </si>
  <si>
    <t>6SOMSpråk3</t>
  </si>
  <si>
    <t>Ämnesmetodik inom mat, måltider och hälsa</t>
  </si>
  <si>
    <t>NA + SA??</t>
  </si>
  <si>
    <t>Fjärrundervisning</t>
  </si>
  <si>
    <t>HU?</t>
  </si>
  <si>
    <t>Digital kompetens och lärande I</t>
  </si>
  <si>
    <t>Anpassad fysisk aktivitet med inriktning mot rörelsehinder</t>
  </si>
  <si>
    <t>Programmeringsteknik med C och Matlab</t>
  </si>
  <si>
    <t>Differentialekvationer</t>
  </si>
  <si>
    <t>Statistik för naturvetare</t>
  </si>
  <si>
    <t>Svenska som andraspråk C, Diskriminerande strukturer och skönlitteratur</t>
  </si>
  <si>
    <t>Svenska som andraspråk för ämneslärare, kurs 1</t>
  </si>
  <si>
    <t>Svenska som andraspråk för ämneslärare, kurs 2</t>
  </si>
  <si>
    <t>Svenska som andraspråk för ämneslärare, kurs 3</t>
  </si>
  <si>
    <t>Svenska som andraspråk A, del 1</t>
  </si>
  <si>
    <t>Bild fördjupning 3, fristående</t>
  </si>
  <si>
    <t>Vetenskaplig teori och metod 2</t>
  </si>
  <si>
    <t>Vetenskaplig teori och metod 1</t>
  </si>
  <si>
    <t>Didaktik för det flerspråkiga klassrummet</t>
  </si>
  <si>
    <t>Språkdidaktik: Aktuella frågor och metoder i språkdidaktisk forskning</t>
  </si>
  <si>
    <t>Neuropsykiatriska svårigheter - förhållningsätt, bemötande och strategier i pedagogisk verksamhet</t>
  </si>
  <si>
    <t>6FRISPRÅK2</t>
  </si>
  <si>
    <t>Språkdidaktik: Undervisning för elever i språk-,  läs- och skrivsvårigheter</t>
  </si>
  <si>
    <t>Skolans digitalisering</t>
  </si>
  <si>
    <t>Totalt per utbomr (program + frist) 2019</t>
  </si>
  <si>
    <t>Varav fristående kurser 2019</t>
  </si>
  <si>
    <t>Prognos frist kurser HST</t>
  </si>
  <si>
    <t>Prognos frist kurser HPR</t>
  </si>
  <si>
    <t>Prognos</t>
  </si>
  <si>
    <t>Enl beslutsmöte 180625</t>
  </si>
  <si>
    <t>Enl beslutsmöte 180924</t>
  </si>
  <si>
    <t>Sammanställning per utbomr</t>
  </si>
  <si>
    <t>Utbomr</t>
  </si>
  <si>
    <t>Varav fristående</t>
  </si>
  <si>
    <t>Prognos fristående</t>
  </si>
  <si>
    <t>Prognos per utbomr</t>
  </si>
  <si>
    <t>Planeringstalet för LYAGY antagna ht -19 är satt till 221 men jag har satt 195. I övrigt har jag hållit mig till beslutade planeringstal som utgångsvärde.</t>
  </si>
  <si>
    <t>Reglering</t>
  </si>
  <si>
    <t>Totalt per utbomr</t>
  </si>
  <si>
    <t>5BI235</t>
  </si>
  <si>
    <t>5BI234</t>
  </si>
  <si>
    <t>6SP053</t>
  </si>
  <si>
    <t>6SP055</t>
  </si>
  <si>
    <t>6SP054</t>
  </si>
  <si>
    <t>6SP057</t>
  </si>
  <si>
    <t>6SD010</t>
  </si>
  <si>
    <t>6ES103</t>
  </si>
  <si>
    <t>Matematikdidaktik 2 för grundskolans åk 7-9 och gymnasiet</t>
  </si>
  <si>
    <t>6ES094</t>
  </si>
  <si>
    <t>6GV003</t>
  </si>
  <si>
    <t>6HI034</t>
  </si>
  <si>
    <t>6HI035</t>
  </si>
  <si>
    <t>6KG003</t>
  </si>
  <si>
    <t>6KG008</t>
  </si>
  <si>
    <t>6NK036</t>
  </si>
  <si>
    <t>6RV021</t>
  </si>
  <si>
    <t>6RV022</t>
  </si>
  <si>
    <t>6ES088</t>
  </si>
  <si>
    <t>6ES092</t>
  </si>
  <si>
    <t>6ES093</t>
  </si>
  <si>
    <t>6ES095</t>
  </si>
  <si>
    <t>6ES097</t>
  </si>
  <si>
    <t>6PE269</t>
  </si>
  <si>
    <t>Att undervisa i musik</t>
  </si>
  <si>
    <t>Att undervisa i slöjd - textil</t>
  </si>
  <si>
    <t>Historia 1</t>
  </si>
  <si>
    <t>Historia 3</t>
  </si>
  <si>
    <t>Examensarbete - Naturkunskap</t>
  </si>
  <si>
    <t>Religionsvetenskap 1</t>
  </si>
  <si>
    <t>Religionsvetenskap 3</t>
  </si>
  <si>
    <t>6SP058</t>
  </si>
  <si>
    <t>Vetenskaplig metodkurs Speciallärar- och specialpedagogprogrammen</t>
  </si>
  <si>
    <t>6SP060</t>
  </si>
  <si>
    <t>Eamensarbete specialpedagogprogrammet</t>
  </si>
  <si>
    <t>6SP059</t>
  </si>
  <si>
    <t>6FRISPRÅK3</t>
  </si>
  <si>
    <t>Språkdidaktik, Examensarbete för magisterexamen</t>
  </si>
  <si>
    <t>Undervisning och kvalitetsutveckling i förskola respektive fritidshem</t>
  </si>
  <si>
    <t>6KN023</t>
  </si>
  <si>
    <t>6PE279</t>
  </si>
  <si>
    <t>Språk och matematik i ett specialpedagogiskt perspektiv</t>
  </si>
  <si>
    <t>6PE277</t>
  </si>
  <si>
    <t>6PE280</t>
  </si>
  <si>
    <t>Matematik i specialpedagogiskt perspektiv</t>
  </si>
  <si>
    <t>6SD011</t>
  </si>
  <si>
    <t>6SD012</t>
  </si>
  <si>
    <t>Språk-, skriv- och läsutveckling i ett specialpedagogiskt perspektiv</t>
  </si>
  <si>
    <t>6ES100</t>
  </si>
  <si>
    <t>6RV023</t>
  </si>
  <si>
    <t>Religionsvetenskap 3, med kandidatuppsats</t>
  </si>
  <si>
    <t>Geografi</t>
  </si>
  <si>
    <t>Enl beslutsöte 190304</t>
  </si>
  <si>
    <t>6ES099</t>
  </si>
  <si>
    <t>Magisteruppsats i pedagogisk yrkesverksamhet</t>
  </si>
  <si>
    <t>6MU061</t>
  </si>
  <si>
    <t>6SP056</t>
  </si>
  <si>
    <t>6ES104</t>
  </si>
  <si>
    <t>6ES102</t>
  </si>
  <si>
    <t>6PE274</t>
  </si>
  <si>
    <t>6PE278</t>
  </si>
  <si>
    <t>6KG009</t>
  </si>
  <si>
    <t>6MU065</t>
  </si>
  <si>
    <t>6TX033</t>
  </si>
  <si>
    <t>Slöjd textil 2</t>
  </si>
  <si>
    <t>6PE273</t>
  </si>
  <si>
    <t>5FY205</t>
  </si>
  <si>
    <t>Modern fysik</t>
  </si>
  <si>
    <t>5KE180</t>
  </si>
  <si>
    <t>Organisk kemi</t>
  </si>
  <si>
    <t>5MA143</t>
  </si>
  <si>
    <t>6ES105</t>
  </si>
  <si>
    <t>6ES091</t>
  </si>
  <si>
    <t>6ES101</t>
  </si>
  <si>
    <t>6FA008</t>
  </si>
  <si>
    <t>Franska för ämneslärare, kurs 1</t>
  </si>
  <si>
    <t>6PE275</t>
  </si>
  <si>
    <t>Genuspedagogik i lärmiljöer</t>
  </si>
  <si>
    <t>6PE276</t>
  </si>
  <si>
    <t>Mobbning i lärmiljöer</t>
  </si>
  <si>
    <t>6PE245</t>
  </si>
  <si>
    <t>6PE246</t>
  </si>
  <si>
    <t>6TX025</t>
  </si>
  <si>
    <t>Textila uttryck</t>
  </si>
  <si>
    <t>6TX030</t>
  </si>
  <si>
    <t>Väv- och kläddesign fördjupning</t>
  </si>
  <si>
    <t>6SV072</t>
  </si>
  <si>
    <t>6SV073</t>
  </si>
  <si>
    <t>Att läsa och skriva i lärarutbildning och läraryrket - fokus grundlärare</t>
  </si>
  <si>
    <t>Att läsa och skriva i lärarutbildning och läraryrket - fokus ämneslärare</t>
  </si>
  <si>
    <t>Fd 3704</t>
  </si>
  <si>
    <t>3850 Summa</t>
  </si>
  <si>
    <t>Kursintäkter
totalt 2019 fr jan enl föreg version</t>
  </si>
  <si>
    <t>Lokalintäkt
totalt 2019 fr jan enl föreg version</t>
  </si>
  <si>
    <t>Kursintäkter
Utfördelat t o m maj -19</t>
  </si>
  <si>
    <t>Lokalintäkter
Utfördelat t o m maj -19</t>
  </si>
  <si>
    <t>Tot utfördelat t o m maj -19</t>
  </si>
  <si>
    <t>5FY178</t>
  </si>
  <si>
    <t>5FY185</t>
  </si>
  <si>
    <t>5DV157</t>
  </si>
  <si>
    <t>5KE111</t>
  </si>
  <si>
    <t>6SA014</t>
  </si>
  <si>
    <t>6TY023</t>
  </si>
  <si>
    <t>Tyska för ämneslärare, kurs 2</t>
  </si>
  <si>
    <t>Spanska för ämneslärare, kurs 2</t>
  </si>
  <si>
    <t>Biologisk kemi</t>
  </si>
  <si>
    <r>
      <rPr>
        <b/>
        <sz val="14"/>
        <rFont val="Times New Roman"/>
        <family val="1"/>
      </rPr>
      <t>Prislappar</t>
    </r>
    <r>
      <rPr>
        <sz val="14"/>
        <rFont val="Times New Roman"/>
        <family val="1"/>
      </rPr>
      <t>:</t>
    </r>
    <r>
      <rPr>
        <i/>
        <sz val="14"/>
        <rFont val="Times New Roman"/>
        <family val="1"/>
      </rPr>
      <t xml:space="preserve"> </t>
    </r>
    <r>
      <rPr>
        <sz val="14"/>
        <rFont val="Times New Roman"/>
        <family val="1"/>
      </rPr>
      <t>Nya prislappar för 2019 tillämpas här. Mer information om detta kan läsa i budgetdokumentet alternativt att ni hör av er till lärarhögskolans kansli, Anna Nordström (anna.nordstrom@umu.se)</t>
    </r>
  </si>
  <si>
    <t>6NO044</t>
  </si>
  <si>
    <t>Utomhuspedagogik och naturvetenskap - Sommar</t>
  </si>
  <si>
    <t>6SV074</t>
  </si>
  <si>
    <t>6EN044</t>
  </si>
  <si>
    <t>Flerspråkighet i förskoleklassen och grundskolans tidigare år</t>
  </si>
  <si>
    <t>Kommunikativ kompetens i engelska för grundlärare</t>
  </si>
  <si>
    <t>6KS000</t>
  </si>
  <si>
    <t>6KS001</t>
  </si>
  <si>
    <t>Kulturslöjd - tradition, hantverk och nytänkande</t>
  </si>
  <si>
    <t>Ännu ej klassificerad?</t>
  </si>
  <si>
    <t>Folkmusikdidaktik</t>
  </si>
  <si>
    <t>I denna prognos har ingen procentuell neddragning gjorts för LYAGY antagna ht-19 p g a att det inte går att sia om inom vilket ingångsämne detta kan bli aktuellt.</t>
  </si>
  <si>
    <t>Kursintäkter
totalt 2019 fr juni</t>
  </si>
  <si>
    <t>Lokalintäkt
totalt 2019 fr juni</t>
  </si>
  <si>
    <t>Kursintäkter
Utfördelat t o m aug -19</t>
  </si>
  <si>
    <t>Lokalintäkter
Utfördelat t o m aug-19</t>
  </si>
  <si>
    <t>Tot utfördelat t o m aug -19</t>
  </si>
  <si>
    <t>Kursintäkter
Utfördelat t o m okt -19</t>
  </si>
  <si>
    <t>Lokalintäkter
Utfördelat t o m okt-19</t>
  </si>
  <si>
    <t>Tot utfördelat t o m okt -19</t>
  </si>
  <si>
    <t>Denna fördeln hade av misstag fallit bort i tidigare ver av RTV 2019</t>
  </si>
  <si>
    <t>RTV 2019 - Preliminär avräkning december månad</t>
  </si>
  <si>
    <t>Observera att nya kursplaner samt revideringar ska hanteras enligt den hanteringsordning som gäller vid Lärarhögskolan (se vår hemsida) och ska skickas till funktionsbrevlådan kursplaner.lh@umu.se.</t>
  </si>
  <si>
    <r>
      <t>Resurser till Grundutbildning - preliminär avräkning dec</t>
    </r>
    <r>
      <rPr>
        <b/>
        <sz val="10"/>
        <rFont val="Times New Roman"/>
        <family val="1"/>
      </rPr>
      <t xml:space="preserve"> -19</t>
    </r>
  </si>
  <si>
    <t>DECEMBER 2019 - Prel avräkning</t>
  </si>
  <si>
    <t>Kursintäkter
totalt 2019 (uppdat dec -19)</t>
  </si>
  <si>
    <t>Lokalintäkt
totalt 2019 (uppdat dec -19)</t>
  </si>
  <si>
    <t>Utfördelat
t o m nov-19</t>
  </si>
  <si>
    <t>Att reglera prel avr dec -19</t>
  </si>
  <si>
    <t>Kursintäkter
Utfördelat t o m nov -19</t>
  </si>
  <si>
    <t>Lokalintäkter
Utfördelat t o m  nov -19</t>
  </si>
  <si>
    <t>Tot utfördelat t o m nov -19</t>
  </si>
  <si>
    <t>Utfördelat t o m nov -19</t>
  </si>
  <si>
    <t>Att reglera vid preliminär avräkning dec -19</t>
  </si>
  <si>
    <t>Fiktiva kurskoder</t>
  </si>
  <si>
    <t>Tot utfördelat enl RD tom nov -19</t>
  </si>
  <si>
    <r>
      <rPr>
        <b/>
        <sz val="14"/>
        <rFont val="Times New Roman"/>
        <family val="1"/>
      </rPr>
      <t>HPR</t>
    </r>
    <r>
      <rPr>
        <sz val="14"/>
        <rFont val="Times New Roman"/>
        <family val="1"/>
      </rPr>
      <t>: För vt och ht -19  har en genomströmning på 85 % för programkurser och 80 % för fristående kurser tillämpats.</t>
    </r>
  </si>
  <si>
    <t>5MA198</t>
  </si>
  <si>
    <t>6ES090</t>
  </si>
  <si>
    <t>6ES107</t>
  </si>
  <si>
    <t>6FA009</t>
  </si>
  <si>
    <t>6ID019</t>
  </si>
  <si>
    <t>6KN024</t>
  </si>
  <si>
    <t>6KN025</t>
  </si>
  <si>
    <t>6KN026</t>
  </si>
  <si>
    <t>6MU058</t>
  </si>
  <si>
    <t>6MU059</t>
  </si>
  <si>
    <t>6MU060</t>
  </si>
  <si>
    <t>6ST021</t>
  </si>
  <si>
    <t>6ST023</t>
  </si>
  <si>
    <t>6SV061</t>
  </si>
  <si>
    <t>6SV062</t>
  </si>
  <si>
    <t>6SV064</t>
  </si>
  <si>
    <t>6SV065</t>
  </si>
  <si>
    <t>6TX035</t>
  </si>
  <si>
    <t>Franska för ämneslärare, kurs 2</t>
  </si>
  <si>
    <t>Mat och måltider för barn och ungdomar</t>
  </si>
  <si>
    <t>Hem- och konsumentkunskap B15</t>
  </si>
  <si>
    <t>Musik 1, distans</t>
  </si>
  <si>
    <t>Musik 2, distans</t>
  </si>
  <si>
    <t>Musik 3, distans</t>
  </si>
  <si>
    <t>Utbildningsledarskap: Teori och analys</t>
  </si>
  <si>
    <t>Magisteruppsats i utbildningsledarskap</t>
  </si>
  <si>
    <t>Slöjd textil 2, fristående</t>
  </si>
  <si>
    <t>Enl uttag från Ladok - Erik Å</t>
  </si>
  <si>
    <t>2019 Summa</t>
  </si>
  <si>
    <t>H1918-20</t>
  </si>
  <si>
    <t>Enl uttag från SP 191210</t>
  </si>
  <si>
    <t>H1917-20</t>
  </si>
  <si>
    <r>
      <rPr>
        <b/>
        <sz val="14"/>
        <rFont val="Times New Roman"/>
        <family val="1"/>
      </rPr>
      <t>HST - vt och ht -19</t>
    </r>
    <r>
      <rPr>
        <sz val="14"/>
        <rFont val="Times New Roman"/>
        <family val="1"/>
      </rPr>
      <t>: Uppgift om faktisk hst har hämtats ur Ladok (191209) för kurser som vid den tidpunkten hade startat och där studenterna borde vara registrerade. För kurser som startat senare har uppgifterna hämtats ur vårt studieplaneringssystem (SP).</t>
    </r>
  </si>
  <si>
    <t>På grund av skäl som vi inte kan råda över har vi själva inte kunnat hämta ut data ur Fokus-Ladok. Av den anledningen finns inga detaljuppgifter om termin, inriktning, studietakt, ort m m med i denna preliminära avräkning. Enligt information som vi har fått kommer dessa uppgifter finnas med vid den slutliga avräknigen.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</si>
</sst>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 #,##0.00\ &quot;kr&quot;_-;\-* #,##0.00\ &quot;kr&quot;_-;_-* &quot;-&quot;??\ &quot;kr&quot;_-;_-@_-"/>
    <numFmt numFmtId="164" formatCode="_-* #,##0.00\ _k_r_-;\-* #,##0.00\ _k_r_-;_-* &quot;-&quot;??\ _k_r_-;_-@_-"/>
    <numFmt numFmtId="165" formatCode="#,##0.0"/>
    <numFmt numFmtId="166" formatCode="0.0"/>
    <numFmt numFmtId="167" formatCode="0.000"/>
    <numFmt numFmtId="168" formatCode="#,##0_ ;[Red]\-#,##0\ "/>
    <numFmt numFmtId="169" formatCode="#,##0&quot; tkr&quot;"/>
    <numFmt numFmtId="170" formatCode="#,##0&quot; tkr&quot;;[Red]\-#,##0&quot; tkr&quot;"/>
    <numFmt numFmtId="171" formatCode="#,##0,&quot; tkr&quot;;[Red]\-#,##0,&quot; tkr&quot;"/>
    <numFmt numFmtId="172" formatCode="#,##0.0_ ;[Red]\-#,##0.0\ "/>
    <numFmt numFmtId="173" formatCode="0.0%"/>
    <numFmt numFmtId="174" formatCode="#,##0.000"/>
  </numFmts>
  <fonts count="72" x14ac:knownFonts="1">
    <font>
      <sz val="11"/>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Times New Roman"/>
      <family val="1"/>
    </font>
    <font>
      <sz val="11"/>
      <name val="Times New Roman"/>
      <family val="1"/>
    </font>
    <font>
      <b/>
      <sz val="11"/>
      <name val="Times New Roman"/>
      <family val="1"/>
    </font>
    <font>
      <b/>
      <sz val="16"/>
      <name val="Times New Roman"/>
      <family val="1"/>
    </font>
    <font>
      <sz val="12"/>
      <name val="Times New Roman"/>
      <family val="1"/>
    </font>
    <font>
      <b/>
      <sz val="12"/>
      <name val="Times New Roman"/>
      <family val="1"/>
    </font>
    <font>
      <sz val="11"/>
      <name val="Times New Roman"/>
      <family val="1"/>
    </font>
    <font>
      <i/>
      <sz val="11"/>
      <name val="Times New Roman"/>
      <family val="1"/>
    </font>
    <font>
      <sz val="8"/>
      <name val="Times New Roman"/>
      <family val="1"/>
    </font>
    <font>
      <b/>
      <sz val="10"/>
      <name val="Arial"/>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8"/>
      <name val="Arial"/>
      <family val="2"/>
    </font>
    <font>
      <sz val="12"/>
      <name val="Arial"/>
      <family val="2"/>
    </font>
    <font>
      <b/>
      <sz val="12"/>
      <name val="Arial"/>
      <family val="2"/>
    </font>
    <font>
      <b/>
      <sz val="14"/>
      <name val="Times New Roman"/>
      <family val="1"/>
    </font>
    <font>
      <b/>
      <sz val="10"/>
      <color indexed="81"/>
      <name val="Tahoma"/>
      <family val="2"/>
    </font>
    <font>
      <sz val="8"/>
      <name val="Times New Roman"/>
      <family val="1"/>
    </font>
    <font>
      <sz val="8"/>
      <name val="Times New Roman"/>
      <family val="1"/>
    </font>
    <font>
      <b/>
      <sz val="11"/>
      <color theme="1"/>
      <name val="Calibri"/>
      <family val="2"/>
      <scheme val="minor"/>
    </font>
    <font>
      <b/>
      <sz val="12"/>
      <color rgb="FF0070C0"/>
      <name val="Times New Roman"/>
      <family val="1"/>
    </font>
    <font>
      <sz val="10"/>
      <name val="Garamond"/>
      <family val="1"/>
    </font>
    <font>
      <sz val="11"/>
      <color theme="1"/>
      <name val="Times New Roman"/>
      <family val="1"/>
    </font>
    <font>
      <b/>
      <sz val="11"/>
      <color theme="0"/>
      <name val="Times New Roman"/>
      <family val="1"/>
    </font>
    <font>
      <i/>
      <sz val="11"/>
      <color theme="1"/>
      <name val="Garamond"/>
      <family val="1"/>
    </font>
    <font>
      <b/>
      <i/>
      <sz val="11"/>
      <color theme="1"/>
      <name val="Calibri"/>
      <family val="2"/>
      <scheme val="minor"/>
    </font>
    <font>
      <b/>
      <sz val="11"/>
      <color theme="0"/>
      <name val="Garamond"/>
      <family val="1"/>
    </font>
    <font>
      <b/>
      <sz val="12"/>
      <color theme="0"/>
      <name val="Calibri"/>
      <family val="2"/>
    </font>
    <font>
      <b/>
      <sz val="12"/>
      <color theme="1"/>
      <name val="Calibri"/>
      <family val="2"/>
      <scheme val="minor"/>
    </font>
    <font>
      <u/>
      <sz val="11"/>
      <color theme="10"/>
      <name val="Times New Roman"/>
      <family val="1"/>
    </font>
    <font>
      <sz val="11"/>
      <name val="Wingdings"/>
      <charset val="2"/>
    </font>
    <font>
      <sz val="9"/>
      <color indexed="81"/>
      <name val="Tahoma"/>
      <family val="2"/>
    </font>
    <font>
      <b/>
      <sz val="9"/>
      <color indexed="81"/>
      <name val="Tahoma"/>
      <family val="2"/>
    </font>
    <font>
      <b/>
      <i/>
      <sz val="11"/>
      <name val="Times New Roman"/>
      <family val="1"/>
    </font>
    <font>
      <sz val="11"/>
      <color rgb="FFFF0000"/>
      <name val="Times New Roman"/>
      <family val="1"/>
    </font>
    <font>
      <sz val="14"/>
      <name val="Times New Roman"/>
      <family val="1"/>
    </font>
    <font>
      <u/>
      <sz val="11"/>
      <color theme="11"/>
      <name val="Times New Roman"/>
      <family val="1"/>
    </font>
    <font>
      <sz val="12"/>
      <color rgb="FF000000"/>
      <name val="Calibri"/>
      <family val="2"/>
    </font>
    <font>
      <sz val="11"/>
      <color theme="1"/>
      <name val="Times New Roman"/>
      <family val="1"/>
    </font>
    <font>
      <sz val="11"/>
      <name val="Times New Roman"/>
      <family val="1"/>
    </font>
    <font>
      <sz val="12"/>
      <color rgb="FFFF0000"/>
      <name val="Times New Roman"/>
      <family val="1"/>
    </font>
    <font>
      <i/>
      <sz val="12"/>
      <name val="Times New Roman"/>
      <family val="1"/>
    </font>
    <font>
      <sz val="11"/>
      <name val="Times New Roman"/>
      <family val="1"/>
    </font>
    <font>
      <b/>
      <sz val="10"/>
      <name val="Times New Roman"/>
      <family val="1"/>
    </font>
    <font>
      <sz val="11"/>
      <name val="Calibri"/>
      <family val="2"/>
      <scheme val="minor"/>
    </font>
    <font>
      <i/>
      <sz val="12"/>
      <color rgb="FF000000"/>
      <name val="Calibri"/>
      <family val="2"/>
    </font>
    <font>
      <i/>
      <sz val="14"/>
      <name val="Times New Roman"/>
      <family val="1"/>
    </font>
    <font>
      <b/>
      <sz val="11"/>
      <name val="Times New Roman"/>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42"/>
        <bgColor indexed="64"/>
      </patternFill>
    </fill>
    <fill>
      <patternFill patternType="solid">
        <fgColor rgb="FFFFD653"/>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rgb="FFCCFFFF"/>
        <bgColor indexed="64"/>
      </patternFill>
    </fill>
    <fill>
      <patternFill patternType="solid">
        <fgColor rgb="FF99FFCC"/>
        <bgColor indexed="64"/>
      </patternFill>
    </fill>
    <fill>
      <patternFill patternType="solid">
        <fgColor rgb="FFFFFF0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CFFCC"/>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59999389629810485"/>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thin">
        <color auto="1"/>
      </left>
      <right style="thin">
        <color auto="1"/>
      </right>
      <top/>
      <bottom/>
      <diagonal/>
    </border>
    <border>
      <left style="medium">
        <color auto="1"/>
      </left>
      <right style="medium">
        <color auto="1"/>
      </right>
      <top style="thin">
        <color auto="1"/>
      </top>
      <bottom style="medium">
        <color auto="1"/>
      </bottom>
      <diagonal/>
    </border>
    <border>
      <left/>
      <right/>
      <top style="medium">
        <color auto="1"/>
      </top>
      <bottom style="medium">
        <color auto="1"/>
      </bottom>
      <diagonal/>
    </border>
    <border>
      <left style="thin">
        <color auto="1"/>
      </left>
      <right/>
      <top style="thin">
        <color auto="1"/>
      </top>
      <bottom/>
      <diagonal/>
    </border>
    <border>
      <left/>
      <right style="medium">
        <color auto="1"/>
      </right>
      <top style="medium">
        <color auto="1"/>
      </top>
      <bottom style="medium">
        <color auto="1"/>
      </bottom>
      <diagonal/>
    </border>
    <border>
      <left/>
      <right/>
      <top/>
      <bottom style="thin">
        <color indexed="8"/>
      </bottom>
      <diagonal/>
    </border>
    <border>
      <left style="thick">
        <color theme="5" tint="-0.499984740745262"/>
      </left>
      <right style="thin">
        <color auto="1"/>
      </right>
      <top/>
      <bottom style="thick">
        <color theme="5" tint="-0.499984740745262"/>
      </bottom>
      <diagonal/>
    </border>
    <border>
      <left style="thin">
        <color auto="1"/>
      </left>
      <right style="thin">
        <color auto="1"/>
      </right>
      <top/>
      <bottom style="thick">
        <color theme="5" tint="-0.499984740745262"/>
      </bottom>
      <diagonal/>
    </border>
    <border>
      <left style="thick">
        <color theme="5" tint="-0.499984740745262"/>
      </left>
      <right style="thin">
        <color auto="1"/>
      </right>
      <top style="thick">
        <color theme="5" tint="-0.499984740745262"/>
      </top>
      <bottom style="thin">
        <color auto="1"/>
      </bottom>
      <diagonal/>
    </border>
    <border>
      <left style="medium">
        <color auto="1"/>
      </left>
      <right style="thin">
        <color auto="1"/>
      </right>
      <top style="thick">
        <color theme="5" tint="-0.499984740745262"/>
      </top>
      <bottom style="thin">
        <color auto="1"/>
      </bottom>
      <diagonal/>
    </border>
    <border>
      <left style="medium">
        <color auto="1"/>
      </left>
      <right style="thick">
        <color theme="5" tint="-0.499984740745262"/>
      </right>
      <top style="thick">
        <color theme="5" tint="-0.499984740745262"/>
      </top>
      <bottom style="thin">
        <color auto="1"/>
      </bottom>
      <diagonal/>
    </border>
    <border>
      <left style="medium">
        <color auto="1"/>
      </left>
      <right/>
      <top/>
      <bottom/>
      <diagonal/>
    </border>
    <border>
      <left/>
      <right style="medium">
        <color auto="1"/>
      </right>
      <top/>
      <bottom/>
      <diagonal/>
    </border>
    <border>
      <left/>
      <right/>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ck">
        <color theme="5" tint="-0.499984740745262"/>
      </top>
      <bottom style="thin">
        <color auto="1"/>
      </bottom>
      <diagonal/>
    </border>
    <border>
      <left/>
      <right style="thin">
        <color auto="1"/>
      </right>
      <top style="thick">
        <color theme="5" tint="-0.499984740745262"/>
      </top>
      <bottom style="thin">
        <color auto="1"/>
      </bottom>
      <diagonal/>
    </border>
    <border>
      <left/>
      <right style="thin">
        <color auto="1"/>
      </right>
      <top/>
      <bottom style="thick">
        <color theme="5" tint="-0.49998474074526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bottom/>
      <diagonal/>
    </border>
    <border>
      <left style="thick">
        <color auto="1"/>
      </left>
      <right style="thick">
        <color auto="1"/>
      </right>
      <top style="thick">
        <color auto="1"/>
      </top>
      <bottom style="thick">
        <color auto="1"/>
      </bottom>
      <diagonal/>
    </border>
    <border>
      <left style="thin">
        <color auto="1"/>
      </left>
      <right/>
      <top/>
      <bottom/>
      <diagonal/>
    </border>
    <border>
      <left/>
      <right/>
      <top style="thin">
        <color indexed="64"/>
      </top>
      <bottom/>
      <diagonal/>
    </border>
    <border>
      <left/>
      <right style="thin">
        <color indexed="64"/>
      </right>
      <top style="thin">
        <color indexed="64"/>
      </top>
      <bottom/>
      <diagonal/>
    </border>
    <border>
      <left style="medium">
        <color auto="1"/>
      </left>
      <right/>
      <top style="thin">
        <color indexed="64"/>
      </top>
      <bottom/>
      <diagonal/>
    </border>
    <border>
      <left/>
      <right style="thin">
        <color auto="1"/>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theme="5" tint="-0.499984740745262"/>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theme="5" tint="-0.499984740745262"/>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ck">
        <color theme="5" tint="-0.499984740745262"/>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0">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19" fillId="16" borderId="1" applyNumberFormat="0" applyFont="0" applyAlignment="0" applyProtection="0"/>
    <xf numFmtId="0" fontId="21" fillId="17" borderId="2" applyNumberFormat="0" applyAlignment="0" applyProtection="0"/>
    <xf numFmtId="0" fontId="22" fillId="4" borderId="0" applyNumberFormat="0" applyBorder="0" applyAlignment="0" applyProtection="0"/>
    <xf numFmtId="0" fontId="23" fillId="3"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4" fillId="0" borderId="0" applyNumberFormat="0" applyFill="0" applyBorder="0" applyAlignment="0" applyProtection="0"/>
    <xf numFmtId="0" fontId="25" fillId="7" borderId="2" applyNumberFormat="0" applyAlignment="0" applyProtection="0"/>
    <xf numFmtId="0" fontId="26" fillId="22" borderId="3" applyNumberFormat="0" applyAlignment="0" applyProtection="0"/>
    <xf numFmtId="0" fontId="27" fillId="0" borderId="4" applyNumberFormat="0" applyFill="0" applyAlignment="0" applyProtection="0"/>
    <xf numFmtId="0" fontId="28" fillId="23" borderId="0" applyNumberFormat="0" applyBorder="0" applyAlignment="0" applyProtection="0"/>
    <xf numFmtId="0" fontId="16" fillId="0" borderId="0"/>
    <xf numFmtId="0" fontId="16" fillId="0" borderId="0"/>
    <xf numFmtId="0" fontId="16" fillId="0" borderId="0"/>
    <xf numFmtId="0" fontId="16" fillId="0" borderId="0"/>
    <xf numFmtId="9" fontId="7" fillId="0" borderId="0" applyFont="0" applyFill="0" applyBorder="0" applyAlignment="0" applyProtection="0"/>
    <xf numFmtId="9" fontId="16" fillId="0" borderId="0" applyFont="0" applyFill="0" applyBorder="0" applyAlignment="0" applyProtection="0"/>
    <xf numFmtId="0" fontId="29" fillId="0" borderId="0" applyNumberFormat="0" applyFill="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33" fillId="0" borderId="8" applyNumberFormat="0" applyFill="0" applyAlignment="0" applyProtection="0"/>
    <xf numFmtId="0" fontId="34" fillId="17" borderId="9" applyNumberFormat="0" applyAlignment="0" applyProtection="0"/>
    <xf numFmtId="0" fontId="35" fillId="0" borderId="0" applyNumberFormat="0" applyFill="0" applyBorder="0" applyAlignment="0" applyProtection="0"/>
    <xf numFmtId="0" fontId="53" fillId="0" borderId="0" applyNumberFormat="0" applyFill="0" applyBorder="0" applyAlignment="0" applyProtection="0">
      <alignment vertical="top"/>
      <protection locked="0"/>
    </xf>
    <xf numFmtId="0" fontId="6" fillId="0" borderId="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4" fontId="63" fillId="0" borderId="0" applyFont="0" applyFill="0" applyBorder="0" applyAlignment="0" applyProtection="0"/>
    <xf numFmtId="0" fontId="5" fillId="0" borderId="0"/>
    <xf numFmtId="44" fontId="66" fillId="0" borderId="0" applyFont="0" applyFill="0" applyBorder="0" applyAlignment="0" applyProtection="0"/>
    <xf numFmtId="0" fontId="4" fillId="0" borderId="0"/>
    <xf numFmtId="0" fontId="2" fillId="0" borderId="0"/>
  </cellStyleXfs>
  <cellXfs count="610">
    <xf numFmtId="0" fontId="0" fillId="0" borderId="0" xfId="0"/>
    <xf numFmtId="0" fontId="8" fillId="0" borderId="0" xfId="0" applyFont="1"/>
    <xf numFmtId="0" fontId="9" fillId="0" borderId="0" xfId="0" applyFont="1" applyProtection="1"/>
    <xf numFmtId="0" fontId="10" fillId="0" borderId="0" xfId="0" applyFont="1" applyProtection="1"/>
    <xf numFmtId="0" fontId="11" fillId="0" borderId="10" xfId="0" applyFont="1" applyBorder="1" applyAlignment="1" applyProtection="1"/>
    <xf numFmtId="0" fontId="11" fillId="0" borderId="0" xfId="0" applyFont="1" applyProtection="1"/>
    <xf numFmtId="0" fontId="12" fillId="0" borderId="0" xfId="0" applyFont="1" applyProtection="1"/>
    <xf numFmtId="0" fontId="10" fillId="0" borderId="0" xfId="0" applyFont="1" applyFill="1" applyProtection="1"/>
    <xf numFmtId="0" fontId="12" fillId="0" borderId="0" xfId="0" applyFont="1" applyFill="1" applyProtection="1"/>
    <xf numFmtId="0" fontId="0" fillId="0" borderId="0" xfId="0" applyFill="1" applyBorder="1" applyProtection="1"/>
    <xf numFmtId="0" fontId="11" fillId="0" borderId="0" xfId="0" applyFont="1" applyFill="1" applyProtection="1"/>
    <xf numFmtId="0" fontId="18" fillId="0" borderId="0" xfId="0" applyFont="1" applyBorder="1"/>
    <xf numFmtId="0" fontId="18" fillId="0" borderId="0" xfId="0" applyFont="1" applyFill="1" applyBorder="1"/>
    <xf numFmtId="0" fontId="15" fillId="0" borderId="0" xfId="0" applyFont="1" applyBorder="1"/>
    <xf numFmtId="0" fontId="0" fillId="0" borderId="0" xfId="0" applyBorder="1" applyAlignment="1">
      <alignment horizontal="left"/>
    </xf>
    <xf numFmtId="3" fontId="0" fillId="0" borderId="0" xfId="0" applyNumberFormat="1"/>
    <xf numFmtId="0" fontId="8" fillId="0" borderId="10" xfId="0" applyFont="1" applyFill="1" applyBorder="1" applyProtection="1"/>
    <xf numFmtId="0" fontId="8" fillId="0" borderId="0" xfId="0" applyFont="1" applyFill="1" applyProtection="1"/>
    <xf numFmtId="0" fontId="0" fillId="0" borderId="0" xfId="0" applyBorder="1"/>
    <xf numFmtId="9" fontId="0" fillId="0" borderId="0" xfId="0" applyNumberFormat="1"/>
    <xf numFmtId="0" fontId="11" fillId="0" borderId="11" xfId="0" applyFont="1" applyBorder="1" applyAlignment="1" applyProtection="1"/>
    <xf numFmtId="0" fontId="13" fillId="0" borderId="0" xfId="0" applyFont="1" applyFill="1" applyProtection="1"/>
    <xf numFmtId="0" fontId="0" fillId="0" borderId="0" xfId="0" applyFill="1" applyProtection="1"/>
    <xf numFmtId="0" fontId="39" fillId="0" borderId="14" xfId="0" applyFont="1" applyFill="1" applyBorder="1" applyAlignment="1" applyProtection="1">
      <alignment horizontal="center"/>
    </xf>
    <xf numFmtId="0" fontId="12" fillId="0" borderId="0" xfId="0" applyFont="1" applyBorder="1" applyProtection="1"/>
    <xf numFmtId="0" fontId="7" fillId="0" borderId="0" xfId="0" applyFont="1"/>
    <xf numFmtId="168" fontId="0" fillId="0" borderId="0" xfId="0" applyNumberFormat="1"/>
    <xf numFmtId="0" fontId="8" fillId="0" borderId="0" xfId="0" applyFont="1" applyBorder="1"/>
    <xf numFmtId="0" fontId="7" fillId="0" borderId="0" xfId="0" applyFont="1" applyAlignment="1">
      <alignment wrapText="1"/>
    </xf>
    <xf numFmtId="0" fontId="0" fillId="0" borderId="0" xfId="0" applyAlignment="1">
      <alignment wrapText="1"/>
    </xf>
    <xf numFmtId="170" fontId="37" fillId="0" borderId="0" xfId="36" applyNumberFormat="1" applyFont="1" applyFill="1" applyBorder="1" applyProtection="1"/>
    <xf numFmtId="0" fontId="0" fillId="0" borderId="0" xfId="0" applyFill="1"/>
    <xf numFmtId="0" fontId="8" fillId="0" borderId="0" xfId="0" applyFont="1" applyFill="1"/>
    <xf numFmtId="0" fontId="39" fillId="0" borderId="0" xfId="0" applyFont="1"/>
    <xf numFmtId="171" fontId="0" fillId="0" borderId="0" xfId="0" applyNumberFormat="1"/>
    <xf numFmtId="171" fontId="8" fillId="0" borderId="15" xfId="0" applyNumberFormat="1" applyFont="1" applyBorder="1"/>
    <xf numFmtId="0" fontId="43" fillId="0" borderId="0" xfId="0" applyFont="1"/>
    <xf numFmtId="0" fontId="43" fillId="0" borderId="0" xfId="0" applyFont="1" applyFill="1"/>
    <xf numFmtId="0" fontId="0" fillId="0" borderId="0" xfId="0" applyNumberFormat="1"/>
    <xf numFmtId="0" fontId="6" fillId="0" borderId="0" xfId="0" applyFont="1"/>
    <xf numFmtId="9" fontId="0" fillId="0" borderId="0" xfId="0" applyNumberFormat="1" applyFill="1"/>
    <xf numFmtId="0" fontId="0" fillId="0" borderId="0" xfId="0" applyNumberFormat="1" applyFill="1"/>
    <xf numFmtId="3" fontId="0" fillId="0" borderId="0" xfId="0" applyNumberFormat="1" applyFill="1"/>
    <xf numFmtId="0" fontId="16" fillId="0" borderId="0" xfId="0" applyFont="1" applyFill="1" applyBorder="1"/>
    <xf numFmtId="2" fontId="17" fillId="0" borderId="0" xfId="0" applyNumberFormat="1" applyFont="1" applyFill="1" applyAlignment="1">
      <alignment horizontal="right"/>
    </xf>
    <xf numFmtId="2" fontId="0" fillId="0" borderId="0" xfId="0" applyNumberFormat="1" applyFill="1" applyAlignment="1">
      <alignment horizontal="right"/>
    </xf>
    <xf numFmtId="0" fontId="6" fillId="0" borderId="0" xfId="0" applyFont="1" applyProtection="1"/>
    <xf numFmtId="3" fontId="45" fillId="0" borderId="0" xfId="0" applyNumberFormat="1" applyFont="1" applyBorder="1" applyAlignment="1">
      <alignment wrapText="1"/>
    </xf>
    <xf numFmtId="3" fontId="45" fillId="0" borderId="0" xfId="0" applyNumberFormat="1" applyFont="1" applyBorder="1"/>
    <xf numFmtId="3" fontId="0" fillId="0" borderId="0" xfId="0" applyNumberFormat="1" applyBorder="1"/>
    <xf numFmtId="9" fontId="0" fillId="0" borderId="0" xfId="38" applyFont="1" applyBorder="1"/>
    <xf numFmtId="0" fontId="16" fillId="0" borderId="0" xfId="37" applyFont="1" applyFill="1" applyBorder="1"/>
    <xf numFmtId="10" fontId="0" fillId="0" borderId="0" xfId="0" applyNumberFormat="1"/>
    <xf numFmtId="0" fontId="47" fillId="26" borderId="24" xfId="0" applyFont="1" applyFill="1" applyBorder="1"/>
    <xf numFmtId="3" fontId="51" fillId="26" borderId="25" xfId="0" applyNumberFormat="1" applyFont="1" applyFill="1" applyBorder="1" applyAlignment="1">
      <alignment wrapText="1"/>
    </xf>
    <xf numFmtId="3" fontId="50" fillId="26" borderId="26" xfId="0" applyNumberFormat="1" applyFont="1" applyFill="1" applyBorder="1" applyAlignment="1">
      <alignment wrapText="1"/>
    </xf>
    <xf numFmtId="3" fontId="50" fillId="26" borderId="27" xfId="0" applyNumberFormat="1" applyFont="1" applyFill="1" applyBorder="1"/>
    <xf numFmtId="3" fontId="50" fillId="26" borderId="27" xfId="0" applyNumberFormat="1" applyFont="1" applyFill="1" applyBorder="1" applyAlignment="1">
      <alignment wrapText="1"/>
    </xf>
    <xf numFmtId="3" fontId="50" fillId="26" borderId="28" xfId="0" applyNumberFormat="1" applyFont="1" applyFill="1" applyBorder="1"/>
    <xf numFmtId="0" fontId="6" fillId="0" borderId="0" xfId="0" applyFont="1" applyFill="1"/>
    <xf numFmtId="0" fontId="16" fillId="0" borderId="0" xfId="0" applyFont="1" applyBorder="1"/>
    <xf numFmtId="0" fontId="0" fillId="0" borderId="10" xfId="0" applyFill="1" applyBorder="1" applyProtection="1"/>
    <xf numFmtId="0" fontId="0" fillId="0" borderId="0" xfId="0" applyFont="1" applyFill="1"/>
    <xf numFmtId="0" fontId="0" fillId="0" borderId="0" xfId="0" pivotButton="1"/>
    <xf numFmtId="0" fontId="6" fillId="0" borderId="0" xfId="0" applyFont="1" applyBorder="1"/>
    <xf numFmtId="3" fontId="6" fillId="0" borderId="0" xfId="0" applyNumberFormat="1" applyFont="1" applyBorder="1"/>
    <xf numFmtId="3" fontId="6" fillId="0" borderId="0" xfId="0" applyNumberFormat="1" applyFont="1" applyFill="1" applyBorder="1"/>
    <xf numFmtId="0" fontId="6" fillId="0" borderId="21" xfId="0" applyFont="1" applyBorder="1"/>
    <xf numFmtId="0" fontId="8" fillId="0" borderId="0" xfId="0" applyFont="1" applyAlignment="1">
      <alignment wrapText="1"/>
    </xf>
    <xf numFmtId="0" fontId="0" fillId="0" borderId="32" xfId="0" applyBorder="1"/>
    <xf numFmtId="171" fontId="0" fillId="0" borderId="0" xfId="0" applyNumberFormat="1" applyBorder="1"/>
    <xf numFmtId="0" fontId="8" fillId="0" borderId="33" xfId="0" applyFont="1" applyBorder="1" applyAlignment="1">
      <alignment wrapText="1"/>
    </xf>
    <xf numFmtId="0" fontId="8" fillId="0" borderId="34" xfId="0" applyFont="1" applyBorder="1"/>
    <xf numFmtId="0" fontId="8" fillId="0" borderId="30" xfId="0" applyFont="1" applyBorder="1"/>
    <xf numFmtId="0" fontId="0" fillId="0" borderId="29" xfId="0" applyBorder="1"/>
    <xf numFmtId="0" fontId="0" fillId="0" borderId="30" xfId="0" applyBorder="1"/>
    <xf numFmtId="0" fontId="39" fillId="0" borderId="16" xfId="0" applyFont="1" applyBorder="1"/>
    <xf numFmtId="0" fontId="39" fillId="0" borderId="33" xfId="0" applyFont="1" applyBorder="1"/>
    <xf numFmtId="0" fontId="0" fillId="0" borderId="33" xfId="0" applyBorder="1"/>
    <xf numFmtId="0" fontId="0" fillId="0" borderId="34" xfId="0" applyBorder="1"/>
    <xf numFmtId="0" fontId="6" fillId="0" borderId="29" xfId="0" applyFont="1" applyBorder="1"/>
    <xf numFmtId="0" fontId="0" fillId="0" borderId="0" xfId="0" applyBorder="1" applyAlignment="1">
      <alignment horizontal="left" indent="1"/>
    </xf>
    <xf numFmtId="0" fontId="0" fillId="0" borderId="31" xfId="0" applyBorder="1"/>
    <xf numFmtId="0" fontId="10" fillId="0" borderId="38" xfId="0" applyFont="1" applyBorder="1" applyProtection="1"/>
    <xf numFmtId="0" fontId="39" fillId="0" borderId="38" xfId="0" applyFont="1" applyBorder="1" applyProtection="1"/>
    <xf numFmtId="0" fontId="12" fillId="0" borderId="13" xfId="0" applyFont="1" applyBorder="1" applyProtection="1"/>
    <xf numFmtId="0" fontId="6" fillId="0" borderId="12" xfId="0" applyFont="1" applyBorder="1" applyProtection="1"/>
    <xf numFmtId="169" fontId="37" fillId="0" borderId="35" xfId="36" applyNumberFormat="1" applyFont="1" applyFill="1" applyBorder="1" applyProtection="1"/>
    <xf numFmtId="0" fontId="8" fillId="0" borderId="17" xfId="0" applyFont="1" applyBorder="1" applyProtection="1"/>
    <xf numFmtId="0" fontId="6" fillId="0" borderId="20" xfId="0" applyFont="1" applyBorder="1" applyAlignment="1" applyProtection="1">
      <alignment horizontal="left" vertical="center" wrapText="1"/>
    </xf>
    <xf numFmtId="0" fontId="6" fillId="0" borderId="22" xfId="0" applyFont="1" applyBorder="1" applyAlignment="1" applyProtection="1">
      <alignment horizontal="left" vertical="center" wrapText="1"/>
    </xf>
    <xf numFmtId="171" fontId="8" fillId="0" borderId="17" xfId="0" applyNumberFormat="1" applyFont="1" applyBorder="1"/>
    <xf numFmtId="3" fontId="0" fillId="0" borderId="31" xfId="0" applyNumberFormat="1" applyBorder="1"/>
    <xf numFmtId="0" fontId="6" fillId="0" borderId="0" xfId="0" applyFont="1" applyBorder="1" applyProtection="1"/>
    <xf numFmtId="49" fontId="36" fillId="0" borderId="0" xfId="34" applyNumberFormat="1" applyFont="1" applyFill="1" applyAlignment="1">
      <alignment horizontal="left" vertical="center" wrapText="1"/>
    </xf>
    <xf numFmtId="49" fontId="36" fillId="0" borderId="0" xfId="34" applyNumberFormat="1" applyFont="1" applyFill="1" applyAlignment="1">
      <alignment vertical="center" wrapText="1"/>
    </xf>
    <xf numFmtId="0" fontId="36" fillId="0" borderId="0" xfId="34" applyFont="1" applyFill="1" applyAlignment="1">
      <alignment vertical="center" wrapText="1"/>
    </xf>
    <xf numFmtId="0" fontId="54" fillId="0" borderId="0" xfId="0" applyFont="1" applyFill="1" applyProtection="1"/>
    <xf numFmtId="0" fontId="0" fillId="0" borderId="35" xfId="0" applyBorder="1"/>
    <xf numFmtId="0" fontId="0" fillId="0" borderId="40" xfId="0" applyBorder="1"/>
    <xf numFmtId="3" fontId="37" fillId="0" borderId="0" xfId="36" applyNumberFormat="1" applyFont="1" applyFill="1" applyBorder="1" applyProtection="1"/>
    <xf numFmtId="3" fontId="50" fillId="26" borderId="44" xfId="0" applyNumberFormat="1" applyFont="1" applyFill="1" applyBorder="1"/>
    <xf numFmtId="3" fontId="50" fillId="26" borderId="45" xfId="0" applyNumberFormat="1" applyFont="1" applyFill="1" applyBorder="1" applyAlignment="1">
      <alignment wrapText="1"/>
    </xf>
    <xf numFmtId="0" fontId="47" fillId="26" borderId="46" xfId="0" applyFont="1" applyFill="1" applyBorder="1"/>
    <xf numFmtId="0" fontId="0" fillId="0" borderId="0" xfId="0" applyFill="1" applyAlignment="1">
      <alignment wrapText="1"/>
    </xf>
    <xf numFmtId="0" fontId="6" fillId="0" borderId="47" xfId="0" applyFont="1" applyBorder="1"/>
    <xf numFmtId="0" fontId="0" fillId="0" borderId="48" xfId="0" applyBorder="1"/>
    <xf numFmtId="171" fontId="0" fillId="0" borderId="36" xfId="0" applyNumberFormat="1" applyBorder="1"/>
    <xf numFmtId="171" fontId="0" fillId="0" borderId="31" xfId="0" applyNumberFormat="1" applyBorder="1"/>
    <xf numFmtId="171" fontId="0" fillId="0" borderId="37" xfId="0" applyNumberFormat="1" applyBorder="1"/>
    <xf numFmtId="171" fontId="0" fillId="0" borderId="51" xfId="0" applyNumberFormat="1" applyBorder="1"/>
    <xf numFmtId="171" fontId="0" fillId="0" borderId="33" xfId="0" applyNumberFormat="1" applyBorder="1"/>
    <xf numFmtId="171" fontId="0" fillId="0" borderId="52" xfId="0" applyNumberFormat="1" applyBorder="1"/>
    <xf numFmtId="3" fontId="0" fillId="0" borderId="33" xfId="0" applyNumberFormat="1" applyBorder="1"/>
    <xf numFmtId="3" fontId="0" fillId="0" borderId="48" xfId="0" applyNumberFormat="1" applyBorder="1"/>
    <xf numFmtId="3" fontId="0" fillId="0" borderId="49" xfId="0" applyNumberFormat="1" applyBorder="1"/>
    <xf numFmtId="3" fontId="8" fillId="0" borderId="0" xfId="0" applyNumberFormat="1" applyFont="1" applyBorder="1"/>
    <xf numFmtId="3" fontId="0" fillId="0" borderId="37" xfId="0" applyNumberFormat="1" applyBorder="1"/>
    <xf numFmtId="0" fontId="8" fillId="0" borderId="0" xfId="0" applyFont="1" applyBorder="1" applyAlignment="1">
      <alignment wrapText="1"/>
    </xf>
    <xf numFmtId="168" fontId="0" fillId="0" borderId="33" xfId="0" applyNumberFormat="1" applyBorder="1"/>
    <xf numFmtId="168" fontId="0" fillId="0" borderId="0" xfId="0" applyNumberFormat="1" applyBorder="1"/>
    <xf numFmtId="168" fontId="8" fillId="0" borderId="0" xfId="0" applyNumberFormat="1" applyFont="1" applyBorder="1"/>
    <xf numFmtId="0" fontId="8" fillId="0" borderId="16" xfId="0" applyFont="1" applyBorder="1"/>
    <xf numFmtId="0" fontId="8" fillId="0" borderId="33" xfId="0" applyFont="1" applyBorder="1"/>
    <xf numFmtId="0" fontId="8" fillId="0" borderId="51" xfId="0" applyFont="1" applyBorder="1"/>
    <xf numFmtId="3" fontId="8" fillId="0" borderId="33" xfId="0" applyNumberFormat="1" applyFont="1" applyBorder="1"/>
    <xf numFmtId="3" fontId="8" fillId="0" borderId="52" xfId="0" applyNumberFormat="1" applyFont="1" applyBorder="1"/>
    <xf numFmtId="168" fontId="8" fillId="0" borderId="33" xfId="0" applyNumberFormat="1" applyFont="1" applyBorder="1"/>
    <xf numFmtId="3" fontId="0" fillId="0" borderId="30" xfId="0" applyNumberFormat="1" applyBorder="1"/>
    <xf numFmtId="168" fontId="0" fillId="0" borderId="31" xfId="0" applyNumberFormat="1" applyBorder="1"/>
    <xf numFmtId="171" fontId="0" fillId="0" borderId="40" xfId="0" applyNumberFormat="1" applyBorder="1"/>
    <xf numFmtId="171" fontId="8" fillId="0" borderId="41" xfId="0" applyNumberFormat="1" applyFont="1" applyBorder="1"/>
    <xf numFmtId="171" fontId="8" fillId="0" borderId="50" xfId="0" applyNumberFormat="1" applyFont="1" applyBorder="1"/>
    <xf numFmtId="168" fontId="8" fillId="0" borderId="50" xfId="0" applyNumberFormat="1" applyFont="1" applyBorder="1"/>
    <xf numFmtId="3" fontId="8" fillId="0" borderId="50" xfId="0" applyNumberFormat="1" applyFont="1" applyBorder="1"/>
    <xf numFmtId="0" fontId="8" fillId="0" borderId="17" xfId="0" applyFont="1" applyBorder="1"/>
    <xf numFmtId="171" fontId="8" fillId="0" borderId="53" xfId="0" applyNumberFormat="1" applyFont="1" applyBorder="1"/>
    <xf numFmtId="3" fontId="8" fillId="0" borderId="53" xfId="0" applyNumberFormat="1" applyFont="1" applyBorder="1"/>
    <xf numFmtId="0" fontId="6" fillId="0" borderId="43" xfId="0" applyFont="1" applyBorder="1"/>
    <xf numFmtId="0" fontId="0" fillId="0" borderId="42" xfId="0" applyBorder="1"/>
    <xf numFmtId="168" fontId="0" fillId="0" borderId="42" xfId="0" applyNumberFormat="1" applyBorder="1"/>
    <xf numFmtId="168" fontId="0" fillId="0" borderId="54" xfId="0" applyNumberFormat="1" applyBorder="1"/>
    <xf numFmtId="3" fontId="8" fillId="0" borderId="55" xfId="0" applyNumberFormat="1" applyFont="1" applyBorder="1"/>
    <xf numFmtId="171" fontId="8" fillId="0" borderId="18" xfId="0" applyNumberFormat="1" applyFont="1" applyBorder="1"/>
    <xf numFmtId="3" fontId="8" fillId="0" borderId="18" xfId="0" applyNumberFormat="1" applyFont="1" applyBorder="1"/>
    <xf numFmtId="3" fontId="8" fillId="0" borderId="56" xfId="0" applyNumberFormat="1" applyFont="1" applyBorder="1"/>
    <xf numFmtId="171" fontId="0" fillId="0" borderId="34" xfId="0" applyNumberFormat="1" applyBorder="1"/>
    <xf numFmtId="0" fontId="0" fillId="0" borderId="36" xfId="0" applyBorder="1"/>
    <xf numFmtId="0" fontId="0" fillId="0" borderId="37" xfId="0" applyBorder="1"/>
    <xf numFmtId="168" fontId="8" fillId="0" borderId="34" xfId="0" applyNumberFormat="1" applyFont="1" applyBorder="1"/>
    <xf numFmtId="168" fontId="0" fillId="0" borderId="30" xfId="0" applyNumberFormat="1" applyBorder="1"/>
    <xf numFmtId="168" fontId="0" fillId="0" borderId="40" xfId="0" applyNumberFormat="1" applyBorder="1"/>
    <xf numFmtId="168" fontId="8" fillId="0" borderId="30" xfId="0" applyNumberFormat="1" applyFont="1" applyBorder="1"/>
    <xf numFmtId="0" fontId="11" fillId="0" borderId="17" xfId="0" applyFont="1" applyBorder="1"/>
    <xf numFmtId="0" fontId="11" fillId="0" borderId="20" xfId="0" applyFont="1" applyBorder="1"/>
    <xf numFmtId="171" fontId="12" fillId="0" borderId="0" xfId="0" applyNumberFormat="1" applyFont="1" applyProtection="1"/>
    <xf numFmtId="171" fontId="37" fillId="0" borderId="39" xfId="36" applyNumberFormat="1" applyFont="1" applyFill="1" applyBorder="1" applyProtection="1"/>
    <xf numFmtId="171" fontId="38" fillId="24" borderId="15" xfId="36" applyNumberFormat="1" applyFont="1" applyFill="1" applyBorder="1" applyProtection="1"/>
    <xf numFmtId="0" fontId="0" fillId="0" borderId="0" xfId="0" pivotButton="1" applyAlignment="1">
      <alignment wrapText="1"/>
    </xf>
    <xf numFmtId="0" fontId="0" fillId="0" borderId="0" xfId="0" applyFill="1" applyBorder="1"/>
    <xf numFmtId="49" fontId="39" fillId="29" borderId="0" xfId="0" applyNumberFormat="1" applyFont="1" applyFill="1"/>
    <xf numFmtId="0" fontId="57" fillId="0" borderId="0" xfId="0" applyFont="1"/>
    <xf numFmtId="0" fontId="8" fillId="0" borderId="0" xfId="0" applyFont="1" applyAlignment="1">
      <alignment vertical="center" wrapText="1"/>
    </xf>
    <xf numFmtId="168" fontId="58" fillId="0" borderId="0" xfId="0" applyNumberFormat="1" applyFont="1" applyBorder="1"/>
    <xf numFmtId="168" fontId="0" fillId="0" borderId="0" xfId="0" applyNumberFormat="1" applyFill="1" applyBorder="1"/>
    <xf numFmtId="49" fontId="36" fillId="0" borderId="0" xfId="34" applyNumberFormat="1" applyFont="1" applyFill="1" applyAlignment="1" applyProtection="1">
      <alignment vertical="center" wrapText="1"/>
      <protection locked="0"/>
    </xf>
    <xf numFmtId="165" fontId="36" fillId="0" borderId="0" xfId="34" applyNumberFormat="1" applyFont="1" applyFill="1" applyAlignment="1" applyProtection="1">
      <alignment horizontal="right" vertical="center" wrapText="1"/>
      <protection locked="0"/>
    </xf>
    <xf numFmtId="49" fontId="36" fillId="0" borderId="0" xfId="34" applyNumberFormat="1" applyFont="1" applyFill="1" applyAlignment="1" applyProtection="1">
      <alignment horizontal="left" vertical="center" wrapText="1"/>
      <protection locked="0"/>
    </xf>
    <xf numFmtId="0" fontId="36" fillId="0" borderId="0" xfId="34" applyFont="1" applyFill="1" applyBorder="1" applyAlignment="1" applyProtection="1">
      <alignment vertical="center" wrapText="1"/>
      <protection locked="0"/>
    </xf>
    <xf numFmtId="3" fontId="36" fillId="0" borderId="0" xfId="34" applyNumberFormat="1" applyFont="1" applyFill="1" applyBorder="1" applyAlignment="1" applyProtection="1">
      <alignment horizontal="right" vertical="center" wrapText="1"/>
      <protection locked="0"/>
    </xf>
    <xf numFmtId="0" fontId="36" fillId="0" borderId="0" xfId="34" applyNumberFormat="1" applyFont="1" applyFill="1" applyAlignment="1" applyProtection="1">
      <alignment horizontal="left" vertical="center" wrapText="1"/>
      <protection locked="0"/>
    </xf>
    <xf numFmtId="166" fontId="36" fillId="0" borderId="0" xfId="34" applyNumberFormat="1" applyFont="1" applyFill="1" applyAlignment="1" applyProtection="1">
      <alignment horizontal="left" vertical="center" wrapText="1"/>
      <protection locked="0"/>
    </xf>
    <xf numFmtId="2" fontId="36" fillId="0" borderId="0" xfId="34" applyNumberFormat="1" applyFont="1" applyFill="1" applyAlignment="1" applyProtection="1">
      <alignment horizontal="right" vertical="center" wrapText="1"/>
      <protection locked="0"/>
    </xf>
    <xf numFmtId="0" fontId="36" fillId="0" borderId="0" xfId="34" applyFont="1" applyFill="1" applyAlignment="1" applyProtection="1">
      <alignment vertical="center" wrapText="1"/>
      <protection locked="0"/>
    </xf>
    <xf numFmtId="3" fontId="36" fillId="0" borderId="0" xfId="34" applyNumberFormat="1" applyFont="1" applyFill="1" applyAlignment="1" applyProtection="1">
      <alignment vertical="center" wrapText="1"/>
      <protection locked="0"/>
    </xf>
    <xf numFmtId="0" fontId="8" fillId="0" borderId="0" xfId="0" applyFont="1" applyFill="1" applyAlignment="1" applyProtection="1">
      <alignment vertical="center" wrapText="1"/>
      <protection locked="0"/>
    </xf>
    <xf numFmtId="0" fontId="43" fillId="0" borderId="0" xfId="0" applyFont="1" applyFill="1" applyAlignment="1" applyProtection="1">
      <alignment vertical="center" wrapText="1"/>
      <protection locked="0"/>
    </xf>
    <xf numFmtId="0" fontId="44" fillId="0" borderId="39" xfId="0" applyFont="1" applyFill="1" applyBorder="1" applyAlignment="1" applyProtection="1">
      <alignment horizontal="center"/>
    </xf>
    <xf numFmtId="0" fontId="44" fillId="25" borderId="58" xfId="0" applyFont="1" applyFill="1" applyBorder="1" applyAlignment="1" applyProtection="1">
      <alignment horizontal="center"/>
      <protection locked="0"/>
    </xf>
    <xf numFmtId="0" fontId="0" fillId="31" borderId="0" xfId="0" applyFill="1"/>
    <xf numFmtId="171" fontId="0" fillId="32" borderId="0" xfId="0" applyNumberFormat="1" applyFill="1"/>
    <xf numFmtId="0" fontId="11" fillId="0" borderId="35" xfId="0" applyFont="1" applyBorder="1" applyProtection="1"/>
    <xf numFmtId="0" fontId="6" fillId="0" borderId="0" xfId="0" applyFont="1" applyFill="1" applyBorder="1"/>
    <xf numFmtId="0" fontId="8" fillId="0" borderId="62" xfId="0" applyFont="1" applyBorder="1"/>
    <xf numFmtId="0" fontId="8" fillId="0" borderId="60" xfId="0" applyFont="1" applyBorder="1"/>
    <xf numFmtId="0" fontId="8" fillId="0" borderId="61" xfId="0" applyFont="1" applyBorder="1"/>
    <xf numFmtId="171" fontId="0" fillId="0" borderId="0" xfId="0" applyNumberFormat="1" applyFill="1" applyBorder="1"/>
    <xf numFmtId="168" fontId="6" fillId="0" borderId="0" xfId="0" applyNumberFormat="1" applyFont="1" applyFill="1" applyBorder="1"/>
    <xf numFmtId="171" fontId="0" fillId="0" borderId="59" xfId="0" applyNumberFormat="1" applyBorder="1"/>
    <xf numFmtId="3" fontId="0" fillId="0" borderId="63" xfId="0" applyNumberFormat="1" applyBorder="1"/>
    <xf numFmtId="0" fontId="8" fillId="0" borderId="59" xfId="0" applyFont="1" applyBorder="1"/>
    <xf numFmtId="3" fontId="8" fillId="0" borderId="63" xfId="0" applyNumberFormat="1" applyFont="1" applyBorder="1"/>
    <xf numFmtId="0" fontId="62" fillId="0" borderId="0" xfId="0" applyFont="1" applyBorder="1"/>
    <xf numFmtId="0" fontId="0" fillId="0" borderId="59" xfId="0" applyBorder="1"/>
    <xf numFmtId="0" fontId="0" fillId="29" borderId="0" xfId="0" applyFill="1"/>
    <xf numFmtId="164" fontId="0" fillId="0" borderId="0" xfId="85" applyFont="1" applyFill="1"/>
    <xf numFmtId="0" fontId="8" fillId="0" borderId="0" xfId="0" applyFont="1" applyFill="1" applyBorder="1"/>
    <xf numFmtId="164" fontId="0" fillId="0" borderId="0" xfId="85" applyFont="1" applyFill="1" applyBorder="1"/>
    <xf numFmtId="0" fontId="10" fillId="0" borderId="0" xfId="0" applyFont="1" applyBorder="1"/>
    <xf numFmtId="0" fontId="10" fillId="0" borderId="0" xfId="0" applyFont="1" applyBorder="1" applyAlignment="1">
      <alignment horizontal="left" indent="1"/>
    </xf>
    <xf numFmtId="168" fontId="10" fillId="0" borderId="0" xfId="0" applyNumberFormat="1" applyFont="1"/>
    <xf numFmtId="0" fontId="10" fillId="0" borderId="0" xfId="0" applyFont="1"/>
    <xf numFmtId="0" fontId="10" fillId="0" borderId="0" xfId="0" applyFont="1" applyFill="1" applyBorder="1" applyAlignment="1">
      <alignment horizontal="left" indent="1"/>
    </xf>
    <xf numFmtId="168" fontId="65" fillId="0" borderId="0" xfId="0" applyNumberFormat="1" applyFont="1"/>
    <xf numFmtId="0" fontId="65" fillId="0" borderId="0" xfId="0" applyFont="1"/>
    <xf numFmtId="0" fontId="10" fillId="0" borderId="0" xfId="0" applyFont="1" applyFill="1"/>
    <xf numFmtId="168" fontId="10" fillId="0" borderId="0" xfId="0" applyNumberFormat="1" applyFont="1" applyFill="1"/>
    <xf numFmtId="168" fontId="65" fillId="0" borderId="0" xfId="0" applyNumberFormat="1" applyFont="1" applyFill="1"/>
    <xf numFmtId="168" fontId="11" fillId="0" borderId="0" xfId="0" applyNumberFormat="1" applyFont="1" applyBorder="1"/>
    <xf numFmtId="168" fontId="10" fillId="0" borderId="0" xfId="0" applyNumberFormat="1" applyFont="1" applyBorder="1"/>
    <xf numFmtId="166" fontId="0" fillId="0" borderId="0" xfId="0" applyNumberFormat="1"/>
    <xf numFmtId="0" fontId="16" fillId="0" borderId="0" xfId="36" applyBorder="1"/>
    <xf numFmtId="0" fontId="59" fillId="0" borderId="38" xfId="0" applyFont="1" applyBorder="1" applyProtection="1"/>
    <xf numFmtId="0" fontId="59" fillId="0" borderId="57" xfId="0" applyFont="1" applyBorder="1" applyProtection="1"/>
    <xf numFmtId="2" fontId="0" fillId="0" borderId="0" xfId="0" applyNumberFormat="1" applyFill="1"/>
    <xf numFmtId="3" fontId="45" fillId="0" borderId="0" xfId="0" applyNumberFormat="1" applyFont="1" applyFill="1" applyBorder="1" applyAlignment="1">
      <alignment wrapText="1"/>
    </xf>
    <xf numFmtId="3" fontId="45" fillId="0" borderId="0" xfId="0" applyNumberFormat="1" applyFont="1" applyFill="1" applyBorder="1"/>
    <xf numFmtId="0" fontId="8" fillId="0" borderId="65" xfId="0" applyFont="1" applyFill="1" applyBorder="1" applyProtection="1"/>
    <xf numFmtId="173" fontId="0" fillId="0" borderId="0" xfId="0" applyNumberFormat="1"/>
    <xf numFmtId="0" fontId="0" fillId="30" borderId="0" xfId="0" applyFill="1"/>
    <xf numFmtId="166" fontId="0" fillId="30" borderId="0" xfId="0" applyNumberFormat="1" applyFill="1"/>
    <xf numFmtId="0" fontId="43" fillId="30" borderId="0" xfId="0" applyFont="1" applyFill="1"/>
    <xf numFmtId="0" fontId="6" fillId="30" borderId="0" xfId="0" applyFont="1" applyFill="1"/>
    <xf numFmtId="9" fontId="0" fillId="30" borderId="0" xfId="0" applyNumberFormat="1" applyFill="1"/>
    <xf numFmtId="0" fontId="0" fillId="30" borderId="0" xfId="0" applyNumberFormat="1" applyFill="1"/>
    <xf numFmtId="2" fontId="0" fillId="30" borderId="0" xfId="0" applyNumberFormat="1" applyFill="1"/>
    <xf numFmtId="2" fontId="17" fillId="30" borderId="0" xfId="0" applyNumberFormat="1" applyFont="1" applyFill="1" applyAlignment="1">
      <alignment horizontal="right"/>
    </xf>
    <xf numFmtId="3" fontId="0" fillId="30" borderId="0" xfId="0" applyNumberFormat="1" applyFill="1"/>
    <xf numFmtId="4" fontId="0" fillId="30" borderId="0" xfId="0" applyNumberFormat="1" applyFill="1"/>
    <xf numFmtId="0" fontId="47" fillId="26" borderId="67" xfId="0" applyFont="1" applyFill="1" applyBorder="1"/>
    <xf numFmtId="0" fontId="47" fillId="26" borderId="68" xfId="0" applyFont="1" applyFill="1" applyBorder="1"/>
    <xf numFmtId="0" fontId="43" fillId="26" borderId="67" xfId="0" applyFont="1" applyFill="1" applyBorder="1"/>
    <xf numFmtId="0" fontId="43" fillId="26" borderId="68" xfId="0" applyFont="1" applyFill="1" applyBorder="1"/>
    <xf numFmtId="3" fontId="52" fillId="28" borderId="65" xfId="0" applyNumberFormat="1" applyFont="1" applyFill="1" applyBorder="1"/>
    <xf numFmtId="3" fontId="52" fillId="28" borderId="69" xfId="0" applyNumberFormat="1" applyFont="1" applyFill="1" applyBorder="1"/>
    <xf numFmtId="0" fontId="49" fillId="26" borderId="67" xfId="0" applyFont="1" applyFill="1" applyBorder="1"/>
    <xf numFmtId="0" fontId="49" fillId="26" borderId="68" xfId="0" applyFont="1" applyFill="1" applyBorder="1"/>
    <xf numFmtId="167" fontId="0" fillId="0" borderId="0" xfId="0" applyNumberFormat="1" applyFill="1"/>
    <xf numFmtId="4" fontId="0" fillId="0" borderId="0" xfId="0" applyNumberFormat="1" applyFill="1"/>
    <xf numFmtId="0" fontId="10" fillId="0" borderId="0" xfId="0" applyFont="1" applyFill="1" applyBorder="1"/>
    <xf numFmtId="0" fontId="0" fillId="31" borderId="0" xfId="0" applyFill="1" applyBorder="1"/>
    <xf numFmtId="0" fontId="0" fillId="31" borderId="0" xfId="0" applyFill="1" applyBorder="1" applyAlignment="1">
      <alignment horizontal="left" indent="1"/>
    </xf>
    <xf numFmtId="3" fontId="0" fillId="31" borderId="0" xfId="0" applyNumberFormat="1" applyFill="1"/>
    <xf numFmtId="168" fontId="0" fillId="32" borderId="0" xfId="0" applyNumberFormat="1" applyFill="1"/>
    <xf numFmtId="0" fontId="0" fillId="0" borderId="0" xfId="0" applyFill="1" applyAlignment="1">
      <alignment horizontal="left"/>
    </xf>
    <xf numFmtId="0" fontId="6" fillId="0" borderId="0" xfId="0" applyFont="1" applyFill="1" applyAlignment="1">
      <alignment horizontal="left"/>
    </xf>
    <xf numFmtId="0" fontId="18" fillId="29" borderId="0" xfId="0" applyFont="1" applyFill="1" applyBorder="1"/>
    <xf numFmtId="0" fontId="57" fillId="0" borderId="0" xfId="0" applyFont="1" applyBorder="1"/>
    <xf numFmtId="3" fontId="0" fillId="0" borderId="0" xfId="0" applyNumberFormat="1" applyFill="1" applyBorder="1"/>
    <xf numFmtId="0" fontId="59" fillId="0" borderId="0" xfId="0" applyFont="1" applyAlignment="1">
      <alignment vertical="center" wrapText="1"/>
    </xf>
    <xf numFmtId="0" fontId="39" fillId="0" borderId="0" xfId="0" applyFont="1" applyAlignment="1">
      <alignment vertical="center"/>
    </xf>
    <xf numFmtId="0" fontId="0" fillId="0" borderId="0" xfId="0" applyAlignment="1">
      <alignment vertical="center"/>
    </xf>
    <xf numFmtId="0" fontId="53" fillId="0" borderId="0" xfId="48" applyAlignment="1" applyProtection="1">
      <alignment vertical="center"/>
    </xf>
    <xf numFmtId="0" fontId="6" fillId="0" borderId="0" xfId="0" applyFont="1" applyAlignment="1">
      <alignment vertical="center"/>
    </xf>
    <xf numFmtId="168" fontId="13" fillId="0" borderId="0" xfId="0" applyNumberFormat="1" applyFont="1" applyBorder="1"/>
    <xf numFmtId="0" fontId="57" fillId="0" borderId="0" xfId="0" applyFont="1" applyBorder="1" applyAlignment="1">
      <alignment wrapText="1"/>
    </xf>
    <xf numFmtId="0" fontId="43" fillId="0" borderId="0" xfId="0" applyFont="1" applyFill="1" applyBorder="1"/>
    <xf numFmtId="168" fontId="38" fillId="24" borderId="19" xfId="36" applyNumberFormat="1" applyFont="1" applyFill="1" applyBorder="1" applyProtection="1"/>
    <xf numFmtId="168" fontId="38" fillId="0" borderId="19" xfId="36" applyNumberFormat="1" applyFont="1" applyFill="1" applyBorder="1" applyProtection="1"/>
    <xf numFmtId="165" fontId="6" fillId="0" borderId="0" xfId="0" applyNumberFormat="1" applyFont="1" applyProtection="1"/>
    <xf numFmtId="171" fontId="6" fillId="0" borderId="0" xfId="0" applyNumberFormat="1" applyFont="1" applyProtection="1"/>
    <xf numFmtId="168" fontId="15" fillId="24" borderId="15" xfId="36" applyNumberFormat="1" applyFont="1" applyFill="1" applyBorder="1" applyProtection="1"/>
    <xf numFmtId="0" fontId="53" fillId="0" borderId="0" xfId="48" applyAlignment="1" applyProtection="1"/>
    <xf numFmtId="0" fontId="8" fillId="0" borderId="70" xfId="0" applyFont="1" applyBorder="1"/>
    <xf numFmtId="49" fontId="6" fillId="0" borderId="70" xfId="0" applyNumberFormat="1" applyFont="1" applyBorder="1"/>
    <xf numFmtId="0" fontId="6" fillId="0" borderId="70" xfId="36" applyFont="1" applyFill="1" applyBorder="1"/>
    <xf numFmtId="49" fontId="46" fillId="0" borderId="70" xfId="0" applyNumberFormat="1" applyFont="1" applyBorder="1"/>
    <xf numFmtId="49" fontId="6" fillId="0" borderId="70" xfId="36" applyNumberFormat="1" applyFont="1" applyBorder="1"/>
    <xf numFmtId="0" fontId="6" fillId="0" borderId="70" xfId="36" applyFont="1" applyBorder="1"/>
    <xf numFmtId="49" fontId="6" fillId="0" borderId="70" xfId="36" applyNumberFormat="1" applyFont="1" applyFill="1" applyBorder="1"/>
    <xf numFmtId="0" fontId="6" fillId="0" borderId="0" xfId="36" applyFont="1" applyBorder="1"/>
    <xf numFmtId="0" fontId="0" fillId="0" borderId="72" xfId="0" applyFill="1" applyBorder="1" applyProtection="1"/>
    <xf numFmtId="2" fontId="0" fillId="0" borderId="0" xfId="0" applyNumberFormat="1"/>
    <xf numFmtId="0" fontId="0" fillId="0" borderId="72" xfId="0" applyFont="1" applyBorder="1"/>
    <xf numFmtId="0" fontId="0" fillId="34" borderId="0" xfId="0" applyFill="1"/>
    <xf numFmtId="0" fontId="61" fillId="0" borderId="72" xfId="0" applyFont="1" applyFill="1" applyBorder="1"/>
    <xf numFmtId="0" fontId="61" fillId="0" borderId="72" xfId="0" applyFont="1" applyBorder="1"/>
    <xf numFmtId="0" fontId="0" fillId="0" borderId="72" xfId="0" applyFill="1" applyBorder="1"/>
    <xf numFmtId="168" fontId="10" fillId="0" borderId="0" xfId="0" applyNumberFormat="1" applyFont="1" applyFill="1" applyBorder="1"/>
    <xf numFmtId="168" fontId="0" fillId="0" borderId="0" xfId="0" applyNumberFormat="1" applyFill="1"/>
    <xf numFmtId="0" fontId="0" fillId="0" borderId="74" xfId="0" applyBorder="1"/>
    <xf numFmtId="0" fontId="0" fillId="0" borderId="75" xfId="0" applyBorder="1"/>
    <xf numFmtId="0" fontId="0" fillId="0" borderId="71" xfId="0" applyBorder="1"/>
    <xf numFmtId="0" fontId="0" fillId="0" borderId="64" xfId="0" applyBorder="1"/>
    <xf numFmtId="171" fontId="0" fillId="0" borderId="73" xfId="87" applyNumberFormat="1" applyFont="1" applyBorder="1" applyAlignment="1">
      <alignment horizontal="left" indent="1"/>
    </xf>
    <xf numFmtId="171" fontId="0" fillId="0" borderId="71" xfId="0" applyNumberFormat="1" applyBorder="1" applyAlignment="1">
      <alignment horizontal="left" indent="1"/>
    </xf>
    <xf numFmtId="171" fontId="0" fillId="0" borderId="64" xfId="0" applyNumberFormat="1" applyBorder="1"/>
    <xf numFmtId="0" fontId="0" fillId="0" borderId="76" xfId="0" applyBorder="1" applyAlignment="1">
      <alignment horizontal="left" indent="1"/>
    </xf>
    <xf numFmtId="0" fontId="0" fillId="0" borderId="72" xfId="0" applyFill="1" applyBorder="1" applyAlignment="1">
      <alignment horizontal="left"/>
    </xf>
    <xf numFmtId="0" fontId="43" fillId="0" borderId="72" xfId="0" applyFont="1" applyFill="1" applyBorder="1"/>
    <xf numFmtId="168" fontId="6" fillId="34" borderId="77" xfId="0" applyNumberFormat="1" applyFont="1" applyFill="1" applyBorder="1"/>
    <xf numFmtId="168" fontId="6" fillId="34" borderId="78" xfId="0" applyNumberFormat="1" applyFont="1" applyFill="1" applyBorder="1"/>
    <xf numFmtId="0" fontId="0" fillId="0" borderId="0" xfId="0" applyAlignment="1">
      <alignment wrapText="1"/>
    </xf>
    <xf numFmtId="0" fontId="0" fillId="0" borderId="72" xfId="0" applyBorder="1"/>
    <xf numFmtId="10" fontId="0" fillId="0" borderId="0" xfId="0" applyNumberFormat="1" applyFill="1"/>
    <xf numFmtId="10" fontId="0" fillId="0" borderId="0" xfId="38" applyNumberFormat="1" applyFont="1" applyFill="1"/>
    <xf numFmtId="0" fontId="6" fillId="0" borderId="72" xfId="0" applyFont="1" applyFill="1" applyBorder="1" applyProtection="1"/>
    <xf numFmtId="0" fontId="6" fillId="0" borderId="72" xfId="0" applyFont="1" applyFill="1" applyBorder="1" applyAlignment="1">
      <alignment horizontal="left"/>
    </xf>
    <xf numFmtId="49" fontId="6" fillId="0" borderId="72" xfId="36" applyNumberFormat="1" applyFont="1" applyFill="1" applyBorder="1"/>
    <xf numFmtId="0" fontId="6" fillId="0" borderId="72" xfId="36" applyFont="1" applyBorder="1"/>
    <xf numFmtId="165" fontId="0" fillId="0" borderId="0" xfId="0" applyNumberFormat="1"/>
    <xf numFmtId="171" fontId="0" fillId="0" borderId="71" xfId="0" applyNumberFormat="1" applyBorder="1"/>
    <xf numFmtId="171" fontId="8" fillId="0" borderId="64" xfId="0" applyNumberFormat="1" applyFont="1" applyBorder="1"/>
    <xf numFmtId="171" fontId="8" fillId="0" borderId="37" xfId="0" applyNumberFormat="1" applyFont="1" applyBorder="1"/>
    <xf numFmtId="168" fontId="8" fillId="0" borderId="82" xfId="0" applyNumberFormat="1" applyFont="1" applyBorder="1"/>
    <xf numFmtId="171" fontId="8" fillId="0" borderId="20" xfId="0" applyNumberFormat="1" applyFont="1" applyBorder="1"/>
    <xf numFmtId="0" fontId="59" fillId="34" borderId="0" xfId="0" applyFont="1" applyFill="1" applyAlignment="1">
      <alignment vertical="center" wrapText="1"/>
    </xf>
    <xf numFmtId="0" fontId="68" fillId="0" borderId="0" xfId="0" applyFont="1" applyFill="1" applyBorder="1" applyAlignment="1">
      <alignment wrapText="1"/>
    </xf>
    <xf numFmtId="171" fontId="11" fillId="0" borderId="41" xfId="0" applyNumberFormat="1" applyFont="1" applyBorder="1"/>
    <xf numFmtId="171" fontId="11" fillId="0" borderId="50" xfId="0" applyNumberFormat="1" applyFont="1" applyBorder="1"/>
    <xf numFmtId="168" fontId="11" fillId="0" borderId="50" xfId="0" applyNumberFormat="1" applyFont="1" applyBorder="1"/>
    <xf numFmtId="168" fontId="11" fillId="0" borderId="82" xfId="0" applyNumberFormat="1" applyFont="1" applyBorder="1"/>
    <xf numFmtId="0" fontId="6" fillId="34" borderId="0" xfId="0" applyFont="1" applyFill="1"/>
    <xf numFmtId="2" fontId="6" fillId="0" borderId="0" xfId="0" applyNumberFormat="1" applyFont="1" applyFill="1" applyAlignment="1">
      <alignment horizontal="right"/>
    </xf>
    <xf numFmtId="0" fontId="0" fillId="32" borderId="0" xfId="0" applyFill="1" applyAlignment="1">
      <alignment wrapText="1"/>
    </xf>
    <xf numFmtId="166" fontId="36" fillId="0" borderId="0" xfId="34" applyNumberFormat="1" applyFont="1" applyFill="1" applyAlignment="1" applyProtection="1">
      <alignment horizontal="center" vertical="center" wrapText="1"/>
      <protection locked="0"/>
    </xf>
    <xf numFmtId="0" fontId="0" fillId="34" borderId="0" xfId="0" applyFill="1" applyBorder="1"/>
    <xf numFmtId="0" fontId="0" fillId="0" borderId="0" xfId="0" applyFont="1" applyFill="1" applyAlignment="1">
      <alignment horizontal="left"/>
    </xf>
    <xf numFmtId="171" fontId="8" fillId="0" borderId="0" xfId="0" applyNumberFormat="1" applyFont="1" applyFill="1" applyBorder="1" applyAlignment="1">
      <alignment horizontal="center" wrapText="1"/>
    </xf>
    <xf numFmtId="3" fontId="46" fillId="27" borderId="72" xfId="0" applyNumberFormat="1" applyFont="1" applyFill="1" applyBorder="1"/>
    <xf numFmtId="3" fontId="46" fillId="27" borderId="79" xfId="0" applyNumberFormat="1" applyFont="1" applyFill="1" applyBorder="1"/>
    <xf numFmtId="3" fontId="46" fillId="27" borderId="83" xfId="0" applyNumberFormat="1" applyFont="1" applyFill="1" applyBorder="1"/>
    <xf numFmtId="3" fontId="48" fillId="0" borderId="72" xfId="0" applyNumberFormat="1" applyFont="1" applyFill="1" applyBorder="1" applyAlignment="1">
      <alignment wrapText="1"/>
    </xf>
    <xf numFmtId="3" fontId="48" fillId="0" borderId="79" xfId="0" applyNumberFormat="1" applyFont="1" applyFill="1" applyBorder="1" applyAlignment="1">
      <alignment wrapText="1"/>
    </xf>
    <xf numFmtId="3" fontId="48" fillId="0" borderId="83" xfId="0" applyNumberFormat="1" applyFont="1" applyFill="1" applyBorder="1" applyAlignment="1">
      <alignment wrapText="1"/>
    </xf>
    <xf numFmtId="0" fontId="0" fillId="0" borderId="84" xfId="0" applyFill="1" applyBorder="1" applyProtection="1"/>
    <xf numFmtId="0" fontId="0" fillId="0" borderId="72" xfId="0" applyFont="1" applyFill="1" applyBorder="1" applyProtection="1"/>
    <xf numFmtId="0" fontId="61" fillId="0" borderId="72" xfId="0" applyFont="1" applyFill="1" applyBorder="1" applyProtection="1"/>
    <xf numFmtId="0" fontId="6" fillId="0" borderId="72" xfId="0" applyFont="1" applyFill="1" applyBorder="1"/>
    <xf numFmtId="0" fontId="43" fillId="0" borderId="72" xfId="0" applyFont="1" applyFill="1" applyBorder="1" applyProtection="1"/>
    <xf numFmtId="0" fontId="0" fillId="35" borderId="72" xfId="0" applyFont="1" applyFill="1" applyBorder="1"/>
    <xf numFmtId="0" fontId="0" fillId="36" borderId="72" xfId="0" applyFill="1" applyBorder="1" applyProtection="1"/>
    <xf numFmtId="0" fontId="43" fillId="31" borderId="72" xfId="0" applyFont="1" applyFill="1" applyBorder="1"/>
    <xf numFmtId="0" fontId="0" fillId="0" borderId="72" xfId="0" applyFont="1" applyFill="1" applyBorder="1"/>
    <xf numFmtId="0" fontId="3" fillId="0" borderId="72" xfId="0" applyFont="1" applyFill="1" applyBorder="1"/>
    <xf numFmtId="0" fontId="43" fillId="31" borderId="72" xfId="0" applyFont="1" applyFill="1" applyBorder="1" applyProtection="1"/>
    <xf numFmtId="0" fontId="6" fillId="0" borderId="72" xfId="0" applyFont="1" applyFill="1" applyBorder="1" applyAlignment="1" applyProtection="1">
      <alignment horizontal="left"/>
    </xf>
    <xf numFmtId="0" fontId="43" fillId="33" borderId="72" xfId="0" applyFont="1" applyFill="1" applyBorder="1"/>
    <xf numFmtId="0" fontId="6" fillId="35" borderId="72" xfId="0" applyFont="1" applyFill="1" applyBorder="1"/>
    <xf numFmtId="0" fontId="12" fillId="0" borderId="66" xfId="0" applyFont="1" applyBorder="1" applyProtection="1"/>
    <xf numFmtId="168" fontId="10" fillId="0" borderId="64" xfId="0" applyNumberFormat="1" applyFont="1" applyBorder="1" applyProtection="1"/>
    <xf numFmtId="168" fontId="10" fillId="0" borderId="66" xfId="0" applyNumberFormat="1" applyFont="1" applyBorder="1" applyProtection="1"/>
    <xf numFmtId="168" fontId="12" fillId="0" borderId="64" xfId="0" applyNumberFormat="1" applyFont="1" applyBorder="1" applyProtection="1"/>
    <xf numFmtId="168" fontId="12" fillId="0" borderId="66" xfId="0" applyNumberFormat="1" applyFont="1" applyBorder="1" applyProtection="1"/>
    <xf numFmtId="165" fontId="12" fillId="0" borderId="64" xfId="0" applyNumberFormat="1" applyFont="1" applyBorder="1" applyProtection="1"/>
    <xf numFmtId="165" fontId="12" fillId="0" borderId="66" xfId="0" applyNumberFormat="1" applyFont="1" applyBorder="1" applyProtection="1"/>
    <xf numFmtId="0" fontId="12" fillId="0" borderId="84" xfId="0" applyFont="1" applyBorder="1" applyProtection="1"/>
    <xf numFmtId="0" fontId="6" fillId="25" borderId="72" xfId="0" applyFont="1" applyFill="1" applyBorder="1" applyAlignment="1" applyProtection="1">
      <alignment horizontal="right"/>
    </xf>
    <xf numFmtId="0" fontId="6" fillId="0" borderId="0" xfId="0" applyFont="1" applyBorder="1" applyAlignment="1" applyProtection="1">
      <alignment horizontal="left" vertical="center" wrapText="1"/>
    </xf>
    <xf numFmtId="171" fontId="37" fillId="0" borderId="29" xfId="36" applyNumberFormat="1" applyFont="1" applyFill="1" applyBorder="1" applyProtection="1"/>
    <xf numFmtId="0" fontId="11" fillId="0" borderId="81" xfId="0" applyFont="1" applyBorder="1" applyAlignment="1" applyProtection="1"/>
    <xf numFmtId="0" fontId="11" fillId="0" borderId="23" xfId="0" applyFont="1" applyBorder="1" applyAlignment="1"/>
    <xf numFmtId="174" fontId="0" fillId="0" borderId="0" xfId="0" applyNumberFormat="1"/>
    <xf numFmtId="0" fontId="6" fillId="0" borderId="0" xfId="49"/>
    <xf numFmtId="0" fontId="11" fillId="0" borderId="73" xfId="49" applyFont="1" applyBorder="1"/>
    <xf numFmtId="0" fontId="6" fillId="0" borderId="74" xfId="49" applyBorder="1"/>
    <xf numFmtId="0" fontId="6" fillId="0" borderId="75" xfId="49" applyBorder="1"/>
    <xf numFmtId="0" fontId="11" fillId="0" borderId="71" xfId="49" applyFont="1" applyBorder="1"/>
    <xf numFmtId="0" fontId="6" fillId="0" borderId="0" xfId="49" applyBorder="1"/>
    <xf numFmtId="0" fontId="6" fillId="0" borderId="64" xfId="49" applyBorder="1"/>
    <xf numFmtId="0" fontId="6" fillId="0" borderId="72" xfId="49" applyBorder="1" applyAlignment="1">
      <alignment wrapText="1"/>
    </xf>
    <xf numFmtId="174" fontId="6" fillId="0" borderId="72" xfId="49" applyNumberFormat="1" applyBorder="1" applyAlignment="1">
      <alignment wrapText="1"/>
    </xf>
    <xf numFmtId="174" fontId="6" fillId="34" borderId="72" xfId="49" applyNumberFormat="1" applyFill="1" applyBorder="1" applyAlignment="1">
      <alignment wrapText="1"/>
    </xf>
    <xf numFmtId="0" fontId="6" fillId="0" borderId="71" xfId="49" applyBorder="1" applyAlignment="1">
      <alignment wrapText="1"/>
    </xf>
    <xf numFmtId="0" fontId="6" fillId="0" borderId="0" xfId="49" applyBorder="1" applyAlignment="1">
      <alignment wrapText="1"/>
    </xf>
    <xf numFmtId="0" fontId="6" fillId="0" borderId="64" xfId="49" applyBorder="1" applyAlignment="1">
      <alignment wrapText="1"/>
    </xf>
    <xf numFmtId="0" fontId="6" fillId="0" borderId="0" xfId="49" applyFill="1" applyBorder="1" applyAlignment="1"/>
    <xf numFmtId="0" fontId="6" fillId="0" borderId="0" xfId="49" applyFill="1"/>
    <xf numFmtId="0" fontId="6" fillId="0" borderId="0" xfId="49" applyFont="1" applyFill="1" applyBorder="1" applyAlignment="1"/>
    <xf numFmtId="0" fontId="6" fillId="0" borderId="85" xfId="49" applyBorder="1"/>
    <xf numFmtId="0" fontId="6" fillId="0" borderId="71" xfId="49" applyFont="1" applyBorder="1"/>
    <xf numFmtId="0" fontId="6" fillId="0" borderId="80" xfId="49" applyBorder="1"/>
    <xf numFmtId="0" fontId="11" fillId="0" borderId="73" xfId="49" applyFont="1" applyFill="1" applyBorder="1"/>
    <xf numFmtId="0" fontId="6" fillId="0" borderId="74" xfId="49" applyFill="1" applyBorder="1"/>
    <xf numFmtId="0" fontId="6" fillId="0" borderId="75" xfId="49" applyFill="1" applyBorder="1"/>
    <xf numFmtId="0" fontId="11" fillId="0" borderId="71" xfId="49" applyFont="1" applyFill="1" applyBorder="1"/>
    <xf numFmtId="0" fontId="6" fillId="0" borderId="0" xfId="49" applyFill="1" applyBorder="1"/>
    <xf numFmtId="0" fontId="6" fillId="0" borderId="64" xfId="49" applyFill="1" applyBorder="1"/>
    <xf numFmtId="0" fontId="6" fillId="0" borderId="72" xfId="49" applyFill="1" applyBorder="1" applyAlignment="1">
      <alignment wrapText="1"/>
    </xf>
    <xf numFmtId="174" fontId="6" fillId="0" borderId="72" xfId="49" applyNumberFormat="1" applyFill="1" applyBorder="1" applyAlignment="1">
      <alignment wrapText="1"/>
    </xf>
    <xf numFmtId="0" fontId="6" fillId="0" borderId="0" xfId="49" applyFill="1" applyBorder="1" applyAlignment="1">
      <alignment wrapText="1"/>
    </xf>
    <xf numFmtId="0" fontId="6" fillId="0" borderId="64" xfId="49" applyFill="1" applyBorder="1" applyAlignment="1">
      <alignment wrapText="1"/>
    </xf>
    <xf numFmtId="9" fontId="6" fillId="0" borderId="0" xfId="49" applyNumberFormat="1" applyFill="1"/>
    <xf numFmtId="0" fontId="6" fillId="0" borderId="72" xfId="49" applyFont="1" applyFill="1" applyBorder="1" applyAlignment="1">
      <alignment wrapText="1"/>
    </xf>
    <xf numFmtId="0" fontId="69" fillId="0" borderId="72" xfId="0" applyFont="1" applyFill="1" applyBorder="1"/>
    <xf numFmtId="0" fontId="13" fillId="0" borderId="0" xfId="0" applyFont="1" applyFill="1" applyAlignment="1">
      <alignment horizontal="left"/>
    </xf>
    <xf numFmtId="165" fontId="0" fillId="0" borderId="0" xfId="0" applyNumberFormat="1" applyFill="1"/>
    <xf numFmtId="1" fontId="0" fillId="0" borderId="0" xfId="0" applyNumberFormat="1" applyFill="1"/>
    <xf numFmtId="166" fontId="0" fillId="0" borderId="0" xfId="0" applyNumberFormat="1" applyFill="1"/>
    <xf numFmtId="49" fontId="8" fillId="0" borderId="0" xfId="34" applyNumberFormat="1" applyFont="1" applyFill="1" applyAlignment="1">
      <alignment vertical="center" wrapText="1"/>
    </xf>
    <xf numFmtId="0" fontId="6" fillId="30" borderId="0" xfId="0" applyFont="1" applyFill="1" applyBorder="1"/>
    <xf numFmtId="0" fontId="0" fillId="0" borderId="86" xfId="0" applyBorder="1"/>
    <xf numFmtId="0" fontId="0" fillId="0" borderId="86" xfId="0" pivotButton="1" applyBorder="1"/>
    <xf numFmtId="0" fontId="0" fillId="0" borderId="87" xfId="0" applyBorder="1"/>
    <xf numFmtId="0" fontId="0" fillId="0" borderId="88" xfId="0" applyBorder="1"/>
    <xf numFmtId="0" fontId="0" fillId="0" borderId="89" xfId="0" applyBorder="1"/>
    <xf numFmtId="0" fontId="0" fillId="0" borderId="90" xfId="0" applyBorder="1"/>
    <xf numFmtId="2" fontId="0" fillId="0" borderId="86" xfId="0" applyNumberFormat="1" applyBorder="1"/>
    <xf numFmtId="2" fontId="0" fillId="0" borderId="89" xfId="0" applyNumberFormat="1" applyBorder="1"/>
    <xf numFmtId="3" fontId="0" fillId="0" borderId="90" xfId="0" applyNumberFormat="1" applyBorder="1"/>
    <xf numFmtId="0" fontId="0" fillId="0" borderId="91" xfId="0" applyBorder="1"/>
    <xf numFmtId="2" fontId="0" fillId="0" borderId="91" xfId="0" applyNumberFormat="1" applyBorder="1"/>
    <xf numFmtId="3" fontId="0" fillId="0" borderId="92" xfId="0" applyNumberFormat="1" applyBorder="1"/>
    <xf numFmtId="0" fontId="0" fillId="0" borderId="93" xfId="0" applyBorder="1"/>
    <xf numFmtId="2" fontId="0" fillId="0" borderId="93" xfId="0" applyNumberFormat="1" applyBorder="1"/>
    <xf numFmtId="2" fontId="0" fillId="0" borderId="94" xfId="0" applyNumberFormat="1" applyBorder="1"/>
    <xf numFmtId="3" fontId="0" fillId="0" borderId="95" xfId="0" applyNumberFormat="1" applyBorder="1"/>
    <xf numFmtId="171" fontId="0" fillId="0" borderId="86" xfId="0" applyNumberFormat="1" applyBorder="1"/>
    <xf numFmtId="171" fontId="0" fillId="0" borderId="89" xfId="0" applyNumberFormat="1" applyBorder="1"/>
    <xf numFmtId="3" fontId="0" fillId="0" borderId="89" xfId="0" applyNumberFormat="1" applyBorder="1"/>
    <xf numFmtId="171" fontId="0" fillId="0" borderId="91" xfId="0" applyNumberFormat="1" applyBorder="1"/>
    <xf numFmtId="171" fontId="0" fillId="0" borderId="93" xfId="0" applyNumberFormat="1" applyBorder="1"/>
    <xf numFmtId="171" fontId="0" fillId="0" borderId="94" xfId="0" applyNumberFormat="1" applyBorder="1"/>
    <xf numFmtId="3" fontId="0" fillId="0" borderId="94" xfId="0" applyNumberFormat="1" applyBorder="1"/>
    <xf numFmtId="0" fontId="6" fillId="0" borderId="96" xfId="0" applyFont="1" applyFill="1" applyBorder="1" applyProtection="1"/>
    <xf numFmtId="0" fontId="0" fillId="0" borderId="96" xfId="0" applyFill="1" applyBorder="1" applyProtection="1"/>
    <xf numFmtId="0" fontId="61" fillId="0" borderId="96" xfId="0" applyFont="1" applyFill="1" applyBorder="1"/>
    <xf numFmtId="0" fontId="0" fillId="0" borderId="96" xfId="0" applyFont="1" applyBorder="1"/>
    <xf numFmtId="0" fontId="0" fillId="0" borderId="96" xfId="0" applyFill="1" applyBorder="1"/>
    <xf numFmtId="0" fontId="61" fillId="0" borderId="96" xfId="0" applyFont="1" applyFill="1" applyBorder="1" applyProtection="1"/>
    <xf numFmtId="0" fontId="61" fillId="0" borderId="64" xfId="0" applyFont="1" applyFill="1" applyBorder="1"/>
    <xf numFmtId="0" fontId="6" fillId="0" borderId="0" xfId="0" applyFont="1" applyFill="1" applyBorder="1" applyAlignment="1">
      <alignment horizontal="left"/>
    </xf>
    <xf numFmtId="3" fontId="0" fillId="34" borderId="0" xfId="0" applyNumberFormat="1" applyFill="1"/>
    <xf numFmtId="174" fontId="6" fillId="0" borderId="97" xfId="49" applyNumberFormat="1" applyFill="1" applyBorder="1" applyAlignment="1">
      <alignment wrapText="1"/>
    </xf>
    <xf numFmtId="174" fontId="0" fillId="0" borderId="97" xfId="0" applyNumberFormat="1" applyBorder="1" applyAlignment="1">
      <alignment wrapText="1"/>
    </xf>
    <xf numFmtId="0" fontId="57" fillId="37" borderId="0" xfId="0" applyFont="1" applyFill="1" applyAlignment="1">
      <alignment wrapText="1"/>
    </xf>
    <xf numFmtId="0" fontId="0" fillId="0" borderId="97" xfId="0" applyFill="1" applyBorder="1"/>
    <xf numFmtId="0" fontId="0" fillId="0" borderId="97" xfId="0" applyFill="1" applyBorder="1" applyProtection="1"/>
    <xf numFmtId="0" fontId="6" fillId="34" borderId="0" xfId="0" applyFont="1" applyFill="1" applyBorder="1"/>
    <xf numFmtId="0" fontId="61" fillId="0" borderId="97" xfId="0" applyFont="1" applyFill="1" applyBorder="1"/>
    <xf numFmtId="0" fontId="0" fillId="0" borderId="97" xfId="0" applyFont="1" applyBorder="1"/>
    <xf numFmtId="0" fontId="0" fillId="0" borderId="97" xfId="0" applyFont="1" applyFill="1" applyBorder="1" applyProtection="1"/>
    <xf numFmtId="0" fontId="0" fillId="0" borderId="97" xfId="0" applyFill="1" applyBorder="1" applyAlignment="1">
      <alignment horizontal="left"/>
    </xf>
    <xf numFmtId="0" fontId="6" fillId="0" borderId="97" xfId="0" applyFont="1" applyFill="1" applyBorder="1" applyProtection="1"/>
    <xf numFmtId="0" fontId="6" fillId="0" borderId="97" xfId="0" applyFont="1" applyFill="1" applyBorder="1"/>
    <xf numFmtId="0" fontId="61" fillId="0" borderId="0" xfId="0" applyFont="1" applyFill="1" applyBorder="1" applyProtection="1"/>
    <xf numFmtId="0" fontId="13" fillId="34" borderId="0" xfId="0" applyFont="1" applyFill="1"/>
    <xf numFmtId="0" fontId="6" fillId="0" borderId="97" xfId="0" applyFont="1" applyFill="1" applyBorder="1" applyAlignment="1">
      <alignment horizontal="left"/>
    </xf>
    <xf numFmtId="0" fontId="6" fillId="0" borderId="71" xfId="49" applyBorder="1"/>
    <xf numFmtId="0" fontId="6" fillId="34" borderId="80" xfId="49" applyFill="1" applyBorder="1"/>
    <xf numFmtId="0" fontId="8" fillId="34" borderId="79" xfId="49" applyFont="1" applyFill="1" applyBorder="1"/>
    <xf numFmtId="0" fontId="11" fillId="0" borderId="99" xfId="49" applyFont="1" applyBorder="1"/>
    <xf numFmtId="0" fontId="6" fillId="0" borderId="71" xfId="49" applyFont="1" applyFill="1" applyBorder="1"/>
    <xf numFmtId="0" fontId="6" fillId="0" borderId="100" xfId="49" applyBorder="1"/>
    <xf numFmtId="0" fontId="61" fillId="0" borderId="98" xfId="0" applyFont="1" applyBorder="1"/>
    <xf numFmtId="0" fontId="0" fillId="0" borderId="98" xfId="0" applyFont="1" applyBorder="1"/>
    <xf numFmtId="0" fontId="0" fillId="0" borderId="98" xfId="0" applyFill="1" applyBorder="1" applyProtection="1"/>
    <xf numFmtId="0" fontId="6" fillId="0" borderId="98" xfId="0" applyFont="1" applyFill="1" applyBorder="1" applyProtection="1"/>
    <xf numFmtId="0" fontId="13" fillId="0" borderId="0" xfId="0" applyFont="1" applyFill="1"/>
    <xf numFmtId="0" fontId="61" fillId="0" borderId="98" xfId="0" applyFont="1" applyFill="1" applyBorder="1"/>
    <xf numFmtId="0" fontId="6" fillId="0" borderId="98" xfId="0" applyFont="1" applyFill="1" applyBorder="1" applyAlignment="1">
      <alignment horizontal="left"/>
    </xf>
    <xf numFmtId="0" fontId="0" fillId="0" borderId="98" xfId="0" applyFont="1" applyFill="1" applyBorder="1"/>
    <xf numFmtId="0" fontId="0" fillId="0" borderId="98" xfId="0" applyFill="1" applyBorder="1"/>
    <xf numFmtId="0" fontId="6" fillId="0" borderId="98" xfId="0" applyFont="1" applyFill="1" applyBorder="1"/>
    <xf numFmtId="0" fontId="61" fillId="0" borderId="98" xfId="0" applyFont="1" applyFill="1" applyBorder="1" applyProtection="1"/>
    <xf numFmtId="0" fontId="6" fillId="0" borderId="0" xfId="0" applyFont="1" applyFill="1" applyAlignment="1">
      <alignment wrapText="1"/>
    </xf>
    <xf numFmtId="171" fontId="0" fillId="0" borderId="71" xfId="0" applyNumberFormat="1" applyFill="1" applyBorder="1"/>
    <xf numFmtId="3" fontId="0" fillId="0" borderId="30" xfId="0" applyNumberFormat="1" applyFill="1" applyBorder="1"/>
    <xf numFmtId="0" fontId="0" fillId="0" borderId="0" xfId="0" applyBorder="1" applyAlignment="1">
      <alignment wrapText="1"/>
    </xf>
    <xf numFmtId="174" fontId="0" fillId="0" borderId="0" xfId="0" applyNumberFormat="1" applyBorder="1" applyAlignment="1">
      <alignment wrapText="1"/>
    </xf>
    <xf numFmtId="0" fontId="6" fillId="0" borderId="71" xfId="49" applyFill="1" applyBorder="1"/>
    <xf numFmtId="0" fontId="6" fillId="0" borderId="102" xfId="49" applyBorder="1"/>
    <xf numFmtId="174" fontId="6" fillId="0" borderId="0" xfId="49" applyNumberFormat="1" applyBorder="1"/>
    <xf numFmtId="174" fontId="8" fillId="0" borderId="0" xfId="49" applyNumberFormat="1" applyFont="1" applyFill="1" applyBorder="1"/>
    <xf numFmtId="174" fontId="8" fillId="0" borderId="0" xfId="49" applyNumberFormat="1" applyFont="1"/>
    <xf numFmtId="174" fontId="8" fillId="0" borderId="0" xfId="49" applyNumberFormat="1" applyFont="1" applyFill="1"/>
    <xf numFmtId="0" fontId="6" fillId="0" borderId="103" xfId="49" applyBorder="1"/>
    <xf numFmtId="174" fontId="8" fillId="34" borderId="105" xfId="49" applyNumberFormat="1" applyFont="1" applyFill="1" applyBorder="1"/>
    <xf numFmtId="0" fontId="6" fillId="0" borderId="101" xfId="49" applyBorder="1"/>
    <xf numFmtId="174" fontId="8" fillId="34" borderId="101" xfId="49" applyNumberFormat="1" applyFont="1" applyFill="1" applyBorder="1"/>
    <xf numFmtId="0" fontId="6" fillId="0" borderId="104" xfId="49" applyBorder="1"/>
    <xf numFmtId="0" fontId="6" fillId="0" borderId="105" xfId="49" applyBorder="1"/>
    <xf numFmtId="174" fontId="6" fillId="0" borderId="101" xfId="49" applyNumberFormat="1" applyBorder="1"/>
    <xf numFmtId="0" fontId="6" fillId="0" borderId="110" xfId="49" applyBorder="1"/>
    <xf numFmtId="174" fontId="6" fillId="0" borderId="106" xfId="49" applyNumberFormat="1" applyBorder="1" applyAlignment="1">
      <alignment wrapText="1"/>
    </xf>
    <xf numFmtId="174" fontId="6" fillId="0" borderId="107" xfId="49" applyNumberFormat="1" applyBorder="1" applyAlignment="1">
      <alignment wrapText="1"/>
    </xf>
    <xf numFmtId="0" fontId="6" fillId="0" borderId="107" xfId="49" applyBorder="1"/>
    <xf numFmtId="174" fontId="6" fillId="0" borderId="107" xfId="49" applyNumberFormat="1" applyBorder="1"/>
    <xf numFmtId="174" fontId="6" fillId="0" borderId="108" xfId="49" applyNumberFormat="1" applyBorder="1" applyAlignment="1">
      <alignment wrapText="1"/>
    </xf>
    <xf numFmtId="0" fontId="6" fillId="0" borderId="109" xfId="49" applyBorder="1"/>
    <xf numFmtId="0" fontId="6" fillId="0" borderId="111" xfId="49" applyBorder="1"/>
    <xf numFmtId="167" fontId="6" fillId="0" borderId="101" xfId="49" applyNumberFormat="1" applyBorder="1"/>
    <xf numFmtId="174" fontId="13" fillId="38" borderId="101" xfId="49" applyNumberFormat="1" applyFont="1" applyFill="1" applyBorder="1"/>
    <xf numFmtId="0" fontId="6" fillId="0" borderId="79" xfId="49" applyBorder="1"/>
    <xf numFmtId="0" fontId="6" fillId="0" borderId="68" xfId="49" applyBorder="1"/>
    <xf numFmtId="174" fontId="8" fillId="0" borderId="101" xfId="49" applyNumberFormat="1" applyFont="1" applyBorder="1"/>
    <xf numFmtId="174" fontId="6" fillId="0" borderId="72" xfId="49" applyNumberFormat="1" applyFont="1" applyBorder="1" applyAlignment="1">
      <alignment wrapText="1"/>
    </xf>
    <xf numFmtId="0" fontId="0" fillId="0" borderId="110" xfId="0" applyBorder="1"/>
    <xf numFmtId="174" fontId="6" fillId="0" borderId="101" xfId="49" applyNumberFormat="1" applyFont="1" applyFill="1" applyBorder="1"/>
    <xf numFmtId="167" fontId="6" fillId="0" borderId="101" xfId="49" applyNumberFormat="1" applyFill="1" applyBorder="1"/>
    <xf numFmtId="174" fontId="6" fillId="38" borderId="101" xfId="49" applyNumberFormat="1" applyFill="1" applyBorder="1"/>
    <xf numFmtId="0" fontId="8" fillId="30" borderId="101" xfId="49" applyFont="1" applyFill="1" applyBorder="1"/>
    <xf numFmtId="174" fontId="8" fillId="30" borderId="101" xfId="49" applyNumberFormat="1" applyFont="1" applyFill="1" applyBorder="1"/>
    <xf numFmtId="0" fontId="8" fillId="0" borderId="101" xfId="49" applyFont="1" applyBorder="1"/>
    <xf numFmtId="0" fontId="8" fillId="0" borderId="84" xfId="49" applyFont="1" applyBorder="1"/>
    <xf numFmtId="0" fontId="61" fillId="0" borderId="101" xfId="0" applyFont="1" applyFill="1" applyBorder="1"/>
    <xf numFmtId="0" fontId="0" fillId="0" borderId="101" xfId="0" applyFont="1" applyBorder="1"/>
    <xf numFmtId="0" fontId="0" fillId="0" borderId="0" xfId="0" applyAlignment="1">
      <alignment wrapText="1"/>
    </xf>
    <xf numFmtId="0" fontId="6" fillId="0" borderId="101" xfId="0" applyFont="1" applyFill="1" applyBorder="1"/>
    <xf numFmtId="0" fontId="0" fillId="0" borderId="101" xfId="0" applyFill="1" applyBorder="1" applyProtection="1"/>
    <xf numFmtId="0" fontId="0" fillId="0" borderId="101" xfId="0" applyFill="1" applyBorder="1"/>
    <xf numFmtId="0" fontId="6" fillId="0" borderId="71" xfId="49" applyFill="1" applyBorder="1" applyAlignment="1">
      <alignment wrapText="1"/>
    </xf>
    <xf numFmtId="0" fontId="0" fillId="0" borderId="0" xfId="0" applyAlignment="1">
      <alignment wrapText="1"/>
    </xf>
    <xf numFmtId="0" fontId="0" fillId="0" borderId="0" xfId="0" applyAlignment="1">
      <alignment wrapText="1"/>
    </xf>
    <xf numFmtId="171" fontId="0" fillId="0" borderId="0" xfId="0" applyNumberFormat="1" applyFill="1"/>
    <xf numFmtId="0" fontId="61" fillId="0" borderId="0" xfId="0" applyFont="1" applyFill="1" applyBorder="1"/>
    <xf numFmtId="0" fontId="6" fillId="0" borderId="0" xfId="0" applyFont="1" applyFill="1" applyBorder="1" applyProtection="1"/>
    <xf numFmtId="0" fontId="0" fillId="0" borderId="0" xfId="0" applyFont="1" applyFill="1" applyBorder="1" applyProtection="1"/>
    <xf numFmtId="0" fontId="6" fillId="0" borderId="101" xfId="0" applyFont="1" applyFill="1" applyBorder="1" applyProtection="1"/>
    <xf numFmtId="0" fontId="6" fillId="0" borderId="71" xfId="49" applyFill="1" applyBorder="1" applyAlignment="1">
      <alignment wrapText="1"/>
    </xf>
    <xf numFmtId="0" fontId="0" fillId="0" borderId="0" xfId="0" applyAlignment="1">
      <alignment wrapText="1"/>
    </xf>
    <xf numFmtId="0" fontId="0" fillId="0" borderId="79" xfId="0" applyBorder="1"/>
    <xf numFmtId="0" fontId="0" fillId="0" borderId="68" xfId="0" applyBorder="1"/>
    <xf numFmtId="0" fontId="10" fillId="0" borderId="116" xfId="0" applyFont="1" applyBorder="1"/>
    <xf numFmtId="168" fontId="0" fillId="0" borderId="116" xfId="0" applyNumberFormat="1" applyBorder="1"/>
    <xf numFmtId="168" fontId="64" fillId="0" borderId="116" xfId="0" applyNumberFormat="1" applyFont="1" applyBorder="1"/>
    <xf numFmtId="0" fontId="46" fillId="0" borderId="0" xfId="0" applyFont="1" applyBorder="1"/>
    <xf numFmtId="0" fontId="10" fillId="0" borderId="116" xfId="0" applyFont="1" applyFill="1" applyBorder="1" applyAlignment="1">
      <alignment horizontal="left" indent="1"/>
    </xf>
    <xf numFmtId="168" fontId="11" fillId="0" borderId="116" xfId="0" applyNumberFormat="1" applyFont="1" applyBorder="1"/>
    <xf numFmtId="168" fontId="10" fillId="0" borderId="116" xfId="0" applyNumberFormat="1" applyFont="1" applyBorder="1"/>
    <xf numFmtId="0" fontId="10" fillId="39" borderId="0" xfId="0" applyFont="1" applyFill="1"/>
    <xf numFmtId="0" fontId="10" fillId="0" borderId="116" xfId="0" applyFont="1" applyBorder="1" applyAlignment="1">
      <alignment horizontal="left" indent="1"/>
    </xf>
    <xf numFmtId="0" fontId="10" fillId="0" borderId="116" xfId="0" applyFont="1" applyFill="1" applyBorder="1"/>
    <xf numFmtId="0" fontId="0" fillId="0" borderId="116" xfId="0" applyBorder="1"/>
    <xf numFmtId="0" fontId="0" fillId="0" borderId="112" xfId="0" applyBorder="1"/>
    <xf numFmtId="0" fontId="0" fillId="0" borderId="113" xfId="0" applyBorder="1"/>
    <xf numFmtId="0" fontId="0" fillId="0" borderId="114" xfId="0" applyBorder="1"/>
    <xf numFmtId="0" fontId="0" fillId="0" borderId="115" xfId="0" applyBorder="1"/>
    <xf numFmtId="0" fontId="0" fillId="0" borderId="117" xfId="0" applyBorder="1"/>
    <xf numFmtId="0" fontId="6" fillId="0" borderId="79" xfId="0" applyFont="1" applyBorder="1"/>
    <xf numFmtId="0" fontId="0" fillId="0" borderId="80" xfId="0" applyBorder="1"/>
    <xf numFmtId="0" fontId="6" fillId="0" borderId="112" xfId="0" applyFont="1" applyBorder="1"/>
    <xf numFmtId="0" fontId="1" fillId="0" borderId="101" xfId="0" applyFont="1" applyFill="1" applyBorder="1"/>
    <xf numFmtId="0" fontId="0" fillId="0" borderId="0" xfId="0" applyFont="1" applyFill="1" applyBorder="1"/>
    <xf numFmtId="0" fontId="0" fillId="0" borderId="0" xfId="0" applyAlignment="1">
      <alignment wrapText="1"/>
    </xf>
    <xf numFmtId="0" fontId="6" fillId="0" borderId="0" xfId="0" applyFont="1" applyAlignment="1">
      <alignment wrapText="1"/>
    </xf>
    <xf numFmtId="168" fontId="13" fillId="0" borderId="0" xfId="0" applyNumberFormat="1" applyFont="1"/>
    <xf numFmtId="3" fontId="13" fillId="0" borderId="0" xfId="0" applyNumberFormat="1" applyFont="1"/>
    <xf numFmtId="0" fontId="13" fillId="0" borderId="0" xfId="0" applyFont="1"/>
    <xf numFmtId="168" fontId="0" fillId="29" borderId="0" xfId="0" applyNumberFormat="1" applyFill="1"/>
    <xf numFmtId="0" fontId="57" fillId="34" borderId="0" xfId="0" applyFont="1" applyFill="1" applyAlignment="1">
      <alignment wrapText="1"/>
    </xf>
    <xf numFmtId="0" fontId="0" fillId="40" borderId="0" xfId="0" applyFill="1"/>
    <xf numFmtId="0" fontId="6" fillId="0" borderId="71" xfId="49" applyFill="1" applyBorder="1" applyAlignment="1">
      <alignment wrapText="1"/>
    </xf>
    <xf numFmtId="0" fontId="0" fillId="0" borderId="0" xfId="0" applyAlignment="1">
      <alignment wrapText="1"/>
    </xf>
    <xf numFmtId="0" fontId="8" fillId="0" borderId="0" xfId="0" applyFont="1" applyFill="1" applyAlignment="1">
      <alignment vertical="center" wrapText="1"/>
    </xf>
    <xf numFmtId="168" fontId="37" fillId="0" borderId="19" xfId="36" applyNumberFormat="1" applyFont="1" applyFill="1" applyBorder="1" applyProtection="1"/>
    <xf numFmtId="0" fontId="10" fillId="0" borderId="35" xfId="0" applyFont="1" applyBorder="1" applyProtection="1"/>
    <xf numFmtId="0" fontId="6" fillId="0" borderId="101" xfId="0" applyFont="1" applyFill="1" applyBorder="1" applyAlignment="1">
      <alignment horizontal="left"/>
    </xf>
    <xf numFmtId="0" fontId="6" fillId="0" borderId="101" xfId="0" applyFont="1" applyBorder="1"/>
    <xf numFmtId="0" fontId="6" fillId="0" borderId="71" xfId="49" applyFill="1" applyBorder="1" applyAlignment="1">
      <alignment wrapText="1"/>
    </xf>
    <xf numFmtId="0" fontId="0" fillId="0" borderId="0" xfId="0" applyAlignment="1">
      <alignment wrapText="1"/>
    </xf>
    <xf numFmtId="0" fontId="0" fillId="0" borderId="0" xfId="0" applyAlignment="1">
      <alignment wrapText="1"/>
    </xf>
    <xf numFmtId="0" fontId="0" fillId="0" borderId="0" xfId="0" pivotButton="1" applyFont="1" applyBorder="1"/>
    <xf numFmtId="0" fontId="0" fillId="0" borderId="0" xfId="0" applyFont="1" applyBorder="1"/>
    <xf numFmtId="0" fontId="0" fillId="0" borderId="71" xfId="0" applyFont="1" applyBorder="1"/>
    <xf numFmtId="171" fontId="0" fillId="0" borderId="0" xfId="0" applyNumberFormat="1" applyFont="1" applyBorder="1"/>
    <xf numFmtId="172" fontId="0" fillId="0" borderId="0" xfId="0" applyNumberFormat="1" applyFont="1" applyBorder="1"/>
    <xf numFmtId="172" fontId="0" fillId="0" borderId="64" xfId="0" applyNumberFormat="1" applyFont="1" applyBorder="1"/>
    <xf numFmtId="0" fontId="0" fillId="0" borderId="0" xfId="0" pivotButton="1" applyFont="1" applyBorder="1" applyAlignment="1">
      <alignment wrapText="1"/>
    </xf>
    <xf numFmtId="0" fontId="0" fillId="0" borderId="71" xfId="0" pivotButton="1" applyFont="1" applyBorder="1" applyAlignment="1">
      <alignment wrapText="1"/>
    </xf>
    <xf numFmtId="0" fontId="0" fillId="0" borderId="0" xfId="0" applyFont="1" applyBorder="1" applyAlignment="1">
      <alignment wrapText="1"/>
    </xf>
    <xf numFmtId="0" fontId="0" fillId="0" borderId="64" xfId="0" applyFont="1" applyBorder="1" applyAlignment="1">
      <alignment wrapText="1"/>
    </xf>
    <xf numFmtId="3" fontId="0" fillId="29" borderId="0" xfId="0" applyNumberFormat="1" applyFill="1"/>
    <xf numFmtId="168" fontId="0" fillId="34" borderId="0" xfId="0" applyNumberFormat="1" applyFill="1"/>
    <xf numFmtId="0" fontId="0" fillId="0" borderId="0" xfId="0" applyAlignment="1">
      <alignment wrapText="1"/>
    </xf>
    <xf numFmtId="0" fontId="0" fillId="0" borderId="0" xfId="0" applyAlignment="1">
      <alignment wrapText="1"/>
    </xf>
    <xf numFmtId="0" fontId="59" fillId="0" borderId="0" xfId="0" applyFont="1" applyFill="1" applyAlignment="1">
      <alignment vertical="center" wrapText="1"/>
    </xf>
    <xf numFmtId="168" fontId="6" fillId="0" borderId="0" xfId="0" applyNumberFormat="1" applyFont="1"/>
    <xf numFmtId="168" fontId="0" fillId="41" borderId="0" xfId="0" applyNumberFormat="1" applyFill="1"/>
    <xf numFmtId="0" fontId="0" fillId="0" borderId="0" xfId="0" applyFill="1" applyBorder="1" applyAlignment="1">
      <alignment wrapText="1"/>
    </xf>
    <xf numFmtId="0" fontId="6" fillId="0" borderId="66" xfId="0" applyFont="1" applyFill="1" applyBorder="1"/>
    <xf numFmtId="0" fontId="43" fillId="0" borderId="64" xfId="0" applyFont="1" applyFill="1" applyBorder="1"/>
    <xf numFmtId="0" fontId="6" fillId="0" borderId="64" xfId="0" applyFont="1" applyFill="1" applyBorder="1" applyProtection="1"/>
    <xf numFmtId="0" fontId="0" fillId="40" borderId="0" xfId="0" applyFill="1" applyBorder="1"/>
    <xf numFmtId="0" fontId="0" fillId="0" borderId="101" xfId="0" applyFont="1" applyFill="1" applyBorder="1"/>
    <xf numFmtId="0" fontId="6" fillId="0" borderId="0" xfId="0" applyFont="1" applyFill="1" applyBorder="1" applyAlignment="1" applyProtection="1">
      <alignment horizontal="left"/>
    </xf>
    <xf numFmtId="0" fontId="0" fillId="0" borderId="0" xfId="0" applyAlignment="1">
      <alignment wrapText="1"/>
    </xf>
    <xf numFmtId="0" fontId="71" fillId="0" borderId="0" xfId="0" applyFont="1"/>
    <xf numFmtId="0" fontId="71" fillId="0" borderId="0" xfId="0" pivotButton="1" applyFont="1" applyAlignment="1">
      <alignment wrapText="1"/>
    </xf>
    <xf numFmtId="2" fontId="71" fillId="0" borderId="0" xfId="0" applyNumberFormat="1" applyFont="1" applyAlignment="1">
      <alignment wrapText="1"/>
    </xf>
    <xf numFmtId="0" fontId="10" fillId="34" borderId="0" xfId="0" applyFont="1" applyFill="1"/>
    <xf numFmtId="167" fontId="0" fillId="34" borderId="0" xfId="0" applyNumberFormat="1" applyFill="1"/>
    <xf numFmtId="9" fontId="0" fillId="34" borderId="0" xfId="0" applyNumberFormat="1" applyFill="1"/>
    <xf numFmtId="2" fontId="6" fillId="34" borderId="0" xfId="0" applyNumberFormat="1" applyFont="1" applyFill="1" applyAlignment="1">
      <alignment horizontal="right"/>
    </xf>
    <xf numFmtId="0" fontId="0" fillId="34" borderId="0" xfId="0" applyFont="1" applyFill="1"/>
    <xf numFmtId="0" fontId="0" fillId="0" borderId="118" xfId="0" applyFont="1" applyBorder="1"/>
    <xf numFmtId="0" fontId="0" fillId="0" borderId="119" xfId="0" applyFont="1" applyBorder="1"/>
    <xf numFmtId="0" fontId="0" fillId="0" borderId="119" xfId="0" pivotButton="1" applyFont="1" applyBorder="1"/>
    <xf numFmtId="0" fontId="0" fillId="0" borderId="120" xfId="0" applyFont="1" applyBorder="1"/>
    <xf numFmtId="0" fontId="0" fillId="0" borderId="121" xfId="0" applyFont="1" applyBorder="1"/>
    <xf numFmtId="0" fontId="0" fillId="0" borderId="122" xfId="0" applyFont="1" applyBorder="1"/>
    <xf numFmtId="171" fontId="0" fillId="0" borderId="122" xfId="0" applyNumberFormat="1" applyFont="1" applyBorder="1"/>
    <xf numFmtId="172" fontId="0" fillId="0" borderId="122" xfId="0" applyNumberFormat="1" applyFont="1" applyBorder="1"/>
    <xf numFmtId="172" fontId="0" fillId="0" borderId="123" xfId="0" applyNumberFormat="1" applyFont="1" applyBorder="1"/>
    <xf numFmtId="0" fontId="11" fillId="25" borderId="79" xfId="0" applyFont="1" applyFill="1" applyBorder="1" applyAlignment="1" applyProtection="1">
      <alignment horizontal="center" vertical="center"/>
    </xf>
    <xf numFmtId="0" fontId="11" fillId="25" borderId="8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8" fillId="31" borderId="0" xfId="0" applyFont="1" applyFill="1" applyBorder="1" applyAlignment="1">
      <alignment horizontal="center" wrapText="1"/>
    </xf>
    <xf numFmtId="0" fontId="6" fillId="0" borderId="0" xfId="0" applyFont="1" applyFill="1" applyAlignment="1">
      <alignment horizontal="center"/>
    </xf>
    <xf numFmtId="0" fontId="0" fillId="0" borderId="0" xfId="0" applyFill="1" applyAlignment="1">
      <alignment horizontal="center"/>
    </xf>
    <xf numFmtId="0" fontId="8" fillId="0" borderId="13" xfId="0" applyFont="1" applyBorder="1" applyAlignment="1">
      <alignment horizontal="left"/>
    </xf>
    <xf numFmtId="0" fontId="6" fillId="0" borderId="79" xfId="49" applyBorder="1" applyAlignment="1">
      <alignment horizontal="center"/>
    </xf>
    <xf numFmtId="0" fontId="6" fillId="0" borderId="68" xfId="49" applyBorder="1" applyAlignment="1">
      <alignment horizontal="center"/>
    </xf>
    <xf numFmtId="0" fontId="6" fillId="30" borderId="79" xfId="49" applyFill="1" applyBorder="1" applyAlignment="1">
      <alignment horizontal="center"/>
    </xf>
    <xf numFmtId="0" fontId="6" fillId="30" borderId="80" xfId="49" applyFill="1" applyBorder="1" applyAlignment="1">
      <alignment horizontal="center"/>
    </xf>
    <xf numFmtId="0" fontId="6" fillId="30" borderId="68" xfId="49" applyFill="1" applyBorder="1" applyAlignment="1">
      <alignment horizontal="center"/>
    </xf>
    <xf numFmtId="0" fontId="8" fillId="0" borderId="72" xfId="49" applyFont="1" applyBorder="1" applyAlignment="1">
      <alignment horizontal="center" wrapText="1"/>
    </xf>
    <xf numFmtId="0" fontId="8" fillId="0" borderId="72" xfId="49" applyFont="1" applyFill="1" applyBorder="1" applyAlignment="1">
      <alignment horizontal="center" wrapText="1"/>
    </xf>
    <xf numFmtId="0" fontId="6" fillId="0" borderId="71" xfId="49" applyFill="1" applyBorder="1" applyAlignment="1">
      <alignment wrapText="1"/>
    </xf>
    <xf numFmtId="0" fontId="0" fillId="0" borderId="0" xfId="0" applyAlignment="1">
      <alignment wrapText="1"/>
    </xf>
  </cellXfs>
  <cellStyles count="90">
    <cellStyle name="20 % - Dekorfärg1" xfId="1" builtinId="30" customBuiltin="1"/>
    <cellStyle name="20 % - Dekorfärg2" xfId="2" builtinId="34" customBuiltin="1"/>
    <cellStyle name="20 % - Dekorfärg3" xfId="3" builtinId="38" customBuiltin="1"/>
    <cellStyle name="20 % - Dekorfärg4" xfId="4" builtinId="42" customBuiltin="1"/>
    <cellStyle name="20 % - Dekorfärg5" xfId="5" builtinId="46" customBuiltin="1"/>
    <cellStyle name="20 % - Dekorfärg6" xfId="6" builtinId="50" customBuiltin="1"/>
    <cellStyle name="40 % - Dekorfärg1" xfId="7" builtinId="31" customBuiltin="1"/>
    <cellStyle name="40 % - Dekorfärg2" xfId="8" builtinId="35" customBuiltin="1"/>
    <cellStyle name="40 % - Dekorfärg3" xfId="9" builtinId="39" customBuiltin="1"/>
    <cellStyle name="40 % - Dekorfärg4" xfId="10" builtinId="43" customBuiltin="1"/>
    <cellStyle name="40 % - Dekorfärg5" xfId="11" builtinId="47" customBuiltin="1"/>
    <cellStyle name="40 % - Dekorfärg6" xfId="12" builtinId="51" customBuiltin="1"/>
    <cellStyle name="60 % - Dekorfärg1" xfId="13" builtinId="32" customBuiltin="1"/>
    <cellStyle name="60 % - Dekorfärg2" xfId="14" builtinId="36" customBuiltin="1"/>
    <cellStyle name="60 % - Dekorfärg3" xfId="15" builtinId="40" customBuiltin="1"/>
    <cellStyle name="60 % - Dekorfärg4" xfId="16" builtinId="44" customBuiltin="1"/>
    <cellStyle name="60 % - Dekorfärg5" xfId="17" builtinId="48" customBuiltin="1"/>
    <cellStyle name="60 % - Dekorfärg6" xfId="18" builtinId="52" customBuiltin="1"/>
    <cellStyle name="Anteckning" xfId="19" builtinId="10" customBuiltin="1"/>
    <cellStyle name="Beräkning" xfId="20" builtinId="22" customBuiltin="1"/>
    <cellStyle name="Bra" xfId="21" builtinId="26" customBuiltin="1"/>
    <cellStyle name="Dekorfärg1" xfId="23" builtinId="29" customBuiltin="1"/>
    <cellStyle name="Dekorfärg2" xfId="24" builtinId="33" customBuiltin="1"/>
    <cellStyle name="Dekorfärg3" xfId="25" builtinId="37" customBuiltin="1"/>
    <cellStyle name="Dekorfärg4" xfId="26" builtinId="41" customBuiltin="1"/>
    <cellStyle name="Dekorfärg5" xfId="27" builtinId="45" customBuiltin="1"/>
    <cellStyle name="Dekorfärg6" xfId="28" builtinId="49" customBuiltin="1"/>
    <cellStyle name="Dålig" xfId="22" builtinId="27" customBuilti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rklarande text" xfId="29" builtinId="53" customBuiltin="1"/>
    <cellStyle name="Hyperlänk" xfId="48" builtinId="8"/>
    <cellStyle name="Indata" xfId="30" builtinId="20" customBuiltin="1"/>
    <cellStyle name="Kontrollcell" xfId="31" builtinId="23" customBuiltin="1"/>
    <cellStyle name="Länkad cell" xfId="32" builtinId="24" customBuiltin="1"/>
    <cellStyle name="Neutral" xfId="33" builtinId="28" customBuiltin="1"/>
    <cellStyle name="Normal" xfId="0" builtinId="0"/>
    <cellStyle name="Normal 2" xfId="34"/>
    <cellStyle name="Normal 3" xfId="49"/>
    <cellStyle name="Normal 4" xfId="35"/>
    <cellStyle name="Normal 5" xfId="86"/>
    <cellStyle name="Normal 6" xfId="88"/>
    <cellStyle name="Normal 7" xfId="89"/>
    <cellStyle name="Normal_Material" xfId="36"/>
    <cellStyle name="Normal_Test på estetiska" xfId="37"/>
    <cellStyle name="Procent" xfId="38" builtinId="5"/>
    <cellStyle name="Procent 2" xfId="39"/>
    <cellStyle name="Rubrik" xfId="40" builtinId="15" customBuiltin="1"/>
    <cellStyle name="Rubrik 1" xfId="41" builtinId="16" customBuiltin="1"/>
    <cellStyle name="Rubrik 2" xfId="42" builtinId="17" customBuiltin="1"/>
    <cellStyle name="Rubrik 3" xfId="43" builtinId="18" customBuiltin="1"/>
    <cellStyle name="Rubrik 4" xfId="44" builtinId="19" customBuiltin="1"/>
    <cellStyle name="Summa" xfId="45" builtinId="25" customBuiltin="1"/>
    <cellStyle name="Tusental" xfId="85" builtinId="3"/>
    <cellStyle name="Utdata" xfId="46" builtinId="21" customBuiltin="1"/>
    <cellStyle name="Valuta" xfId="87" builtinId="4"/>
    <cellStyle name="Varningstext" xfId="47" builtinId="11" customBuiltin="1"/>
  </cellStyles>
  <dxfs count="76">
    <dxf>
      <fill>
        <patternFill patternType="solid">
          <fgColor rgb="FFCCFFCC"/>
          <bgColor rgb="FF000000"/>
        </patternFill>
      </fill>
    </dxf>
    <dxf>
      <alignment wrapText="1" readingOrder="0"/>
    </dxf>
    <dxf>
      <numFmt numFmtId="3" formatCode="#,##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1" formatCode="#,##0,&quot; tkr&quot;;[Red]\-#,##0,&quot; tkr&quot;"/>
    </dxf>
    <dxf>
      <numFmt numFmtId="171" formatCode="#,##0,&quot; tkr&quot;;[Red]\-#,##0,&quot; tkr&quot;"/>
    </dxf>
    <dxf>
      <numFmt numFmtId="171" formatCode="#,##0,&quot; tkr&quot;;[Red]\-#,##0,&quot; tkr&quot;"/>
    </dxf>
    <dxf>
      <numFmt numFmtId="172" formatCode="#,##0.0_ ;[Red]\-#,##0.0\ "/>
    </dxf>
    <dxf>
      <numFmt numFmtId="172" formatCode="#,##0.0_ ;[Red]\-#,##0.0\ "/>
    </dxf>
    <dxf>
      <numFmt numFmtId="171" formatCode="#,##0,&quot; tkr&quot;;[Red]\-#,##0,&quot; tkr&quot;"/>
    </dxf>
    <dxf>
      <alignment wrapText="1" readingOrder="0"/>
    </dxf>
    <dxf>
      <alignment wrapText="1" readingOrder="0"/>
    </dxf>
    <dxf>
      <alignment wrapText="1" readingOrder="0"/>
    </dxf>
    <dxf>
      <alignment wrapText="1" readingOrder="0"/>
    </dxf>
    <dxf>
      <alignment wrapText="1" readingOrder="0"/>
    </dxf>
    <dxf>
      <font>
        <b val="0"/>
      </font>
    </dxf>
    <dxf>
      <border>
        <left style="thin">
          <color indexed="64"/>
        </left>
        <right style="thin">
          <color indexed="64"/>
        </right>
        <top style="thin">
          <color indexed="64"/>
        </top>
        <bottom style="thin">
          <color indexed="64"/>
        </bottom>
      </border>
    </dxf>
    <dxf>
      <numFmt numFmtId="165" formatCode="#,##0.0"/>
    </dxf>
    <dxf>
      <numFmt numFmtId="165" formatCode="#,##0.0"/>
    </dxf>
    <dxf>
      <alignment wrapText="1" readingOrder="0"/>
    </dxf>
    <dxf>
      <numFmt numFmtId="171" formatCode="#,##0,&quot; tkr&quot;;[Red]\-#,##0,&quot; tkr&quot;"/>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numFmt numFmtId="171" formatCode="#,##0,&quot; tkr&quot;;[Red]\-#,##0,&quot; tkr&quot;"/>
    </dxf>
    <dxf>
      <font>
        <b/>
      </font>
    </dxf>
    <dxf>
      <font>
        <b/>
      </font>
    </dxf>
    <dxf>
      <font>
        <b/>
      </font>
    </dxf>
    <dxf>
      <font>
        <b/>
      </font>
    </dxf>
    <dxf>
      <font>
        <b/>
      </font>
    </dxf>
    <dxf>
      <font>
        <b/>
      </font>
    </dxf>
    <dxf>
      <font>
        <b/>
      </font>
    </dxf>
    <dxf>
      <font>
        <b/>
      </font>
    </dxf>
    <dxf>
      <alignment wrapText="1" readingOrder="0"/>
    </dxf>
    <dxf>
      <alignment wrapText="1" readingOrder="0"/>
    </dxf>
    <dxf>
      <alignment wrapText="1" readingOrder="0"/>
    </dxf>
    <dxf>
      <alignment wrapText="1" readingOrder="0"/>
    </dxf>
    <dxf>
      <numFmt numFmtId="171" formatCode="#,##0,&quot; tkr&quot;;[Red]\-#,##0,&quot; tkr&quot;"/>
    </dxf>
    <dxf>
      <numFmt numFmtId="171" formatCode="#,##0,&quot; tkr&quot;;[Red]\-#,##0,&quot; tkr&quot;"/>
    </dxf>
    <dxf>
      <numFmt numFmtId="3" formatCode="#,##0"/>
    </dxf>
    <dxf>
      <numFmt numFmtId="171" formatCode="#,##0,&quot; tkr&quot;;[Red]\-#,##0,&quot; tkr&quot;"/>
    </dxf>
  </dxfs>
  <tableStyles count="0" defaultTableStyle="TableStyleMedium9" defaultPivotStyle="PivotStyleLight16"/>
  <colors>
    <mruColors>
      <color rgb="FFFFFFCC"/>
      <color rgb="FFCCFFFF"/>
      <color rgb="FFCCFFCC"/>
      <color rgb="FF99FFCC"/>
      <color rgb="FFFFD653"/>
      <color rgb="FFFC8E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1.xml"/><Relationship Id="rId30" Type="http://schemas.openxmlformats.org/officeDocument/2006/relationships/pivotCacheDefinition" Target="pivotCache/pivotCacheDefinition4.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1847850</xdr:colOff>
      <xdr:row>320</xdr:row>
      <xdr:rowOff>66674</xdr:rowOff>
    </xdr:from>
    <xdr:to>
      <xdr:col>15</xdr:col>
      <xdr:colOff>85725</xdr:colOff>
      <xdr:row>323</xdr:row>
      <xdr:rowOff>114299</xdr:rowOff>
    </xdr:to>
    <xdr:sp macro="" textlink="">
      <xdr:nvSpPr>
        <xdr:cNvPr id="3" name="textruta 2"/>
        <xdr:cNvSpPr txBox="1"/>
      </xdr:nvSpPr>
      <xdr:spPr>
        <a:xfrm rot="20067383">
          <a:off x="2790825" y="59921774"/>
          <a:ext cx="7372350"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sv-SE" sz="1600"/>
            <a:t>UPPDATERAS!</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Agnetha Simm" refreshedDate="43776.521670138885" createdVersion="5" refreshedVersion="6" minRefreshableVersion="3" recordCount="107">
  <cacheSource type="worksheet">
    <worksheetSource ref="A1:T118" sheet="underlag medverkande 2"/>
  </cacheSource>
  <cacheFields count="20">
    <cacheField name="Kurskod NyA" numFmtId="0">
      <sharedItems containsBlank="1" count="123">
        <s v="6ES072"/>
        <s v="6ES094"/>
        <s v="6HI035"/>
        <s v="6ID017"/>
        <s v="6ID018"/>
        <s v="6ID314"/>
        <s v="6KG004"/>
        <s v="6KG006"/>
        <s v="6LI013"/>
        <s v="6LU002"/>
        <s v="6LU003"/>
        <s v="6LU005"/>
        <s v="6LU006"/>
        <s v="6LU007"/>
        <s v="6LÄ046"/>
        <s v="6LÄ048"/>
        <s v="6LÄ055"/>
        <s v="6LÄ058"/>
        <s v="6MN041"/>
        <s v="6MN043"/>
        <s v="6MN044"/>
        <s v="6MN045"/>
        <s v="6NO043"/>
        <s v="6PE111"/>
        <s v="6PE129"/>
        <s v="6PE135"/>
        <s v="6PE136"/>
        <s v="6PE183"/>
        <s v="6PE185"/>
        <s v="6PE187"/>
        <s v="6PE202"/>
        <s v="6PE209"/>
        <s v="6PE216"/>
        <s v="6PE218"/>
        <s v="6PE219"/>
        <s v="6PE220"/>
        <s v="6PE221"/>
        <s v="6PE222"/>
        <s v="6PE223"/>
        <s v="6PE224"/>
        <s v="6PE225"/>
        <s v="6PE226"/>
        <s v="6PE227"/>
        <s v="6PE228"/>
        <s v="6PE236"/>
        <s v="6PE237"/>
        <s v="6PE238"/>
        <s v="6PE256"/>
        <s v="6PE257"/>
        <s v="6PE258"/>
        <s v="6PE260"/>
        <s v="6PE261"/>
        <s v="6PE262"/>
        <s v="6PE264"/>
        <s v="6PE265"/>
        <s v="6PE266"/>
        <s v="6PE268"/>
        <s v="6PE279"/>
        <s v="6PE302"/>
        <s v="6SD002"/>
        <s v="6SH009"/>
        <s v="6SH010"/>
        <s v="6SH011"/>
        <s v="6SH014"/>
        <s v="6SP050"/>
        <s v="6SP051"/>
        <s v="6SP052"/>
        <s v="6SP053"/>
        <s v="6SV020"/>
        <s v="6SV027"/>
        <s v="6SV028"/>
        <s v="6SY035"/>
        <s v="6SY038"/>
        <m/>
        <s v="6PE148" u="1"/>
        <s v="6PE303c" u="1"/>
        <s v="6PE303d" u="1"/>
        <s v="6MN028" u="1"/>
        <s v="6PE303e" u="1"/>
        <s v="6PE110" u="1"/>
        <s v="6PE196" u="1"/>
        <s v="6PE303f" u="1"/>
        <s v="6PE170" u="1"/>
        <s v="6PE303" u="1"/>
        <s v="6PE096" u="1"/>
        <s v="6PE215" u="1"/>
        <s v="6PE114" u="1"/>
        <s v="6PE098" u="1"/>
        <s v="6PE115" u="1"/>
        <s v="6PE099" u="1"/>
        <s v="6HI015" u="1"/>
        <s v="6PE103" u="1"/>
        <s v="6PE189" u="1"/>
        <s v="6PE104" u="1"/>
        <s v="6LÄ045" u="1"/>
        <s v="6SY027" u="1"/>
        <s v="6ID303" u="1"/>
        <s v="6MN042" u="1"/>
        <s v="6LÄ047" u="1"/>
        <s v="6PE151" u="1"/>
        <s v="6PE107" u="1"/>
        <s v="6GExx1" u="1"/>
        <s v="6PE152" u="1"/>
        <s v="6LI005" u="1"/>
        <s v="6PE108" u="1"/>
        <s v="6PE153" u="1"/>
        <s v="6SP040" u="1"/>
        <s v="6PE109" u="1"/>
        <s v="6PE154" u="1"/>
        <s v="6GExx4" u="1"/>
        <s v="6PE169" u="1"/>
        <s v="6PE143" u="1"/>
        <s v="6PE130" u="1"/>
        <s v="6PE144" u="1"/>
        <s v="6PE158" u="1"/>
        <s v="6PE131" u="1"/>
        <s v="6PE145" u="1"/>
        <s v="6PE159" u="1"/>
        <s v="6KG002" u="1"/>
        <s v="6GExx9" u="1"/>
        <s v="6PE303b" u="1"/>
        <s v="6PE147" u="1"/>
        <s v="6MN025" u="1"/>
      </sharedItems>
    </cacheField>
    <cacheField name="Benämning" numFmtId="0">
      <sharedItems containsBlank="1" count="116">
        <s v="Skapande lek i förskolan 1"/>
        <s v="Skapande och lek för förskolan 2"/>
        <s v="Historia 3"/>
        <s v="Idrott och hälsa 1"/>
        <s v="Idrott och hälsa 3"/>
        <s v="Idrott och hälsa II för gymnasieskolan"/>
        <s v="Introduktion till geografi"/>
        <s v="Kartor och GIS"/>
        <s v="Specialpedagogik med fokus på svenska och matematik för F-3"/>
        <s v="Demokrati, individ och samhälle"/>
        <s v="Kunskap, undervisning och lärande I"/>
        <s v="Samhällsorientering åk 4-6"/>
        <s v="Kunskap, vetenskap och forskningsmetodik, 7,5 hp"/>
        <s v="Etik, demokrati och det heterogena klassrummet, 7,5 hp"/>
        <s v="Att undervisa i åk 4-6"/>
        <s v="Att undervisa i F-3"/>
        <s v="Språk, kommunikation och språkutveckling i förskolans verksamhet"/>
        <s v="Kommunikation och språkutveckling för fritidshem"/>
        <s v="Matematik 4 för förskoleklass och grundskolans årskurs 1-3"/>
        <s v="Matematik 3 för grundskolans årskurs 4-6"/>
        <s v="Matematik 4 för grundskolans årskurs 4-6"/>
        <s v="Matematik för förskolan"/>
        <s v="Naturvetenskap och teknik i förskolan"/>
        <s v="Grupprocesser och samverkan ur ett fritidshemsperspektiv"/>
        <s v="Kunskap, undervisning och lärande för yrkeslärare II"/>
        <s v="Ämnesdidaktik för yrkeslärare"/>
        <s v="Profession och vetenskap för yrkeslärare"/>
        <s v="Förskollärare som profession"/>
        <s v="Ämneslärare som profession"/>
        <s v="Lärande och undervisning"/>
        <s v="Barns lärande och omsorg"/>
        <s v="Verksamhetsförlagd utbildning för yrkeslärare (VFU)"/>
        <s v="Bedömning (UK)"/>
        <s v="Utbildningens villkor och samhälleliga funktion (UK)"/>
        <s v="Den professionella läraren 1: Barns utveckling, specialpedagogik, sociala relationer och kommunikation (UK)"/>
        <s v="Utbildningsvetenskap, undervisning och lärande för förskolan (UK)"/>
        <s v="Specialpedagogik för förskolan (UK)"/>
        <s v="Specialpedagogik för grundskolan (UK)"/>
        <s v="Specialpedagogik - åk 7-9 och gymnasieskolan (UK)"/>
        <s v="Utbildningsvetenskap, undervisning och lärande för grundskolan - fritidshem (UK)"/>
        <s v="Utbildningsvetenskap, undervisning och lärande för grundskolan (UK)"/>
        <s v="Utbildningsvetenskap, undervisning och lärande - Ämneslärarprogrammet (UK)"/>
        <s v="Den professionella läraren 2: Uppdrag, ledarskap och undervisning (UK)"/>
        <s v="Barnet, omvärlden och fritidshemmets uppdrag"/>
        <s v="Bedömning för och av lärande i grundskolan (UK)"/>
        <s v="Bedömning för lärande i förskolan (UK)"/>
        <s v="Bedömning för och av lärande för åk 7-9 och gymnasium (UK)"/>
        <s v="Kunskap, undervisning och lärande 2"/>
        <s v="Läraryrkets dimensioner för förskoleklass och grundskolans årskurs 1-3 (VFU)"/>
        <s v="Läraryrkets dimensioner för grundskolans årskurs 4-6 (VFU)"/>
        <s v="Samhällsorientering för förskolan"/>
        <s v="Profession och vetenskap för förskolan (UK)"/>
        <s v="Profession och vetenskap för fritidshem (UK)"/>
        <s v="Grundlärare som profession (UK)"/>
        <s v="Profession och vetenskap för åk 4-6 (UK III)"/>
        <s v="Profession och vetenskap för F-3 (UK III)"/>
        <s v="Att vara grundlärare (VFU)"/>
        <s v="Språk och matematik i ett specialpedagogiskt perspektiv"/>
        <s v="Pedagogiskt ledarskap, sociala relationer och konflikthantering"/>
        <s v="Examensarbete i svenska för ämneslärarexamen"/>
        <s v="Samhällskunskap 1"/>
        <s v="Samhällskunskap 2"/>
        <s v="Samhällskunskap 3"/>
        <s v="Profession och vetenskap"/>
        <s v="Introduktion till det specialpedagogiska fältet"/>
        <s v="Neuropsykiatriska svårigheter i olika lärmiljöer"/>
        <s v="Speciallärarens och specialpedagogens yrkesfunktion"/>
        <s v="Utvärdering, ledarskap och förändringsarbete"/>
        <s v="Svenska I för ämneslärare"/>
        <s v="Svenska II för ämneslärare"/>
        <s v="Svenska III för ämneslärare"/>
        <s v="Samhällsvetenskap"/>
        <s v="Beteendevetenskapliga grunder"/>
        <m/>
        <s v="Kunskap, undervisning och lärande II (7-9)(Gy), Mom 2 (Ma), 3 hp" u="1"/>
        <s v="Utbildningens villkor och samhälleliga funktion" u="1"/>
        <s v="Vetenskapliga metoder i geografi" u="1"/>
        <s v="Ämnesdidaktik i skolpraktiken, del 1" u="1"/>
        <s v="Kunskap, undervisning och lärande II (7-9)(Gy), Mom 2 (Bild+Mu+Slöjd), 3 hp" u="1"/>
        <s v="Bedömning för lärande för förskolan 1 (UK)" u="1"/>
        <s v="Kunskap, undervisning och lärande II (7-9)(Gy), Mom 2 (Hi+Re), 3 hp" u="1"/>
        <s v="Historia III forts." u="1"/>
        <s v="Matematik för åk 4-6, kurs 4" u="1"/>
        <s v="Lärande, lek och utveckling i förskolan II" u="1"/>
        <s v="Vetenskap och kunskap" u="1"/>
        <s v="Lärande, lek och utveckling i förskolan I" u="1"/>
        <s v="Kunskap, undervisning och lärande II för åk 4-6" u="1"/>
        <s v="Bedömning för lärande i fritidshem (UK II)" u="1"/>
        <s v="Verksamhetsförlagd utbildning för yrkeslärare" u="1"/>
        <s v="Geografi II" u="1"/>
        <s v="Kunskap, undervisning och lärande i fritidshem II" u="1"/>
        <s v="Kunskap undervisning och lärande II" u="1"/>
        <s v="Matematik 2 för grundskolans årskurs 4-6" u="1"/>
        <s v="Kunskap, undervisning och lärande II (7-9)(Gy), Mom 2 (Hk), 3 hp" u="1"/>
        <s v="Kunskap, undervisning och lärande för förskolan (UK)" u="1"/>
        <s v="Kunskap, undervisning och lärande II (7-9)(Gy), Mom 2 (Sv+Eng), 3 hp" u="1"/>
        <s v="Den professionella läraren I: Barns och ungas utveckling, specialpedagogik, sociala relationer och kommunikation" u="1"/>
        <e v="#N/A" u="1"/>
        <s v="Idrott och hälsa III" u="1"/>
        <s v="Vetenskap och kunskap (UK)" u="1"/>
        <s v="Barnet och omvärlden" u="1"/>
        <s v="Lärande, lek och utveckling i förskolan III. Skapande och lek i förskolan I:II" u="1"/>
        <s v="Grundlärare som profession" u="1"/>
        <s v="Läraryrkets dimensioner för F-3 (VFU III)" u="1"/>
        <s v="Kunskap, undervisning och lärande II för 7-9 och gymnasiet" u="1"/>
        <s v="Kunskap undervisning och lärande II för F-3" u="1"/>
        <s v="Bedömning för lärande för åk F-3 och 4-6" u="1"/>
        <s v="Verksamhetsförlagd utbildning (KPU)" u="1"/>
        <s v="Läraryrkets dimensioner för åk 4-6 (VFU III)" u="1"/>
        <s v="Bedömning" u="1"/>
        <s v="Profession och vetenskap i fritidshem (UK III)" u="1"/>
        <s v="Matematik för åk F-3, kurs 4" u="1"/>
        <s v="Bedömning för lärande för ämneslärare för åk 7-9 och gymnasium" u="1"/>
        <s v="Den professionella läraren II: Uppdrag, ledarskap och undervisning" u="1"/>
        <s v="Examensarbete" u="1"/>
        <s v="Barns lärande och utveckling i ett fritidshemsperspektiv" u="1"/>
      </sharedItems>
    </cacheField>
    <cacheField name="Org 1" numFmtId="0">
      <sharedItems containsString="0" containsBlank="1" containsNumber="1" containsInteger="1" minValue="1620" maxValue="5740"/>
    </cacheField>
    <cacheField name="Medv namn" numFmtId="0">
      <sharedItems containsBlank="1" count="22">
        <s v="Pedagogik                     "/>
        <s v="TUV "/>
        <s v="Ekonomisk historia            "/>
        <s v="Idrottsmedicin                "/>
        <s v="Kostvetenskap                 "/>
        <s v="Epidemiologi och global hälsa"/>
        <s v="EMG"/>
        <s v="NMD"/>
        <s v="Inst för kultur- o medievetenskap"/>
        <s v="Inst för psykologi            "/>
        <s v="Statistik                     "/>
        <s v="Geografi"/>
        <s v="Inst för MA och MA statistik"/>
        <s v="Estetiska ämnen               "/>
        <s v="Juridiska institutionen       "/>
        <s v="Statsvetenskap                "/>
        <s v="Inst för språkstudier"/>
        <s v="Nationalekonomi               "/>
        <s v="Sociologi                     "/>
        <m/>
        <s v="Geografi och ekonomisk historia" u="1"/>
        <s v="Inst för ide- o samhällsstudier" u="1"/>
      </sharedItems>
    </cacheField>
    <cacheField name="Fak medv" numFmtId="0">
      <sharedItems containsBlank="1"/>
    </cacheField>
    <cacheField name="% org 1" numFmtId="0">
      <sharedItems containsString="0" containsBlank="1" containsNumber="1" minValue="0.05" maxValue="1" count="36">
        <n v="0.2"/>
        <n v="0.1"/>
        <n v="0.25"/>
        <n v="0.15"/>
        <n v="0.16666666666666666"/>
        <n v="0.5"/>
        <n v="0.05"/>
        <n v="0.13333333333333333"/>
        <n v="0.46666666666666667"/>
        <n v="0.33333333333333331"/>
        <n v="0.26666666666666666"/>
        <n v="0.4"/>
        <n v="0.125"/>
        <n v="0.41666666666666669"/>
        <n v="8.3333333333333329E-2"/>
        <n v="0.375"/>
        <n v="0.22727272727272727"/>
        <n v="9.0909090909090912E-2"/>
        <n v="0.3"/>
        <n v="0.35555555555555557"/>
        <n v="0.16"/>
        <n v="0.24000000000000002"/>
        <n v="0.18000000000000002"/>
        <n v="0.26999999999999996"/>
        <n v="0.7"/>
        <n v="0.6"/>
        <m/>
        <n v="7.4999999999999997E-2" u="1"/>
        <n v="0.2857142857142857" u="1"/>
        <n v="0.8" u="1"/>
        <n v="0.17857142857142858" u="1"/>
        <n v="0.48888888888888887" u="1"/>
        <n v="0.35" u="1"/>
        <n v="0.14285714285714285" u="1"/>
        <n v="1" u="1"/>
        <n v="9.166666666666666E-2" u="1"/>
      </sharedItems>
    </cacheField>
    <cacheField name="Ansv org" numFmtId="0">
      <sharedItems containsString="0" containsBlank="1" containsNumber="1" containsInteger="1" minValue="1620" maxValue="5740"/>
    </cacheField>
    <cacheField name="Kursansvar namn" numFmtId="0">
      <sharedItems containsBlank="1" count="12">
        <s v="Estetiska ämnen               "/>
        <s v="Inst för ide- o samhällsstudier"/>
        <s v="Pedagogik                     "/>
        <s v="Geografi"/>
        <s v="Inst för språkstudier"/>
        <s v="NMD"/>
        <s v="TUV "/>
        <s v="Statsvetenskap                "/>
        <m/>
        <s v="EMG" u="1"/>
        <s v="Geografi och ekonomisk historia" u="1"/>
        <e v="#N/A" u="1"/>
      </sharedItems>
    </cacheField>
    <cacheField name="Fak kursansvar" numFmtId="0">
      <sharedItems containsBlank="1"/>
    </cacheField>
    <cacheField name="Total HST" numFmtId="0">
      <sharedItems containsString="0" containsBlank="1" containsNumber="1" minValue="0.75" maxValue="40.931249999999999"/>
    </cacheField>
    <cacheField name="HST Medv" numFmtId="0">
      <sharedItems containsString="0" containsBlank="1" containsNumber="1" minValue="0.32500000000000001" maxValue="18.740750000000002"/>
    </cacheField>
    <cacheField name="Total HPR" numFmtId="0">
      <sharedItems containsString="0" containsBlank="1" containsNumber="1" minValue="0.63749999999999996" maxValue="34.791562499999991"/>
    </cacheField>
    <cacheField name="HPR Medv" numFmtId="0">
      <sharedItems containsString="0" containsBlank="1" containsNumber="1" minValue="0.27625000000000005" maxValue="15.929637499999997"/>
    </cacheField>
    <cacheField name="Prislapp HST" numFmtId="0">
      <sharedItems containsString="0" containsBlank="1" containsNumber="1" minValue="15846" maxValue="45034"/>
    </cacheField>
    <cacheField name="Prislapp HPR" numFmtId="0">
      <sharedItems containsString="0" containsBlank="1" containsNumber="1" minValue="15773" maxValue="34806"/>
    </cacheField>
    <cacheField name="Lokalin/hst" numFmtId="0">
      <sharedItems containsString="0" containsBlank="1" containsNumber="1" containsInteger="1" minValue="3400" maxValue="34500"/>
    </cacheField>
    <cacheField name="Kursintäkt" numFmtId="0">
      <sharedItems containsString="0" containsBlank="1" containsNumber="1" minValue="10338.916250000002" maxValue="901600.61582499999"/>
    </cacheField>
    <cacheField name="Avdrag" numFmtId="0">
      <sharedItems containsString="0" containsBlank="1" containsNumber="1" minValue="-63112.043107750003" maxValue="-723.72413750000021"/>
    </cacheField>
    <cacheField name="Kursintäkt efter avdrag" numFmtId="0">
      <sharedItems containsString="0" containsBlank="1" containsNumber="1" minValue="9615.1921125000026" maxValue="838488.57271724998"/>
    </cacheField>
    <cacheField name="Lokalintäkt" numFmtId="0">
      <sharedItems containsString="0" containsBlank="1" containsNumber="1" minValue="1885" maxValue="12937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gnetha Simm" refreshedDate="43809.542760416669" createdVersion="6" refreshedVersion="6" minRefreshableVersion="3" recordCount="480">
  <cacheSource type="worksheet">
    <worksheetSource ref="A1:BN481" sheet="kurser alla"/>
  </cacheSource>
  <cacheFields count="66">
    <cacheField name="Kurskod NyA" numFmtId="0">
      <sharedItems count="456">
        <s v="5BI137"/>
        <s v="5BI184"/>
        <s v="5BI194"/>
        <s v="5BI234"/>
        <s v="5BI235"/>
        <s v="5EL204"/>
        <s v="5FY001"/>
        <s v="5FY020"/>
        <s v="5FY040"/>
        <s v="5FY041"/>
        <s v="5FY083"/>
        <s v="5FY091"/>
        <s v="5FY127"/>
        <s v="5FY154"/>
        <s v="5FY178"/>
        <s v="5FY185"/>
        <s v="5FY205"/>
        <s v="5KE002"/>
        <s v="5KE020"/>
        <s v="5KE034"/>
        <s v="5KE038"/>
        <s v="5KE081"/>
        <s v="5KE111"/>
        <s v="5KE165"/>
        <s v="5KE177"/>
        <s v="5KE180"/>
        <s v="5MA143"/>
        <s v="5MA198"/>
        <s v="6BI009"/>
        <s v="6BI020"/>
        <s v="6BI022"/>
        <s v="6BI023"/>
        <s v="6BI101"/>
        <s v="6BI102"/>
        <s v="6DV000"/>
        <s v="6EN019"/>
        <s v="6EN035"/>
        <s v="6EN036"/>
        <s v="6EN038"/>
        <s v="6EN039"/>
        <s v="6EN040"/>
        <s v="6EN041"/>
        <s v="6EN042"/>
        <s v="6EN043"/>
        <s v="6EN044"/>
        <s v="6ES016"/>
        <s v="6ES026"/>
        <s v="6ES034"/>
        <s v="6ES037"/>
        <s v="6ES038"/>
        <s v="6ES066"/>
        <s v="6ES067"/>
        <s v="6ES068"/>
        <s v="6ES072"/>
        <s v="6ES075"/>
        <s v="6ES077"/>
        <s v="6ES080"/>
        <s v="6ES082"/>
        <s v="6ES084"/>
        <s v="6ES085"/>
        <s v="6ES087"/>
        <s v="6ES090"/>
        <s v="6ES091"/>
        <s v="6ES092"/>
        <s v="6ES093"/>
        <s v="6ES094"/>
        <s v="6ES095"/>
        <s v="6ES097"/>
        <s v="6ES099"/>
        <s v="6ES100"/>
        <s v="6ES101"/>
        <s v="6ES102"/>
        <s v="6ES103"/>
        <s v="6ES104"/>
        <s v="6ES105"/>
        <s v="6ES107"/>
        <s v="6FA008"/>
        <s v="6FA009"/>
        <s v="6FY008"/>
        <s v="6FY009"/>
        <s v="6FY011"/>
        <s v="6FY101"/>
        <s v="6FY102"/>
        <s v="6GV000"/>
        <s v="6GV001"/>
        <s v="6GV002"/>
        <s v="6GV003"/>
        <s v="6HI029"/>
        <s v="6HI031"/>
        <s v="6HI032"/>
        <s v="6HI033"/>
        <s v="6HI034"/>
        <s v="6HI035"/>
        <s v="6ID013"/>
        <s v="6ID015"/>
        <s v="6ID016"/>
        <s v="6ID017"/>
        <s v="6ID018"/>
        <s v="6ID019"/>
        <s v="6ID314"/>
        <s v="6IT023"/>
        <s v="6IT047"/>
        <s v="6KE101"/>
        <s v="6KE102"/>
        <s v="6KG003"/>
        <s v="6KG004"/>
        <s v="6KG005"/>
        <s v="6KG006"/>
        <s v="6KG007"/>
        <s v="6KG008"/>
        <s v="6KN016"/>
        <s v="6KN022"/>
        <s v="6KN023"/>
        <s v="6KN024"/>
        <s v="6KN025"/>
        <s v="6KN026"/>
        <s v="6KS000"/>
        <s v="6KS001"/>
        <s v="6LI009"/>
        <s v="6LI010"/>
        <s v="6LI011"/>
        <s v="6LI013"/>
        <s v="6LU002"/>
        <s v="6LU003"/>
        <s v="6LU005"/>
        <s v="6LU006"/>
        <s v="6LU007"/>
        <s v="6LÄ046"/>
        <s v="6LÄ048"/>
        <s v="6LÄ053"/>
        <s v="6LÄ054"/>
        <s v="6LÄ055"/>
        <s v="6LÄ058"/>
        <s v="6MA034"/>
        <s v="6MA036"/>
        <s v="6MA037"/>
        <s v="6MA038"/>
        <s v="6MA040"/>
        <s v="6MA041"/>
        <s v="6MA042"/>
        <s v="6MA043"/>
        <s v="6MA044"/>
        <s v="6MA045"/>
        <s v="6MA046"/>
        <s v="6MA047"/>
        <s v="6MA048"/>
        <s v="6MA049"/>
        <s v="6MA050"/>
        <s v="6MN036"/>
        <s v="6MN039"/>
        <s v="6MN040"/>
        <s v="6MN041"/>
        <s v="6MN042"/>
        <s v="6MN043"/>
        <s v="6MN044"/>
        <s v="6MN045"/>
        <s v="6MN047"/>
        <s v="6MN048"/>
        <s v="6MN049"/>
        <s v="6MN050"/>
        <s v="6MN051"/>
        <s v="6MS002"/>
        <s v="6MS003"/>
        <s v="6MU018"/>
        <s v="6MU020"/>
        <s v="6MU021"/>
        <s v="6MU023"/>
        <s v="6MU034"/>
        <s v="6MU052"/>
        <s v="6MU058"/>
        <s v="6MU059"/>
        <s v="6MU060"/>
        <s v="6MU061"/>
        <s v="6MU065"/>
        <s v="6NE001"/>
        <s v="6NK000"/>
        <s v="6NK036"/>
        <s v="6NK101"/>
        <s v="6NK102"/>
        <s v="6NO036"/>
        <s v="6NO039"/>
        <s v="6NO040"/>
        <s v="6NO042"/>
        <s v="6NO043"/>
        <s v="6NO044"/>
        <s v="6PE055"/>
        <s v="6PE111"/>
        <s v="6PE118"/>
        <s v="6PE129"/>
        <s v="6PE134"/>
        <s v="6PE135"/>
        <s v="6PE136"/>
        <s v="6PE138"/>
        <s v="6PE146"/>
        <s v="6PE182"/>
        <s v="6PE183"/>
        <s v="6PE184"/>
        <s v="6PE185"/>
        <s v="6PE186"/>
        <s v="6PE187"/>
        <s v="6PE192"/>
        <s v="6PE193"/>
        <s v="6PE194"/>
        <s v="6PE195"/>
        <s v="6PE198"/>
        <s v="6PE199"/>
        <s v="6PE200"/>
        <s v="6PE201"/>
        <s v="6PE202"/>
        <s v="6PE203"/>
        <s v="6PE205"/>
        <s v="6PE206"/>
        <s v="6PE207"/>
        <s v="6PE208"/>
        <s v="6PE209"/>
        <s v="6PE212"/>
        <s v="6PE213"/>
        <s v="6PE214"/>
        <s v="6PE216"/>
        <s v="6PE218"/>
        <s v="6PE219"/>
        <s v="6PE220"/>
        <s v="6PE221"/>
        <s v="6PE222"/>
        <s v="6PE223"/>
        <s v="6PE224"/>
        <s v="6PE225"/>
        <s v="6PE226"/>
        <s v="6PE227"/>
        <s v="6PE228"/>
        <s v="6PE229"/>
        <s v="6PE234"/>
        <s v="6PE235"/>
        <s v="6PE236"/>
        <s v="6PE237"/>
        <s v="6PE238"/>
        <s v="6PE241"/>
        <s v="6PE242"/>
        <s v="6PE243"/>
        <s v="6PE244"/>
        <s v="6PE245"/>
        <s v="6PE246"/>
        <s v="6PE249"/>
        <s v="6PE250"/>
        <s v="6PE251"/>
        <s v="6PE252"/>
        <s v="6PE253"/>
        <s v="6PE254"/>
        <s v="6PE255"/>
        <s v="6PE256"/>
        <s v="6PE257"/>
        <s v="6PE258"/>
        <s v="6PE259"/>
        <s v="6PE260"/>
        <s v="6PE261"/>
        <s v="6PE262"/>
        <s v="6PE264"/>
        <s v="6PE265"/>
        <s v="6PE266"/>
        <s v="6PE267"/>
        <s v="6PE268"/>
        <s v="6PE269"/>
        <s v="6PE271"/>
        <s v="6PE272"/>
        <s v="6PE273"/>
        <s v="6PE274"/>
        <s v="6PE275"/>
        <s v="6PE276"/>
        <s v="6PE277"/>
        <s v="6PE279"/>
        <s v="6PE280"/>
        <s v="6PE302"/>
        <s v="6RV011"/>
        <s v="6RV018"/>
        <s v="6RV019"/>
        <s v="6RV020"/>
        <s v="6RV021"/>
        <s v="6RV022"/>
        <s v="6RV023"/>
        <s v="6SA008"/>
        <s v="6SA011"/>
        <s v="6SA013"/>
        <s v="6SA014"/>
        <s v="6SD002"/>
        <s v="6SD003"/>
        <s v="6SD005"/>
        <s v="6SD007"/>
        <s v="6SD008"/>
        <s v="6SD010"/>
        <s v="6SD011"/>
        <s v="6SD012"/>
        <s v="6SH009"/>
        <s v="6SH010"/>
        <s v="6SH011"/>
        <s v="6SH013"/>
        <s v="6SH014"/>
        <s v="6SL021"/>
        <s v="6SL022"/>
        <s v="6SL035"/>
        <s v="6SL036"/>
        <s v="6SL038"/>
        <s v="6SP050"/>
        <s v="6SP051"/>
        <s v="6SP052"/>
        <s v="6SP053"/>
        <s v="6SP054"/>
        <s v="6SP055"/>
        <s v="6SP056"/>
        <s v="6SP057"/>
        <s v="6SP058"/>
        <s v="6SP059"/>
        <s v="6SP060"/>
        <s v="6ST000"/>
        <s v="6ST001"/>
        <s v="6ST021"/>
        <s v="6ST023"/>
        <s v="6SV020"/>
        <s v="6SV021"/>
        <s v="6SV022"/>
        <s v="6SV023"/>
        <s v="6SV024"/>
        <s v="6SV025"/>
        <s v="6SV026"/>
        <s v="6SV027"/>
        <s v="6SV028"/>
        <s v="6SV058"/>
        <s v="6SV060"/>
        <s v="6SV061"/>
        <s v="6SV062"/>
        <s v="6SV063"/>
        <s v="6SV064"/>
        <s v="6SV065"/>
        <s v="6SV066"/>
        <s v="6SV067"/>
        <s v="6SV068"/>
        <s v="6SV069"/>
        <s v="6SV070"/>
        <s v="6SV072"/>
        <s v="6SV073"/>
        <s v="6SV074"/>
        <s v="6SY003"/>
        <s v="6SY013"/>
        <s v="6SY016"/>
        <s v="6SY018"/>
        <s v="6SY028"/>
        <s v="6SY029"/>
        <s v="6SY030"/>
        <s v="6SY031"/>
        <s v="6SY032"/>
        <s v="6SY033"/>
        <s v="6SY034"/>
        <s v="6SY035"/>
        <s v="6SY036"/>
        <s v="6SY037"/>
        <s v="6SY038"/>
        <s v="6TX016"/>
        <s v="6TX017"/>
        <s v="6TX020"/>
        <s v="6TX023"/>
        <s v="6TX025"/>
        <s v="6TX026"/>
        <s v="6TX027"/>
        <s v="6TX028"/>
        <s v="6TX029"/>
        <s v="6TX030"/>
        <s v="6TX031"/>
        <s v="6TX033"/>
        <s v="6TX035"/>
        <s v="6TY014"/>
        <s v="6TY020"/>
        <s v="6TY021"/>
        <s v="6ÖÄ003"/>
        <s v="6MU048" u="1"/>
        <s v="6ES071" u="1"/>
        <s v="6TY013" u="1"/>
        <s v="6FRIEST3" u="1"/>
        <s v="6FRIPED2" u="1"/>
        <s v="6SOMSpråk1" u="1"/>
        <s v="6MU022" u="1"/>
        <s v="6NO041" u="1"/>
        <s v="6ES086" u="1"/>
        <s v="6FRITUV2" u="1"/>
        <s v="6KN015" u="1"/>
        <s v="6SD004" u="1"/>
        <s v="6BI100" u="1"/>
        <s v="6PE239" u="1"/>
        <s v="6SOMSpråk2" u="1"/>
        <s v="6TX003" u="1"/>
        <s v="6HI023" u="1"/>
        <s v="6SOMKostv1" u="1"/>
        <s v="2ID004" u="1"/>
        <s v="6ES089" u="1"/>
        <s v="6TX018" u="1"/>
        <s v="6NO031" u="1"/>
        <s v="6FRIEST2" u="1"/>
        <s v="6FRIPED1" u="1"/>
        <s v="6SOMSpråk3" u="1"/>
        <s v="6ES076" u="1"/>
        <s v="6KG009" u="1"/>
        <s v="6FA004" u="1"/>
        <s v="5KE011" u="1"/>
        <s v="6GEund" u="1"/>
        <s v="5MS042" u="1"/>
        <s v="6FA005" u="1"/>
        <s v="6FRITUV1" u="1"/>
        <s v="5FY129" u="1"/>
        <s v="6ES051" u="1"/>
        <s v="6FA006" u="1"/>
        <s v="6ES079" u="1"/>
        <s v="6HI014" u="1"/>
        <s v="6ES052" u="1"/>
        <s v="6PE263" u="1"/>
        <s v="6FRIEST1" u="1"/>
        <s v="5MA164" u="1"/>
        <s v="6NO023" u="1"/>
        <s v="6PE278" u="1"/>
        <s v="6SM007" u="1"/>
        <s v="6ES069" u="1"/>
        <s v="6MU019" u="1"/>
        <s v="6MU050" u="1"/>
        <s v="6SOMPed1" u="1"/>
        <s v="2IT029" u="1"/>
        <s v="6PE240" u="1"/>
        <s v="6PE107" u="1"/>
        <s v="5FY140" u="1"/>
        <s v="5DV157" u="1"/>
        <s v="6TX032" u="1"/>
        <s v="6FY100" u="1"/>
        <s v="6TE004" u="1"/>
        <s v="5FY155" u="1"/>
        <s v="6KE100" u="1"/>
        <s v="6SL030" u="1"/>
        <s v="6PE230" u="1"/>
        <s v="6TX021" u="1"/>
        <s v="6FRISPRÅK1" u="1"/>
        <s v="6PE231" u="1"/>
        <s v="6SA012" u="1"/>
        <s v="6MA029" u="1"/>
        <s v="6PE232" u="1"/>
        <s v="6MU044" u="1"/>
        <s v="6FRISPRÅK2" u="1"/>
        <s v="6EX30" u="1"/>
        <s v="6PE233" u="1"/>
        <s v="6TY023" u="1"/>
        <s v="6RV000" u="1"/>
        <s v="6FRISPRÅK3" u="1"/>
        <s v="5MA121" u="1"/>
        <s v="6KN011" u="1"/>
        <s v="6MU033" u="1"/>
        <s v="6KE004" u="1"/>
        <s v="6MU047" u="1"/>
        <s v="6RV001" u="1"/>
        <s v="6SV057" u="1"/>
        <s v="6ES070" u="1"/>
        <s v="6TY012" u="1"/>
        <s v="6SL037" u="1"/>
      </sharedItems>
    </cacheField>
    <cacheField name="Benämn" numFmtId="0">
      <sharedItems count="426">
        <s v="Fysiologi och cellbiologi"/>
        <s v="Naturens mångfald"/>
        <s v="Genetik och evolution"/>
        <s v="Ekologi"/>
        <s v="Ekologi A"/>
        <s v="Analog kretsteknik"/>
        <s v="Analytisk mekanik, 6 hp"/>
        <s v="Fasta tillståndets fysik C, 7,5 hp"/>
        <s v="Klassisk mekanik A"/>
        <s v="Termodynamik B"/>
        <s v="Vågfysik och optik B"/>
        <s v="Elektromagnetismens grunder"/>
        <s v="Fördjupning i termodynamik"/>
        <s v="Avancerade material, 7,5 hp"/>
        <s v="Solceller, 7,5 hp"/>
        <s v="Modern fysik"/>
        <s v="Akvatisk kemi"/>
        <s v="Biokemi 15 hp"/>
        <s v="Biofysikalisk kemi: Termodynamik"/>
        <s v="Biofysikalisk kemi: Spektroskopi"/>
        <s v="Analytisk kemi"/>
        <s v="Biologisk kemi"/>
        <s v="Kemins grunder"/>
        <s v="Avancerad miljökemi"/>
        <s v="Organisk kemi"/>
        <s v="Introduktion till diskret matematik"/>
        <s v="Envariabelanalys 2"/>
        <s v="Examensarbete för ämneslärarexamen - Biologi"/>
        <s v="Läraryrkets dimensioner - ingångsämne biologi (VFU)"/>
        <s v="Naturens mångfald för naturkunskapslärare"/>
        <s v="Artkunskap och systematik för biologilärare"/>
        <s v="Biologididaktik 1 för ämneslärare för gymnasium"/>
        <s v="Biologididaktik 2 för ämneslärare för gymnasium"/>
        <s v="Programmeringsteknik med C och Matlab"/>
        <s v="Engelska I för ämneslärare med inriktning mot gymnasiet"/>
        <s v="Engelska 3 för ämneslärare med inriktning mot gymnasiet"/>
        <s v="Engelska 2 för ämneslärare med inriktning mot gymnasiet"/>
        <s v="Att undervisa i engelska (VFU)"/>
        <s v="Engelska för F-3, kurs 1"/>
        <s v="Engelska för åk 4-6, kurs 1"/>
        <s v="Engelska för F-3, kurs 2"/>
        <s v="Engelska för åk 4-6, kurs 2"/>
        <s v="Engelska för åk 4-6, kurs 3"/>
        <s v="Kommunikativ kompetens i engelska för grundlärare"/>
        <s v="Forskning och utvecklingsarbete"/>
        <s v="Skapande bild, distans"/>
        <s v="Bild 3"/>
        <s v="Läraryrkets dimensioner (Estetiska ämnen)"/>
        <s v="Examensarbete - estetiska ämnen"/>
        <s v="Ämnesdidaktik i skolpraktiken, del 1"/>
        <s v="Ämnesdidaktik i skolpraktiken, del 2"/>
        <s v="Examensarbete med ämnesdidaktisk inriktning"/>
        <s v="Skapande lek i förskolan 1"/>
        <s v="Praktiskt estetiskt ämne - Bild 1"/>
        <s v="Praktiskt estetiskt ämne - Bild 2"/>
        <s v="Läraryrkets dimensioner för fritidshem 2 (VFU)"/>
        <s v="Bild 1, distans"/>
        <s v="Undervisning och lärande 2"/>
        <s v="Bild 3, fristående"/>
        <s v="Vetenskaplig teori och metod 1"/>
        <s v="Bild 2a, distans"/>
        <s v="Bild 2b, distans"/>
        <s v="Bild 2a"/>
        <s v="Bild 2b"/>
        <s v="Skapande och lek för förskolan 2"/>
        <s v="Att undervisa i musik"/>
        <s v="Att undervisa i slöjd - textil"/>
        <s v="Magisteruppsats i pedagogisk yrkesverksamhet"/>
        <s v="Bild 1"/>
        <s v="Bild 1, fristående "/>
        <s v="Vetenskaplig teori och metod 2"/>
        <s v="Bild fördjupning 3"/>
        <s v="Bild fördjupning 3, fristående"/>
        <s v="Franska för ämneslärare, kurs 1"/>
        <s v="Franska för ämneslärare, kurs 2"/>
        <s v="Examensarbete för ämneslärarexamen - Fysik"/>
        <s v="Astronomi och meteorologi"/>
        <s v="Matematiska metoder i fysik"/>
        <s v="Fysikdidaktik 1 för ämneslärare för gymnasium"/>
        <s v="Fysikdidaktik 2 för ämneslärare för gymnasium"/>
        <s v="Processer i naturen"/>
        <s v="Klimatförändringar"/>
        <s v="Vetenskapliga metoder i geografi"/>
        <s v="Examensarbete för ämneslärarexamen - historia"/>
        <s v="Läraryrkets dimensioner"/>
        <s v="Att undervisa i historia (VFU)"/>
        <s v="Historia 2"/>
        <s v="Historia 1"/>
        <s v="Historia 3"/>
        <s v="Examensarbete i Idrott och hälsa för ämneslärarexamen"/>
        <s v="Praktiskt estetiskt ämne - Idrott och hälsa 2"/>
        <s v="Praktiskt estetiskt ämne - Idrott och hälsa 1"/>
        <s v="Idrott och hälsa 1"/>
        <s v="Idrott och hälsa 3"/>
        <s v="Idrott, fostran och socialisation"/>
        <s v="Idrott och hälsa II för gymnasieskolan"/>
        <s v="Matematikundervisning med IT"/>
        <s v="Design av digital didaktik"/>
        <s v="Kemididaktik 1 för ämneslärare för gymnasium"/>
        <s v="Kemididaktik 2 för ämneslärare för gymnasium"/>
        <s v="Ekonomisk och soial geografi"/>
        <s v="Introduktion till geografi"/>
        <s v="Befolkningsgeografi"/>
        <s v="Kartor och GIS"/>
        <s v="Geografididaktik 1"/>
        <s v="Geografididaktik 2"/>
        <s v="Hem- och konsumentkunskap C - fördjupning"/>
        <s v="Examensarbete i kostvetenskap för ämneslärarexamen med inriktning hem- och konsumentkunskap"/>
        <s v="Hem- och konsumentkunskap, distans A"/>
        <s v="Mat och måltider för barn och ungdomar"/>
        <s v="Hem- och konsumentkunskap B"/>
        <s v="Hem- och konsumentkunskap B15"/>
        <s v="Kulturslöjd - tradition, hantverk och nytänkande"/>
        <s v="Folkmusikdidaktik"/>
        <s v="Ditt barns språk 2. Språkutveckling mellan 2 och 4 år"/>
        <s v="Ditt barns språk I - Språkutvecklingen mellan 0 och 2 år"/>
        <s v="Människans språk: Lingvistik för lärare"/>
        <s v="Specialpedagogik med fokus på svenska och matematik för F-3"/>
        <s v="Demokrati, individ och samhälle"/>
        <s v="Kunskap, undervisning och lärande I"/>
        <s v="Samhällsorientering åk 4-6"/>
        <s v="Kunskap, vetenskap och forskningsmetodik, 7,5 hp"/>
        <s v="Etik, demokrati och det heterogena klassrummet, 7,5 hp"/>
        <s v="Att undervisa i åk 4-6"/>
        <s v="Att undervisa i F-3"/>
        <s v="Läraryrkets dimensioner - ingångsämne engelska"/>
        <s v="Läraryrkets dimensioner - ingångsämne svenska"/>
        <s v="Språk, kommunikation och språkutveckling i förskolans verksamhet"/>
        <s v="Kommunikation och språkutveckling för fritidshem"/>
        <s v="Läraryrkets dimensioner - ingångsämne matematik"/>
        <s v="Linjär algebra"/>
        <s v="Matematik 2 för förskoleklass och grundskolans årskurs 1-3"/>
        <s v="Matematik 1 för grundskolans årskurs 4-6"/>
        <s v="Algebra"/>
        <s v="Envariabelanalys 1"/>
        <s v="Matematiska metoder"/>
        <s v="Diskret matematik"/>
        <s v="Problemlösning och matematiska resonemang"/>
        <s v="Differentialekvationer och flervariabelanalys"/>
        <s v="Flervariabelanalys"/>
        <s v="Matematikens historia"/>
        <s v="Att undervisa i matematik (VFU)"/>
        <s v="Differentialekvationer"/>
        <s v="Examensarbete för ämneslärarexamen - Matematik"/>
        <s v="Matematik 1 för förskoleklass och grundskolans årskurs 1-3"/>
        <s v="Matematik 3 för förskoleklass och grundskolans årskurs 1-3"/>
        <s v="Matematik 4 för förskoleklass och grundskolans årskurs 1-3"/>
        <s v="Matematik 2 för grundskolans årskurs 4-6"/>
        <s v="Matematik 3 för grundskolans årskurs 4-6"/>
        <s v="Matematik 4 för grundskolans årskurs 4-6"/>
        <s v="Matematik för förskolan"/>
        <s v="Matematik 2 för lärande och undervisning för förskoleklass och grundskolans årskurs 1-3"/>
        <s v="Matematik 2 för lärande och undervisning för grundskolans årskurs 4-6"/>
        <s v="Matematik 1 för lärande och undervisning för förskoleklass och grundskolans årskurs 1-6"/>
        <s v="Matematikdidaktik 1 för grundskolans åk 7-9 och gymnasiet"/>
        <s v="Matematikdidaktik 2 för grundskolans åk 7-9 och gymnasiet"/>
        <s v="Statistik för lärare"/>
        <s v="Statistik för naturvetare"/>
        <s v="Musik &amp; skapande, kommunikation"/>
        <s v="Musik 1b"/>
        <s v="Musik 1"/>
        <s v="Musik 3"/>
        <s v="Musik 2b, distans"/>
        <s v="Musik fördjupning 1"/>
        <s v="Musik 1, distans"/>
        <s v="Musik 2, distans"/>
        <s v="Musik 3, distans"/>
        <s v="Musik 2"/>
        <s v="Musik fördjupning 2"/>
        <s v="Makroekonomi och arbetsmarknad A23"/>
        <s v="Att undervisa i naturkunskap (VFU)"/>
        <s v="Examensarbete - Naturkunskap"/>
        <s v="Naturkunskapsdidaktik 1 för ämneslärare för gymnasiet"/>
        <s v="Naturkunskapsdidaktik 2 för ämneslärare för gymnasiet"/>
        <s v="Matematik, naturvetenskap och utomhuspedagogik för fritidshem"/>
        <s v="Naturorientering och teknik för förskoleklass och grundskolans årskurs 1-3"/>
        <s v="Naturorientering och teknik för förskoleklass och grundskolans årskurs 4-6"/>
        <s v="Utomhuspedagogik, naturvetenskap och matematik i förskola, fritidshem och grundskola"/>
        <s v="Naturvetenskap och teknik i förskolan"/>
        <s v="Utomhuspedagogik och naturvetenskap - Sommar"/>
        <s v="Examensarbete för Studie- och yrkesvägledarprogrammet"/>
        <s v="Grupprocesser och samverkan ur ett fritidshemsperspektiv"/>
        <s v="Examensarbete grundlärare - fritidshem"/>
        <s v="Kunskap, undervisning och lärande för yrkeslärare II"/>
        <s v="Vetenskapsteori och vetenskaplig metod"/>
        <s v="Ämnesdidaktik för yrkeslärare"/>
        <s v="Profession och vetenskap för yrkeslärare"/>
        <s v="Utbildningsvetenskap i pedagogisk praktik"/>
        <s v="Samhällsorientering, F-3"/>
        <s v="Sex och samlevnad, 7,5 hp"/>
        <s v="Förskollärare som profession"/>
        <s v="Att vara förskollärare (VFU)"/>
        <s v="Ämneslärare som profession"/>
        <s v="Att vara ämneslärare (VFU)"/>
        <s v="Lärande och undervisning"/>
        <s v="Undervisning och lärande inom det svenska skolsystemet"/>
        <s v="Utbildning: Undervisning och lärande i en internationell kontext"/>
        <s v="Demokrati, mänskliga rättigheter och hållbar utveckling: globala perspektiv i utbildning"/>
        <s v="Forskningsdesign och metod inom utbildningsvetenskap"/>
        <s v="Matematikutveckling och lärande i ett specialpedagogiskt perspektiv"/>
        <s v="Identifiering och kartläggning av undervisning och lärande med fokus på elever i behov av särskilda utbildningsinsatser"/>
        <s v="Stöd och stimulans i arbetet med elever i behov av särskilda utbildningsinsatser"/>
        <s v="Läraryrkets dimensioner - ingångsämne idrott och hälsa"/>
        <s v="Barns lärande och omsorg"/>
        <s v="Förskolans uppdrag och arbetssätt 1"/>
        <s v="Läraryrkets dimensioner - ingångsämne Samhällskunskap"/>
        <s v="Handledarutbildning för VFU-handledare, bedömning"/>
        <s v="Att undervisa i fritidshem (VFU)"/>
        <s v="Handledarutbildning för VFU-handledare, handledningssamtal"/>
        <s v="Verksamhetsförlagd utbildning för yrkeslärare (VFU)"/>
        <s v="Examensarbete för grundlärarexamen med inriktning mot förskoleklass och grundskolans år 1-3"/>
        <s v="Examensarbete för grundlärarexamen med inriktning mot grundskolans år 4-6"/>
        <s v="Undervisning och lärande - läroplansteori och didaktik inklusive VFU (UK och VFU)"/>
        <s v="Bedömning (UK)"/>
        <s v="Utbildningens villkor och samhälleliga funktion (UK)"/>
        <s v="Den professionella läraren 1: Barns utveckling, specialpedagogik, sociala relationer och kommunikation (UK)"/>
        <s v="Utbildningsvetenskap, undervisning och lärande för förskolan (UK)"/>
        <s v="Specialpedagogik för förskolan (UK)"/>
        <s v="Specialpedagogik för grundskolan (UK)"/>
        <s v="Specialpedagogik - åk 7-9 och gymnasieskolan (UK)"/>
        <s v="Utbildningsvetenskap, undervisning och lärande för grundskolan - fritidshem (UK)"/>
        <s v="Utbildningsvetenskap, undervisning och lärande för grundskolan (UK)"/>
        <s v="Utbildningsvetenskap, undervisning och lärande - Ämneslärarprogrammet (UK)"/>
        <s v="Den professionella läraren 2: Uppdrag, ledarskap och undervisning (UK)"/>
        <s v="Barnet, omvärlden och fritidshemmets uppdrag"/>
        <s v="Läraryrkets dimensioner för fritidshem 1 (VFU)"/>
        <s v="Verksamhets förlagd utbildning (VFU)"/>
        <s v="Examensarbete med ämnesdidaktisk inriktning (UK)"/>
        <s v="Bedömning för och av lärande i grundskolan (UK)"/>
        <s v="Bedömning för lärande i förskolan (UK)"/>
        <s v="Bedömning för och av lärande för åk 7-9 och gymnasium (UK)"/>
        <s v="Trygga lärmiljöer, identitet och intersektionalitet"/>
        <s v="Normkritisk genuspedagogik"/>
        <s v="Barns och ungas identitetsskapande på nätet"/>
        <s v="Mobbning och kränkande handlingar i teori och praktik"/>
        <s v="Elever i behov av extra anpassningar och särskilt stöd ur ett fritidshemsperspektiv"/>
        <s v="Att undervisa i förskolan (VFU)"/>
        <s v="Förskolans uppdrag och arbetssätt 2"/>
        <s v="Läraryrkets dimensioner för förskolan 1 (VFU)"/>
        <s v="Läraryrkets dimensioner för förskolan 2 (VFU)"/>
        <s v="Examensarbete för förskollärarexamen"/>
        <s v="Kunskap, undervisning och lärande 2"/>
        <s v="Läraryrkets dimensioner för förskoleklass och grundskolans årskurs 1-3 (VFU)"/>
        <s v="Läraryrkets dimensioner för grundskolans årskurs 4-6 (VFU)"/>
        <s v="Läraryrkets dimensioner för fritidshem 3 (VFU)"/>
        <s v="Samhällsorientering för förskolan"/>
        <s v="Profession och vetenskap för förskolan (UK)"/>
        <s v="Profession och vetenskap för fritidshem (UK)"/>
        <s v="Grundlärare som profession (UK)"/>
        <s v="Profession och vetenskap för åk 4-6 (UK III)"/>
        <s v="Profession och vetenskap för F-3 (UK III)"/>
        <s v="Ämnesdidaktik (UK)"/>
        <s v="Att vara grundlärare (VFU)"/>
        <s v="Att undervisa i biologi (VFU)"/>
        <s v="Att undervisa i Idrott och hälsa (VFU)"/>
        <s v="Att undervisa i Samhällskunskap (VFU)"/>
        <s v="Fjärrundervisning"/>
        <s v="Skolans digitalisering"/>
        <s v="Genuspedagogik i lärmiljöer"/>
        <s v="Mobbning i lärmiljöer"/>
        <s v="Kurs i examensarbete - Matematikutveckling"/>
        <s v="Språk och matematik i ett specialpedagogiskt perspektiv"/>
        <s v="Matematik i specialpedagogiskt perspektiv"/>
        <s v="Pedagogiskt ledarskap, sociala relationer och konflikthantering"/>
        <s v="Examensarbete för ämneslärarexamen - religion"/>
        <s v="Läraryrkets dimensioner- ingångsämne religion (VFU)"/>
        <s v="Att undervisa i religionskunskap (VFU)"/>
        <s v="Religionsvetenskap 2"/>
        <s v="Religionsvetenskap 1"/>
        <s v="Religionsvetenskap 3"/>
        <s v="Religionsvetenskap 3, med kandidatuppsats"/>
        <s v="Spanska I för ämneslärare"/>
        <s v="Spanska för ämneslärare, kurs III"/>
        <s v="Att undervisa i Spanska (VFU)"/>
        <s v="Spanska för ämneslärare, kurs 2"/>
        <s v="Examensarbete i svenska för ämneslärarexamen"/>
        <s v="Examensarbete i språkdidaktik för ämneslärarexamen"/>
        <s v="Examensarbete med språkdidaktisk inriktning för lärarexamen"/>
        <s v="Didaktik för det flerspråkiga klassrummet"/>
        <s v="Språkdidaktik: Aktuella frågor och metoder i språkdidaktisk forskning"/>
        <s v="Språk-, skriv- och läsutveckling för speciallärare"/>
        <s v="Examensarbete för speciallärarexamen med specialisering mot språk-, skriv- och läsutveckling"/>
        <s v="Språk-, skriv- och läsutveckling i ett specialpedagogiskt perspektiv"/>
        <s v="Samhällskunskap 1"/>
        <s v="Samhällskunskap 2"/>
        <s v="Samhällskunskap 3"/>
        <s v="Examensarbete"/>
        <s v="Profession och vetenskap"/>
        <s v="Slöjd, Trä- och metall 2a, distans"/>
        <s v="Slöjd, Trä- och metall 2b, distans"/>
        <s v="Slöjd 1, trä- och metall"/>
        <s v="Form, färg, estetik och uttryck - Utveckla ditt formspråk i trä"/>
        <s v="Skapandets intryck - utveckla och tala om hantverkets tysta kunskap"/>
        <s v="Introduktion till det specialpedagogiska fältet"/>
        <s v="Neuropsykiatriska svårigheter i olika lärmiljöer"/>
        <s v="Speciallärarens och specialpedagogens yrkesfunktion"/>
        <s v="Utvärdering, ledarskap och förändringsarbete"/>
        <s v="Att utveckla lärande i skola och vardag - Utvecklingsstörning"/>
        <s v="Undervisning, kommunikation och kunskapsutveckling - Utvecklingsstörning"/>
        <s v="Neuropsykiatriska svårigheter - förhållningsätt, bemötande och strategier i pedagogisk verksamhet"/>
        <s v="Specialpedagogiska kunskapsområden"/>
        <s v="Vetenskaplig metodkurs Speciallärar- och specialpedagogprogrammen"/>
        <s v="Examensarbete speciallärarprogrammet med specialisering mot utvecklingsstörning"/>
        <s v="Eamensarbete specialpedagogprogrammet"/>
        <s v="Politik och samhälle"/>
        <s v="Utbildning och arbetsmarknad I"/>
        <s v="Utbildningsledarskap: Teori och analys"/>
        <s v="Magisteruppsats i utbildningsledarskap"/>
        <s v="Svenska I för ämneslärare"/>
        <s v="Svenska för F-3, kurs 1"/>
        <s v="Svenska för F-3, kurs 2"/>
        <s v="Svenska för F-3, kurs 3"/>
        <s v="Svenska för åk 4-6, kurs 1"/>
        <s v="Svenska för åk 4-6, kurs 2"/>
        <s v="Svenska för åk 4-6, kurs 3"/>
        <s v="Svenska II för ämneslärare"/>
        <s v="Svenska III för ämneslärare"/>
        <s v="Att undervisa i svenska (VFU)"/>
        <s v="Svenska som andraspråk A"/>
        <s v="Svenska som andraspråk A, Det mångkulturella klassrummet och svenskans fonologi"/>
        <s v="Svenska som andraspråk A, Att lära på ett andraspråk och svenskans grammatik"/>
        <s v="Svenska som andraspråk B"/>
        <s v="Svenska som andraspråk B, Flerspråkiga inlärares litteracitet"/>
        <s v="Svenska som andraspråk B, Flerspråkighet och fördjupning"/>
        <s v="Svenska som andraspråk C, Diskriminerande strukturer och skönlitteratur"/>
        <s v="Svenska som andraspråk C, Examensarbete för kandidatexamen"/>
        <s v="Svenska som andraspråk för ämneslärare, kurs 1"/>
        <s v="Svenska som andraspråk för ämneslärare, kurs 2"/>
        <s v="Svenska som andraspråk för ämneslärare, kurs 3"/>
        <s v="Att läsa och skriva i lärarutbildning och läraryrket - fokus grundlärare"/>
        <s v="Att läsa och skriva i lärarutbildning och läraryrket - fokus ämneslärare"/>
        <s v="Flerspråkighet i förskoleklassen och grundskolans tidigare år"/>
        <s v="Studie- och yrkesvägledningens grunder"/>
        <s v="Vetenskapliga perspektiv på studie- och yrkesvägledning"/>
        <s v="Utbildningssystem i Sverige och andra länder"/>
        <s v="Studie- och yrkesvägledningens praktik"/>
        <s v="Karriärutveckling i socialt och kulturellt perspektiv"/>
        <s v="Karriärvägledning och andra insatser för människor i behov av särskilt stöd"/>
        <s v="Karriärteori och vägledning"/>
        <s v="Gruppvägledning med inriktning mot karriärutveckling"/>
        <s v="Kommunikation och undervisning"/>
        <s v="Introduktion till studie- och yrkesvägledning"/>
        <s v="Teorier, modeller och metoder för karriärvägledning"/>
        <s v="Samhällsvetenskap"/>
        <s v="Arbetsliv och lärande"/>
        <s v="Teorier, modeller och metoder för vägledning och dess praktik"/>
        <s v="Beteendevetenskapliga grunder"/>
        <s v="Slöjd, textil 2a, distans"/>
        <s v="Slöjd textil 1 30 hp"/>
        <s v="Slöjd, textil 2b, distans"/>
        <s v="Slöjd textil 1 30 hp, fristående"/>
        <s v="Textila uttryck"/>
        <s v="Slöjd 1, textil"/>
        <s v="Kläddesign"/>
        <s v="Vävdesign"/>
        <s v="Väv- och kläddesign: Estetiska skapandeprocesser"/>
        <s v="Väv- och kläddesign fördjupning"/>
        <s v="Slöjd - textil 3"/>
        <s v="Slöjd textil 2"/>
        <s v="Slöjd textil 2, fristående"/>
        <s v="Tyska III för ämneslärare med inriktning mot gymnasiet"/>
        <s v="Tyska C, Deutsch lernen und lehren III"/>
        <s v="Att undervisa i tyska (VFU)"/>
        <s v="Matematik, naturvetenskap och utomhuspedagogik - Sommar" u="1"/>
        <s v="Genuspedagogik och lärande I" u="1"/>
        <s v="Examensarbete - Ämne 1/Ämne 2" u="1"/>
        <s v="Kemididaktik för ämneslärare för åk 7-9" u="1"/>
        <s v="Religionsvetenskap II: fortsättningskurs" u="1"/>
        <s v="Musik 3, fristående " u="1"/>
        <s v="Tyska II för ämneslärare" u="1"/>
        <s v="Musik 2a, distans" u="1"/>
        <s v="Teknik för lärare F-6" u="1"/>
        <s v="Musik 2 30.0 hp, fristående" u="1"/>
        <s v="Slöjd trä och metall 2, fristående" u="1"/>
        <s v="Differentialekvationer för teknologer" u="1"/>
        <s v="Att undervisa i geografi (VFU)" u="1"/>
        <s v="Undervisning och kvalitetsutveckling i förskola respektive fritidshem" u="1"/>
        <s v="Franska III för ämneslärare med inriktning mot gymnasiet" u="1"/>
        <s v="Formativ bedömning och motivation" u="1"/>
        <s v="Utbildningspolicy och pedagogisk praktik ur internationella perspektiv" u="1"/>
        <s v="Svenska som andraspråk för grundlärare" u="1"/>
        <s v="Tala och skriva engelska" u="1"/>
        <s v="Franska II för ämneslärare" u="1"/>
        <s v="Utbildningspolicy i nationell och internationell kontext" u="1"/>
        <s v="Läraryrketes dimensioner" u="1"/>
        <s v="Ämnesmetodik inom mat, måltider och hälsa" u="1"/>
        <s v="Att undervisa i svenska som andraspråk (VFU)" u="1"/>
        <s v="Ämnesdidaktik, Att utveckla lärande och undervisning i språkliga kontexter" u="1"/>
        <s v="Naturorientering och teknik för lärande och undervisning för åk F-3 och 4-6" u="1"/>
        <s v="Digital kompetens och lärande I" u="1"/>
        <s v="Textila uttryck II" u="1"/>
        <s v="Bild 2, fristående " u="1"/>
        <s v="Religionsvetenskap I" u="1"/>
        <s v="Historia II forts." u="1"/>
        <s v="Slöjd textil 2 30 hp" u="1"/>
        <s v="Spanska för ämneslärare, kurs II" u="1"/>
        <s v="Biologididaktik för ämneslärare för åk 7-9" u="1"/>
        <s v="&quot;Fatta Sapmi&quot; (prel. namn)" u="1"/>
        <s v="Hem- och konsumentkunskap B, distans" u="1"/>
        <s v="Hem- och konsumentkunskap B15, distans" u="1"/>
        <s v="Slöjd trä och metall 1 30 hp, fristående" u="1"/>
        <s v="Slöjd, textil 3, fristående" u="1"/>
        <s v="Kvantfysik, 6 hp" u="1"/>
        <s v="Examensarbete för ämneslärarexamen - Kemi" u="1"/>
        <s v="Bioorganisk kemi, 15 hp" u="1"/>
        <s v="Forskning och utvecklingsarbete i skolan 2" u="1"/>
        <s v="Anpassad fysisk aktivitet med inriktning mot rörelsehinder" u="1"/>
        <s v="Fysikdidaktik för ämneslärare för åk 7-9" u="1"/>
        <s v="Naturorientering och teknik för lärande och undervisning för åk 4-6, del II" u="1"/>
        <s v="Vävdesign, fördjupning" u="1"/>
        <s v="Musik 1a" u="1"/>
        <s v="Mobbning i lärandemiljöer I" u="1"/>
        <s v="Magisteruppsats 1" u="1"/>
        <s v="Tyska för ämneslärare, kurs 2" u="1"/>
        <s v="Forskning och utvecklingsarbete i skolan 1" u="1"/>
        <s v="Statistik för teknologer" u="1"/>
        <s v="Att läsa och skriva akademiska texter" u="1"/>
        <s v="Tyska I för ämneslärare" u="1"/>
        <s v="Franska I för ämneslärare" u="1"/>
        <s v="Undervisning och lärande 1" u="1"/>
        <s v="Språkdidaktik: Undervisning för elever i språk-,  läs- och skrivsvårigheter" u="1"/>
        <s v="Musik 1 30 hp, fristående" u="1"/>
        <s v="Svenska som andraspråk A, del 1" u="1"/>
        <s v="Språkdidaktik, Examensarbete för magisterexamen" u="1"/>
        <s v="Bild fördjupning 1 fristående" u="1"/>
        <s v="Bild fördjupning 2 fristående" u="1"/>
      </sharedItems>
    </cacheField>
    <cacheField name="anmkod" numFmtId="0">
      <sharedItems containsNonDate="0" containsString="0" containsBlank="1"/>
    </cacheField>
    <cacheField name="Prkod" numFmtId="0">
      <sharedItems count="18">
        <s v="LYAGY"/>
        <s v="FRIST"/>
        <s v="LYGFT"/>
        <s v="LYGRM"/>
        <s v="LYAGR"/>
        <s v="LYKGR"/>
        <s v="LYKGY"/>
        <s v="LYFSK"/>
        <s v="LYGFR"/>
        <s v="LYYRK"/>
        <s v="LYLÄR"/>
        <s v="LYLÄP"/>
        <s v="LYSYV"/>
        <s v="LYSPL"/>
        <s v="LYKFO"/>
        <s v="LYSPE"/>
        <s v="LLÄRY"/>
        <s v="LYKGR/GY" u="1"/>
      </sharedItems>
    </cacheField>
    <cacheField name="Kull" numFmtId="0">
      <sharedItems containsNonDate="0" containsString="0" containsBlank="1"/>
    </cacheField>
    <cacheField name="HtVt" numFmtId="0">
      <sharedItems containsSemiMixedTypes="0" containsString="0" containsNumber="1" containsInteger="1" minValue="2019" maxValue="2019" count="1">
        <n v="2019"/>
      </sharedItems>
    </cacheField>
    <cacheField name="Studieveckor" numFmtId="0">
      <sharedItems containsBlank="1"/>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tring="0" containsBlank="1" containsNumber="1" containsInteger="1" minValue="150" maxValue="150"/>
    </cacheField>
    <cacheField name="Poäng" numFmtId="0">
      <sharedItems containsString="0" containsBlank="1" containsNumber="1" minValue="1.5" maxValue="30" count="22">
        <m/>
        <n v="5"/>
        <n v="7.5"/>
        <n v="12.5" u="1"/>
        <n v="4.5" u="1"/>
        <n v="12.7" u="1"/>
        <n v="22.5" u="1"/>
        <n v="15" u="1"/>
        <n v="6" u="1"/>
        <n v="28.5" u="1"/>
        <n v="2.2999999999999998" u="1"/>
        <n v="2.5" u="1"/>
        <n v="20" u="1"/>
        <n v="8" u="1"/>
        <n v="9" u="1"/>
        <n v="3.5" u="1"/>
        <n v="10" u="1"/>
        <n v="11" u="1"/>
        <n v="30" u="1"/>
        <n v="1.5" u="1"/>
        <n v="4" u="1"/>
        <n v="12" u="1"/>
      </sharedItems>
    </cacheField>
    <cacheField name="Prognos avhopp %" numFmtId="0">
      <sharedItems containsNonDate="0" containsString="0" containsBlank="1"/>
    </cacheField>
    <cacheField name="Utgångs-värde 1:a kurs" numFmtId="0">
      <sharedItems containsNonDate="0" containsString="0" containsBlank="1"/>
    </cacheField>
    <cacheField name="Ant" numFmtId="0">
      <sharedItems containsString="0" containsBlank="1" containsNumber="1" containsInteger="1" minValue="4" maxValue="102"/>
    </cacheField>
    <cacheField name="HST" numFmtId="167">
      <sharedItems containsSemiMixedTypes="0" containsString="0" containsNumber="1" minValue="0.05" maxValue="25.5"/>
    </cacheField>
    <cacheField name="HPR %" numFmtId="9">
      <sharedItems containsSemiMixedTypes="0" containsString="0" containsNumber="1" minValue="0.8" maxValue="0.85"/>
    </cacheField>
    <cacheField name="HPR" numFmtId="2">
      <sharedItems containsSemiMixedTypes="0" containsString="0" containsNumber="1" minValue="4.2500000000000003E-2" maxValue="20.400000000000002"/>
    </cacheField>
    <cacheField name="Kursansvar" numFmtId="0">
      <sharedItems containsSemiMixedTypes="0" containsString="0" containsNumber="1" containsInteger="1" minValue="1620" maxValue="5740"/>
    </cacheField>
    <cacheField name="Kursansvar namn" numFmtId="0">
      <sharedItems count="19">
        <s v="Inst för Fysiologisk botanik  "/>
        <s v="EMG"/>
        <s v="TFE"/>
        <s v="Inst för Fysik                "/>
        <s v="Kemiska institutionen         "/>
        <s v="Inst för MA och MA statistik"/>
        <s v="NMD"/>
        <s v="Inst för datavetenskap        "/>
        <s v="Inst för språkstudier"/>
        <s v="Estetiska ämnen               "/>
        <s v="Inst för ide- o samhällsstudier"/>
        <s v="Pedagogik                     "/>
        <s v="TUV "/>
        <s v="Geografi"/>
        <s v="Kostvetenskap                 "/>
        <s v="Nationalekonomi               "/>
        <s v="Statsvetenskap                "/>
        <s v="Lärarutbildningarna gem       " u="1"/>
        <s v="Geografi och ekonomisk historia" u="1"/>
      </sharedItems>
    </cacheField>
    <cacheField name="Fakultet" numFmtId="0">
      <sharedItems/>
    </cacheField>
    <cacheField name="Utbildning" numFmtId="0">
      <sharedItems count="17">
        <s v="Ämneslärarprogrammet - Gy"/>
        <s v="Fristående och övriga kurser"/>
        <s v="Grundlärarprogrammet - förskoleklass och åk 1-3"/>
        <s v="Grundlärarprogrammet - grundskolans åk 4-6"/>
        <s v="Ämneslärarprogrammet - åk 7-9"/>
        <s v="KPU - åk 7-9"/>
        <s v="KPU - Gy"/>
        <s v="Förskollärarprogrammet"/>
        <s v="Grundlärarprogrammet - fritidshem"/>
        <s v="Yrkeslärarprogrammet"/>
        <s v="Lärarprogram långa - före ht11"/>
        <s v="VAL-projektet"/>
        <s v="Studie- och yrkesvägledarprogram"/>
        <s v="Speciallärarprogrammet"/>
        <s v="KPU - Förhöjd studietakt - utbildningsbidrag"/>
        <s v="Specialpedagogprogrammet"/>
        <s v="KPU - Förhöjd studietakt" u="1"/>
      </sharedItems>
    </cacheField>
    <cacheField name="Kurspris HST" numFmtId="3">
      <sharedItems containsSemiMixedTypes="0" containsString="0" containsNumber="1" minValue="15846" maxValue="47957"/>
    </cacheField>
    <cacheField name="Kurspris HPR" numFmtId="3">
      <sharedItems containsSemiMixedTypes="0" containsString="0" containsNumber="1" minValue="15773" maxValue="63797"/>
    </cacheField>
    <cacheField name="Total ersättning" numFmtId="3">
      <sharedItems containsSemiMixedTypes="0" containsString="0" containsNumber="1" minValue="2452.9050000000002" maxValue="1109939.5125"/>
    </cacheField>
    <cacheField name="Hyrespris" numFmtId="3">
      <sharedItems containsSemiMixedTypes="0" containsString="0" containsNumber="1" containsInteger="1" minValue="3400" maxValue="70100"/>
    </cacheField>
    <cacheField name="Lokalintäkt" numFmtId="3">
      <sharedItems containsSemiMixedTypes="0" containsString="0" containsNumber="1" minValue="340" maxValue="569250"/>
    </cacheField>
    <cacheField name="Totala intäkter" numFmtId="3">
      <sharedItems containsSemiMixedTypes="0" containsString="0" containsNumber="1" minValue="3542.9050000000002" maxValue="1603164.512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minValue="0" maxValue="1"/>
    </cacheField>
    <cacheField name="MU" numFmtId="0">
      <sharedItems containsSemiMixedTypes="0" containsString="0" containsNumber="1" minValue="0" maxValue="1"/>
    </cacheField>
    <cacheField name="NA" numFmtId="0">
      <sharedItems containsSemiMixedTypes="0" containsString="0" containsNumber="1" minValue="0" maxValue="1"/>
    </cacheField>
    <cacheField name="SA" numFmtId="0">
      <sharedItems containsSemiMixedTypes="0" containsString="0" containsNumber="1" minValue="0" maxValue="1"/>
    </cacheField>
    <cacheField name="TE" numFmtId="0">
      <sharedItems containsSemiMixedTypes="0" containsString="0" containsNumber="1" minValue="0" maxValue="1"/>
    </cacheField>
    <cacheField name="VFU" numFmtId="0">
      <sharedItems containsSemiMixedTypes="0" containsString="0" containsNumb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1"/>
    </cacheField>
    <cacheField name="VÅ" numFmtId="0">
      <sharedItems containsSemiMixedTypes="0" containsString="0" containsNumber="1" minValue="0" maxValue="0.8"/>
    </cacheField>
    <cacheField name="Hämtat ur" numFmtId="0">
      <sharedItems/>
    </cacheField>
    <cacheField name="Anm" numFmtId="0">
      <sharedItems containsNonDate="0" containsString="0" containsBlank="1"/>
    </cacheField>
    <cacheField name="DE HST" numFmtId="0">
      <sharedItems containsSemiMixedTypes="0" containsString="0" containsNumber="1" minValue="0" maxValue="8.25"/>
    </cacheField>
    <cacheField name="DE HPR" numFmtId="167">
      <sharedItems containsSemiMixedTypes="0" containsString="0" containsNumber="1" minValue="0" maxValue="6.6000000000000005"/>
    </cacheField>
    <cacheField name="HU HST" numFmtId="0">
      <sharedItems containsSemiMixedTypes="0" containsString="0" containsNumber="1" minValue="0" maxValue="21.25"/>
    </cacheField>
    <cacheField name="HU HPR" numFmtId="167">
      <sharedItems containsSemiMixedTypes="0" containsString="0" containsNumber="1" minValue="0" maxValue="18.0625"/>
    </cacheField>
    <cacheField name="ID HST" numFmtId="0">
      <sharedItems containsSemiMixedTypes="0" containsString="0" containsNumber="1" minValue="0" maxValue="12.5"/>
    </cacheField>
    <cacheField name="ID HPR" numFmtId="0">
      <sharedItems containsSemiMixedTypes="0" containsString="0" containsNumber="1" minValue="0" maxValue="10.625"/>
    </cacheField>
    <cacheField name="LU HST" numFmtId="0">
      <sharedItems containsSemiMixedTypes="0" containsString="0" containsNumber="1" minValue="0" maxValue="17.875"/>
    </cacheField>
    <cacheField name="LU HPR" numFmtId="167">
      <sharedItems containsSemiMixedTypes="0" containsString="0" containsNumber="1" minValue="0" maxValue="15.19375"/>
    </cacheField>
    <cacheField name="MU HST" numFmtId="2">
      <sharedItems containsSemiMixedTypes="0" containsString="0" containsNumber="1" minValue="0" maxValue="3.5"/>
    </cacheField>
    <cacheField name="MU HPR" numFmtId="167">
      <sharedItems containsSemiMixedTypes="0" containsString="0" containsNumber="1" minValue="0" maxValue="2.8000000000000003"/>
    </cacheField>
    <cacheField name="NA HST" numFmtId="0">
      <sharedItems containsSemiMixedTypes="0" containsString="0" containsNumber="1" minValue="0" maxValue="22.625"/>
    </cacheField>
    <cacheField name="NA HPR" numFmtId="167">
      <sharedItems containsSemiMixedTypes="0" containsString="0" containsNumber="1" minValue="0" maxValue="19.231249999999999"/>
    </cacheField>
    <cacheField name="SA HST" numFmtId="0">
      <sharedItems containsSemiMixedTypes="0" containsString="0" containsNumber="1" minValue="0" maxValue="25.5"/>
    </cacheField>
    <cacheField name="SA HPR" numFmtId="167">
      <sharedItems containsSemiMixedTypes="0" containsString="0" containsNumber="1" minValue="0" maxValue="20.400000000000002"/>
    </cacheField>
    <cacheField name="TE HST" numFmtId="0">
      <sharedItems containsSemiMixedTypes="0" containsString="0" containsNumber="1" minValue="0" maxValue="16.75"/>
    </cacheField>
    <cacheField name="TE HPR" numFmtId="167">
      <sharedItems containsSemiMixedTypes="0" containsString="0" containsNumber="1" minValue="0" maxValue="13.4"/>
    </cacheField>
    <cacheField name="VFU HST" numFmtId="0">
      <sharedItems containsSemiMixedTypes="0" containsString="0" containsNumber="1" minValue="0" maxValue="15"/>
    </cacheField>
    <cacheField name="VFU HPR" numFmtId="167">
      <sharedItems containsSemiMixedTypes="0" containsString="0" containsNumber="1" minValue="0" maxValue="12.75"/>
    </cacheField>
    <cacheField name="XXX HST" numFmtId="0">
      <sharedItems containsSemiMixedTypes="0" containsString="0" containsNumber="1" containsInteger="1" minValue="0" maxValue="0"/>
    </cacheField>
    <cacheField name="ÖV HST" numFmtId="0">
      <sharedItems containsSemiMixedTypes="0" containsString="0" containsNumber="1" minValue="0" maxValue="21"/>
    </cacheField>
    <cacheField name="ÖV HPR" numFmtId="167">
      <sharedItems containsSemiMixedTypes="0" containsString="0" containsNumber="1" minValue="0" maxValue="17.849999999999998"/>
    </cacheField>
    <cacheField name="VÅ HST" numFmtId="0">
      <sharedItems containsSemiMixedTypes="0" containsString="0" containsNumber="1" minValue="0" maxValue="8.4"/>
    </cacheField>
    <cacheField name="VÅ HPR" numFmtId="167">
      <sharedItems containsSemiMixedTypes="0" containsString="0" containsNumber="1" minValue="0" maxValue="7.14"/>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gnetha Simm" refreshedDate="43809.543015972224" createdVersion="6" refreshedVersion="6" minRefreshableVersion="3" recordCount="480">
  <cacheSource type="worksheet">
    <worksheetSource ref="A1:AO481" sheet="kurser alla"/>
  </cacheSource>
  <cacheFields count="41">
    <cacheField name="Kurskod NyA" numFmtId="0">
      <sharedItems/>
    </cacheField>
    <cacheField name="Benämn" numFmtId="0">
      <sharedItems/>
    </cacheField>
    <cacheField name="anmkod" numFmtId="0">
      <sharedItems containsNonDate="0" containsString="0" containsBlank="1"/>
    </cacheField>
    <cacheField name="Prkod" numFmtId="0">
      <sharedItems/>
    </cacheField>
    <cacheField name="Kull" numFmtId="0">
      <sharedItems containsNonDate="0" containsString="0" containsBlank="1"/>
    </cacheField>
    <cacheField name="HtVt" numFmtId="0">
      <sharedItems containsSemiMixedTypes="0" containsString="0" containsNumber="1" containsInteger="1" minValue="2019" maxValue="2019"/>
    </cacheField>
    <cacheField name="Studieveckor" numFmtId="0">
      <sharedItems containsBlank="1"/>
    </cacheField>
    <cacheField name="Ort" numFmtId="0">
      <sharedItems containsNonDate="0" containsString="0" containsBlank="1"/>
    </cacheField>
    <cacheField name="Form" numFmtId="0">
      <sharedItems containsNonDate="0" containsString="0" containsBlank="1"/>
    </cacheField>
    <cacheField name="Inriktning" numFmtId="0">
      <sharedItems containsNonDate="0" containsString="0" containsBlank="1"/>
    </cacheField>
    <cacheField name="Verksamhetsområde" numFmtId="0">
      <sharedItems containsNonDate="0" containsString="0" containsBlank="1"/>
    </cacheField>
    <cacheField name="Studie takt" numFmtId="0">
      <sharedItems containsString="0" containsBlank="1" containsNumber="1" containsInteger="1" minValue="150" maxValue="150"/>
    </cacheField>
    <cacheField name="Poäng" numFmtId="0">
      <sharedItems containsString="0" containsBlank="1" containsNumber="1" minValue="5" maxValue="7.5"/>
    </cacheField>
    <cacheField name="Prognos avhopp %" numFmtId="0">
      <sharedItems containsNonDate="0" containsString="0" containsBlank="1"/>
    </cacheField>
    <cacheField name="Utgångs-värde 1:a kurs" numFmtId="0">
      <sharedItems containsNonDate="0" containsString="0" containsBlank="1"/>
    </cacheField>
    <cacheField name="Ant" numFmtId="0">
      <sharedItems containsString="0" containsBlank="1" containsNumber="1" containsInteger="1" minValue="4" maxValue="102"/>
    </cacheField>
    <cacheField name="HST" numFmtId="167">
      <sharedItems containsSemiMixedTypes="0" containsString="0" containsNumber="1" minValue="0.05" maxValue="25.5"/>
    </cacheField>
    <cacheField name="HPR %" numFmtId="9">
      <sharedItems containsSemiMixedTypes="0" containsString="0" containsNumber="1" minValue="0.8" maxValue="0.85"/>
    </cacheField>
    <cacheField name="HPR" numFmtId="2">
      <sharedItems containsSemiMixedTypes="0" containsString="0" containsNumber="1" minValue="4.2500000000000003E-2" maxValue="20.400000000000002"/>
    </cacheField>
    <cacheField name="Kursansvar" numFmtId="0">
      <sharedItems containsSemiMixedTypes="0" containsString="0" containsNumber="1" containsInteger="1" minValue="1620" maxValue="6000" count="18">
        <n v="5160"/>
        <n v="5100"/>
        <n v="5410"/>
        <n v="5400"/>
        <n v="5500"/>
        <n v="5730"/>
        <n v="5740"/>
        <n v="5700"/>
        <n v="1620"/>
        <n v="1650"/>
        <n v="1630"/>
        <n v="2180"/>
        <n v="2193"/>
        <n v="2500"/>
        <n v="2750"/>
        <n v="2271"/>
        <n v="2340"/>
        <n v="6000" u="1"/>
      </sharedItems>
    </cacheField>
    <cacheField name="Kursansvar namn" numFmtId="0">
      <sharedItems/>
    </cacheField>
    <cacheField name="Fakultet" numFmtId="0">
      <sharedItems/>
    </cacheField>
    <cacheField name="Utbildning" numFmtId="0">
      <sharedItems/>
    </cacheField>
    <cacheField name="Kurspris HST" numFmtId="3">
      <sharedItems containsSemiMixedTypes="0" containsString="0" containsNumber="1" minValue="15846" maxValue="47957"/>
    </cacheField>
    <cacheField name="Kurspris HPR" numFmtId="3">
      <sharedItems containsSemiMixedTypes="0" containsString="0" containsNumber="1" minValue="15773" maxValue="63797"/>
    </cacheField>
    <cacheField name="Total ersättning" numFmtId="3">
      <sharedItems containsSemiMixedTypes="0" containsString="0" containsNumber="1" minValue="2452.9050000000002" maxValue="1109939.5125"/>
    </cacheField>
    <cacheField name="Hyrespris" numFmtId="3">
      <sharedItems containsSemiMixedTypes="0" containsString="0" containsNumber="1" containsInteger="1" minValue="3400" maxValue="70100"/>
    </cacheField>
    <cacheField name="Lokalintäkt" numFmtId="3">
      <sharedItems containsSemiMixedTypes="0" containsString="0" containsNumber="1" minValue="340" maxValue="569250"/>
    </cacheField>
    <cacheField name="Totala intäkter" numFmtId="3">
      <sharedItems containsSemiMixedTypes="0" containsString="0" containsNumber="1" minValue="3542.9050000000002" maxValue="1603164.5125"/>
    </cacheField>
    <cacheField name="DE" numFmtId="0">
      <sharedItems containsSemiMixedTypes="0" containsString="0" containsNumber="1" minValue="0" maxValue="1"/>
    </cacheField>
    <cacheField name="HU" numFmtId="0">
      <sharedItems containsSemiMixedTypes="0" containsString="0" containsNumber="1" minValue="0" maxValue="1"/>
    </cacheField>
    <cacheField name="ID" numFmtId="0">
      <sharedItems containsSemiMixedTypes="0" containsString="0" containsNumber="1" containsInteger="1" minValue="0" maxValue="1"/>
    </cacheField>
    <cacheField name="LU" numFmtId="0">
      <sharedItems containsSemiMixedTypes="0" containsString="0" containsNumber="1" minValue="0" maxValue="1"/>
    </cacheField>
    <cacheField name="MU" numFmtId="0">
      <sharedItems containsSemiMixedTypes="0" containsString="0" containsNumber="1" minValue="0" maxValue="1"/>
    </cacheField>
    <cacheField name="NA" numFmtId="0">
      <sharedItems containsSemiMixedTypes="0" containsString="0" containsNumber="1" minValue="0" maxValue="1"/>
    </cacheField>
    <cacheField name="SA" numFmtId="0">
      <sharedItems containsSemiMixedTypes="0" containsString="0" containsNumber="1" minValue="0" maxValue="1"/>
    </cacheField>
    <cacheField name="TE" numFmtId="0">
      <sharedItems containsSemiMixedTypes="0" containsString="0" containsNumber="1" minValue="0" maxValue="1"/>
    </cacheField>
    <cacheField name="VFU" numFmtId="0">
      <sharedItems containsSemiMixedTypes="0" containsString="0" containsNumber="1" minValue="0" maxValue="1"/>
    </cacheField>
    <cacheField name="XXX" numFmtId="0">
      <sharedItems containsSemiMixedTypes="0" containsString="0" containsNumber="1" containsInteger="1" minValue="0" maxValue="0"/>
    </cacheField>
    <cacheField name="ÖV" numFmtId="0">
      <sharedItems containsSemiMixedTypes="0" containsString="0" containsNumber="1" containsInteger="1" minValue="0" maxValue="1"/>
    </cacheField>
    <cacheField name="VÅ" numFmtId="0">
      <sharedItems containsSemiMixedTypes="0" containsString="0" containsNumber="1" minValue="0" maxValue="0.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gnetha Simm" refreshedDate="43809.543116666668" createdVersion="5" refreshedVersion="6" minRefreshableVersion="3" recordCount="106">
  <cacheSource type="worksheet">
    <worksheetSource ref="A1:T107" sheet="underlag medverkande 2"/>
  </cacheSource>
  <cacheFields count="20">
    <cacheField name="Kurskod NyA" numFmtId="0">
      <sharedItems count="122">
        <s v="6ES072"/>
        <s v="6ES094"/>
        <s v="6HI035"/>
        <s v="6ID017"/>
        <s v="6ID018"/>
        <s v="6ID314"/>
        <s v="6KG004"/>
        <s v="6KG006"/>
        <s v="6LI013"/>
        <s v="6LU002"/>
        <s v="6LU003"/>
        <s v="6LU005"/>
        <s v="6LU006"/>
        <s v="6LU007"/>
        <s v="6LÄ046"/>
        <s v="6LÄ048"/>
        <s v="6LÄ055"/>
        <s v="6LÄ058"/>
        <s v="6MN041"/>
        <s v="6MN043"/>
        <s v="6MN044"/>
        <s v="6MN045"/>
        <s v="6NO043"/>
        <s v="6PE111"/>
        <s v="6PE129"/>
        <s v="6PE135"/>
        <s v="6PE136"/>
        <s v="6PE183"/>
        <s v="6PE185"/>
        <s v="6PE187"/>
        <s v="6PE202"/>
        <s v="6PE209"/>
        <s v="6PE216"/>
        <s v="6PE218"/>
        <s v="6PE219"/>
        <s v="6PE220"/>
        <s v="6PE221"/>
        <s v="6PE222"/>
        <s v="6PE223"/>
        <s v="6PE224"/>
        <s v="6PE225"/>
        <s v="6PE226"/>
        <s v="6PE227"/>
        <s v="6PE228"/>
        <s v="6PE236"/>
        <s v="6PE237"/>
        <s v="6PE238"/>
        <s v="6PE256"/>
        <s v="6PE257"/>
        <s v="6PE258"/>
        <s v="6PE260"/>
        <s v="6PE261"/>
        <s v="6PE262"/>
        <s v="6PE264"/>
        <s v="6PE265"/>
        <s v="6PE266"/>
        <s v="6PE268"/>
        <s v="6PE279"/>
        <s v="6PE302"/>
        <s v="6SD002"/>
        <s v="6SH009"/>
        <s v="6SH010"/>
        <s v="6SH011"/>
        <s v="6SH014"/>
        <s v="6SP050"/>
        <s v="6SP051"/>
        <s v="6SP052"/>
        <s v="6SP053"/>
        <s v="6SV020"/>
        <s v="6SV027"/>
        <s v="6SV028"/>
        <s v="6SY035"/>
        <s v="6SY038"/>
        <s v="6PE148" u="1"/>
        <s v="6PE303c" u="1"/>
        <s v="6PE303d" u="1"/>
        <s v="6MN028" u="1"/>
        <s v="6PE303e" u="1"/>
        <s v="6PE110" u="1"/>
        <s v="6PE196" u="1"/>
        <s v="6PE303f" u="1"/>
        <s v="6PE170" u="1"/>
        <s v="6PE303" u="1"/>
        <s v="6PE096" u="1"/>
        <s v="6PE215" u="1"/>
        <s v="6PE114" u="1"/>
        <s v="6PE098" u="1"/>
        <s v="6PE115" u="1"/>
        <s v="6PE099" u="1"/>
        <s v="6HI015" u="1"/>
        <s v="6PE103" u="1"/>
        <s v="6PE189" u="1"/>
        <s v="6PE104" u="1"/>
        <s v="6LÄ045" u="1"/>
        <s v="6SY027" u="1"/>
        <s v="6ID303" u="1"/>
        <s v="6MN042" u="1"/>
        <s v="6LÄ047" u="1"/>
        <s v="6PE151" u="1"/>
        <s v="6PE107" u="1"/>
        <s v="6GExx1" u="1"/>
        <s v="6PE152" u="1"/>
        <s v="6LI005" u="1"/>
        <s v="6PE108" u="1"/>
        <s v="6PE153" u="1"/>
        <s v="6SP040" u="1"/>
        <s v="6PE109" u="1"/>
        <s v="6PE154" u="1"/>
        <s v="6GExx4" u="1"/>
        <s v="6PE169" u="1"/>
        <s v="6PE143" u="1"/>
        <s v="6PE130" u="1"/>
        <s v="6PE144" u="1"/>
        <s v="6PE158" u="1"/>
        <s v="6PE131" u="1"/>
        <s v="6PE145" u="1"/>
        <s v="6PE159" u="1"/>
        <s v="6KG002" u="1"/>
        <s v="6GExx9" u="1"/>
        <s v="6PE303b" u="1"/>
        <s v="6PE147" u="1"/>
        <s v="6MN025" u="1"/>
      </sharedItems>
    </cacheField>
    <cacheField name="Benämning" numFmtId="0">
      <sharedItems count="115">
        <s v="Skapande lek i förskolan 1"/>
        <s v="Skapande och lek för förskolan 2"/>
        <s v="Historia 3"/>
        <s v="Idrott och hälsa 1"/>
        <s v="Idrott och hälsa 3"/>
        <s v="Idrott och hälsa II för gymnasieskolan"/>
        <s v="Introduktion till geografi"/>
        <s v="Kartor och GIS"/>
        <s v="Specialpedagogik med fokus på svenska och matematik för F-3"/>
        <s v="Demokrati, individ och samhälle"/>
        <s v="Kunskap, undervisning och lärande I"/>
        <s v="Samhällsorientering åk 4-6"/>
        <s v="Kunskap, vetenskap och forskningsmetodik, 7,5 hp"/>
        <s v="Etik, demokrati och det heterogena klassrummet, 7,5 hp"/>
        <s v="Att undervisa i åk 4-6"/>
        <s v="Att undervisa i F-3"/>
        <s v="Språk, kommunikation och språkutveckling i förskolans verksamhet"/>
        <s v="Kommunikation och språkutveckling för fritidshem"/>
        <s v="Matematik 4 för förskoleklass och grundskolans årskurs 1-3"/>
        <s v="Matematik 3 för grundskolans årskurs 4-6"/>
        <s v="Matematik 4 för grundskolans årskurs 4-6"/>
        <s v="Matematik för förskolan"/>
        <s v="Naturvetenskap och teknik i förskolan"/>
        <s v="Grupprocesser och samverkan ur ett fritidshemsperspektiv"/>
        <s v="Kunskap, undervisning och lärande för yrkeslärare II"/>
        <s v="Ämnesdidaktik för yrkeslärare"/>
        <s v="Profession och vetenskap för yrkeslärare"/>
        <s v="Förskollärare som profession"/>
        <s v="Ämneslärare som profession"/>
        <s v="Lärande och undervisning"/>
        <s v="Barns lärande och omsorg"/>
        <s v="Verksamhetsförlagd utbildning för yrkeslärare (VFU)"/>
        <s v="Bedömning (UK)"/>
        <s v="Utbildningens villkor och samhälleliga funktion (UK)"/>
        <s v="Den professionella läraren 1: Barns utveckling, specialpedagogik, sociala relationer och kommunikation (UK)"/>
        <s v="Utbildningsvetenskap, undervisning och lärande för förskolan (UK)"/>
        <s v="Specialpedagogik för förskolan (UK)"/>
        <s v="Specialpedagogik för grundskolan (UK)"/>
        <s v="Specialpedagogik - åk 7-9 och gymnasieskolan (UK)"/>
        <s v="Utbildningsvetenskap, undervisning och lärande för grundskolan - fritidshem (UK)"/>
        <s v="Utbildningsvetenskap, undervisning och lärande för grundskolan (UK)"/>
        <s v="Utbildningsvetenskap, undervisning och lärande - Ämneslärarprogrammet (UK)"/>
        <s v="Den professionella läraren 2: Uppdrag, ledarskap och undervisning (UK)"/>
        <s v="Barnet, omvärlden och fritidshemmets uppdrag"/>
        <s v="Bedömning för och av lärande i grundskolan (UK)"/>
        <s v="Bedömning för lärande i förskolan (UK)"/>
        <s v="Bedömning för och av lärande för åk 7-9 och gymnasium (UK)"/>
        <s v="Kunskap, undervisning och lärande 2"/>
        <s v="Läraryrkets dimensioner för förskoleklass och grundskolans årskurs 1-3 (VFU)"/>
        <s v="Läraryrkets dimensioner för grundskolans årskurs 4-6 (VFU)"/>
        <s v="Samhällsorientering för förskolan"/>
        <s v="Profession och vetenskap för förskolan (UK)"/>
        <s v="Profession och vetenskap för fritidshem (UK)"/>
        <s v="Grundlärare som profession (UK)"/>
        <s v="Profession och vetenskap för åk 4-6 (UK III)"/>
        <s v="Profession och vetenskap för F-3 (UK III)"/>
        <s v="Att vara grundlärare (VFU)"/>
        <s v="Språk och matematik i ett specialpedagogiskt perspektiv"/>
        <s v="Pedagogiskt ledarskap, sociala relationer och konflikthantering"/>
        <s v="Examensarbete i svenska för ämneslärarexamen"/>
        <s v="Samhällskunskap 1"/>
        <s v="Samhällskunskap 2"/>
        <s v="Samhällskunskap 3"/>
        <s v="Profession och vetenskap"/>
        <s v="Introduktion till det specialpedagogiska fältet"/>
        <s v="Neuropsykiatriska svårigheter i olika lärmiljöer"/>
        <s v="Speciallärarens och specialpedagogens yrkesfunktion"/>
        <s v="Utvärdering, ledarskap och förändringsarbete"/>
        <s v="Svenska I för ämneslärare"/>
        <s v="Svenska II för ämneslärare"/>
        <s v="Svenska III för ämneslärare"/>
        <s v="Samhällsvetenskap"/>
        <s v="Beteendevetenskapliga grunder"/>
        <s v="Kunskap, undervisning och lärande II (7-9)(Gy), Mom 2 (Ma), 3 hp" u="1"/>
        <s v="Utbildningens villkor och samhälleliga funktion" u="1"/>
        <s v="Vetenskapliga metoder i geografi" u="1"/>
        <s v="Ämnesdidaktik i skolpraktiken, del 1" u="1"/>
        <s v="Kunskap, undervisning och lärande II (7-9)(Gy), Mom 2 (Bild+Mu+Slöjd), 3 hp" u="1"/>
        <s v="Bedömning för lärande för förskolan 1 (UK)" u="1"/>
        <s v="Kunskap, undervisning och lärande II (7-9)(Gy), Mom 2 (Hi+Re), 3 hp" u="1"/>
        <s v="Historia III forts." u="1"/>
        <s v="Matematik för åk 4-6, kurs 4" u="1"/>
        <s v="Lärande, lek och utveckling i förskolan II" u="1"/>
        <s v="Vetenskap och kunskap" u="1"/>
        <s v="Lärande, lek och utveckling i förskolan I" u="1"/>
        <s v="Kunskap, undervisning och lärande II för åk 4-6" u="1"/>
        <s v="Bedömning för lärande i fritidshem (UK II)" u="1"/>
        <s v="Verksamhetsförlagd utbildning för yrkeslärare" u="1"/>
        <s v="Geografi II" u="1"/>
        <s v="Kunskap, undervisning och lärande i fritidshem II" u="1"/>
        <s v="Kunskap undervisning och lärande II" u="1"/>
        <s v="Matematik 2 för grundskolans årskurs 4-6" u="1"/>
        <s v="Kunskap, undervisning och lärande II (7-9)(Gy), Mom 2 (Hk), 3 hp" u="1"/>
        <s v="Kunskap, undervisning och lärande för förskolan (UK)" u="1"/>
        <s v="Kunskap, undervisning och lärande II (7-9)(Gy), Mom 2 (Sv+Eng), 3 hp" u="1"/>
        <s v="Den professionella läraren I: Barns och ungas utveckling, specialpedagogik, sociala relationer och kommunikation" u="1"/>
        <e v="#N/A" u="1"/>
        <s v="Idrott och hälsa III" u="1"/>
        <s v="Vetenskap och kunskap (UK)" u="1"/>
        <s v="Barnet och omvärlden" u="1"/>
        <s v="Lärande, lek och utveckling i förskolan III. Skapande och lek i förskolan I:II" u="1"/>
        <s v="Grundlärare som profession" u="1"/>
        <s v="Läraryrkets dimensioner för F-3 (VFU III)" u="1"/>
        <s v="Kunskap, undervisning och lärande II för 7-9 och gymnasiet" u="1"/>
        <s v="Kunskap undervisning och lärande II för F-3" u="1"/>
        <s v="Bedömning för lärande för åk F-3 och 4-6" u="1"/>
        <s v="Verksamhetsförlagd utbildning (KPU)" u="1"/>
        <s v="Läraryrkets dimensioner för åk 4-6 (VFU III)" u="1"/>
        <s v="Bedömning" u="1"/>
        <s v="Profession och vetenskap i fritidshem (UK III)" u="1"/>
        <s v="Matematik för åk F-3, kurs 4" u="1"/>
        <s v="Bedömning för lärande för ämneslärare för åk 7-9 och gymnasium" u="1"/>
        <s v="Den professionella läraren II: Uppdrag, ledarskap och undervisning" u="1"/>
        <s v="Examensarbete" u="1"/>
        <s v="Barns lärande och utveckling i ett fritidshemsperspektiv" u="1"/>
      </sharedItems>
    </cacheField>
    <cacheField name="Org 1" numFmtId="0">
      <sharedItems containsSemiMixedTypes="0" containsString="0" containsNumber="1" containsInteger="1" minValue="1620" maxValue="5740" count="21">
        <n v="2180"/>
        <n v="2193"/>
        <n v="2360"/>
        <n v="3306"/>
        <n v="2750"/>
        <n v="3850"/>
        <n v="5100"/>
        <n v="5740"/>
        <n v="1640"/>
        <n v="2200"/>
        <n v="2272"/>
        <n v="2500"/>
        <n v="5730"/>
        <n v="1650"/>
        <n v="2300"/>
        <n v="2340"/>
        <n v="1620"/>
        <n v="2271"/>
        <n v="2220"/>
        <n v="1630" u="1"/>
        <n v="3704" u="1"/>
      </sharedItems>
    </cacheField>
    <cacheField name="Medv namn" numFmtId="0">
      <sharedItems count="21">
        <s v="Pedagogik                     "/>
        <s v="TUV "/>
        <s v="Ekonomisk historia            "/>
        <s v="Idrottsmedicin                "/>
        <s v="Kostvetenskap                 "/>
        <s v="Epidemiologi och global hälsa"/>
        <s v="EMG"/>
        <s v="NMD"/>
        <s v="Inst för kultur- o medievetenskap"/>
        <s v="Inst för psykologi            "/>
        <s v="Statistik                     "/>
        <s v="Geografi"/>
        <s v="Inst för MA och MA statistik"/>
        <s v="Estetiska ämnen               "/>
        <s v="Juridiska institutionen       "/>
        <s v="Statsvetenskap                "/>
        <s v="Inst för språkstudier"/>
        <s v="Nationalekonomi               "/>
        <s v="Sociologi                     "/>
        <s v="Geografi och ekonomisk historia" u="1"/>
        <s v="Inst för ide- o samhällsstudier" u="1"/>
      </sharedItems>
    </cacheField>
    <cacheField name="Fak medv" numFmtId="0">
      <sharedItems count="4">
        <s v="Sam"/>
        <s v="Med"/>
        <s v="TekNat"/>
        <s v="Hum"/>
      </sharedItems>
    </cacheField>
    <cacheField name="% org 1" numFmtId="10">
      <sharedItems containsSemiMixedTypes="0" containsString="0" containsNumber="1" minValue="0.05" maxValue="1" count="35">
        <n v="0.2"/>
        <n v="0.1"/>
        <n v="0.25"/>
        <n v="0.15"/>
        <n v="0.16666666666666666"/>
        <n v="0.5"/>
        <n v="0.05"/>
        <n v="0.13333333333333333"/>
        <n v="0.46666666666666667"/>
        <n v="0.33333333333333331"/>
        <n v="0.26666666666666666"/>
        <n v="0.4"/>
        <n v="0.125"/>
        <n v="0.41666666666666669"/>
        <n v="8.3333333333333329E-2"/>
        <n v="0.375"/>
        <n v="0.22727272727272727"/>
        <n v="9.0909090909090912E-2"/>
        <n v="0.3"/>
        <n v="0.35555555555555557"/>
        <n v="0.16"/>
        <n v="0.24000000000000002"/>
        <n v="0.18000000000000002"/>
        <n v="0.26999999999999996"/>
        <n v="0.7"/>
        <n v="0.6"/>
        <n v="7.4999999999999997E-2" u="1"/>
        <n v="0.2857142857142857" u="1"/>
        <n v="0.8" u="1"/>
        <n v="0.17857142857142858" u="1"/>
        <n v="0.48888888888888887" u="1"/>
        <n v="0.35" u="1"/>
        <n v="0.14285714285714285" u="1"/>
        <n v="1" u="1"/>
        <n v="9.166666666666666E-2" u="1"/>
      </sharedItems>
    </cacheField>
    <cacheField name="Ansv org" numFmtId="0">
      <sharedItems containsSemiMixedTypes="0" containsString="0" containsNumber="1" containsInteger="1" minValue="1620" maxValue="5740" count="9">
        <n v="1650"/>
        <n v="1630"/>
        <n v="2180"/>
        <n v="2500"/>
        <n v="1620"/>
        <n v="5740"/>
        <n v="2193"/>
        <n v="2340"/>
        <n v="5100" u="1"/>
      </sharedItems>
    </cacheField>
    <cacheField name="Kursansvar namn" numFmtId="0">
      <sharedItems count="11">
        <s v="Estetiska ämnen               "/>
        <s v="Inst för ide- o samhällsstudier"/>
        <s v="Pedagogik                     "/>
        <s v="Geografi"/>
        <s v="Inst för språkstudier"/>
        <s v="NMD"/>
        <s v="TUV "/>
        <s v="Statsvetenskap                "/>
        <s v="EMG" u="1"/>
        <s v="Geografi och ekonomisk historia" u="1"/>
        <e v="#N/A" u="1"/>
      </sharedItems>
    </cacheField>
    <cacheField name="Fak kursansvar" numFmtId="0">
      <sharedItems/>
    </cacheField>
    <cacheField name="Total HST" numFmtId="166">
      <sharedItems containsSemiMixedTypes="0" containsString="0" containsNumber="1" minValue="0.75" maxValue="38.625"/>
    </cacheField>
    <cacheField name="HST Medv" numFmtId="166">
      <sharedItems containsSemiMixedTypes="0" containsString="0" containsNumber="1" minValue="0.32500000000000001" maxValue="17.149999999999999"/>
    </cacheField>
    <cacheField name="Total HPR" numFmtId="166">
      <sharedItems containsSemiMixedTypes="0" containsString="0" containsNumber="1" minValue="0.63749999999999996" maxValue="32.831249999999997"/>
    </cacheField>
    <cacheField name="HPR Medv" numFmtId="166">
      <sharedItems containsSemiMixedTypes="0" containsString="0" containsNumber="1" minValue="0.27625" maxValue="14.577500000000001"/>
    </cacheField>
    <cacheField name="Prislapp HST" numFmtId="168">
      <sharedItems containsSemiMixedTypes="0" containsString="0" containsNumber="1" minValue="15846" maxValue="45034"/>
    </cacheField>
    <cacheField name="Prislapp HPR" numFmtId="168">
      <sharedItems containsSemiMixedTypes="0" containsString="0" containsNumber="1" minValue="15773" maxValue="34806"/>
    </cacheField>
    <cacheField name="Lokalin/hst" numFmtId="168">
      <sharedItems containsSemiMixedTypes="0" containsString="0" containsNumber="1" containsInteger="1" minValue="3400" maxValue="34500"/>
    </cacheField>
    <cacheField name="Kursintäkt" numFmtId="168">
      <sharedItems containsSemiMixedTypes="0" containsString="0" containsNumber="1" minValue="10338.91625" maxValue="825071.06499999994"/>
    </cacheField>
    <cacheField name="Avdrag" numFmtId="168">
      <sharedItems containsSemiMixedTypes="0" containsString="0" containsNumber="1" minValue="-57754.974549999999" maxValue="-723.7241375000001"/>
    </cacheField>
    <cacheField name="Kursintäkt efter avdrag" numFmtId="168">
      <sharedItems containsSemiMixedTypes="0" containsString="0" containsNumber="1" minValue="9615.1921125000008" maxValue="767316.0904499999"/>
    </cacheField>
    <cacheField name="Lokalintäkt" numFmtId="168">
      <sharedItems containsSemiMixedTypes="0" containsString="0" containsNumber="1" minValue="1885" maxValue="12506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7">
  <r>
    <x v="0"/>
    <x v="0"/>
    <n v="2180"/>
    <x v="0"/>
    <s v="Sam"/>
    <x v="0"/>
    <n v="1650"/>
    <x v="0"/>
    <s v="Hum"/>
    <n v="10.375"/>
    <n v="2.0750000000000002"/>
    <n v="8.8187499999999996"/>
    <n v="1.7637499999999999"/>
    <n v="15846"/>
    <n v="26926"/>
    <n v="17300"/>
    <n v="80371.182499999995"/>
    <n v="-5625.9827750000004"/>
    <n v="74745.199724999999"/>
    <n v="35897.5"/>
  </r>
  <r>
    <x v="0"/>
    <x v="0"/>
    <n v="2193"/>
    <x v="1"/>
    <s v="Sam"/>
    <x v="0"/>
    <n v="1650"/>
    <x v="0"/>
    <s v="Hum"/>
    <n v="10.375"/>
    <n v="2.0750000000000002"/>
    <n v="8.8187499999999996"/>
    <n v="1.7637499999999999"/>
    <n v="15846"/>
    <n v="26926"/>
    <n v="17300"/>
    <n v="80371.182499999995"/>
    <n v="-5625.9827750000004"/>
    <n v="74745.199724999999"/>
    <n v="35897.5"/>
  </r>
  <r>
    <x v="1"/>
    <x v="1"/>
    <n v="2180"/>
    <x v="0"/>
    <s v="Sam"/>
    <x v="1"/>
    <n v="1650"/>
    <x v="0"/>
    <s v="Hum"/>
    <n v="21"/>
    <n v="2.1"/>
    <n v="17.850000000000001"/>
    <n v="1.7850000000000001"/>
    <n v="15846"/>
    <n v="26926"/>
    <n v="17300"/>
    <n v="81339.510000000009"/>
    <n v="-5693.7657000000008"/>
    <n v="75645.744300000006"/>
    <n v="36330"/>
  </r>
  <r>
    <x v="1"/>
    <x v="1"/>
    <n v="2193"/>
    <x v="1"/>
    <s v="Sam"/>
    <x v="1"/>
    <n v="1650"/>
    <x v="0"/>
    <s v="Hum"/>
    <n v="21"/>
    <n v="2.1"/>
    <n v="17.850000000000001"/>
    <n v="1.7850000000000001"/>
    <n v="15846"/>
    <n v="26926"/>
    <n v="17300"/>
    <n v="81339.510000000009"/>
    <n v="-5693.7657000000008"/>
    <n v="75645.744300000006"/>
    <n v="36330"/>
  </r>
  <r>
    <x v="2"/>
    <x v="2"/>
    <n v="2360"/>
    <x v="2"/>
    <s v="Sam"/>
    <x v="2"/>
    <n v="1630"/>
    <x v="1"/>
    <s v="Hum"/>
    <n v="12"/>
    <n v="3"/>
    <n v="10.199999999999999"/>
    <n v="2.5499999999999998"/>
    <n v="18405"/>
    <n v="15773"/>
    <n v="5800"/>
    <n v="95436.15"/>
    <n v="-6680.5304999999998"/>
    <n v="88755.619500000001"/>
    <n v="17400"/>
  </r>
  <r>
    <x v="3"/>
    <x v="3"/>
    <n v="3306"/>
    <x v="3"/>
    <s v="Med"/>
    <x v="2"/>
    <n v="2180"/>
    <x v="2"/>
    <s v="Sam"/>
    <n v="14.5"/>
    <n v="3.625"/>
    <n v="12.225"/>
    <n v="3.0562499999999999"/>
    <n v="45034"/>
    <n v="31547"/>
    <n v="34500"/>
    <n v="259663.76874999999"/>
    <n v="-18176.463812500002"/>
    <n v="241487.30493749998"/>
    <n v="125062.5"/>
  </r>
  <r>
    <x v="3"/>
    <x v="3"/>
    <n v="2750"/>
    <x v="4"/>
    <s v="Sam"/>
    <x v="3"/>
    <n v="2180"/>
    <x v="2"/>
    <s v="Sam"/>
    <n v="14.5"/>
    <n v="2.1749999999999998"/>
    <n v="12.225"/>
    <n v="1.8337499999999998"/>
    <n v="45034"/>
    <n v="31547"/>
    <n v="34500"/>
    <n v="155798.26124999998"/>
    <n v="-10905.8782875"/>
    <n v="144892.38296249998"/>
    <n v="75037.5"/>
  </r>
  <r>
    <x v="4"/>
    <x v="4"/>
    <n v="3850"/>
    <x v="5"/>
    <s v="Med"/>
    <x v="4"/>
    <n v="2180"/>
    <x v="2"/>
    <s v="Sam"/>
    <n v="11"/>
    <n v="1.8333333333333333"/>
    <n v="9.2750000000000004"/>
    <n v="1.5458333333333334"/>
    <n v="45034"/>
    <n v="31547"/>
    <n v="34500"/>
    <n v="131328.73749999999"/>
    <n v="-9193.0116249999992"/>
    <n v="122135.72587499999"/>
    <n v="63250"/>
  </r>
  <r>
    <x v="5"/>
    <x v="5"/>
    <n v="3306"/>
    <x v="3"/>
    <s v="Med"/>
    <x v="2"/>
    <n v="2180"/>
    <x v="2"/>
    <s v="Sam"/>
    <n v="15"/>
    <n v="3.75"/>
    <n v="12.625"/>
    <n v="3.15625"/>
    <n v="45034"/>
    <n v="31547"/>
    <n v="34500"/>
    <n v="268447.71875"/>
    <n v="-18791.3403125"/>
    <n v="249656.37843750001"/>
    <n v="129375"/>
  </r>
  <r>
    <x v="6"/>
    <x v="6"/>
    <n v="5100"/>
    <x v="6"/>
    <s v="TekNat"/>
    <x v="5"/>
    <n v="2500"/>
    <x v="3"/>
    <s v="Sam"/>
    <n v="0.75"/>
    <n v="0.375"/>
    <n v="0.63749999999999996"/>
    <n v="0.31874999999999998"/>
    <n v="18405"/>
    <n v="15773"/>
    <n v="5800"/>
    <n v="11929.518749999999"/>
    <n v="-835.06631249999998"/>
    <n v="11094.4524375"/>
    <n v="2175"/>
  </r>
  <r>
    <x v="7"/>
    <x v="7"/>
    <n v="5100"/>
    <x v="6"/>
    <s v="TekNat"/>
    <x v="5"/>
    <n v="2500"/>
    <x v="3"/>
    <s v="Sam"/>
    <n v="0.875"/>
    <n v="0.4375"/>
    <n v="0.74375000000000002"/>
    <n v="0.37187500000000001"/>
    <n v="18672"/>
    <n v="20531.25"/>
    <n v="9800"/>
    <n v="15804.05859375"/>
    <n v="-1106.2841015625002"/>
    <n v="14697.7744921875"/>
    <n v="4287.5"/>
  </r>
  <r>
    <x v="8"/>
    <x v="8"/>
    <n v="5740"/>
    <x v="7"/>
    <s v="TekNat"/>
    <x v="5"/>
    <n v="1620"/>
    <x v="4"/>
    <s v="Hum"/>
    <n v="9"/>
    <n v="4.5"/>
    <n v="7.6499999999999995"/>
    <n v="3.8249999999999997"/>
    <n v="18405"/>
    <n v="15773"/>
    <n v="5800"/>
    <n v="143154.22500000001"/>
    <n v="-10020.795750000001"/>
    <n v="133133.42925000002"/>
    <n v="26100"/>
  </r>
  <r>
    <x v="9"/>
    <x v="9"/>
    <n v="1640"/>
    <x v="8"/>
    <s v="Hum"/>
    <x v="5"/>
    <n v="1630"/>
    <x v="1"/>
    <s v="Hum"/>
    <n v="13.049999999999999"/>
    <n v="6.5249999999999995"/>
    <n v="11.092499999999999"/>
    <n v="5.5462499999999997"/>
    <n v="23641"/>
    <n v="28786"/>
    <n v="5800"/>
    <n v="313911.87749999994"/>
    <n v="-21973.831424999997"/>
    <n v="291938.04607499996"/>
    <n v="37845"/>
  </r>
  <r>
    <x v="10"/>
    <x v="10"/>
    <n v="2200"/>
    <x v="9"/>
    <s v="Sam"/>
    <x v="0"/>
    <n v="1630"/>
    <x v="1"/>
    <s v="Hum"/>
    <n v="16.166666666666664"/>
    <n v="3.2333333333333329"/>
    <n v="13.741666666666665"/>
    <n v="2.7483333333333331"/>
    <n v="23641"/>
    <n v="28786"/>
    <n v="5800"/>
    <n v="155552.75666666665"/>
    <n v="-10888.692966666667"/>
    <n v="144664.0637"/>
    <n v="18753.333333333332"/>
  </r>
  <r>
    <x v="10"/>
    <x v="10"/>
    <n v="2272"/>
    <x v="10"/>
    <s v="Sam"/>
    <x v="6"/>
    <n v="1630"/>
    <x v="1"/>
    <s v="Hum"/>
    <n v="16.166666666666664"/>
    <n v="0.80833333333333324"/>
    <n v="13.741666666666665"/>
    <n v="0.68708333333333327"/>
    <n v="23641"/>
    <n v="28786"/>
    <n v="5800"/>
    <n v="38888.189166666663"/>
    <n v="-2722.1732416666669"/>
    <n v="36166.015925"/>
    <n v="4688.333333333333"/>
  </r>
  <r>
    <x v="11"/>
    <x v="11"/>
    <n v="2500"/>
    <x v="11"/>
    <s v="Sam"/>
    <x v="4"/>
    <n v="1630"/>
    <x v="1"/>
    <s v="Hum"/>
    <n v="7"/>
    <n v="1.1666666666666665"/>
    <n v="5.9499999999999993"/>
    <n v="0.99166666666666647"/>
    <n v="18405"/>
    <n v="15773"/>
    <n v="5800"/>
    <n v="37114.058333333327"/>
    <n v="-2597.9840833333333"/>
    <n v="34516.074249999991"/>
    <n v="6766.6666666666661"/>
  </r>
  <r>
    <x v="11"/>
    <x v="11"/>
    <n v="2180"/>
    <x v="0"/>
    <s v="Sam"/>
    <x v="5"/>
    <n v="1630"/>
    <x v="1"/>
    <s v="Hum"/>
    <n v="7"/>
    <n v="3.5"/>
    <n v="5.9499999999999993"/>
    <n v="2.9749999999999996"/>
    <n v="18405"/>
    <n v="15773"/>
    <n v="5800"/>
    <n v="111342.17499999999"/>
    <n v="-7793.9522500000003"/>
    <n v="103548.22274999999"/>
    <n v="20300"/>
  </r>
  <r>
    <x v="12"/>
    <x v="12"/>
    <n v="2272"/>
    <x v="10"/>
    <s v="Sam"/>
    <x v="0"/>
    <n v="1630"/>
    <x v="1"/>
    <s v="Hum"/>
    <n v="40.465000000000003"/>
    <n v="8.0930000000000017"/>
    <n v="34.39524999999999"/>
    <n v="6.8790499999999986"/>
    <n v="23641"/>
    <n v="28786"/>
    <n v="5800"/>
    <n v="389346.94630000001"/>
    <n v="-27254.286241000002"/>
    <n v="362092.66005900002"/>
    <n v="46939.400000000009"/>
  </r>
  <r>
    <x v="12"/>
    <x v="12"/>
    <n v="2180"/>
    <x v="0"/>
    <s v="Sam"/>
    <x v="7"/>
    <n v="1630"/>
    <x v="1"/>
    <s v="Hum"/>
    <n v="40.465000000000003"/>
    <n v="5.3953333333333333"/>
    <n v="34.39524999999999"/>
    <n v="4.5860333333333321"/>
    <n v="23641"/>
    <n v="28786"/>
    <n v="5800"/>
    <n v="259564.63086666662"/>
    <n v="-18169.524160666664"/>
    <n v="241395.10670599996"/>
    <n v="31292.933333333334"/>
  </r>
  <r>
    <x v="13"/>
    <x v="13"/>
    <n v="1640"/>
    <x v="8"/>
    <s v="Hum"/>
    <x v="8"/>
    <n v="1630"/>
    <x v="1"/>
    <s v="Hum"/>
    <n v="40.158750000000005"/>
    <n v="18.740750000000002"/>
    <n v="34.134937499999992"/>
    <n v="15.929637499999997"/>
    <n v="23641"/>
    <n v="28786"/>
    <n v="5800"/>
    <n v="901600.61582499999"/>
    <n v="-63112.043107750003"/>
    <n v="838488.57271724998"/>
    <n v="108696.35"/>
  </r>
  <r>
    <x v="14"/>
    <x v="14"/>
    <n v="5740"/>
    <x v="7"/>
    <s v="TekNat"/>
    <x v="9"/>
    <n v="1620"/>
    <x v="4"/>
    <s v="Hum"/>
    <n v="2.9000000000000004"/>
    <n v="0.96666666666666679"/>
    <n v="2.4650000000000003"/>
    <n v="0.82166666666666677"/>
    <n v="21634"/>
    <n v="26986"/>
    <n v="3400"/>
    <n v="43086.363333333342"/>
    <n v="-3016.0454333333341"/>
    <n v="40070.317900000009"/>
    <n v="3286.666666666667"/>
  </r>
  <r>
    <x v="15"/>
    <x v="15"/>
    <n v="5740"/>
    <x v="7"/>
    <s v="TekNat"/>
    <x v="9"/>
    <n v="1620"/>
    <x v="4"/>
    <s v="Hum"/>
    <n v="2.9000000000000004"/>
    <n v="0.96666666666666679"/>
    <n v="2.4650000000000003"/>
    <n v="0.82166666666666677"/>
    <n v="21634"/>
    <n v="26986"/>
    <n v="3400"/>
    <n v="43086.363333333342"/>
    <n v="-3016.0454333333341"/>
    <n v="40070.317900000009"/>
    <n v="3286.666666666667"/>
  </r>
  <r>
    <x v="16"/>
    <x v="16"/>
    <n v="2193"/>
    <x v="1"/>
    <s v="Sam"/>
    <x v="0"/>
    <n v="1620"/>
    <x v="4"/>
    <s v="Hum"/>
    <n v="21.75"/>
    <n v="4.3500000000000005"/>
    <n v="18.487500000000001"/>
    <n v="3.6975000000000002"/>
    <n v="18405"/>
    <n v="15773"/>
    <n v="5800"/>
    <n v="138382.41750000001"/>
    <n v="-9686.7692250000018"/>
    <n v="128695.64827500001"/>
    <n v="25230.000000000004"/>
  </r>
  <r>
    <x v="17"/>
    <x v="17"/>
    <n v="2193"/>
    <x v="1"/>
    <s v="Sam"/>
    <x v="9"/>
    <n v="1620"/>
    <x v="4"/>
    <s v="Hum"/>
    <n v="3.125"/>
    <n v="1.0416666666666665"/>
    <n v="2.65625"/>
    <n v="0.88541666666666663"/>
    <n v="18405"/>
    <n v="15773"/>
    <n v="5800"/>
    <n v="33137.552083333328"/>
    <n v="-2319.6286458333334"/>
    <n v="30817.923437499994"/>
    <n v="6041.6666666666661"/>
  </r>
  <r>
    <x v="18"/>
    <x v="18"/>
    <n v="5730"/>
    <x v="12"/>
    <s v="TekNat"/>
    <x v="9"/>
    <n v="5740"/>
    <x v="5"/>
    <s v="TekNat"/>
    <n v="4.5"/>
    <n v="1.5"/>
    <n v="3.8250000000000002"/>
    <n v="1.2749999999999999"/>
    <n v="19473"/>
    <n v="34806"/>
    <n v="21800"/>
    <n v="73587.149999999994"/>
    <n v="-5151.1005000000005"/>
    <n v="68436.049499999994"/>
    <n v="32700"/>
  </r>
  <r>
    <x v="19"/>
    <x v="19"/>
    <n v="5730"/>
    <x v="12"/>
    <s v="TekNat"/>
    <x v="9"/>
    <n v="5740"/>
    <x v="5"/>
    <s v="TekNat"/>
    <n v="2.625"/>
    <n v="0.875"/>
    <n v="2.2312499999999997"/>
    <n v="0.74374999999999991"/>
    <n v="19473"/>
    <n v="34806"/>
    <n v="21800"/>
    <n v="42925.837499999994"/>
    <n v="-3004.8086249999997"/>
    <n v="39921.028874999996"/>
    <n v="19075"/>
  </r>
  <r>
    <x v="20"/>
    <x v="20"/>
    <n v="5730"/>
    <x v="12"/>
    <s v="TekNat"/>
    <x v="9"/>
    <n v="5740"/>
    <x v="5"/>
    <s v="TekNat"/>
    <n v="3.5"/>
    <n v="1.1666666666666665"/>
    <n v="2.9750000000000001"/>
    <n v="0.9916666666666667"/>
    <n v="19473"/>
    <n v="34806"/>
    <n v="21800"/>
    <n v="57234.45"/>
    <n v="-4006.4115000000002"/>
    <n v="53228.038499999995"/>
    <n v="25433.333333333328"/>
  </r>
  <r>
    <x v="21"/>
    <x v="21"/>
    <n v="2193"/>
    <x v="1"/>
    <s v="Sam"/>
    <x v="10"/>
    <n v="5740"/>
    <x v="5"/>
    <s v="TekNat"/>
    <n v="10.625"/>
    <n v="2.8333333333333335"/>
    <n v="9.03125"/>
    <n v="2.4083333333333332"/>
    <n v="19473"/>
    <n v="34806"/>
    <n v="21800"/>
    <n v="138997.95000000001"/>
    <n v="-9729.8565000000017"/>
    <n v="129268.09350000002"/>
    <n v="61766.666666666672"/>
  </r>
  <r>
    <x v="22"/>
    <x v="22"/>
    <n v="2193"/>
    <x v="1"/>
    <s v="Sam"/>
    <x v="0"/>
    <n v="5740"/>
    <x v="5"/>
    <s v="TekNat"/>
    <n v="13.75"/>
    <n v="2.75"/>
    <n v="11.6875"/>
    <n v="2.3374999999999999"/>
    <n v="19473"/>
    <n v="34806"/>
    <n v="21800"/>
    <n v="134909.77499999999"/>
    <n v="-9443.6842500000002"/>
    <n v="125466.09074999999"/>
    <n v="59950"/>
  </r>
  <r>
    <x v="23"/>
    <x v="23"/>
    <n v="1650"/>
    <x v="13"/>
    <s v="Hum"/>
    <x v="11"/>
    <n v="2193"/>
    <x v="6"/>
    <s v="Sam"/>
    <n v="3.125"/>
    <n v="1.25"/>
    <n v="2.65625"/>
    <n v="1.0625"/>
    <n v="18405"/>
    <n v="15773"/>
    <n v="5800"/>
    <n v="39765.0625"/>
    <n v="-2783.5543750000002"/>
    <n v="36981.508125"/>
    <n v="7250"/>
  </r>
  <r>
    <x v="24"/>
    <x v="24"/>
    <n v="2193"/>
    <x v="1"/>
    <s v="Sam"/>
    <x v="11"/>
    <n v="2180"/>
    <x v="2"/>
    <s v="Sam"/>
    <n v="11.25"/>
    <n v="4.5"/>
    <n v="9.5625"/>
    <n v="3.8250000000000002"/>
    <n v="23641"/>
    <n v="28786"/>
    <n v="5800"/>
    <n v="216490.95"/>
    <n v="-15154.366500000002"/>
    <n v="201336.58350000001"/>
    <n v="26100"/>
  </r>
  <r>
    <x v="25"/>
    <x v="25"/>
    <n v="2180"/>
    <x v="0"/>
    <s v="Sam"/>
    <x v="11"/>
    <n v="2193"/>
    <x v="6"/>
    <s v="Sam"/>
    <n v="4.3333333333333339"/>
    <n v="1.7333333333333336"/>
    <n v="3.6833333333333331"/>
    <n v="1.4733333333333334"/>
    <n v="23641"/>
    <n v="28786"/>
    <n v="5800"/>
    <n v="83389.106666666674"/>
    <n v="-5837.2374666666674"/>
    <n v="77551.869200000001"/>
    <n v="10053.333333333336"/>
  </r>
  <r>
    <x v="26"/>
    <x v="26"/>
    <n v="2180"/>
    <x v="0"/>
    <s v="Sam"/>
    <x v="11"/>
    <n v="2193"/>
    <x v="6"/>
    <s v="Sam"/>
    <n v="1.9166666666666665"/>
    <n v="0.76666666666666661"/>
    <n v="1.6291666666666664"/>
    <n v="0.65166666666666662"/>
    <n v="23641"/>
    <n v="28786"/>
    <n v="5800"/>
    <n v="36883.643333333333"/>
    <n v="-2581.8550333333337"/>
    <n v="34301.7883"/>
    <n v="4446.6666666666661"/>
  </r>
  <r>
    <x v="27"/>
    <x v="27"/>
    <n v="2300"/>
    <x v="14"/>
    <s v="Sam"/>
    <x v="2"/>
    <n v="2193"/>
    <x v="6"/>
    <s v="Sam"/>
    <n v="8"/>
    <n v="2"/>
    <n v="6.8"/>
    <n v="1.7"/>
    <n v="23641"/>
    <n v="28786"/>
    <n v="5800"/>
    <n v="96218.2"/>
    <n v="-6735.2740000000003"/>
    <n v="89482.925999999992"/>
    <n v="11600"/>
  </r>
  <r>
    <x v="28"/>
    <x v="28"/>
    <n v="2300"/>
    <x v="14"/>
    <s v="Sam"/>
    <x v="2"/>
    <n v="2180"/>
    <x v="2"/>
    <s v="Sam"/>
    <n v="15.400000000000002"/>
    <n v="3.8500000000000005"/>
    <n v="13.090000000000002"/>
    <n v="3.2725000000000004"/>
    <n v="23641"/>
    <n v="28786"/>
    <n v="5800"/>
    <n v="185220.03500000003"/>
    <n v="-12965.402450000003"/>
    <n v="172254.63255000004"/>
    <n v="22330.000000000004"/>
  </r>
  <r>
    <x v="29"/>
    <x v="29"/>
    <n v="2200"/>
    <x v="9"/>
    <s v="Sam"/>
    <x v="11"/>
    <n v="2180"/>
    <x v="2"/>
    <s v="Sam"/>
    <n v="40.931249999999999"/>
    <n v="16.372499999999999"/>
    <n v="34.791562499999991"/>
    <n v="13.916624999999996"/>
    <n v="23641"/>
    <n v="28786"/>
    <n v="5800"/>
    <n v="787666.23974999983"/>
    <n v="-55136.636782499991"/>
    <n v="732529.60296749987"/>
    <n v="94960.499999999985"/>
  </r>
  <r>
    <x v="30"/>
    <x v="30"/>
    <n v="2180"/>
    <x v="0"/>
    <s v="Sam"/>
    <x v="0"/>
    <n v="2193"/>
    <x v="6"/>
    <s v="Sam"/>
    <n v="16.5"/>
    <n v="3.3000000000000003"/>
    <n v="14.025"/>
    <n v="2.8050000000000002"/>
    <n v="18405"/>
    <n v="15773"/>
    <n v="5800"/>
    <n v="104979.76500000001"/>
    <n v="-7348.5835500000021"/>
    <n v="97631.181450000018"/>
    <n v="19140"/>
  </r>
  <r>
    <x v="31"/>
    <x v="31"/>
    <n v="2193"/>
    <x v="1"/>
    <s v="Sam"/>
    <x v="5"/>
    <n v="2180"/>
    <x v="2"/>
    <s v="Sam"/>
    <n v="9.75"/>
    <n v="4.875"/>
    <n v="8.2874999999999996"/>
    <n v="4.1437499999999998"/>
    <n v="21634"/>
    <n v="26986"/>
    <n v="3400"/>
    <n v="217288.98749999999"/>
    <n v="-15210.229125"/>
    <n v="202078.75837499998"/>
    <n v="16575"/>
  </r>
  <r>
    <x v="32"/>
    <x v="32"/>
    <n v="2193"/>
    <x v="1"/>
    <s v="Sam"/>
    <x v="10"/>
    <n v="5740"/>
    <x v="5"/>
    <s v="TekNat"/>
    <n v="7.125"/>
    <n v="1.9"/>
    <n v="6.0562499999999995"/>
    <n v="1.6149999999999998"/>
    <n v="23641"/>
    <n v="28786"/>
    <n v="5800"/>
    <n v="91407.29"/>
    <n v="-6398.5102999999999"/>
    <n v="85008.779699999999"/>
    <n v="11020"/>
  </r>
  <r>
    <x v="32"/>
    <x v="32"/>
    <n v="2180"/>
    <x v="0"/>
    <s v="Sam"/>
    <x v="10"/>
    <n v="5740"/>
    <x v="5"/>
    <s v="TekNat"/>
    <n v="7.125"/>
    <n v="1.9"/>
    <n v="6.0562499999999995"/>
    <n v="1.6149999999999998"/>
    <n v="23641"/>
    <n v="28786"/>
    <n v="5800"/>
    <n v="91407.29"/>
    <n v="-6398.5102999999999"/>
    <n v="85008.779699999999"/>
    <n v="11020"/>
  </r>
  <r>
    <x v="33"/>
    <x v="33"/>
    <n v="2340"/>
    <x v="15"/>
    <s v="Sam"/>
    <x v="0"/>
    <n v="2193"/>
    <x v="6"/>
    <s v="Sam"/>
    <n v="7"/>
    <n v="1.4000000000000001"/>
    <n v="5.95"/>
    <n v="1.1900000000000002"/>
    <n v="23641"/>
    <n v="28786"/>
    <n v="5800"/>
    <n v="67352.740000000005"/>
    <n v="-4714.6918000000005"/>
    <n v="62638.048200000005"/>
    <n v="8120.0000000000009"/>
  </r>
  <r>
    <x v="34"/>
    <x v="34"/>
    <n v="2180"/>
    <x v="0"/>
    <s v="Sam"/>
    <x v="10"/>
    <n v="2193"/>
    <x v="6"/>
    <s v="Sam"/>
    <n v="7"/>
    <n v="1.8666666666666667"/>
    <n v="5.95"/>
    <n v="1.5866666666666667"/>
    <n v="23641"/>
    <n v="28786"/>
    <n v="5800"/>
    <n v="89803.653333333335"/>
    <n v="-6286.2557333333343"/>
    <n v="83517.397599999997"/>
    <n v="10826.666666666666"/>
  </r>
  <r>
    <x v="35"/>
    <x v="35"/>
    <n v="2180"/>
    <x v="0"/>
    <s v="Sam"/>
    <x v="12"/>
    <n v="2193"/>
    <x v="6"/>
    <s v="Sam"/>
    <n v="10.399999999999999"/>
    <n v="1.2999999999999998"/>
    <n v="8.8399999999999981"/>
    <n v="1.1049999999999998"/>
    <n v="23641"/>
    <n v="28786"/>
    <n v="5800"/>
    <n v="62541.829999999987"/>
    <n v="-4377.9280999999992"/>
    <n v="58163.90189999999"/>
    <n v="7539.9999999999991"/>
  </r>
  <r>
    <x v="35"/>
    <x v="35"/>
    <n v="2200"/>
    <x v="9"/>
    <s v="Sam"/>
    <x v="2"/>
    <n v="2193"/>
    <x v="6"/>
    <s v="Sam"/>
    <n v="10.399999999999999"/>
    <n v="2.5999999999999996"/>
    <n v="8.8399999999999981"/>
    <n v="2.2099999999999995"/>
    <n v="23641"/>
    <n v="28786"/>
    <n v="5800"/>
    <n v="125083.65999999997"/>
    <n v="-8755.8561999999984"/>
    <n v="116327.80379999998"/>
    <n v="15079.999999999998"/>
  </r>
  <r>
    <x v="36"/>
    <x v="36"/>
    <n v="2180"/>
    <x v="0"/>
    <s v="Sam"/>
    <x v="13"/>
    <n v="2193"/>
    <x v="6"/>
    <s v="Sam"/>
    <n v="7.8000000000000007"/>
    <n v="3.2500000000000004"/>
    <n v="6.63"/>
    <n v="2.7625000000000002"/>
    <n v="23641"/>
    <n v="28786"/>
    <n v="5800"/>
    <n v="156354.57500000001"/>
    <n v="-10944.820250000002"/>
    <n v="145409.75475000002"/>
    <n v="18850.000000000004"/>
  </r>
  <r>
    <x v="36"/>
    <x v="36"/>
    <n v="2200"/>
    <x v="9"/>
    <s v="Sam"/>
    <x v="14"/>
    <n v="2193"/>
    <x v="6"/>
    <s v="Sam"/>
    <n v="7.8000000000000007"/>
    <n v="0.65"/>
    <n v="6.63"/>
    <n v="0.55249999999999999"/>
    <n v="23641"/>
    <n v="28786"/>
    <n v="5800"/>
    <n v="31270.915000000001"/>
    <n v="-2188.96405"/>
    <n v="29081.950950000002"/>
    <n v="3770"/>
  </r>
  <r>
    <x v="37"/>
    <x v="37"/>
    <n v="2193"/>
    <x v="1"/>
    <s v="Sam"/>
    <x v="11"/>
    <n v="2180"/>
    <x v="2"/>
    <s v="Sam"/>
    <n v="7.0833333333333321"/>
    <n v="2.833333333333333"/>
    <n v="6.0083333333333329"/>
    <n v="2.4033333333333333"/>
    <n v="23641"/>
    <n v="28786"/>
    <n v="5800"/>
    <n v="136165.18666666665"/>
    <n v="-9531.5630666666657"/>
    <n v="126633.62359999998"/>
    <n v="16433.333333333332"/>
  </r>
  <r>
    <x v="37"/>
    <x v="37"/>
    <n v="2200"/>
    <x v="9"/>
    <s v="Sam"/>
    <x v="1"/>
    <n v="2180"/>
    <x v="2"/>
    <s v="Sam"/>
    <n v="7.0833333333333321"/>
    <n v="0.70833333333333326"/>
    <n v="6.0083333333333329"/>
    <n v="0.60083333333333333"/>
    <n v="23641"/>
    <n v="28786"/>
    <n v="5800"/>
    <n v="34041.296666666662"/>
    <n v="-2382.8907666666664"/>
    <n v="31658.405899999994"/>
    <n v="4108.333333333333"/>
  </r>
  <r>
    <x v="38"/>
    <x v="38"/>
    <n v="2193"/>
    <x v="1"/>
    <s v="Sam"/>
    <x v="11"/>
    <n v="2180"/>
    <x v="2"/>
    <s v="Sam"/>
    <n v="9.0833333333333357"/>
    <n v="3.6333333333333346"/>
    <n v="7.7000000000000011"/>
    <n v="3.0800000000000005"/>
    <n v="23641"/>
    <n v="28786"/>
    <n v="5800"/>
    <n v="174556.51333333337"/>
    <n v="-12218.955933333336"/>
    <n v="162337.55740000002"/>
    <n v="21073.333333333339"/>
  </r>
  <r>
    <x v="38"/>
    <x v="38"/>
    <n v="2200"/>
    <x v="9"/>
    <s v="Sam"/>
    <x v="1"/>
    <n v="2180"/>
    <x v="2"/>
    <s v="Sam"/>
    <n v="9.0833333333333357"/>
    <n v="0.90833333333333366"/>
    <n v="7.7000000000000011"/>
    <n v="0.77000000000000013"/>
    <n v="23641"/>
    <n v="28786"/>
    <n v="5800"/>
    <n v="43639.128333333341"/>
    <n v="-3054.7389833333341"/>
    <n v="40584.389350000005"/>
    <n v="5268.3333333333348"/>
  </r>
  <r>
    <x v="39"/>
    <x v="39"/>
    <n v="2193"/>
    <x v="1"/>
    <s v="Sam"/>
    <x v="15"/>
    <n v="2180"/>
    <x v="2"/>
    <s v="Sam"/>
    <n v="2"/>
    <n v="0.75"/>
    <n v="1.7"/>
    <n v="0.63749999999999996"/>
    <n v="23641"/>
    <n v="28786"/>
    <n v="5800"/>
    <n v="36081.824999999997"/>
    <n v="-2525.72775"/>
    <n v="33556.097249999999"/>
    <n v="4350"/>
  </r>
  <r>
    <x v="39"/>
    <x v="39"/>
    <n v="2200"/>
    <x v="9"/>
    <s v="Sam"/>
    <x v="2"/>
    <n v="2180"/>
    <x v="2"/>
    <s v="Sam"/>
    <n v="2"/>
    <n v="0.5"/>
    <n v="1.7"/>
    <n v="0.42499999999999999"/>
    <n v="23641"/>
    <n v="28786"/>
    <n v="5800"/>
    <n v="24054.55"/>
    <n v="-1683.8185000000001"/>
    <n v="22370.731499999998"/>
    <n v="2900"/>
  </r>
  <r>
    <x v="40"/>
    <x v="40"/>
    <n v="5740"/>
    <x v="7"/>
    <s v="TekNat"/>
    <x v="15"/>
    <n v="2180"/>
    <x v="2"/>
    <s v="Sam"/>
    <n v="9.4666666666666686"/>
    <n v="3.5500000000000007"/>
    <n v="8.0466666666666669"/>
    <n v="3.0175000000000001"/>
    <n v="23641"/>
    <n v="28786"/>
    <n v="5800"/>
    <n v="170787.30500000002"/>
    <n v="-11955.111350000003"/>
    <n v="158832.19365000003"/>
    <n v="20590.000000000004"/>
  </r>
  <r>
    <x v="40"/>
    <x v="40"/>
    <n v="2200"/>
    <x v="9"/>
    <s v="Sam"/>
    <x v="2"/>
    <n v="2180"/>
    <x v="2"/>
    <s v="Sam"/>
    <n v="9.4666666666666686"/>
    <n v="2.3666666666666671"/>
    <n v="8.0466666666666669"/>
    <n v="2.0116666666666667"/>
    <n v="23641"/>
    <n v="28786"/>
    <n v="5800"/>
    <n v="113858.20333333334"/>
    <n v="-7970.0742333333346"/>
    <n v="105888.12910000001"/>
    <n v="13726.66666666667"/>
  </r>
  <r>
    <x v="41"/>
    <x v="41"/>
    <n v="2200"/>
    <x v="9"/>
    <s v="Sam"/>
    <x v="2"/>
    <n v="2180"/>
    <x v="2"/>
    <s v="Sam"/>
    <n v="13.600000000000001"/>
    <n v="3.4000000000000004"/>
    <n v="11.559999999999999"/>
    <n v="2.8899999999999997"/>
    <n v="23641"/>
    <n v="28786"/>
    <n v="5800"/>
    <n v="163570.94"/>
    <n v="-11449.965800000002"/>
    <n v="152120.9742"/>
    <n v="19720.000000000004"/>
  </r>
  <r>
    <x v="41"/>
    <x v="41"/>
    <n v="5740"/>
    <x v="7"/>
    <s v="TekNat"/>
    <x v="12"/>
    <n v="2180"/>
    <x v="2"/>
    <s v="Sam"/>
    <n v="13.600000000000001"/>
    <n v="1.7000000000000002"/>
    <n v="11.559999999999999"/>
    <n v="1.4449999999999998"/>
    <n v="23641"/>
    <n v="28786"/>
    <n v="5800"/>
    <n v="81785.47"/>
    <n v="-5724.9829000000009"/>
    <n v="76060.487099999998"/>
    <n v="9860.0000000000018"/>
  </r>
  <r>
    <x v="42"/>
    <x v="42"/>
    <n v="2193"/>
    <x v="1"/>
    <s v="Sam"/>
    <x v="10"/>
    <n v="2180"/>
    <x v="2"/>
    <s v="Sam"/>
    <n v="7"/>
    <n v="1.8666666666666667"/>
    <n v="5.95"/>
    <n v="1.5866666666666667"/>
    <n v="23641"/>
    <n v="28786"/>
    <n v="5800"/>
    <n v="89803.653333333335"/>
    <n v="-6286.2557333333343"/>
    <n v="83517.397599999997"/>
    <n v="10826.666666666666"/>
  </r>
  <r>
    <x v="43"/>
    <x v="43"/>
    <n v="2180"/>
    <x v="0"/>
    <s v="Sam"/>
    <x v="0"/>
    <n v="2193"/>
    <x v="6"/>
    <s v="Sam"/>
    <n v="6.5"/>
    <n v="1.3"/>
    <n v="5.5250000000000004"/>
    <n v="1.1050000000000002"/>
    <n v="18405"/>
    <n v="15773"/>
    <n v="5800"/>
    <n v="41355.665000000008"/>
    <n v="-2894.8965500000008"/>
    <n v="38460.76845000001"/>
    <n v="7540"/>
  </r>
  <r>
    <x v="44"/>
    <x v="44"/>
    <n v="2180"/>
    <x v="0"/>
    <s v="Sam"/>
    <x v="16"/>
    <n v="5740"/>
    <x v="5"/>
    <s v="TekNat"/>
    <n v="14.849999999999998"/>
    <n v="3.3749999999999996"/>
    <n v="12.622499999999999"/>
    <n v="2.8687499999999995"/>
    <n v="23641"/>
    <n v="28786"/>
    <n v="5800"/>
    <n v="162368.21249999997"/>
    <n v="-11365.774874999999"/>
    <n v="151002.43762499996"/>
    <n v="19574.999999999996"/>
  </r>
  <r>
    <x v="44"/>
    <x v="44"/>
    <n v="2193"/>
    <x v="1"/>
    <s v="Sam"/>
    <x v="16"/>
    <n v="5740"/>
    <x v="5"/>
    <s v="TekNat"/>
    <n v="14.849999999999998"/>
    <n v="3.3749999999999996"/>
    <n v="12.622499999999999"/>
    <n v="2.8687499999999995"/>
    <n v="23641"/>
    <n v="28786"/>
    <n v="5800"/>
    <n v="162368.21249999997"/>
    <n v="-11365.774874999999"/>
    <n v="151002.43762499996"/>
    <n v="19574.999999999996"/>
  </r>
  <r>
    <x v="44"/>
    <x v="44"/>
    <n v="2300"/>
    <x v="14"/>
    <s v="Sam"/>
    <x v="17"/>
    <n v="5740"/>
    <x v="5"/>
    <s v="TekNat"/>
    <n v="14.849999999999998"/>
    <n v="1.3499999999999999"/>
    <n v="12.622499999999999"/>
    <n v="1.1475"/>
    <n v="23641"/>
    <n v="28786"/>
    <n v="5800"/>
    <n v="64947.284999999996"/>
    <n v="-4546.3099499999998"/>
    <n v="60400.975049999994"/>
    <n v="7829.9999999999991"/>
  </r>
  <r>
    <x v="45"/>
    <x v="45"/>
    <n v="2193"/>
    <x v="1"/>
    <s v="Sam"/>
    <x v="18"/>
    <n v="5740"/>
    <x v="5"/>
    <s v="TekNat"/>
    <n v="11.233333333333334"/>
    <n v="3.37"/>
    <n v="9.548333333333332"/>
    <n v="2.8644999999999996"/>
    <n v="23641"/>
    <n v="28786"/>
    <n v="5800"/>
    <n v="162127.66699999999"/>
    <n v="-11348.93669"/>
    <n v="150778.73030999998"/>
    <n v="19546"/>
  </r>
  <r>
    <x v="45"/>
    <x v="45"/>
    <n v="2300"/>
    <x v="14"/>
    <s v="Sam"/>
    <x v="1"/>
    <n v="5740"/>
    <x v="5"/>
    <s v="TekNat"/>
    <n v="11.233333333333334"/>
    <n v="1.1233333333333335"/>
    <n v="9.548333333333332"/>
    <n v="0.9548333333333332"/>
    <n v="23641"/>
    <n v="28786"/>
    <n v="5800"/>
    <n v="54042.555666666667"/>
    <n v="-3782.978896666667"/>
    <n v="50259.57677"/>
    <n v="6515.3333333333348"/>
  </r>
  <r>
    <x v="46"/>
    <x v="46"/>
    <n v="2180"/>
    <x v="0"/>
    <s v="Sam"/>
    <x v="16"/>
    <n v="5740"/>
    <x v="5"/>
    <s v="TekNat"/>
    <n v="18.7"/>
    <n v="4.25"/>
    <n v="15.895000000000001"/>
    <n v="3.6125000000000003"/>
    <n v="23641"/>
    <n v="28786"/>
    <n v="5800"/>
    <n v="204463.67499999999"/>
    <n v="-14312.457250000001"/>
    <n v="190151.21774999998"/>
    <n v="24650"/>
  </r>
  <r>
    <x v="46"/>
    <x v="46"/>
    <n v="2193"/>
    <x v="1"/>
    <s v="Sam"/>
    <x v="16"/>
    <n v="5740"/>
    <x v="5"/>
    <s v="TekNat"/>
    <n v="18.7"/>
    <n v="4.25"/>
    <n v="15.895000000000001"/>
    <n v="3.6125000000000003"/>
    <n v="23641"/>
    <n v="28786"/>
    <n v="5800"/>
    <n v="204463.67499999999"/>
    <n v="-14312.457250000001"/>
    <n v="190151.21774999998"/>
    <n v="24650"/>
  </r>
  <r>
    <x v="46"/>
    <x v="46"/>
    <n v="2300"/>
    <x v="14"/>
    <s v="Sam"/>
    <x v="17"/>
    <n v="5740"/>
    <x v="5"/>
    <s v="TekNat"/>
    <n v="18.7"/>
    <n v="1.7"/>
    <n v="15.895000000000001"/>
    <n v="1.4450000000000001"/>
    <n v="23641"/>
    <n v="28786"/>
    <n v="5800"/>
    <n v="81785.47"/>
    <n v="-5724.9829000000009"/>
    <n v="76060.487099999998"/>
    <n v="9860"/>
  </r>
  <r>
    <x v="47"/>
    <x v="47"/>
    <n v="1650"/>
    <x v="13"/>
    <s v="Hum"/>
    <x v="10"/>
    <n v="5740"/>
    <x v="5"/>
    <s v="TekNat"/>
    <n v="6.25"/>
    <n v="1.6666666666666667"/>
    <n v="5.3125"/>
    <n v="1.4166666666666667"/>
    <n v="23641"/>
    <n v="28786"/>
    <n v="5800"/>
    <n v="80181.833333333343"/>
    <n v="-5612.7283333333344"/>
    <n v="74569.10500000001"/>
    <n v="9666.6666666666679"/>
  </r>
  <r>
    <x v="47"/>
    <x v="47"/>
    <n v="2193"/>
    <x v="1"/>
    <s v="Sam"/>
    <x v="0"/>
    <n v="5740"/>
    <x v="5"/>
    <s v="TekNat"/>
    <n v="6.25"/>
    <n v="1.25"/>
    <n v="5.3125"/>
    <n v="1.0625"/>
    <n v="23641"/>
    <n v="28786"/>
    <n v="5800"/>
    <n v="60136.375"/>
    <n v="-4209.5462500000003"/>
    <n v="55926.828750000001"/>
    <n v="7250"/>
  </r>
  <r>
    <x v="47"/>
    <x v="47"/>
    <n v="2180"/>
    <x v="0"/>
    <s v="Sam"/>
    <x v="0"/>
    <n v="5740"/>
    <x v="5"/>
    <s v="TekNat"/>
    <n v="6.25"/>
    <n v="1.25"/>
    <n v="5.3125"/>
    <n v="1.0625"/>
    <n v="23641"/>
    <n v="28786"/>
    <n v="5800"/>
    <n v="60136.375"/>
    <n v="-4209.5462500000003"/>
    <n v="55926.828750000001"/>
    <n v="7250"/>
  </r>
  <r>
    <x v="48"/>
    <x v="48"/>
    <n v="1620"/>
    <x v="16"/>
    <s v="Hum"/>
    <x v="19"/>
    <n v="5740"/>
    <x v="5"/>
    <s v="TekNat"/>
    <n v="15"/>
    <n v="5.3333333333333339"/>
    <n v="12.749999999999998"/>
    <n v="4.5333333333333332"/>
    <n v="21634"/>
    <n v="26986"/>
    <n v="3400"/>
    <n v="237717.86666666667"/>
    <n v="-16640.250666666667"/>
    <n v="221077.61600000001"/>
    <n v="18133.333333333336"/>
  </r>
  <r>
    <x v="48"/>
    <x v="48"/>
    <n v="2180"/>
    <x v="0"/>
    <s v="Sam"/>
    <x v="7"/>
    <n v="5740"/>
    <x v="5"/>
    <s v="TekNat"/>
    <n v="15"/>
    <n v="2"/>
    <n v="12.749999999999998"/>
    <n v="1.6999999999999997"/>
    <n v="21634"/>
    <n v="26986"/>
    <n v="3400"/>
    <n v="89144.199999999983"/>
    <n v="-6240.0939999999991"/>
    <n v="82904.105999999985"/>
    <n v="6800"/>
  </r>
  <r>
    <x v="49"/>
    <x v="49"/>
    <n v="1620"/>
    <x v="16"/>
    <s v="Hum"/>
    <x v="11"/>
    <n v="5740"/>
    <x v="5"/>
    <s v="TekNat"/>
    <n v="9.375"/>
    <n v="3.75"/>
    <n v="7.96875"/>
    <n v="3.1875"/>
    <n v="21634"/>
    <n v="26986"/>
    <n v="3400"/>
    <n v="167145.375"/>
    <n v="-11700.17625"/>
    <n v="155445.19875000001"/>
    <n v="12750"/>
  </r>
  <r>
    <x v="50"/>
    <x v="50"/>
    <n v="2180"/>
    <x v="0"/>
    <s v="Sam"/>
    <x v="18"/>
    <n v="2193"/>
    <x v="6"/>
    <s v="Sam"/>
    <n v="21.5"/>
    <n v="6.45"/>
    <n v="18.274999999999999"/>
    <n v="5.482499999999999"/>
    <n v="18405"/>
    <n v="15773"/>
    <n v="5800"/>
    <n v="205187.72249999997"/>
    <n v="-14363.140574999999"/>
    <n v="190824.58192499998"/>
    <n v="37410"/>
  </r>
  <r>
    <x v="50"/>
    <x v="50"/>
    <n v="5740"/>
    <x v="7"/>
    <s v="TekNat"/>
    <x v="7"/>
    <n v="2193"/>
    <x v="6"/>
    <s v="Sam"/>
    <n v="21.5"/>
    <n v="2.8666666666666667"/>
    <n v="18.274999999999999"/>
    <n v="2.4366666666666665"/>
    <n v="18405"/>
    <n v="15773"/>
    <n v="5800"/>
    <n v="91194.543333333335"/>
    <n v="-6383.6180333333341"/>
    <n v="84810.925300000003"/>
    <n v="16626.666666666668"/>
  </r>
  <r>
    <x v="51"/>
    <x v="51"/>
    <n v="2180"/>
    <x v="0"/>
    <s v="Sam"/>
    <x v="8"/>
    <n v="2193"/>
    <x v="6"/>
    <s v="Sam"/>
    <n v="10.875"/>
    <n v="5.0750000000000002"/>
    <n v="9.2437499999999986"/>
    <n v="4.3137499999999998"/>
    <n v="23641"/>
    <n v="28786"/>
    <n v="5800"/>
    <n v="244153.6825"/>
    <n v="-17090.757775000002"/>
    <n v="227062.92472499999"/>
    <n v="29435"/>
  </r>
  <r>
    <x v="52"/>
    <x v="52"/>
    <n v="2180"/>
    <x v="0"/>
    <s v="Sam"/>
    <x v="8"/>
    <n v="2193"/>
    <x v="6"/>
    <s v="Sam"/>
    <n v="2.75"/>
    <n v="1.2833333333333334"/>
    <n v="2.3374999999999999"/>
    <n v="1.0908333333333333"/>
    <n v="23641"/>
    <n v="28786"/>
    <n v="5800"/>
    <n v="61740.011666666673"/>
    <n v="-4321.8008166666677"/>
    <n v="57418.210850000003"/>
    <n v="7443.3333333333339"/>
  </r>
  <r>
    <x v="53"/>
    <x v="53"/>
    <n v="1620"/>
    <x v="16"/>
    <s v="Hum"/>
    <x v="13"/>
    <n v="5740"/>
    <x v="5"/>
    <s v="TekNat"/>
    <n v="11.5"/>
    <n v="4.791666666666667"/>
    <n v="9.7750000000000004"/>
    <n v="4.072916666666667"/>
    <n v="23641"/>
    <n v="28786"/>
    <n v="5800"/>
    <n v="230522.77083333334"/>
    <n v="-16136.593958333335"/>
    <n v="214386.176875"/>
    <n v="27791.666666666668"/>
  </r>
  <r>
    <x v="53"/>
    <x v="53"/>
    <n v="1650"/>
    <x v="13"/>
    <s v="Hum"/>
    <x v="4"/>
    <n v="5740"/>
    <x v="5"/>
    <s v="TekNat"/>
    <n v="11.5"/>
    <n v="1.9166666666666665"/>
    <n v="9.7750000000000004"/>
    <n v="1.6291666666666667"/>
    <n v="23641"/>
    <n v="28786"/>
    <n v="5800"/>
    <n v="92209.108333333337"/>
    <n v="-6454.6375833333341"/>
    <n v="85754.470750000008"/>
    <n v="11116.666666666666"/>
  </r>
  <r>
    <x v="54"/>
    <x v="54"/>
    <n v="1620"/>
    <x v="16"/>
    <s v="Hum"/>
    <x v="11"/>
    <n v="5740"/>
    <x v="5"/>
    <s v="TekNat"/>
    <n v="3.375"/>
    <n v="1.35"/>
    <n v="2.8687499999999999"/>
    <n v="1.1475"/>
    <n v="23641"/>
    <n v="28786"/>
    <n v="5800"/>
    <n v="64947.285000000003"/>
    <n v="-4546.3099500000008"/>
    <n v="60400.975050000001"/>
    <n v="7830.0000000000009"/>
  </r>
  <r>
    <x v="55"/>
    <x v="55"/>
    <n v="1620"/>
    <x v="16"/>
    <s v="Hum"/>
    <x v="11"/>
    <n v="5740"/>
    <x v="5"/>
    <s v="TekNat"/>
    <n v="5.875"/>
    <n v="2.35"/>
    <n v="4.9937499999999995"/>
    <n v="1.9974999999999998"/>
    <n v="23641"/>
    <n v="28786"/>
    <n v="5800"/>
    <n v="113056.38499999999"/>
    <n v="-7913.9469500000005"/>
    <n v="105142.43805"/>
    <n v="13630"/>
  </r>
  <r>
    <x v="56"/>
    <x v="56"/>
    <n v="1620"/>
    <x v="16"/>
    <s v="Hum"/>
    <x v="9"/>
    <n v="5740"/>
    <x v="5"/>
    <s v="TekNat"/>
    <n v="2.6924999999999999"/>
    <n v="0.89749999999999996"/>
    <n v="2.2886250000000001"/>
    <n v="0.76287499999999997"/>
    <n v="21634"/>
    <n v="26986"/>
    <n v="3400"/>
    <n v="40003.459749999995"/>
    <n v="-2800.2421824999997"/>
    <n v="37203.217567499996"/>
    <n v="3051.5"/>
  </r>
  <r>
    <x v="56"/>
    <x v="56"/>
    <n v="1650"/>
    <x v="13"/>
    <s v="Hum"/>
    <x v="9"/>
    <n v="5740"/>
    <x v="5"/>
    <s v="TekNat"/>
    <n v="2.6924999999999999"/>
    <n v="0.89749999999999996"/>
    <n v="2.2886250000000001"/>
    <n v="0.76287499999999997"/>
    <n v="21634"/>
    <n v="26986"/>
    <n v="3400"/>
    <n v="40003.459749999995"/>
    <n v="-2800.2421824999997"/>
    <n v="37203.217567499996"/>
    <n v="3051.5"/>
  </r>
  <r>
    <x v="57"/>
    <x v="57"/>
    <n v="1620"/>
    <x v="16"/>
    <s v="Hum"/>
    <x v="8"/>
    <n v="5740"/>
    <x v="5"/>
    <s v="TekNat"/>
    <n v="4.875"/>
    <n v="2.2749999999999999"/>
    <n v="4.1437499999999998"/>
    <n v="1.9337499999999999"/>
    <n v="19473"/>
    <n v="34806"/>
    <n v="21800"/>
    <n v="111607.17749999999"/>
    <n v="-7812.5024249999997"/>
    <n v="103794.67507499999"/>
    <n v="49595"/>
  </r>
  <r>
    <x v="58"/>
    <x v="58"/>
    <n v="2193"/>
    <x v="1"/>
    <s v="Sam"/>
    <x v="11"/>
    <n v="2180"/>
    <x v="2"/>
    <s v="Sam"/>
    <n v="11"/>
    <n v="4.4000000000000004"/>
    <n v="9.3499999999999979"/>
    <n v="3.7399999999999993"/>
    <n v="23641"/>
    <n v="28786"/>
    <n v="5800"/>
    <n v="211680.03999999998"/>
    <n v="-14817.602800000001"/>
    <n v="196862.43719999999"/>
    <n v="25520.000000000004"/>
  </r>
  <r>
    <x v="59"/>
    <x v="59"/>
    <n v="1640"/>
    <x v="8"/>
    <s v="Hum"/>
    <x v="5"/>
    <n v="1620"/>
    <x v="4"/>
    <s v="Hum"/>
    <n v="6"/>
    <n v="3"/>
    <n v="5.0999999999999996"/>
    <n v="2.5499999999999998"/>
    <n v="18405"/>
    <n v="15773"/>
    <n v="5800"/>
    <n v="95436.15"/>
    <n v="-6680.5304999999998"/>
    <n v="88755.619500000001"/>
    <n v="17400"/>
  </r>
  <r>
    <x v="60"/>
    <x v="60"/>
    <n v="2360"/>
    <x v="2"/>
    <s v="Sam"/>
    <x v="20"/>
    <n v="2340"/>
    <x v="7"/>
    <s v="Sam"/>
    <n v="11"/>
    <n v="1.76"/>
    <n v="9.35"/>
    <n v="1.496"/>
    <n v="18405"/>
    <n v="15773"/>
    <n v="5800"/>
    <n v="55989.207999999999"/>
    <n v="-3919.2445600000001"/>
    <n v="52069.96344"/>
    <n v="10208"/>
  </r>
  <r>
    <x v="60"/>
    <x v="60"/>
    <n v="2271"/>
    <x v="17"/>
    <s v="Sam"/>
    <x v="21"/>
    <n v="2340"/>
    <x v="7"/>
    <s v="Sam"/>
    <n v="11"/>
    <n v="2.64"/>
    <n v="9.35"/>
    <n v="2.2440000000000002"/>
    <n v="18405"/>
    <n v="15773"/>
    <n v="5800"/>
    <n v="83983.812000000005"/>
    <n v="-5878.8668400000006"/>
    <n v="78104.945160000003"/>
    <n v="15312"/>
  </r>
  <r>
    <x v="60"/>
    <x v="60"/>
    <n v="2180"/>
    <x v="0"/>
    <s v="Sam"/>
    <x v="0"/>
    <n v="2340"/>
    <x v="7"/>
    <s v="Sam"/>
    <n v="11"/>
    <n v="2.2000000000000002"/>
    <n v="9.35"/>
    <n v="1.87"/>
    <n v="18405"/>
    <n v="15773"/>
    <n v="5800"/>
    <n v="69986.510000000009"/>
    <n v="-4899.0557000000008"/>
    <n v="65087.454300000012"/>
    <n v="12760.000000000002"/>
  </r>
  <r>
    <x v="61"/>
    <x v="61"/>
    <n v="2220"/>
    <x v="18"/>
    <s v="Sam"/>
    <x v="11"/>
    <n v="2340"/>
    <x v="7"/>
    <s v="Sam"/>
    <n v="10.5"/>
    <n v="4.2"/>
    <n v="8.9249999999999989"/>
    <n v="3.57"/>
    <n v="18405"/>
    <n v="15773"/>
    <n v="5800"/>
    <n v="133610.60999999999"/>
    <n v="-9352.7427000000007"/>
    <n v="124257.86729999998"/>
    <n v="24360"/>
  </r>
  <r>
    <x v="61"/>
    <x v="61"/>
    <n v="2180"/>
    <x v="0"/>
    <s v="Sam"/>
    <x v="0"/>
    <n v="2340"/>
    <x v="7"/>
    <s v="Sam"/>
    <n v="10.5"/>
    <n v="2.1"/>
    <n v="8.9249999999999989"/>
    <n v="1.7849999999999999"/>
    <n v="18405"/>
    <n v="15773"/>
    <n v="5800"/>
    <n v="66805.304999999993"/>
    <n v="-4676.3713500000003"/>
    <n v="62128.933649999992"/>
    <n v="12180"/>
  </r>
  <r>
    <x v="62"/>
    <x v="62"/>
    <n v="2360"/>
    <x v="2"/>
    <s v="Sam"/>
    <x v="22"/>
    <n v="2340"/>
    <x v="7"/>
    <s v="Sam"/>
    <n v="6.5"/>
    <n v="1.1700000000000002"/>
    <n v="5.5250000000000004"/>
    <n v="0.99450000000000016"/>
    <n v="18405"/>
    <n v="15773"/>
    <n v="5800"/>
    <n v="37220.098500000007"/>
    <n v="-2605.406895000001"/>
    <n v="34614.691605000007"/>
    <n v="6786.0000000000009"/>
  </r>
  <r>
    <x v="62"/>
    <x v="62"/>
    <n v="2271"/>
    <x v="17"/>
    <s v="Sam"/>
    <x v="23"/>
    <n v="2340"/>
    <x v="7"/>
    <s v="Sam"/>
    <n v="6.5"/>
    <n v="1.7549999999999997"/>
    <n v="5.5250000000000004"/>
    <n v="1.4917499999999999"/>
    <n v="18405"/>
    <n v="15773"/>
    <n v="5800"/>
    <n v="55830.147749999989"/>
    <n v="-3908.1103424999997"/>
    <n v="51922.037407499993"/>
    <n v="10178.999999999998"/>
  </r>
  <r>
    <x v="62"/>
    <x v="62"/>
    <n v="2180"/>
    <x v="0"/>
    <s v="Sam"/>
    <x v="6"/>
    <n v="2340"/>
    <x v="7"/>
    <s v="Sam"/>
    <n v="6.5"/>
    <n v="0.32500000000000001"/>
    <n v="5.5250000000000004"/>
    <n v="0.27625000000000005"/>
    <n v="18405"/>
    <n v="15773"/>
    <n v="5800"/>
    <n v="10338.916250000002"/>
    <n v="-723.72413750000021"/>
    <n v="9615.1921125000026"/>
    <n v="1885"/>
  </r>
  <r>
    <x v="63"/>
    <x v="63"/>
    <n v="2300"/>
    <x v="14"/>
    <s v="Sam"/>
    <x v="5"/>
    <n v="2340"/>
    <x v="7"/>
    <s v="Sam"/>
    <n v="8.25"/>
    <n v="4.125"/>
    <n v="7.0125000000000002"/>
    <n v="3.5062500000000001"/>
    <n v="23641"/>
    <n v="28786"/>
    <n v="5800"/>
    <n v="198450.03750000001"/>
    <n v="-13891.502625000001"/>
    <n v="184558.53487500001"/>
    <n v="23925"/>
  </r>
  <r>
    <x v="64"/>
    <x v="64"/>
    <n v="1620"/>
    <x v="16"/>
    <s v="Hum"/>
    <x v="0"/>
    <n v="2180"/>
    <x v="2"/>
    <s v="Sam"/>
    <n v="10.625"/>
    <n v="2.125"/>
    <n v="9.03125"/>
    <n v="1.8062500000000001"/>
    <n v="18405"/>
    <n v="15773"/>
    <n v="5800"/>
    <n v="67600.606249999997"/>
    <n v="-4732.0424375000002"/>
    <n v="62868.563812499997"/>
    <n v="12325"/>
  </r>
  <r>
    <x v="64"/>
    <x v="64"/>
    <n v="2200"/>
    <x v="9"/>
    <s v="Sam"/>
    <x v="0"/>
    <n v="2180"/>
    <x v="2"/>
    <s v="Sam"/>
    <n v="10.625"/>
    <n v="2.125"/>
    <n v="9.03125"/>
    <n v="1.8062500000000001"/>
    <n v="18405"/>
    <n v="15773"/>
    <n v="5800"/>
    <n v="67600.606249999997"/>
    <n v="-4732.0424375000002"/>
    <n v="62868.563812499997"/>
    <n v="12325"/>
  </r>
  <r>
    <x v="65"/>
    <x v="65"/>
    <n v="2193"/>
    <x v="1"/>
    <s v="Sam"/>
    <x v="10"/>
    <n v="2180"/>
    <x v="2"/>
    <s v="Sam"/>
    <n v="11.45"/>
    <n v="3.0533333333333332"/>
    <n v="9.6700000000000017"/>
    <n v="2.5786666666666669"/>
    <n v="18405"/>
    <n v="15773"/>
    <n v="5800"/>
    <n v="96869.909333333344"/>
    <n v="-6780.8936533333344"/>
    <n v="90089.015680000011"/>
    <n v="17709.333333333332"/>
  </r>
  <r>
    <x v="65"/>
    <x v="65"/>
    <n v="2200"/>
    <x v="9"/>
    <s v="Sam"/>
    <x v="10"/>
    <n v="2180"/>
    <x v="2"/>
    <s v="Sam"/>
    <n v="11.45"/>
    <n v="3.0533333333333332"/>
    <n v="9.6700000000000017"/>
    <n v="2.5786666666666669"/>
    <n v="18405"/>
    <n v="15773"/>
    <n v="5800"/>
    <n v="96869.909333333344"/>
    <n v="-6780.8936533333344"/>
    <n v="90089.015680000011"/>
    <n v="17709.333333333332"/>
  </r>
  <r>
    <x v="66"/>
    <x v="66"/>
    <n v="2180"/>
    <x v="0"/>
    <s v="Sam"/>
    <x v="9"/>
    <n v="2193"/>
    <x v="6"/>
    <s v="Sam"/>
    <n v="20.574999999999999"/>
    <n v="6.8583333333333325"/>
    <n v="17.48875"/>
    <n v="5.8295833333333329"/>
    <n v="34144.199999999997"/>
    <n v="33557.800000000003"/>
    <n v="5800"/>
    <n v="429800.29658333329"/>
    <n v="-30086.020760833333"/>
    <n v="399714.27582249994"/>
    <n v="39778.333333333328"/>
  </r>
  <r>
    <x v="67"/>
    <x v="67"/>
    <n v="2200"/>
    <x v="9"/>
    <s v="Sam"/>
    <x v="5"/>
    <n v="2180"/>
    <x v="2"/>
    <s v="Sam"/>
    <n v="15"/>
    <n v="7.5"/>
    <n v="12.731249999999999"/>
    <n v="6.3656249999999996"/>
    <n v="18405"/>
    <n v="15773"/>
    <n v="5800"/>
    <n v="238442.50312499999"/>
    <n v="-16690.975218750002"/>
    <n v="221751.52790624998"/>
    <n v="43500"/>
  </r>
  <r>
    <x v="68"/>
    <x v="68"/>
    <n v="1640"/>
    <x v="8"/>
    <s v="Hum"/>
    <x v="5"/>
    <n v="1620"/>
    <x v="4"/>
    <s v="Hum"/>
    <n v="13.5"/>
    <n v="6.75"/>
    <n v="11.475"/>
    <n v="5.7374999999999998"/>
    <n v="18405"/>
    <n v="15773"/>
    <n v="5800"/>
    <n v="214731.33749999999"/>
    <n v="-15031.193625000002"/>
    <n v="199700.14387499998"/>
    <n v="39150"/>
  </r>
  <r>
    <x v="69"/>
    <x v="69"/>
    <n v="1640"/>
    <x v="8"/>
    <s v="Hum"/>
    <x v="5"/>
    <n v="1620"/>
    <x v="4"/>
    <s v="Hum"/>
    <n v="13"/>
    <n v="6.5"/>
    <n v="11.05"/>
    <n v="5.5250000000000004"/>
    <n v="18405"/>
    <n v="15773"/>
    <n v="5800"/>
    <n v="206778.32500000001"/>
    <n v="-14474.482750000003"/>
    <n v="192303.84225000002"/>
    <n v="37700"/>
  </r>
  <r>
    <x v="70"/>
    <x v="70"/>
    <n v="1640"/>
    <x v="8"/>
    <s v="Hum"/>
    <x v="5"/>
    <n v="1620"/>
    <x v="4"/>
    <s v="Hum"/>
    <n v="7"/>
    <n v="3.5"/>
    <n v="5.95"/>
    <n v="2.9750000000000001"/>
    <n v="18405"/>
    <n v="15773"/>
    <n v="5800"/>
    <n v="111342.175"/>
    <n v="-7793.9522500000012"/>
    <n v="103548.22275"/>
    <n v="20300"/>
  </r>
  <r>
    <x v="71"/>
    <x v="71"/>
    <n v="2340"/>
    <x v="15"/>
    <s v="Sam"/>
    <x v="24"/>
    <n v="2193"/>
    <x v="6"/>
    <s v="Sam"/>
    <n v="5.0599999999999996"/>
    <n v="3.5419999999999994"/>
    <n v="4.3009999999999993"/>
    <n v="3.0106999999999995"/>
    <n v="18405"/>
    <n v="15773"/>
    <n v="5800"/>
    <n v="112678.28109999998"/>
    <n v="-7887.4796769999994"/>
    <n v="104790.80142299998"/>
    <n v="20543.599999999995"/>
  </r>
  <r>
    <x v="71"/>
    <x v="71"/>
    <n v="2180"/>
    <x v="0"/>
    <s v="Sam"/>
    <x v="18"/>
    <n v="2193"/>
    <x v="6"/>
    <s v="Sam"/>
    <n v="5.0599999999999996"/>
    <n v="1.5179999999999998"/>
    <n v="4.3009999999999993"/>
    <n v="1.2902999999999998"/>
    <n v="18405"/>
    <n v="15773"/>
    <n v="5800"/>
    <n v="48290.691899999991"/>
    <n v="-3380.3484329999997"/>
    <n v="44910.343466999992"/>
    <n v="8804.4"/>
  </r>
  <r>
    <x v="72"/>
    <x v="72"/>
    <n v="2180"/>
    <x v="0"/>
    <s v="Sam"/>
    <x v="25"/>
    <n v="2193"/>
    <x v="6"/>
    <s v="Sam"/>
    <n v="7.3687500000000004"/>
    <n v="4.4212499999999997"/>
    <n v="6.2634375000000002"/>
    <n v="3.7580624999999999"/>
    <n v="18405"/>
    <n v="15773"/>
    <n v="5800"/>
    <n v="140649.02606249999"/>
    <n v="-9845.4318243750004"/>
    <n v="130803.59423812499"/>
    <n v="25643.249999999996"/>
  </r>
  <r>
    <x v="73"/>
    <x v="73"/>
    <m/>
    <x v="19"/>
    <m/>
    <x v="26"/>
    <m/>
    <x v="8"/>
    <m/>
    <m/>
    <m/>
    <m/>
    <m/>
    <m/>
    <m/>
    <m/>
    <m/>
    <m/>
    <m/>
    <m/>
  </r>
</pivotCacheRecords>
</file>

<file path=xl/pivotCache/pivotCacheRecords2.xml><?xml version="1.0" encoding="utf-8"?>
<pivotCacheRecords xmlns="http://schemas.openxmlformats.org/spreadsheetml/2006/main" xmlns:r="http://schemas.openxmlformats.org/officeDocument/2006/relationships" count="480">
  <r>
    <x v="0"/>
    <x v="0"/>
    <m/>
    <x v="0"/>
    <m/>
    <x v="0"/>
    <m/>
    <m/>
    <m/>
    <m/>
    <m/>
    <m/>
    <x v="0"/>
    <m/>
    <m/>
    <m/>
    <n v="2.25"/>
    <n v="0.85"/>
    <n v="1.9124999999999999"/>
    <n v="5160"/>
    <x v="0"/>
    <s v="TekNat"/>
    <x v="0"/>
    <n v="19473"/>
    <n v="34806"/>
    <n v="110380.72499999999"/>
    <n v="21800"/>
    <n v="49050"/>
    <n v="159430.72499999998"/>
    <n v="0"/>
    <n v="0"/>
    <n v="0"/>
    <n v="0"/>
    <n v="0"/>
    <n v="1"/>
    <n v="0"/>
    <n v="0"/>
    <n v="0"/>
    <n v="0"/>
    <n v="0"/>
    <n v="0"/>
    <s v="Enl uttag från Ladok - Erik Å"/>
    <m/>
    <n v="0"/>
    <n v="0"/>
    <n v="0"/>
    <n v="0"/>
    <n v="0"/>
    <n v="0"/>
    <n v="0"/>
    <n v="0"/>
    <n v="0"/>
    <n v="0"/>
    <n v="2.25"/>
    <n v="1.9124999999999999"/>
    <n v="0"/>
    <n v="0"/>
    <n v="0"/>
    <n v="0"/>
    <n v="0"/>
    <n v="0"/>
    <n v="0"/>
    <n v="0"/>
    <n v="0"/>
    <n v="0"/>
    <n v="0"/>
  </r>
  <r>
    <x v="1"/>
    <x v="1"/>
    <m/>
    <x v="0"/>
    <m/>
    <x v="0"/>
    <m/>
    <m/>
    <m/>
    <m/>
    <m/>
    <m/>
    <x v="0"/>
    <m/>
    <m/>
    <m/>
    <n v="0.25"/>
    <n v="0.85"/>
    <n v="0.21249999999999999"/>
    <n v="5100"/>
    <x v="1"/>
    <s v="TekNat"/>
    <x v="0"/>
    <n v="19473"/>
    <n v="34806"/>
    <n v="12264.525"/>
    <n v="21800"/>
    <n v="5450"/>
    <n v="17714.525000000001"/>
    <n v="0"/>
    <n v="0"/>
    <n v="0"/>
    <n v="0"/>
    <n v="0"/>
    <n v="1"/>
    <n v="0"/>
    <n v="0"/>
    <n v="0"/>
    <n v="0"/>
    <n v="0"/>
    <n v="0"/>
    <s v="Enl uttag från Ladok - Erik Å"/>
    <m/>
    <n v="0"/>
    <n v="0"/>
    <n v="0"/>
    <n v="0"/>
    <n v="0"/>
    <n v="0"/>
    <n v="0"/>
    <n v="0"/>
    <n v="0"/>
    <n v="0"/>
    <n v="0.25"/>
    <n v="0.21249999999999999"/>
    <n v="0"/>
    <n v="0"/>
    <n v="0"/>
    <n v="0"/>
    <n v="0"/>
    <n v="0"/>
    <n v="0"/>
    <n v="0"/>
    <n v="0"/>
    <n v="0"/>
    <n v="0"/>
  </r>
  <r>
    <x v="2"/>
    <x v="2"/>
    <m/>
    <x v="0"/>
    <m/>
    <x v="0"/>
    <m/>
    <m/>
    <m/>
    <m/>
    <m/>
    <m/>
    <x v="0"/>
    <m/>
    <m/>
    <m/>
    <n v="2"/>
    <n v="0.85"/>
    <n v="1.7"/>
    <n v="5100"/>
    <x v="1"/>
    <s v="TekNat"/>
    <x v="0"/>
    <n v="19473"/>
    <n v="34806"/>
    <n v="98116.2"/>
    <n v="21800"/>
    <n v="43600"/>
    <n v="141716.20000000001"/>
    <n v="0"/>
    <n v="0"/>
    <n v="0"/>
    <n v="0"/>
    <n v="0"/>
    <n v="0.5"/>
    <n v="0"/>
    <n v="0.5"/>
    <n v="0"/>
    <n v="0"/>
    <n v="0"/>
    <n v="0"/>
    <s v="Enl uttag från Ladok - Erik Å"/>
    <m/>
    <n v="0"/>
    <n v="0"/>
    <n v="0"/>
    <n v="0"/>
    <n v="0"/>
    <n v="0"/>
    <n v="0"/>
    <n v="0"/>
    <n v="0"/>
    <n v="0"/>
    <n v="1"/>
    <n v="0.85"/>
    <n v="0"/>
    <n v="0"/>
    <n v="1"/>
    <n v="0.85"/>
    <n v="0"/>
    <n v="0"/>
    <n v="0"/>
    <n v="0"/>
    <n v="0"/>
    <n v="0"/>
    <n v="0"/>
  </r>
  <r>
    <x v="3"/>
    <x v="3"/>
    <m/>
    <x v="0"/>
    <m/>
    <x v="0"/>
    <m/>
    <m/>
    <m/>
    <m/>
    <m/>
    <m/>
    <x v="0"/>
    <m/>
    <m/>
    <m/>
    <n v="2.5"/>
    <n v="0.85"/>
    <n v="2.125"/>
    <n v="5100"/>
    <x v="1"/>
    <s v="TekNat"/>
    <x v="0"/>
    <n v="19473"/>
    <n v="34806"/>
    <n v="122645.25"/>
    <n v="21800"/>
    <n v="54500"/>
    <n v="177145.25"/>
    <n v="0"/>
    <n v="0"/>
    <n v="0"/>
    <n v="0"/>
    <n v="0"/>
    <n v="1"/>
    <n v="0"/>
    <n v="0"/>
    <n v="0"/>
    <n v="0"/>
    <n v="0"/>
    <n v="0"/>
    <s v="Enl uttag från Ladok - Erik Å"/>
    <m/>
    <n v="0"/>
    <n v="0"/>
    <n v="0"/>
    <n v="0"/>
    <n v="0"/>
    <n v="0"/>
    <n v="0"/>
    <n v="0"/>
    <n v="0"/>
    <n v="0"/>
    <n v="2.5"/>
    <n v="2.125"/>
    <n v="0"/>
    <n v="0"/>
    <n v="0"/>
    <n v="0"/>
    <n v="0"/>
    <n v="0"/>
    <n v="0"/>
    <n v="0"/>
    <n v="0"/>
    <n v="0"/>
    <n v="0"/>
  </r>
  <r>
    <x v="4"/>
    <x v="4"/>
    <m/>
    <x v="0"/>
    <m/>
    <x v="0"/>
    <m/>
    <m/>
    <m/>
    <m/>
    <m/>
    <m/>
    <x v="0"/>
    <m/>
    <m/>
    <m/>
    <n v="3"/>
    <n v="0.85"/>
    <n v="2.5499999999999998"/>
    <n v="5100"/>
    <x v="1"/>
    <s v="TekNat"/>
    <x v="0"/>
    <n v="19473"/>
    <n v="34806"/>
    <n v="147174.29999999999"/>
    <n v="21800"/>
    <n v="65400"/>
    <n v="212574.3"/>
    <n v="0"/>
    <n v="0"/>
    <n v="0"/>
    <n v="0"/>
    <n v="0"/>
    <n v="1"/>
    <n v="0"/>
    <n v="0"/>
    <n v="0"/>
    <n v="0"/>
    <n v="0"/>
    <n v="0"/>
    <s v="Enl uttag från Ladok - Erik Å"/>
    <m/>
    <n v="0"/>
    <n v="0"/>
    <n v="0"/>
    <n v="0"/>
    <n v="0"/>
    <n v="0"/>
    <n v="0"/>
    <n v="0"/>
    <n v="0"/>
    <n v="0"/>
    <n v="3"/>
    <n v="2.5499999999999998"/>
    <n v="0"/>
    <n v="0"/>
    <n v="0"/>
    <n v="0"/>
    <n v="0"/>
    <n v="0"/>
    <n v="0"/>
    <n v="0"/>
    <n v="0"/>
    <n v="0"/>
    <n v="0"/>
  </r>
  <r>
    <x v="5"/>
    <x v="5"/>
    <m/>
    <x v="0"/>
    <m/>
    <x v="0"/>
    <m/>
    <m/>
    <m/>
    <m/>
    <m/>
    <m/>
    <x v="0"/>
    <m/>
    <m/>
    <m/>
    <n v="0.1"/>
    <n v="0.85"/>
    <n v="8.5000000000000006E-2"/>
    <n v="5410"/>
    <x v="2"/>
    <s v="TekNat"/>
    <x v="0"/>
    <n v="19473"/>
    <n v="34806"/>
    <n v="4905.8100000000004"/>
    <n v="21800"/>
    <n v="2180"/>
    <n v="7085.81"/>
    <n v="0"/>
    <n v="0"/>
    <n v="0"/>
    <n v="0"/>
    <n v="0"/>
    <n v="0"/>
    <n v="0"/>
    <n v="1"/>
    <n v="0"/>
    <n v="0"/>
    <n v="0"/>
    <n v="0"/>
    <s v="Enl uttag från Ladok - Erik Å"/>
    <m/>
    <n v="0"/>
    <n v="0"/>
    <n v="0"/>
    <n v="0"/>
    <n v="0"/>
    <n v="0"/>
    <n v="0"/>
    <n v="0"/>
    <n v="0"/>
    <n v="0"/>
    <n v="0"/>
    <n v="0"/>
    <n v="0"/>
    <n v="0"/>
    <n v="0.1"/>
    <n v="8.5000000000000006E-2"/>
    <n v="0"/>
    <n v="0"/>
    <n v="0"/>
    <n v="0"/>
    <n v="0"/>
    <n v="0"/>
    <n v="0"/>
  </r>
  <r>
    <x v="6"/>
    <x v="6"/>
    <m/>
    <x v="0"/>
    <m/>
    <x v="0"/>
    <m/>
    <m/>
    <m/>
    <m/>
    <m/>
    <m/>
    <x v="0"/>
    <m/>
    <m/>
    <m/>
    <n v="0.1"/>
    <n v="0.85"/>
    <n v="8.5000000000000006E-2"/>
    <n v="5400"/>
    <x v="3"/>
    <s v="TekNat"/>
    <x v="0"/>
    <n v="19473"/>
    <n v="34806"/>
    <n v="4905.8100000000004"/>
    <n v="21800"/>
    <n v="2180"/>
    <n v="7085.81"/>
    <n v="0"/>
    <n v="0"/>
    <n v="0"/>
    <n v="0"/>
    <n v="0"/>
    <n v="0"/>
    <n v="0"/>
    <n v="1"/>
    <n v="0"/>
    <n v="0"/>
    <n v="0"/>
    <n v="0"/>
    <s v="Enl uttag från Ladok - Erik Å"/>
    <m/>
    <n v="0"/>
    <n v="0"/>
    <n v="0"/>
    <n v="0"/>
    <n v="0"/>
    <n v="0"/>
    <n v="0"/>
    <n v="0"/>
    <n v="0"/>
    <n v="0"/>
    <n v="0"/>
    <n v="0"/>
    <n v="0"/>
    <n v="0"/>
    <n v="0.1"/>
    <n v="8.5000000000000006E-2"/>
    <n v="0"/>
    <n v="0"/>
    <n v="0"/>
    <n v="0"/>
    <n v="0"/>
    <n v="0"/>
    <n v="0"/>
  </r>
  <r>
    <x v="7"/>
    <x v="7"/>
    <m/>
    <x v="0"/>
    <m/>
    <x v="0"/>
    <m/>
    <m/>
    <m/>
    <m/>
    <m/>
    <m/>
    <x v="0"/>
    <m/>
    <m/>
    <m/>
    <n v="0.625"/>
    <n v="0.85"/>
    <n v="0.53125"/>
    <n v="5400"/>
    <x v="3"/>
    <s v="TekNat"/>
    <x v="0"/>
    <n v="19473"/>
    <n v="34806"/>
    <n v="30661.3125"/>
    <n v="21800"/>
    <n v="13625"/>
    <n v="44286.3125"/>
    <n v="0"/>
    <n v="0"/>
    <n v="0"/>
    <n v="0"/>
    <n v="0"/>
    <n v="0"/>
    <n v="0"/>
    <n v="1"/>
    <n v="0"/>
    <n v="0"/>
    <n v="0"/>
    <n v="0"/>
    <s v="Enl uttag från Ladok - Erik Å"/>
    <m/>
    <n v="0"/>
    <n v="0"/>
    <n v="0"/>
    <n v="0"/>
    <n v="0"/>
    <n v="0"/>
    <n v="0"/>
    <n v="0"/>
    <n v="0"/>
    <n v="0"/>
    <n v="0"/>
    <n v="0"/>
    <n v="0"/>
    <n v="0"/>
    <n v="0.625"/>
    <n v="0.53125"/>
    <n v="0"/>
    <n v="0"/>
    <n v="0"/>
    <n v="0"/>
    <n v="0"/>
    <n v="0"/>
    <n v="0"/>
  </r>
  <r>
    <x v="8"/>
    <x v="8"/>
    <m/>
    <x v="0"/>
    <m/>
    <x v="0"/>
    <m/>
    <m/>
    <m/>
    <m/>
    <m/>
    <m/>
    <x v="0"/>
    <m/>
    <m/>
    <m/>
    <n v="0.25"/>
    <n v="0.85"/>
    <n v="0.21249999999999999"/>
    <n v="5400"/>
    <x v="3"/>
    <s v="TekNat"/>
    <x v="0"/>
    <n v="19473"/>
    <n v="34806"/>
    <n v="12264.525"/>
    <n v="21800"/>
    <n v="5450"/>
    <n v="17714.525000000001"/>
    <n v="0"/>
    <n v="0"/>
    <n v="0"/>
    <n v="0"/>
    <n v="0"/>
    <n v="0"/>
    <n v="0"/>
    <n v="1"/>
    <n v="0"/>
    <n v="0"/>
    <n v="0"/>
    <n v="0"/>
    <s v="Enl uttag från Ladok - Erik Å"/>
    <m/>
    <n v="0"/>
    <n v="0"/>
    <n v="0"/>
    <n v="0"/>
    <n v="0"/>
    <n v="0"/>
    <n v="0"/>
    <n v="0"/>
    <n v="0"/>
    <n v="0"/>
    <n v="0"/>
    <n v="0"/>
    <n v="0"/>
    <n v="0"/>
    <n v="0.25"/>
    <n v="0.21249999999999999"/>
    <n v="0"/>
    <n v="0"/>
    <n v="0"/>
    <n v="0"/>
    <n v="0"/>
    <n v="0"/>
    <n v="0"/>
  </r>
  <r>
    <x v="9"/>
    <x v="8"/>
    <m/>
    <x v="0"/>
    <m/>
    <x v="0"/>
    <m/>
    <m/>
    <m/>
    <m/>
    <m/>
    <m/>
    <x v="0"/>
    <m/>
    <m/>
    <m/>
    <n v="0.15"/>
    <n v="0.85"/>
    <n v="0.1275"/>
    <n v="5400"/>
    <x v="3"/>
    <s v="TekNat"/>
    <x v="0"/>
    <n v="19473"/>
    <n v="34806"/>
    <n v="7358.7150000000001"/>
    <n v="21800"/>
    <n v="3270"/>
    <n v="10628.715"/>
    <n v="0"/>
    <n v="0"/>
    <n v="0"/>
    <n v="0"/>
    <n v="0"/>
    <n v="0"/>
    <n v="0"/>
    <n v="1"/>
    <n v="0"/>
    <n v="0"/>
    <n v="0"/>
    <n v="0"/>
    <s v="Enl uttag från Ladok - Erik Å"/>
    <m/>
    <n v="0"/>
    <n v="0"/>
    <n v="0"/>
    <n v="0"/>
    <n v="0"/>
    <n v="0"/>
    <n v="0"/>
    <n v="0"/>
    <n v="0"/>
    <n v="0"/>
    <n v="0"/>
    <n v="0"/>
    <n v="0"/>
    <n v="0"/>
    <n v="0.15"/>
    <n v="0.1275"/>
    <n v="0"/>
    <n v="0"/>
    <n v="0"/>
    <n v="0"/>
    <n v="0"/>
    <n v="0"/>
    <n v="0"/>
  </r>
  <r>
    <x v="10"/>
    <x v="9"/>
    <m/>
    <x v="0"/>
    <m/>
    <x v="0"/>
    <m/>
    <m/>
    <m/>
    <m/>
    <m/>
    <m/>
    <x v="0"/>
    <m/>
    <m/>
    <m/>
    <n v="0.2"/>
    <n v="0.85"/>
    <n v="0.17"/>
    <n v="5400"/>
    <x v="3"/>
    <s v="TekNat"/>
    <x v="0"/>
    <n v="19473"/>
    <n v="34806"/>
    <n v="9811.6200000000008"/>
    <n v="21800"/>
    <n v="4360"/>
    <n v="14171.62"/>
    <n v="0"/>
    <n v="0"/>
    <n v="0"/>
    <n v="0"/>
    <n v="0"/>
    <n v="0"/>
    <n v="0"/>
    <n v="1"/>
    <n v="0"/>
    <n v="0"/>
    <n v="0"/>
    <n v="0"/>
    <s v="Enl uttag från Ladok - Erik Å"/>
    <m/>
    <n v="0"/>
    <n v="0"/>
    <n v="0"/>
    <n v="0"/>
    <n v="0"/>
    <n v="0"/>
    <n v="0"/>
    <n v="0"/>
    <n v="0"/>
    <n v="0"/>
    <n v="0"/>
    <n v="0"/>
    <n v="0"/>
    <n v="0"/>
    <n v="0.2"/>
    <n v="0.17"/>
    <n v="0"/>
    <n v="0"/>
    <n v="0"/>
    <n v="0"/>
    <n v="0"/>
    <n v="0"/>
    <n v="0"/>
  </r>
  <r>
    <x v="11"/>
    <x v="10"/>
    <m/>
    <x v="0"/>
    <m/>
    <x v="0"/>
    <m/>
    <m/>
    <m/>
    <m/>
    <m/>
    <m/>
    <x v="0"/>
    <m/>
    <m/>
    <m/>
    <n v="0.1"/>
    <n v="0.85"/>
    <n v="8.5000000000000006E-2"/>
    <n v="5400"/>
    <x v="3"/>
    <s v="TekNat"/>
    <x v="0"/>
    <n v="19473"/>
    <n v="34806"/>
    <n v="4905.8100000000004"/>
    <n v="21800"/>
    <n v="2180"/>
    <n v="7085.81"/>
    <n v="0"/>
    <n v="0"/>
    <n v="0"/>
    <n v="0"/>
    <n v="0"/>
    <n v="0"/>
    <n v="0"/>
    <n v="1"/>
    <n v="0"/>
    <n v="0"/>
    <n v="0"/>
    <n v="0"/>
    <s v="Enl uttag från Ladok - Erik Å"/>
    <m/>
    <n v="0"/>
    <n v="0"/>
    <n v="0"/>
    <n v="0"/>
    <n v="0"/>
    <n v="0"/>
    <n v="0"/>
    <n v="0"/>
    <n v="0"/>
    <n v="0"/>
    <n v="0"/>
    <n v="0"/>
    <n v="0"/>
    <n v="0"/>
    <n v="0.1"/>
    <n v="8.5000000000000006E-2"/>
    <n v="0"/>
    <n v="0"/>
    <n v="0"/>
    <n v="0"/>
    <n v="0"/>
    <n v="0"/>
    <n v="0"/>
  </r>
  <r>
    <x v="12"/>
    <x v="11"/>
    <m/>
    <x v="0"/>
    <m/>
    <x v="0"/>
    <m/>
    <m/>
    <m/>
    <m/>
    <m/>
    <m/>
    <x v="0"/>
    <m/>
    <m/>
    <m/>
    <n v="0.1"/>
    <n v="0.85"/>
    <n v="8.5000000000000006E-2"/>
    <n v="5400"/>
    <x v="3"/>
    <s v="TekNat"/>
    <x v="0"/>
    <n v="19473"/>
    <n v="34806"/>
    <n v="4905.8100000000004"/>
    <n v="21800"/>
    <n v="2180"/>
    <n v="7085.81"/>
    <n v="0"/>
    <n v="0"/>
    <n v="0"/>
    <n v="0"/>
    <n v="0"/>
    <n v="0.5"/>
    <n v="0"/>
    <n v="0.5"/>
    <n v="0"/>
    <n v="0"/>
    <n v="0"/>
    <n v="0"/>
    <s v="Enl uttag från Ladok - Erik Å"/>
    <m/>
    <n v="0"/>
    <n v="0"/>
    <n v="0"/>
    <n v="0"/>
    <n v="0"/>
    <n v="0"/>
    <n v="0"/>
    <n v="0"/>
    <n v="0"/>
    <n v="0"/>
    <n v="0.05"/>
    <n v="4.2500000000000003E-2"/>
    <n v="0"/>
    <n v="0"/>
    <n v="0.05"/>
    <n v="4.2500000000000003E-2"/>
    <n v="0"/>
    <n v="0"/>
    <n v="0"/>
    <n v="0"/>
    <n v="0"/>
    <n v="0"/>
    <n v="0"/>
  </r>
  <r>
    <x v="13"/>
    <x v="12"/>
    <m/>
    <x v="0"/>
    <m/>
    <x v="0"/>
    <m/>
    <m/>
    <m/>
    <m/>
    <m/>
    <m/>
    <x v="0"/>
    <m/>
    <m/>
    <m/>
    <n v="0.05"/>
    <n v="0.85"/>
    <n v="4.2500000000000003E-2"/>
    <n v="5400"/>
    <x v="3"/>
    <s v="TekNat"/>
    <x v="0"/>
    <n v="19473"/>
    <n v="34806"/>
    <n v="2452.9050000000002"/>
    <n v="21800"/>
    <n v="1090"/>
    <n v="3542.9050000000002"/>
    <n v="0"/>
    <n v="0"/>
    <n v="0"/>
    <n v="0"/>
    <n v="0"/>
    <n v="0.5"/>
    <n v="0"/>
    <n v="0.5"/>
    <n v="0"/>
    <n v="0"/>
    <n v="0"/>
    <n v="0"/>
    <s v="Enl uttag från Ladok - Erik Å"/>
    <m/>
    <n v="0"/>
    <n v="0"/>
    <n v="0"/>
    <n v="0"/>
    <n v="0"/>
    <n v="0"/>
    <n v="0"/>
    <n v="0"/>
    <n v="0"/>
    <n v="0"/>
    <n v="2.5000000000000001E-2"/>
    <n v="2.1250000000000002E-2"/>
    <n v="0"/>
    <n v="0"/>
    <n v="2.5000000000000001E-2"/>
    <n v="2.1250000000000002E-2"/>
    <n v="0"/>
    <n v="0"/>
    <n v="0"/>
    <n v="0"/>
    <n v="0"/>
    <n v="0"/>
    <n v="0"/>
  </r>
  <r>
    <x v="14"/>
    <x v="13"/>
    <m/>
    <x v="0"/>
    <m/>
    <x v="0"/>
    <m/>
    <m/>
    <m/>
    <m/>
    <m/>
    <m/>
    <x v="0"/>
    <m/>
    <m/>
    <m/>
    <n v="0.25"/>
    <n v="0.85"/>
    <n v="0.21249999999999999"/>
    <n v="5400"/>
    <x v="3"/>
    <s v="TekNat"/>
    <x v="0"/>
    <n v="19473"/>
    <n v="34806"/>
    <n v="12264.525"/>
    <n v="21800"/>
    <n v="5450"/>
    <n v="17714.525000000001"/>
    <n v="0"/>
    <n v="0"/>
    <n v="0"/>
    <n v="0"/>
    <n v="0"/>
    <n v="0.5"/>
    <n v="0"/>
    <n v="0.5"/>
    <n v="0"/>
    <n v="0"/>
    <n v="0"/>
    <n v="0"/>
    <s v="Enl uttag från Ladok - Erik Å"/>
    <m/>
    <n v="0"/>
    <n v="0"/>
    <n v="0"/>
    <n v="0"/>
    <n v="0"/>
    <n v="0"/>
    <n v="0"/>
    <n v="0"/>
    <n v="0"/>
    <n v="0"/>
    <n v="0.125"/>
    <n v="0.10625"/>
    <n v="0"/>
    <n v="0"/>
    <n v="0.125"/>
    <n v="0.10625"/>
    <n v="0"/>
    <n v="0"/>
    <n v="0"/>
    <n v="0"/>
    <n v="0"/>
    <n v="0"/>
    <n v="0"/>
  </r>
  <r>
    <x v="15"/>
    <x v="14"/>
    <m/>
    <x v="0"/>
    <m/>
    <x v="0"/>
    <m/>
    <m/>
    <m/>
    <m/>
    <m/>
    <m/>
    <x v="0"/>
    <m/>
    <m/>
    <m/>
    <n v="0.25"/>
    <n v="0.85"/>
    <n v="0.21249999999999999"/>
    <n v="5400"/>
    <x v="3"/>
    <s v="TekNat"/>
    <x v="0"/>
    <n v="19473"/>
    <n v="34806"/>
    <n v="12264.525"/>
    <n v="21800"/>
    <n v="5450"/>
    <n v="17714.525000000001"/>
    <n v="0"/>
    <n v="0"/>
    <n v="0"/>
    <n v="0"/>
    <n v="0"/>
    <n v="0.5"/>
    <n v="0"/>
    <n v="0.5"/>
    <n v="0"/>
    <n v="0"/>
    <n v="0"/>
    <n v="0"/>
    <s v="Enl uttag från Ladok - Erik Å"/>
    <m/>
    <n v="0"/>
    <n v="0"/>
    <n v="0"/>
    <n v="0"/>
    <n v="0"/>
    <n v="0"/>
    <n v="0"/>
    <n v="0"/>
    <n v="0"/>
    <n v="0"/>
    <n v="0.125"/>
    <n v="0.10625"/>
    <n v="0"/>
    <n v="0"/>
    <n v="0.125"/>
    <n v="0.10625"/>
    <n v="0"/>
    <n v="0"/>
    <n v="0"/>
    <n v="0"/>
    <n v="0"/>
    <n v="0"/>
    <n v="0"/>
  </r>
  <r>
    <x v="16"/>
    <x v="15"/>
    <m/>
    <x v="0"/>
    <m/>
    <x v="0"/>
    <m/>
    <m/>
    <m/>
    <m/>
    <m/>
    <m/>
    <x v="0"/>
    <m/>
    <m/>
    <m/>
    <n v="7.4999999999999997E-2"/>
    <n v="0.85"/>
    <n v="6.3750000000000001E-2"/>
    <n v="5400"/>
    <x v="3"/>
    <s v="TekNat"/>
    <x v="0"/>
    <n v="19473"/>
    <n v="34806"/>
    <n v="3679.3575000000001"/>
    <n v="21800"/>
    <n v="1635"/>
    <n v="5314.3575000000001"/>
    <n v="0"/>
    <n v="0"/>
    <n v="0"/>
    <n v="0"/>
    <n v="0"/>
    <n v="0.5"/>
    <n v="0"/>
    <n v="0.5"/>
    <n v="0"/>
    <n v="0"/>
    <n v="0"/>
    <n v="0"/>
    <s v="Enl uttag från Ladok - Erik Å"/>
    <m/>
    <n v="0"/>
    <n v="0"/>
    <n v="0"/>
    <n v="0"/>
    <n v="0"/>
    <n v="0"/>
    <n v="0"/>
    <n v="0"/>
    <n v="0"/>
    <n v="0"/>
    <n v="3.7499999999999999E-2"/>
    <n v="3.1875000000000001E-2"/>
    <n v="0"/>
    <n v="0"/>
    <n v="3.7499999999999999E-2"/>
    <n v="3.1875000000000001E-2"/>
    <n v="0"/>
    <n v="0"/>
    <n v="0"/>
    <n v="0"/>
    <n v="0"/>
    <n v="0"/>
    <n v="0"/>
  </r>
  <r>
    <x v="17"/>
    <x v="16"/>
    <m/>
    <x v="0"/>
    <m/>
    <x v="0"/>
    <m/>
    <m/>
    <m/>
    <m/>
    <m/>
    <m/>
    <x v="0"/>
    <m/>
    <m/>
    <m/>
    <n v="0.25"/>
    <n v="0.85"/>
    <n v="0.21249999999999999"/>
    <n v="5500"/>
    <x v="4"/>
    <s v="TekNat"/>
    <x v="0"/>
    <n v="19473"/>
    <n v="34806"/>
    <n v="12264.525"/>
    <n v="21800"/>
    <n v="5450"/>
    <n v="17714.525000000001"/>
    <n v="0"/>
    <n v="0"/>
    <n v="0"/>
    <n v="0"/>
    <n v="0"/>
    <n v="0"/>
    <n v="0"/>
    <n v="1"/>
    <n v="0"/>
    <n v="0"/>
    <n v="0"/>
    <n v="0"/>
    <s v="Enl uttag från Ladok - Erik Å"/>
    <m/>
    <n v="0"/>
    <n v="0"/>
    <n v="0"/>
    <n v="0"/>
    <n v="0"/>
    <n v="0"/>
    <n v="0"/>
    <n v="0"/>
    <n v="0"/>
    <n v="0"/>
    <n v="0"/>
    <n v="0"/>
    <n v="0"/>
    <n v="0"/>
    <n v="0.25"/>
    <n v="0.21249999999999999"/>
    <n v="0"/>
    <n v="0"/>
    <n v="0"/>
    <n v="0"/>
    <n v="0"/>
    <n v="0"/>
    <n v="0"/>
  </r>
  <r>
    <x v="18"/>
    <x v="17"/>
    <m/>
    <x v="0"/>
    <m/>
    <x v="0"/>
    <m/>
    <m/>
    <m/>
    <m/>
    <m/>
    <m/>
    <x v="0"/>
    <m/>
    <m/>
    <m/>
    <n v="0.5"/>
    <n v="0.85"/>
    <n v="0.42499999999999999"/>
    <n v="5500"/>
    <x v="4"/>
    <s v="TekNat"/>
    <x v="0"/>
    <n v="19473"/>
    <n v="34806"/>
    <n v="24529.05"/>
    <n v="21800"/>
    <n v="10900"/>
    <n v="35429.050000000003"/>
    <n v="0"/>
    <n v="0"/>
    <n v="0"/>
    <n v="0"/>
    <n v="0"/>
    <n v="0"/>
    <n v="0"/>
    <n v="1"/>
    <n v="0"/>
    <n v="0"/>
    <n v="0"/>
    <n v="0"/>
    <s v="Enl uttag från Ladok - Erik Å"/>
    <m/>
    <n v="0"/>
    <n v="0"/>
    <n v="0"/>
    <n v="0"/>
    <n v="0"/>
    <n v="0"/>
    <n v="0"/>
    <n v="0"/>
    <n v="0"/>
    <n v="0"/>
    <n v="0"/>
    <n v="0"/>
    <n v="0"/>
    <n v="0"/>
    <n v="0.5"/>
    <n v="0.42499999999999999"/>
    <n v="0"/>
    <n v="0"/>
    <n v="0"/>
    <n v="0"/>
    <n v="0"/>
    <n v="0"/>
    <n v="0"/>
  </r>
  <r>
    <x v="19"/>
    <x v="18"/>
    <m/>
    <x v="0"/>
    <m/>
    <x v="0"/>
    <m/>
    <m/>
    <m/>
    <m/>
    <m/>
    <m/>
    <x v="0"/>
    <m/>
    <m/>
    <m/>
    <n v="0.125"/>
    <n v="0.85"/>
    <n v="0.10625"/>
    <n v="5500"/>
    <x v="4"/>
    <s v="TekNat"/>
    <x v="0"/>
    <n v="19473"/>
    <n v="34806"/>
    <n v="6132.2624999999998"/>
    <n v="21800"/>
    <n v="2725"/>
    <n v="8857.2625000000007"/>
    <n v="0"/>
    <n v="0"/>
    <n v="0"/>
    <n v="0"/>
    <n v="0"/>
    <n v="1"/>
    <n v="0"/>
    <n v="0"/>
    <n v="0"/>
    <n v="0"/>
    <n v="0"/>
    <n v="0"/>
    <s v="Enl uttag från Ladok - Erik Å"/>
    <m/>
    <n v="0"/>
    <n v="0"/>
    <n v="0"/>
    <n v="0"/>
    <n v="0"/>
    <n v="0"/>
    <n v="0"/>
    <n v="0"/>
    <n v="0"/>
    <n v="0"/>
    <n v="0.125"/>
    <n v="0.10625"/>
    <n v="0"/>
    <n v="0"/>
    <n v="0"/>
    <n v="0"/>
    <n v="0"/>
    <n v="0"/>
    <n v="0"/>
    <n v="0"/>
    <n v="0"/>
    <n v="0"/>
    <n v="0"/>
  </r>
  <r>
    <x v="20"/>
    <x v="19"/>
    <m/>
    <x v="0"/>
    <m/>
    <x v="0"/>
    <m/>
    <m/>
    <m/>
    <m/>
    <m/>
    <m/>
    <x v="0"/>
    <m/>
    <m/>
    <m/>
    <n v="0.125"/>
    <n v="0.85"/>
    <n v="0.10625"/>
    <n v="5500"/>
    <x v="4"/>
    <s v="TekNat"/>
    <x v="0"/>
    <n v="19473"/>
    <n v="34806"/>
    <n v="6132.2624999999998"/>
    <n v="21800"/>
    <n v="2725"/>
    <n v="8857.2625000000007"/>
    <n v="0"/>
    <n v="0"/>
    <n v="0"/>
    <n v="0"/>
    <n v="0"/>
    <n v="1"/>
    <n v="0"/>
    <n v="0"/>
    <n v="0"/>
    <n v="0"/>
    <n v="0"/>
    <n v="0"/>
    <s v="Enl uttag från Ladok - Erik Å"/>
    <m/>
    <n v="0"/>
    <n v="0"/>
    <n v="0"/>
    <n v="0"/>
    <n v="0"/>
    <n v="0"/>
    <n v="0"/>
    <n v="0"/>
    <n v="0"/>
    <n v="0"/>
    <n v="0.125"/>
    <n v="0.10625"/>
    <n v="0"/>
    <n v="0"/>
    <n v="0"/>
    <n v="0"/>
    <n v="0"/>
    <n v="0"/>
    <n v="0"/>
    <n v="0"/>
    <n v="0"/>
    <n v="0"/>
    <n v="0"/>
  </r>
  <r>
    <x v="21"/>
    <x v="20"/>
    <m/>
    <x v="0"/>
    <m/>
    <x v="0"/>
    <m/>
    <m/>
    <m/>
    <m/>
    <m/>
    <m/>
    <x v="0"/>
    <m/>
    <m/>
    <m/>
    <n v="0.5"/>
    <n v="0.85"/>
    <n v="0.42499999999999999"/>
    <n v="5500"/>
    <x v="4"/>
    <s v="TekNat"/>
    <x v="0"/>
    <n v="19473"/>
    <n v="34806"/>
    <n v="24529.05"/>
    <n v="21800"/>
    <n v="10900"/>
    <n v="35429.050000000003"/>
    <n v="0"/>
    <n v="0"/>
    <n v="0"/>
    <n v="0"/>
    <n v="0"/>
    <n v="0"/>
    <n v="0"/>
    <n v="1"/>
    <n v="0"/>
    <n v="0"/>
    <n v="0"/>
    <n v="0"/>
    <s v="Enl uttag från Ladok - Erik Å"/>
    <m/>
    <n v="0"/>
    <n v="0"/>
    <n v="0"/>
    <n v="0"/>
    <n v="0"/>
    <n v="0"/>
    <n v="0"/>
    <n v="0"/>
    <n v="0"/>
    <n v="0"/>
    <n v="0"/>
    <n v="0"/>
    <n v="0"/>
    <n v="0"/>
    <n v="0.5"/>
    <n v="0.42499999999999999"/>
    <n v="0"/>
    <n v="0"/>
    <n v="0"/>
    <n v="0"/>
    <n v="0"/>
    <n v="0"/>
    <n v="0"/>
  </r>
  <r>
    <x v="22"/>
    <x v="21"/>
    <m/>
    <x v="0"/>
    <m/>
    <x v="0"/>
    <m/>
    <m/>
    <m/>
    <m/>
    <m/>
    <m/>
    <x v="0"/>
    <m/>
    <m/>
    <m/>
    <n v="1"/>
    <n v="0.85"/>
    <n v="0.85"/>
    <n v="5500"/>
    <x v="4"/>
    <s v="TekNat"/>
    <x v="0"/>
    <n v="19473"/>
    <n v="34806"/>
    <n v="49058.1"/>
    <n v="21800"/>
    <n v="21800"/>
    <n v="70858.100000000006"/>
    <n v="0"/>
    <n v="0"/>
    <n v="0"/>
    <n v="0"/>
    <n v="0"/>
    <n v="1"/>
    <n v="0"/>
    <n v="0"/>
    <n v="0"/>
    <n v="0"/>
    <n v="0"/>
    <n v="0"/>
    <s v="Enl uttag från Ladok - Erik Å"/>
    <m/>
    <n v="0"/>
    <n v="0"/>
    <n v="0"/>
    <n v="0"/>
    <n v="0"/>
    <n v="0"/>
    <n v="0"/>
    <n v="0"/>
    <n v="0"/>
    <n v="0"/>
    <n v="1"/>
    <n v="0.85"/>
    <n v="0"/>
    <n v="0"/>
    <n v="0"/>
    <n v="0"/>
    <n v="0"/>
    <n v="0"/>
    <n v="0"/>
    <n v="0"/>
    <n v="0"/>
    <n v="0"/>
    <n v="0"/>
  </r>
  <r>
    <x v="23"/>
    <x v="22"/>
    <m/>
    <x v="0"/>
    <m/>
    <x v="0"/>
    <m/>
    <m/>
    <m/>
    <m/>
    <m/>
    <m/>
    <x v="0"/>
    <m/>
    <m/>
    <m/>
    <n v="1.25"/>
    <n v="0.85"/>
    <n v="1.0625"/>
    <n v="5500"/>
    <x v="4"/>
    <s v="TekNat"/>
    <x v="0"/>
    <n v="19473"/>
    <n v="34806"/>
    <n v="61322.625"/>
    <n v="21800"/>
    <n v="27250"/>
    <n v="88572.625"/>
    <n v="0"/>
    <n v="0"/>
    <n v="0"/>
    <n v="0"/>
    <n v="0"/>
    <n v="0.5"/>
    <n v="0"/>
    <n v="0.5"/>
    <n v="0"/>
    <n v="0"/>
    <n v="0"/>
    <n v="0"/>
    <s v="Enl uttag från Ladok - Erik Å"/>
    <m/>
    <n v="0"/>
    <n v="0"/>
    <n v="0"/>
    <n v="0"/>
    <n v="0"/>
    <n v="0"/>
    <n v="0"/>
    <n v="0"/>
    <n v="0"/>
    <n v="0"/>
    <n v="0.625"/>
    <n v="0.53125"/>
    <n v="0"/>
    <n v="0"/>
    <n v="0.625"/>
    <n v="0.53125"/>
    <n v="0"/>
    <n v="0"/>
    <n v="0"/>
    <n v="0"/>
    <n v="0"/>
    <n v="0"/>
    <n v="0"/>
  </r>
  <r>
    <x v="24"/>
    <x v="23"/>
    <m/>
    <x v="0"/>
    <m/>
    <x v="0"/>
    <m/>
    <m/>
    <m/>
    <m/>
    <m/>
    <m/>
    <x v="0"/>
    <m/>
    <m/>
    <m/>
    <n v="0.25"/>
    <n v="0.85"/>
    <n v="0.21249999999999999"/>
    <n v="5500"/>
    <x v="4"/>
    <s v="TekNat"/>
    <x v="0"/>
    <n v="19473"/>
    <n v="34806"/>
    <n v="12264.525"/>
    <n v="21800"/>
    <n v="5450"/>
    <n v="17714.525000000001"/>
    <n v="0"/>
    <n v="0"/>
    <n v="0"/>
    <n v="0"/>
    <n v="0"/>
    <n v="0.5"/>
    <n v="0"/>
    <n v="0.5"/>
    <n v="0"/>
    <n v="0"/>
    <n v="0"/>
    <n v="0"/>
    <s v="Enl uttag från Ladok - Erik Å"/>
    <m/>
    <n v="0"/>
    <n v="0"/>
    <n v="0"/>
    <n v="0"/>
    <n v="0"/>
    <n v="0"/>
    <n v="0"/>
    <n v="0"/>
    <n v="0"/>
    <n v="0"/>
    <n v="0.125"/>
    <n v="0.10625"/>
    <n v="0"/>
    <n v="0"/>
    <n v="0.125"/>
    <n v="0.10625"/>
    <n v="0"/>
    <n v="0"/>
    <n v="0"/>
    <n v="0"/>
    <n v="0"/>
    <n v="0"/>
    <n v="0"/>
  </r>
  <r>
    <x v="25"/>
    <x v="24"/>
    <m/>
    <x v="0"/>
    <m/>
    <x v="0"/>
    <m/>
    <m/>
    <m/>
    <m/>
    <m/>
    <m/>
    <x v="0"/>
    <m/>
    <m/>
    <m/>
    <n v="0.5"/>
    <n v="0.85"/>
    <n v="0.42499999999999999"/>
    <n v="5500"/>
    <x v="4"/>
    <s v="TekNat"/>
    <x v="0"/>
    <n v="19473"/>
    <n v="34806"/>
    <n v="24529.05"/>
    <n v="21800"/>
    <n v="10900"/>
    <n v="35429.050000000003"/>
    <n v="0"/>
    <n v="0"/>
    <n v="0"/>
    <n v="0"/>
    <n v="0"/>
    <n v="1"/>
    <n v="0"/>
    <n v="0"/>
    <n v="0"/>
    <n v="0"/>
    <n v="0"/>
    <n v="0"/>
    <s v="Enl uttag från Ladok - Erik Å"/>
    <m/>
    <n v="0"/>
    <n v="0"/>
    <n v="0"/>
    <n v="0"/>
    <n v="0"/>
    <n v="0"/>
    <n v="0"/>
    <n v="0"/>
    <n v="0"/>
    <n v="0"/>
    <n v="0.5"/>
    <n v="0.42499999999999999"/>
    <n v="0"/>
    <n v="0"/>
    <n v="0"/>
    <n v="0"/>
    <n v="0"/>
    <n v="0"/>
    <n v="0"/>
    <n v="0"/>
    <n v="0"/>
    <n v="0"/>
    <n v="0"/>
  </r>
  <r>
    <x v="26"/>
    <x v="25"/>
    <m/>
    <x v="0"/>
    <m/>
    <x v="0"/>
    <m/>
    <m/>
    <m/>
    <m/>
    <m/>
    <m/>
    <x v="0"/>
    <m/>
    <m/>
    <m/>
    <n v="0.25"/>
    <n v="0.85"/>
    <n v="0.21249999999999999"/>
    <n v="5730"/>
    <x v="5"/>
    <s v="TekNat"/>
    <x v="0"/>
    <n v="19473"/>
    <n v="34806"/>
    <n v="12264.525"/>
    <n v="21800"/>
    <n v="5450"/>
    <n v="17714.525000000001"/>
    <n v="0"/>
    <n v="0"/>
    <n v="0"/>
    <n v="0"/>
    <n v="0"/>
    <n v="0.5"/>
    <n v="0"/>
    <n v="0.5"/>
    <n v="0"/>
    <n v="0"/>
    <n v="0"/>
    <n v="0"/>
    <s v="Enl uttag från Ladok - Erik Å"/>
    <m/>
    <n v="0"/>
    <n v="0"/>
    <n v="0"/>
    <n v="0"/>
    <n v="0"/>
    <n v="0"/>
    <n v="0"/>
    <n v="0"/>
    <n v="0"/>
    <n v="0"/>
    <n v="0.125"/>
    <n v="0.10625"/>
    <n v="0"/>
    <n v="0"/>
    <n v="0.125"/>
    <n v="0.10625"/>
    <n v="0"/>
    <n v="0"/>
    <n v="0"/>
    <n v="0"/>
    <n v="0"/>
    <n v="0"/>
    <n v="0"/>
  </r>
  <r>
    <x v="27"/>
    <x v="26"/>
    <m/>
    <x v="0"/>
    <m/>
    <x v="0"/>
    <m/>
    <m/>
    <m/>
    <m/>
    <m/>
    <m/>
    <x v="0"/>
    <m/>
    <m/>
    <m/>
    <n v="0.125"/>
    <n v="0.85"/>
    <n v="0.10625"/>
    <n v="5730"/>
    <x v="5"/>
    <s v="TekNat"/>
    <x v="0"/>
    <n v="19473"/>
    <n v="34806"/>
    <n v="6132.2624999999998"/>
    <n v="21800"/>
    <n v="2725"/>
    <n v="8857.2625000000007"/>
    <n v="0"/>
    <n v="0"/>
    <n v="0"/>
    <n v="0"/>
    <n v="0"/>
    <n v="0.5"/>
    <n v="0"/>
    <n v="0.5"/>
    <n v="0"/>
    <n v="0"/>
    <n v="0"/>
    <n v="0"/>
    <s v="Enl uttag från Ladok - Erik Å"/>
    <m/>
    <n v="0"/>
    <n v="0"/>
    <n v="0"/>
    <n v="0"/>
    <n v="0"/>
    <n v="0"/>
    <n v="0"/>
    <n v="0"/>
    <n v="0"/>
    <n v="0"/>
    <n v="6.25E-2"/>
    <n v="5.3124999999999999E-2"/>
    <n v="0"/>
    <n v="0"/>
    <n v="6.25E-2"/>
    <n v="5.3124999999999999E-2"/>
    <n v="0"/>
    <n v="0"/>
    <n v="0"/>
    <n v="0"/>
    <n v="0"/>
    <n v="0"/>
    <n v="0"/>
  </r>
  <r>
    <x v="28"/>
    <x v="27"/>
    <m/>
    <x v="0"/>
    <m/>
    <x v="0"/>
    <m/>
    <m/>
    <m/>
    <m/>
    <m/>
    <m/>
    <x v="0"/>
    <m/>
    <m/>
    <m/>
    <n v="1.125"/>
    <n v="0.85"/>
    <n v="0.95624999999999993"/>
    <n v="5740"/>
    <x v="6"/>
    <s v="TekNat"/>
    <x v="0"/>
    <n v="19473"/>
    <n v="34806"/>
    <n v="55190.362499999996"/>
    <n v="21800"/>
    <n v="24525"/>
    <n v="79715.362499999988"/>
    <n v="0"/>
    <n v="0"/>
    <n v="0"/>
    <n v="0"/>
    <n v="0"/>
    <n v="1"/>
    <n v="0"/>
    <n v="0"/>
    <n v="0"/>
    <n v="0"/>
    <n v="0"/>
    <n v="0"/>
    <s v="Enl uttag från Ladok - Erik Å"/>
    <m/>
    <n v="0"/>
    <n v="0"/>
    <n v="0"/>
    <n v="0"/>
    <n v="0"/>
    <n v="0"/>
    <n v="0"/>
    <n v="0"/>
    <n v="0"/>
    <n v="0"/>
    <n v="1.125"/>
    <n v="0.95624999999999993"/>
    <n v="0"/>
    <n v="0"/>
    <n v="0"/>
    <n v="0"/>
    <n v="0"/>
    <n v="0"/>
    <n v="0"/>
    <n v="0"/>
    <n v="0"/>
    <n v="0"/>
    <n v="0"/>
  </r>
  <r>
    <x v="29"/>
    <x v="28"/>
    <m/>
    <x v="0"/>
    <m/>
    <x v="0"/>
    <m/>
    <m/>
    <m/>
    <m/>
    <m/>
    <m/>
    <x v="0"/>
    <m/>
    <m/>
    <m/>
    <n v="1.125"/>
    <n v="0.85"/>
    <n v="0.95624999999999993"/>
    <n v="5740"/>
    <x v="6"/>
    <s v="TekNat"/>
    <x v="0"/>
    <n v="21634"/>
    <n v="26986"/>
    <n v="50143.612500000003"/>
    <n v="3400"/>
    <n v="3825"/>
    <n v="53968.612500000003"/>
    <n v="0"/>
    <n v="0"/>
    <n v="0"/>
    <n v="0"/>
    <n v="0"/>
    <n v="0"/>
    <n v="0"/>
    <n v="0"/>
    <n v="1"/>
    <n v="0"/>
    <n v="0"/>
    <n v="0"/>
    <s v="Enl uttag från Ladok - Erik Å"/>
    <m/>
    <n v="0"/>
    <n v="0"/>
    <n v="0"/>
    <n v="0"/>
    <n v="0"/>
    <n v="0"/>
    <n v="0"/>
    <n v="0"/>
    <n v="0"/>
    <n v="0"/>
    <n v="0"/>
    <n v="0"/>
    <n v="0"/>
    <n v="0"/>
    <n v="0"/>
    <n v="0"/>
    <n v="1.125"/>
    <n v="0.95624999999999993"/>
    <n v="0"/>
    <n v="0"/>
    <n v="0"/>
    <n v="0"/>
    <n v="0"/>
  </r>
  <r>
    <x v="30"/>
    <x v="29"/>
    <m/>
    <x v="0"/>
    <m/>
    <x v="0"/>
    <m/>
    <m/>
    <m/>
    <m/>
    <m/>
    <m/>
    <x v="0"/>
    <m/>
    <m/>
    <m/>
    <n v="0.75"/>
    <n v="0.85"/>
    <n v="0.63749999999999996"/>
    <n v="5100"/>
    <x v="1"/>
    <s v="TekNat"/>
    <x v="0"/>
    <n v="19473"/>
    <n v="34806"/>
    <n v="36793.574999999997"/>
    <n v="21800"/>
    <n v="16350"/>
    <n v="53143.574999999997"/>
    <n v="0"/>
    <n v="0"/>
    <n v="0"/>
    <n v="0"/>
    <n v="0"/>
    <n v="1"/>
    <n v="0"/>
    <n v="0"/>
    <n v="0"/>
    <n v="0"/>
    <n v="0"/>
    <n v="0"/>
    <s v="Enl uttag från Ladok - Erik Å"/>
    <m/>
    <n v="0"/>
    <n v="0"/>
    <n v="0"/>
    <n v="0"/>
    <n v="0"/>
    <n v="0"/>
    <n v="0"/>
    <n v="0"/>
    <n v="0"/>
    <n v="0"/>
    <n v="0.75"/>
    <n v="0.63749999999999996"/>
    <n v="0"/>
    <n v="0"/>
    <n v="0"/>
    <n v="0"/>
    <n v="0"/>
    <n v="0"/>
    <n v="0"/>
    <n v="0"/>
    <n v="0"/>
    <n v="0"/>
    <n v="0"/>
  </r>
  <r>
    <x v="31"/>
    <x v="30"/>
    <m/>
    <x v="0"/>
    <m/>
    <x v="0"/>
    <m/>
    <m/>
    <m/>
    <m/>
    <m/>
    <m/>
    <x v="0"/>
    <m/>
    <m/>
    <m/>
    <n v="2.5"/>
    <n v="0.85"/>
    <n v="2.125"/>
    <n v="5100"/>
    <x v="1"/>
    <s v="TekNat"/>
    <x v="0"/>
    <n v="19473"/>
    <n v="34806"/>
    <n v="122645.25"/>
    <n v="21800"/>
    <n v="54500"/>
    <n v="177145.25"/>
    <n v="0"/>
    <n v="0"/>
    <n v="0"/>
    <n v="0"/>
    <n v="0"/>
    <n v="1"/>
    <n v="0"/>
    <n v="0"/>
    <n v="0"/>
    <n v="0"/>
    <n v="0"/>
    <n v="0"/>
    <s v="Enl uttag från Ladok - Erik Å"/>
    <m/>
    <n v="0"/>
    <n v="0"/>
    <n v="0"/>
    <n v="0"/>
    <n v="0"/>
    <n v="0"/>
    <n v="0"/>
    <n v="0"/>
    <n v="0"/>
    <n v="0"/>
    <n v="2.5"/>
    <n v="2.125"/>
    <n v="0"/>
    <n v="0"/>
    <n v="0"/>
    <n v="0"/>
    <n v="0"/>
    <n v="0"/>
    <n v="0"/>
    <n v="0"/>
    <n v="0"/>
    <n v="0"/>
    <n v="0"/>
  </r>
  <r>
    <x v="32"/>
    <x v="31"/>
    <m/>
    <x v="0"/>
    <m/>
    <x v="0"/>
    <m/>
    <m/>
    <m/>
    <m/>
    <m/>
    <m/>
    <x v="0"/>
    <m/>
    <m/>
    <m/>
    <n v="1"/>
    <n v="0.85"/>
    <n v="0.85"/>
    <n v="5740"/>
    <x v="6"/>
    <s v="TekNat"/>
    <x v="0"/>
    <n v="19473"/>
    <n v="34806"/>
    <n v="49058.1"/>
    <n v="21800"/>
    <n v="21800"/>
    <n v="70858.100000000006"/>
    <n v="0"/>
    <n v="0"/>
    <n v="0"/>
    <n v="0"/>
    <n v="0"/>
    <n v="1"/>
    <n v="0"/>
    <n v="0"/>
    <n v="0"/>
    <n v="0"/>
    <n v="0"/>
    <n v="0"/>
    <s v="Enl uttag från Ladok - Erik Å"/>
    <m/>
    <n v="0"/>
    <n v="0"/>
    <n v="0"/>
    <n v="0"/>
    <n v="0"/>
    <n v="0"/>
    <n v="0"/>
    <n v="0"/>
    <n v="0"/>
    <n v="0"/>
    <n v="1"/>
    <n v="0.85"/>
    <n v="0"/>
    <n v="0"/>
    <n v="0"/>
    <n v="0"/>
    <n v="0"/>
    <n v="0"/>
    <n v="0"/>
    <n v="0"/>
    <n v="0"/>
    <n v="0"/>
    <n v="0"/>
  </r>
  <r>
    <x v="33"/>
    <x v="32"/>
    <m/>
    <x v="0"/>
    <m/>
    <x v="0"/>
    <m/>
    <m/>
    <m/>
    <m/>
    <m/>
    <m/>
    <x v="0"/>
    <m/>
    <m/>
    <m/>
    <n v="1"/>
    <n v="0.85"/>
    <n v="0.85"/>
    <n v="5740"/>
    <x v="6"/>
    <s v="TekNat"/>
    <x v="0"/>
    <n v="19473"/>
    <n v="34806"/>
    <n v="49058.1"/>
    <n v="21800"/>
    <n v="21800"/>
    <n v="70858.100000000006"/>
    <n v="0"/>
    <n v="0"/>
    <n v="0"/>
    <n v="0"/>
    <n v="0"/>
    <n v="1"/>
    <n v="0"/>
    <n v="0"/>
    <n v="0"/>
    <n v="0"/>
    <n v="0"/>
    <n v="0"/>
    <s v="Enl uttag från Ladok - Erik Å"/>
    <m/>
    <n v="0"/>
    <n v="0"/>
    <n v="0"/>
    <n v="0"/>
    <n v="0"/>
    <n v="0"/>
    <n v="0"/>
    <n v="0"/>
    <n v="0"/>
    <n v="0"/>
    <n v="1"/>
    <n v="0.85"/>
    <n v="0"/>
    <n v="0"/>
    <n v="0"/>
    <n v="0"/>
    <n v="0"/>
    <n v="0"/>
    <n v="0"/>
    <n v="0"/>
    <n v="0"/>
    <n v="0"/>
    <n v="0"/>
  </r>
  <r>
    <x v="34"/>
    <x v="33"/>
    <m/>
    <x v="0"/>
    <m/>
    <x v="0"/>
    <m/>
    <m/>
    <m/>
    <m/>
    <m/>
    <m/>
    <x v="0"/>
    <m/>
    <m/>
    <m/>
    <n v="0.125"/>
    <n v="0.85"/>
    <n v="0.10625"/>
    <n v="5700"/>
    <x v="7"/>
    <s v="TekNat"/>
    <x v="0"/>
    <n v="19473"/>
    <n v="34806"/>
    <n v="6132.2624999999998"/>
    <n v="21800"/>
    <n v="2725"/>
    <n v="8857.2625000000007"/>
    <n v="0"/>
    <n v="0"/>
    <n v="0"/>
    <n v="0"/>
    <n v="0"/>
    <n v="0.5"/>
    <n v="0"/>
    <n v="0.5"/>
    <n v="0"/>
    <n v="0"/>
    <n v="0"/>
    <n v="0"/>
    <s v="Enl uttag från Ladok - Erik Å"/>
    <m/>
    <n v="0"/>
    <n v="0"/>
    <n v="0"/>
    <n v="0"/>
    <n v="0"/>
    <n v="0"/>
    <n v="0"/>
    <n v="0"/>
    <n v="0"/>
    <n v="0"/>
    <n v="6.25E-2"/>
    <n v="5.3124999999999999E-2"/>
    <n v="0"/>
    <n v="0"/>
    <n v="6.25E-2"/>
    <n v="5.3124999999999999E-2"/>
    <n v="0"/>
    <n v="0"/>
    <n v="0"/>
    <n v="0"/>
    <n v="0"/>
    <n v="0"/>
    <n v="0"/>
  </r>
  <r>
    <x v="35"/>
    <x v="34"/>
    <m/>
    <x v="0"/>
    <m/>
    <x v="0"/>
    <m/>
    <m/>
    <m/>
    <m/>
    <m/>
    <m/>
    <x v="0"/>
    <m/>
    <m/>
    <m/>
    <n v="18"/>
    <n v="0.85"/>
    <n v="15.299999999999999"/>
    <n v="1620"/>
    <x v="8"/>
    <s v="Hum"/>
    <x v="0"/>
    <n v="18405"/>
    <n v="15773"/>
    <n v="572616.9"/>
    <n v="5800"/>
    <n v="104400"/>
    <n v="677016.9"/>
    <n v="0"/>
    <n v="1"/>
    <n v="0"/>
    <n v="0"/>
    <n v="0"/>
    <n v="0"/>
    <n v="0"/>
    <n v="0"/>
    <n v="0"/>
    <n v="0"/>
    <n v="0"/>
    <n v="0"/>
    <s v="Enl uttag från Ladok - Erik Å"/>
    <m/>
    <n v="0"/>
    <n v="0"/>
    <n v="18"/>
    <n v="15.299999999999999"/>
    <n v="0"/>
    <n v="0"/>
    <n v="0"/>
    <n v="0"/>
    <n v="0"/>
    <n v="0"/>
    <n v="0"/>
    <n v="0"/>
    <n v="0"/>
    <n v="0"/>
    <n v="0"/>
    <n v="0"/>
    <n v="0"/>
    <n v="0"/>
    <n v="0"/>
    <n v="0"/>
    <n v="0"/>
    <n v="0"/>
    <n v="0"/>
  </r>
  <r>
    <x v="35"/>
    <x v="34"/>
    <m/>
    <x v="1"/>
    <m/>
    <x v="0"/>
    <m/>
    <m/>
    <m/>
    <m/>
    <m/>
    <m/>
    <x v="0"/>
    <m/>
    <m/>
    <m/>
    <n v="1"/>
    <n v="0.8"/>
    <n v="0.8"/>
    <n v="1620"/>
    <x v="8"/>
    <s v="Hum"/>
    <x v="1"/>
    <n v="18405"/>
    <n v="15773"/>
    <n v="31023.4"/>
    <n v="5800"/>
    <n v="5800"/>
    <n v="36823.4"/>
    <n v="0"/>
    <n v="1"/>
    <n v="0"/>
    <n v="0"/>
    <n v="0"/>
    <n v="0"/>
    <n v="0"/>
    <n v="0"/>
    <n v="0"/>
    <n v="0"/>
    <n v="0"/>
    <n v="0"/>
    <s v="Enl uttag från Ladok - Erik Å"/>
    <m/>
    <n v="0"/>
    <n v="0"/>
    <n v="1"/>
    <n v="0.8"/>
    <n v="0"/>
    <n v="0"/>
    <n v="0"/>
    <n v="0"/>
    <n v="0"/>
    <n v="0"/>
    <n v="0"/>
    <n v="0"/>
    <n v="0"/>
    <n v="0"/>
    <n v="0"/>
    <n v="0"/>
    <n v="0"/>
    <n v="0"/>
    <n v="0"/>
    <n v="0"/>
    <n v="0"/>
    <n v="0"/>
    <n v="0"/>
  </r>
  <r>
    <x v="36"/>
    <x v="35"/>
    <m/>
    <x v="0"/>
    <m/>
    <x v="0"/>
    <m/>
    <m/>
    <m/>
    <m/>
    <m/>
    <m/>
    <x v="0"/>
    <m/>
    <m/>
    <m/>
    <n v="11.5"/>
    <n v="0.85"/>
    <n v="9.7750000000000004"/>
    <n v="1620"/>
    <x v="8"/>
    <s v="Hum"/>
    <x v="0"/>
    <n v="18405"/>
    <n v="15773"/>
    <n v="365838.57500000001"/>
    <n v="5800"/>
    <n v="66700"/>
    <n v="432538.57500000001"/>
    <n v="0"/>
    <n v="1"/>
    <n v="0"/>
    <n v="0"/>
    <n v="0"/>
    <n v="0"/>
    <n v="0"/>
    <n v="0"/>
    <n v="0"/>
    <n v="0"/>
    <n v="0"/>
    <n v="0"/>
    <s v="Enl uttag från Ladok - Erik Å"/>
    <m/>
    <n v="0"/>
    <n v="0"/>
    <n v="11.5"/>
    <n v="9.7750000000000004"/>
    <n v="0"/>
    <n v="0"/>
    <n v="0"/>
    <n v="0"/>
    <n v="0"/>
    <n v="0"/>
    <n v="0"/>
    <n v="0"/>
    <n v="0"/>
    <n v="0"/>
    <n v="0"/>
    <n v="0"/>
    <n v="0"/>
    <n v="0"/>
    <n v="0"/>
    <n v="0"/>
    <n v="0"/>
    <n v="0"/>
    <n v="0"/>
  </r>
  <r>
    <x v="36"/>
    <x v="35"/>
    <m/>
    <x v="1"/>
    <m/>
    <x v="0"/>
    <m/>
    <m/>
    <m/>
    <m/>
    <m/>
    <m/>
    <x v="0"/>
    <m/>
    <m/>
    <m/>
    <n v="1"/>
    <n v="0.8"/>
    <n v="0.8"/>
    <n v="1620"/>
    <x v="8"/>
    <s v="Hum"/>
    <x v="1"/>
    <n v="18405"/>
    <n v="15773"/>
    <n v="31023.4"/>
    <n v="5800"/>
    <n v="5800"/>
    <n v="36823.4"/>
    <n v="0"/>
    <n v="1"/>
    <n v="0"/>
    <n v="0"/>
    <n v="0"/>
    <n v="0"/>
    <n v="0"/>
    <n v="0"/>
    <n v="0"/>
    <n v="0"/>
    <n v="0"/>
    <n v="0"/>
    <s v="Enl uttag från Ladok - Erik Å"/>
    <m/>
    <n v="0"/>
    <n v="0"/>
    <n v="1"/>
    <n v="0.8"/>
    <n v="0"/>
    <n v="0"/>
    <n v="0"/>
    <n v="0"/>
    <n v="0"/>
    <n v="0"/>
    <n v="0"/>
    <n v="0"/>
    <n v="0"/>
    <n v="0"/>
    <n v="0"/>
    <n v="0"/>
    <n v="0"/>
    <n v="0"/>
    <n v="0"/>
    <n v="0"/>
    <n v="0"/>
    <n v="0"/>
    <n v="0"/>
  </r>
  <r>
    <x v="37"/>
    <x v="36"/>
    <m/>
    <x v="0"/>
    <m/>
    <x v="0"/>
    <m/>
    <m/>
    <m/>
    <m/>
    <m/>
    <m/>
    <x v="0"/>
    <m/>
    <m/>
    <m/>
    <n v="16"/>
    <n v="0.85"/>
    <n v="13.6"/>
    <n v="1620"/>
    <x v="8"/>
    <s v="Hum"/>
    <x v="0"/>
    <n v="18405"/>
    <n v="15773"/>
    <n v="508992.8"/>
    <n v="5800"/>
    <n v="92800"/>
    <n v="601792.80000000005"/>
    <n v="0"/>
    <n v="1"/>
    <n v="0"/>
    <n v="0"/>
    <n v="0"/>
    <n v="0"/>
    <n v="0"/>
    <n v="0"/>
    <n v="0"/>
    <n v="0"/>
    <n v="0"/>
    <n v="0"/>
    <s v="Enl uttag från Ladok - Erik Å"/>
    <m/>
    <n v="0"/>
    <n v="0"/>
    <n v="16"/>
    <n v="13.6"/>
    <n v="0"/>
    <n v="0"/>
    <n v="0"/>
    <n v="0"/>
    <n v="0"/>
    <n v="0"/>
    <n v="0"/>
    <n v="0"/>
    <n v="0"/>
    <n v="0"/>
    <n v="0"/>
    <n v="0"/>
    <n v="0"/>
    <n v="0"/>
    <n v="0"/>
    <n v="0"/>
    <n v="0"/>
    <n v="0"/>
    <n v="0"/>
  </r>
  <r>
    <x v="38"/>
    <x v="37"/>
    <m/>
    <x v="0"/>
    <m/>
    <x v="0"/>
    <m/>
    <m/>
    <m/>
    <m/>
    <m/>
    <m/>
    <x v="0"/>
    <m/>
    <m/>
    <m/>
    <n v="1.2"/>
    <n v="0.85"/>
    <n v="1.02"/>
    <n v="1620"/>
    <x v="8"/>
    <s v="Hum"/>
    <x v="0"/>
    <n v="21634"/>
    <n v="26986"/>
    <n v="53486.520000000004"/>
    <n v="3400"/>
    <n v="4080"/>
    <n v="57566.520000000004"/>
    <n v="0"/>
    <n v="0"/>
    <n v="0"/>
    <n v="0"/>
    <n v="0"/>
    <n v="0"/>
    <n v="0"/>
    <n v="0"/>
    <n v="1"/>
    <n v="0"/>
    <n v="0"/>
    <n v="0"/>
    <s v="Enl uttag från Ladok - Erik Å"/>
    <m/>
    <n v="0"/>
    <n v="0"/>
    <n v="0"/>
    <n v="0"/>
    <n v="0"/>
    <n v="0"/>
    <n v="0"/>
    <n v="0"/>
    <n v="0"/>
    <n v="0"/>
    <n v="0"/>
    <n v="0"/>
    <n v="0"/>
    <n v="0"/>
    <n v="0"/>
    <n v="0"/>
    <n v="1.2"/>
    <n v="1.02"/>
    <n v="0"/>
    <n v="0"/>
    <n v="0"/>
    <n v="0"/>
    <n v="0"/>
  </r>
  <r>
    <x v="39"/>
    <x v="38"/>
    <m/>
    <x v="2"/>
    <m/>
    <x v="0"/>
    <m/>
    <m/>
    <m/>
    <m/>
    <m/>
    <m/>
    <x v="0"/>
    <m/>
    <m/>
    <m/>
    <n v="5.875"/>
    <n v="0.85"/>
    <n v="4.9937499999999995"/>
    <n v="1620"/>
    <x v="8"/>
    <s v="Hum"/>
    <x v="2"/>
    <n v="18405"/>
    <n v="15773"/>
    <n v="186895.79375000001"/>
    <n v="5800"/>
    <n v="34075"/>
    <n v="220970.79375000001"/>
    <n v="0"/>
    <n v="1"/>
    <n v="0"/>
    <n v="0"/>
    <n v="0"/>
    <n v="0"/>
    <n v="0"/>
    <n v="0"/>
    <n v="0"/>
    <n v="0"/>
    <n v="0"/>
    <n v="0"/>
    <s v="Enl uttag från Ladok - Erik Å"/>
    <m/>
    <n v="0"/>
    <n v="0"/>
    <n v="5.875"/>
    <n v="4.9937499999999995"/>
    <n v="0"/>
    <n v="0"/>
    <n v="0"/>
    <n v="0"/>
    <n v="0"/>
    <n v="0"/>
    <n v="0"/>
    <n v="0"/>
    <n v="0"/>
    <n v="0"/>
    <n v="0"/>
    <n v="0"/>
    <n v="0"/>
    <n v="0"/>
    <n v="0"/>
    <n v="0"/>
    <n v="0"/>
    <n v="0"/>
    <n v="0"/>
  </r>
  <r>
    <x v="40"/>
    <x v="39"/>
    <m/>
    <x v="3"/>
    <m/>
    <x v="0"/>
    <m/>
    <m/>
    <m/>
    <m/>
    <m/>
    <m/>
    <x v="0"/>
    <m/>
    <m/>
    <m/>
    <n v="3.25"/>
    <n v="0.85"/>
    <n v="2.7624999999999997"/>
    <n v="1620"/>
    <x v="8"/>
    <s v="Hum"/>
    <x v="3"/>
    <n v="18405"/>
    <n v="15773"/>
    <n v="103389.16250000001"/>
    <n v="5800"/>
    <n v="18850"/>
    <n v="122239.16250000001"/>
    <n v="0"/>
    <n v="1"/>
    <n v="0"/>
    <n v="0"/>
    <n v="0"/>
    <n v="0"/>
    <n v="0"/>
    <n v="0"/>
    <n v="0"/>
    <n v="0"/>
    <n v="0"/>
    <n v="0"/>
    <s v="Enl uttag från Ladok - Erik Å"/>
    <m/>
    <n v="0"/>
    <n v="0"/>
    <n v="3.25"/>
    <n v="2.7624999999999997"/>
    <n v="0"/>
    <n v="0"/>
    <n v="0"/>
    <n v="0"/>
    <n v="0"/>
    <n v="0"/>
    <n v="0"/>
    <n v="0"/>
    <n v="0"/>
    <n v="0"/>
    <n v="0"/>
    <n v="0"/>
    <n v="0"/>
    <n v="0"/>
    <n v="0"/>
    <n v="0"/>
    <n v="0"/>
    <n v="0"/>
    <n v="0"/>
  </r>
  <r>
    <x v="41"/>
    <x v="40"/>
    <m/>
    <x v="2"/>
    <m/>
    <x v="0"/>
    <m/>
    <m/>
    <m/>
    <m/>
    <m/>
    <m/>
    <x v="0"/>
    <m/>
    <m/>
    <m/>
    <n v="5.125"/>
    <n v="0.85"/>
    <n v="4.3562500000000002"/>
    <n v="1620"/>
    <x v="8"/>
    <s v="Hum"/>
    <x v="2"/>
    <n v="18405"/>
    <n v="15773"/>
    <n v="163036.75625000001"/>
    <n v="5800"/>
    <n v="29725"/>
    <n v="192761.75625000001"/>
    <n v="0"/>
    <n v="1"/>
    <n v="0"/>
    <n v="0"/>
    <n v="0"/>
    <n v="0"/>
    <n v="0"/>
    <n v="0"/>
    <n v="0"/>
    <n v="0"/>
    <n v="0"/>
    <n v="0"/>
    <s v="Enl uttag från Ladok - Erik Å"/>
    <m/>
    <n v="0"/>
    <n v="0"/>
    <n v="5.125"/>
    <n v="4.3562500000000002"/>
    <n v="0"/>
    <n v="0"/>
    <n v="0"/>
    <n v="0"/>
    <n v="0"/>
    <n v="0"/>
    <n v="0"/>
    <n v="0"/>
    <n v="0"/>
    <n v="0"/>
    <n v="0"/>
    <n v="0"/>
    <n v="0"/>
    <n v="0"/>
    <n v="0"/>
    <n v="0"/>
    <n v="0"/>
    <n v="0"/>
    <n v="0"/>
  </r>
  <r>
    <x v="42"/>
    <x v="41"/>
    <m/>
    <x v="3"/>
    <m/>
    <x v="0"/>
    <m/>
    <m/>
    <m/>
    <m/>
    <m/>
    <m/>
    <x v="0"/>
    <m/>
    <m/>
    <m/>
    <n v="2.625"/>
    <n v="0.85"/>
    <n v="2.2312499999999997"/>
    <n v="1620"/>
    <x v="8"/>
    <s v="Hum"/>
    <x v="3"/>
    <n v="18405"/>
    <n v="15773"/>
    <n v="83506.631250000006"/>
    <n v="5800"/>
    <n v="15225"/>
    <n v="98731.631250000006"/>
    <n v="0"/>
    <n v="1"/>
    <n v="0"/>
    <n v="0"/>
    <n v="0"/>
    <n v="0"/>
    <n v="0"/>
    <n v="0"/>
    <n v="0"/>
    <n v="0"/>
    <n v="0"/>
    <n v="0"/>
    <s v="Enl uttag från Ladok - Erik Å"/>
    <m/>
    <n v="0"/>
    <n v="0"/>
    <n v="2.625"/>
    <n v="2.2312499999999997"/>
    <n v="0"/>
    <n v="0"/>
    <n v="0"/>
    <n v="0"/>
    <n v="0"/>
    <n v="0"/>
    <n v="0"/>
    <n v="0"/>
    <n v="0"/>
    <n v="0"/>
    <n v="0"/>
    <n v="0"/>
    <n v="0"/>
    <n v="0"/>
    <n v="0"/>
    <n v="0"/>
    <n v="0"/>
    <n v="0"/>
    <n v="0"/>
  </r>
  <r>
    <x v="43"/>
    <x v="42"/>
    <m/>
    <x v="3"/>
    <m/>
    <x v="0"/>
    <m/>
    <m/>
    <m/>
    <m/>
    <m/>
    <m/>
    <x v="0"/>
    <m/>
    <m/>
    <m/>
    <n v="7"/>
    <n v="0.85"/>
    <n v="5.95"/>
    <n v="1620"/>
    <x v="8"/>
    <s v="Hum"/>
    <x v="3"/>
    <n v="18405"/>
    <n v="15773"/>
    <n v="222684.35"/>
    <n v="5800"/>
    <n v="40600"/>
    <n v="263284.34999999998"/>
    <n v="0"/>
    <n v="1"/>
    <n v="0"/>
    <n v="0"/>
    <n v="0"/>
    <n v="0"/>
    <n v="0"/>
    <n v="0"/>
    <n v="0"/>
    <n v="0"/>
    <n v="0"/>
    <n v="0"/>
    <s v="Enl uttag från Ladok - Erik Å"/>
    <m/>
    <n v="0"/>
    <n v="0"/>
    <n v="7"/>
    <n v="5.95"/>
    <n v="0"/>
    <n v="0"/>
    <n v="0"/>
    <n v="0"/>
    <n v="0"/>
    <n v="0"/>
    <n v="0"/>
    <n v="0"/>
    <n v="0"/>
    <n v="0"/>
    <n v="0"/>
    <n v="0"/>
    <n v="0"/>
    <n v="0"/>
    <n v="0"/>
    <n v="0"/>
    <n v="0"/>
    <n v="0"/>
    <n v="0"/>
  </r>
  <r>
    <x v="44"/>
    <x v="43"/>
    <m/>
    <x v="1"/>
    <m/>
    <x v="0"/>
    <m/>
    <m/>
    <m/>
    <m/>
    <m/>
    <m/>
    <x v="0"/>
    <m/>
    <m/>
    <m/>
    <n v="3.375"/>
    <n v="0.8"/>
    <n v="2.7"/>
    <n v="1620"/>
    <x v="8"/>
    <s v="Hum"/>
    <x v="1"/>
    <n v="18405"/>
    <n v="15773"/>
    <n v="104703.97500000001"/>
    <n v="5800"/>
    <n v="19575"/>
    <n v="124278.97500000001"/>
    <n v="0"/>
    <n v="1"/>
    <n v="0"/>
    <n v="0"/>
    <n v="0"/>
    <n v="0"/>
    <n v="0"/>
    <n v="0"/>
    <n v="0"/>
    <n v="0"/>
    <n v="0"/>
    <n v="0"/>
    <s v="Enl uttag från Ladok - Erik Å"/>
    <m/>
    <n v="0"/>
    <n v="0"/>
    <n v="3.375"/>
    <n v="2.7"/>
    <n v="0"/>
    <n v="0"/>
    <n v="0"/>
    <n v="0"/>
    <n v="0"/>
    <n v="0"/>
    <n v="0"/>
    <n v="0"/>
    <n v="0"/>
    <n v="0"/>
    <n v="0"/>
    <n v="0"/>
    <n v="0"/>
    <n v="0"/>
    <n v="0"/>
    <n v="0"/>
    <n v="0"/>
    <n v="0"/>
    <n v="0"/>
  </r>
  <r>
    <x v="45"/>
    <x v="44"/>
    <m/>
    <x v="1"/>
    <m/>
    <x v="0"/>
    <m/>
    <m/>
    <m/>
    <m/>
    <m/>
    <m/>
    <x v="0"/>
    <m/>
    <m/>
    <m/>
    <n v="3.75"/>
    <n v="0.8"/>
    <n v="3"/>
    <n v="1650"/>
    <x v="9"/>
    <s v="Hum"/>
    <x v="1"/>
    <n v="18405"/>
    <n v="15773"/>
    <n v="116337.75"/>
    <n v="5800"/>
    <n v="21750"/>
    <n v="138087.75"/>
    <n v="0"/>
    <n v="0"/>
    <n v="0"/>
    <n v="0"/>
    <n v="0"/>
    <n v="0"/>
    <n v="1"/>
    <n v="0"/>
    <n v="0"/>
    <n v="0"/>
    <n v="0"/>
    <n v="0"/>
    <s v="Enl uttag från Ladok - Erik Å"/>
    <m/>
    <n v="0"/>
    <n v="0"/>
    <n v="0"/>
    <n v="0"/>
    <n v="0"/>
    <n v="0"/>
    <n v="0"/>
    <n v="0"/>
    <n v="0"/>
    <n v="0"/>
    <n v="0"/>
    <n v="0"/>
    <n v="3.75"/>
    <n v="3"/>
    <n v="0"/>
    <n v="0"/>
    <n v="0"/>
    <n v="0"/>
    <n v="0"/>
    <n v="0"/>
    <n v="0"/>
    <n v="0"/>
    <n v="0"/>
  </r>
  <r>
    <x v="46"/>
    <x v="45"/>
    <m/>
    <x v="1"/>
    <m/>
    <x v="0"/>
    <m/>
    <m/>
    <m/>
    <m/>
    <m/>
    <m/>
    <x v="0"/>
    <m/>
    <m/>
    <m/>
    <n v="4.25"/>
    <n v="0.8"/>
    <n v="3.4000000000000004"/>
    <n v="1650"/>
    <x v="9"/>
    <s v="Hum"/>
    <x v="1"/>
    <n v="40569"/>
    <n v="46697.75"/>
    <n v="331190.59999999998"/>
    <n v="53200"/>
    <n v="226100"/>
    <n v="557290.6"/>
    <n v="0.75"/>
    <n v="0.25"/>
    <n v="0"/>
    <n v="0"/>
    <n v="0"/>
    <n v="0"/>
    <n v="0"/>
    <n v="0"/>
    <n v="0"/>
    <n v="0"/>
    <n v="0"/>
    <n v="0"/>
    <s v="Enl uttag från Ladok - Erik Å"/>
    <m/>
    <n v="3.1875"/>
    <n v="2.5500000000000003"/>
    <n v="1.0625"/>
    <n v="0.85000000000000009"/>
    <n v="0"/>
    <n v="0"/>
    <n v="0"/>
    <n v="0"/>
    <n v="0"/>
    <n v="0"/>
    <n v="0"/>
    <n v="0"/>
    <n v="0"/>
    <n v="0"/>
    <n v="0"/>
    <n v="0"/>
    <n v="0"/>
    <n v="0"/>
    <n v="0"/>
    <n v="0"/>
    <n v="0"/>
    <n v="0"/>
    <n v="0"/>
  </r>
  <r>
    <x v="47"/>
    <x v="46"/>
    <m/>
    <x v="0"/>
    <m/>
    <x v="0"/>
    <m/>
    <m/>
    <m/>
    <m/>
    <m/>
    <m/>
    <x v="0"/>
    <m/>
    <m/>
    <m/>
    <n v="1"/>
    <n v="0.85"/>
    <n v="0.85"/>
    <n v="1650"/>
    <x v="9"/>
    <s v="Hum"/>
    <x v="0"/>
    <n v="47957"/>
    <n v="57006"/>
    <n v="96412.1"/>
    <n v="69000"/>
    <n v="69000"/>
    <n v="165412.1"/>
    <n v="1"/>
    <n v="0"/>
    <n v="0"/>
    <n v="0"/>
    <n v="0"/>
    <n v="0"/>
    <n v="0"/>
    <n v="0"/>
    <n v="0"/>
    <n v="0"/>
    <n v="0"/>
    <n v="0"/>
    <s v="Enl uttag från Ladok - Erik Å"/>
    <m/>
    <n v="1"/>
    <n v="0.85"/>
    <n v="0"/>
    <n v="0"/>
    <n v="0"/>
    <n v="0"/>
    <n v="0"/>
    <n v="0"/>
    <n v="0"/>
    <n v="0"/>
    <n v="0"/>
    <n v="0"/>
    <n v="0"/>
    <n v="0"/>
    <n v="0"/>
    <n v="0"/>
    <n v="0"/>
    <n v="0"/>
    <n v="0"/>
    <n v="0"/>
    <n v="0"/>
    <n v="0"/>
    <n v="0"/>
  </r>
  <r>
    <x v="48"/>
    <x v="47"/>
    <m/>
    <x v="4"/>
    <m/>
    <x v="0"/>
    <m/>
    <m/>
    <m/>
    <m/>
    <m/>
    <m/>
    <x v="0"/>
    <m/>
    <m/>
    <m/>
    <n v="0.375"/>
    <n v="0.85"/>
    <n v="0.31874999999999998"/>
    <n v="1650"/>
    <x v="9"/>
    <s v="Hum"/>
    <x v="4"/>
    <n v="21634"/>
    <n v="26986"/>
    <n v="16714.537499999999"/>
    <n v="3400"/>
    <n v="1275"/>
    <n v="17989.537499999999"/>
    <n v="0"/>
    <n v="0"/>
    <n v="0"/>
    <n v="0"/>
    <n v="0"/>
    <n v="0"/>
    <n v="0"/>
    <n v="0"/>
    <n v="1"/>
    <n v="0"/>
    <n v="0"/>
    <n v="0"/>
    <s v="Enl uttag från Ladok - Erik Å"/>
    <m/>
    <n v="0"/>
    <n v="0"/>
    <n v="0"/>
    <n v="0"/>
    <n v="0"/>
    <n v="0"/>
    <n v="0"/>
    <n v="0"/>
    <n v="0"/>
    <n v="0"/>
    <n v="0"/>
    <n v="0"/>
    <n v="0"/>
    <n v="0"/>
    <n v="0"/>
    <n v="0"/>
    <n v="0.375"/>
    <n v="0.31874999999999998"/>
    <n v="0"/>
    <n v="0"/>
    <n v="0"/>
    <n v="0"/>
    <n v="0"/>
  </r>
  <r>
    <x v="48"/>
    <x v="47"/>
    <m/>
    <x v="0"/>
    <m/>
    <x v="0"/>
    <m/>
    <m/>
    <m/>
    <m/>
    <m/>
    <m/>
    <x v="0"/>
    <m/>
    <m/>
    <m/>
    <n v="3"/>
    <n v="0.85"/>
    <n v="2.5499999999999998"/>
    <n v="1650"/>
    <x v="9"/>
    <s v="Hum"/>
    <x v="0"/>
    <n v="21634"/>
    <n v="26986"/>
    <n v="133716.29999999999"/>
    <n v="3400"/>
    <n v="10200"/>
    <n v="143916.29999999999"/>
    <n v="0"/>
    <n v="0"/>
    <n v="0"/>
    <n v="0"/>
    <n v="0"/>
    <n v="0"/>
    <n v="0"/>
    <n v="0"/>
    <n v="1"/>
    <n v="0"/>
    <n v="0"/>
    <n v="0"/>
    <s v="Enl uttag från Ladok - Erik Å"/>
    <m/>
    <n v="0"/>
    <n v="0"/>
    <n v="0"/>
    <n v="0"/>
    <n v="0"/>
    <n v="0"/>
    <n v="0"/>
    <n v="0"/>
    <n v="0"/>
    <n v="0"/>
    <n v="0"/>
    <n v="0"/>
    <n v="0"/>
    <n v="0"/>
    <n v="0"/>
    <n v="0"/>
    <n v="3"/>
    <n v="2.5499999999999998"/>
    <n v="0"/>
    <n v="0"/>
    <n v="0"/>
    <n v="0"/>
    <n v="0"/>
  </r>
  <r>
    <x v="49"/>
    <x v="48"/>
    <m/>
    <x v="4"/>
    <m/>
    <x v="0"/>
    <m/>
    <m/>
    <m/>
    <m/>
    <m/>
    <m/>
    <x v="0"/>
    <m/>
    <m/>
    <m/>
    <n v="0.125"/>
    <n v="0.85"/>
    <n v="0.10625"/>
    <n v="1650"/>
    <x v="9"/>
    <s v="Hum"/>
    <x v="4"/>
    <n v="18405"/>
    <n v="15773"/>
    <n v="3976.5062499999999"/>
    <n v="5800"/>
    <n v="725"/>
    <n v="4701.5062500000004"/>
    <n v="0"/>
    <n v="1"/>
    <n v="0"/>
    <n v="0"/>
    <n v="0"/>
    <n v="0"/>
    <n v="0"/>
    <n v="0"/>
    <n v="0"/>
    <n v="0"/>
    <n v="0"/>
    <n v="0"/>
    <s v="Enl uttag från Ladok - Erik Å"/>
    <m/>
    <n v="0"/>
    <n v="0"/>
    <n v="0.125"/>
    <n v="0.10625"/>
    <n v="0"/>
    <n v="0"/>
    <n v="0"/>
    <n v="0"/>
    <n v="0"/>
    <n v="0"/>
    <n v="0"/>
    <n v="0"/>
    <n v="0"/>
    <n v="0"/>
    <n v="0"/>
    <n v="0"/>
    <n v="0"/>
    <n v="0"/>
    <n v="0"/>
    <n v="0"/>
    <n v="0"/>
    <n v="0"/>
    <n v="0"/>
  </r>
  <r>
    <x v="49"/>
    <x v="48"/>
    <m/>
    <x v="0"/>
    <m/>
    <x v="0"/>
    <m/>
    <m/>
    <m/>
    <m/>
    <m/>
    <m/>
    <x v="0"/>
    <m/>
    <m/>
    <m/>
    <n v="1.625"/>
    <n v="0.85"/>
    <n v="1.3812499999999999"/>
    <n v="1650"/>
    <x v="9"/>
    <s v="Hum"/>
    <x v="0"/>
    <n v="18405"/>
    <n v="15773"/>
    <n v="51694.581250000003"/>
    <n v="5800"/>
    <n v="9425"/>
    <n v="61119.581250000003"/>
    <n v="0"/>
    <n v="1"/>
    <n v="0"/>
    <n v="0"/>
    <n v="0"/>
    <n v="0"/>
    <n v="0"/>
    <n v="0"/>
    <n v="0"/>
    <n v="0"/>
    <n v="0"/>
    <n v="0"/>
    <s v="Enl uttag från Ladok - Erik Å"/>
    <m/>
    <n v="0"/>
    <n v="0"/>
    <n v="1.625"/>
    <n v="1.3812499999999999"/>
    <n v="0"/>
    <n v="0"/>
    <n v="0"/>
    <n v="0"/>
    <n v="0"/>
    <n v="0"/>
    <n v="0"/>
    <n v="0"/>
    <n v="0"/>
    <n v="0"/>
    <n v="0"/>
    <n v="0"/>
    <n v="0"/>
    <n v="0"/>
    <n v="0"/>
    <n v="0"/>
    <n v="0"/>
    <n v="0"/>
    <n v="0"/>
  </r>
  <r>
    <x v="49"/>
    <x v="48"/>
    <m/>
    <x v="1"/>
    <m/>
    <x v="0"/>
    <m/>
    <m/>
    <m/>
    <m/>
    <m/>
    <m/>
    <x v="0"/>
    <m/>
    <m/>
    <m/>
    <n v="0.375"/>
    <n v="0.8"/>
    <n v="0.30000000000000004"/>
    <n v="1650"/>
    <x v="9"/>
    <s v="Hum"/>
    <x v="1"/>
    <n v="18405"/>
    <n v="15773"/>
    <n v="11633.775000000001"/>
    <n v="5800"/>
    <n v="2175"/>
    <n v="13808.775000000001"/>
    <n v="0"/>
    <n v="1"/>
    <n v="0"/>
    <n v="0"/>
    <n v="0"/>
    <n v="0"/>
    <n v="0"/>
    <n v="0"/>
    <n v="0"/>
    <n v="0"/>
    <n v="0"/>
    <n v="0"/>
    <s v="Enl uttag från Ladok - Erik Å"/>
    <m/>
    <n v="0"/>
    <n v="0"/>
    <n v="0.375"/>
    <n v="0.30000000000000004"/>
    <n v="0"/>
    <n v="0"/>
    <n v="0"/>
    <n v="0"/>
    <n v="0"/>
    <n v="0"/>
    <n v="0"/>
    <n v="0"/>
    <n v="0"/>
    <n v="0"/>
    <n v="0"/>
    <n v="0"/>
    <n v="0"/>
    <n v="0"/>
    <n v="0"/>
    <n v="0"/>
    <n v="0"/>
    <n v="0"/>
    <n v="0"/>
  </r>
  <r>
    <x v="50"/>
    <x v="49"/>
    <m/>
    <x v="5"/>
    <m/>
    <x v="0"/>
    <m/>
    <m/>
    <m/>
    <m/>
    <m/>
    <m/>
    <x v="0"/>
    <m/>
    <m/>
    <m/>
    <n v="3.25"/>
    <n v="0.85"/>
    <n v="2.7624999999999997"/>
    <n v="1650"/>
    <x v="9"/>
    <s v="Hum"/>
    <x v="5"/>
    <n v="21634"/>
    <n v="26986"/>
    <n v="144859.32500000001"/>
    <n v="3400"/>
    <n v="11050"/>
    <n v="155909.32500000001"/>
    <n v="0"/>
    <n v="0"/>
    <n v="0"/>
    <n v="0"/>
    <n v="0"/>
    <n v="0"/>
    <n v="0"/>
    <n v="0"/>
    <n v="1"/>
    <n v="0"/>
    <n v="0"/>
    <n v="0"/>
    <s v="Enl uttag från Ladok - Erik Å"/>
    <m/>
    <n v="0"/>
    <n v="0"/>
    <n v="0"/>
    <n v="0"/>
    <n v="0"/>
    <n v="0"/>
    <n v="0"/>
    <n v="0"/>
    <n v="0"/>
    <n v="0"/>
    <n v="0"/>
    <n v="0"/>
    <n v="0"/>
    <n v="0"/>
    <n v="0"/>
    <n v="0"/>
    <n v="3.25"/>
    <n v="2.7624999999999997"/>
    <n v="0"/>
    <n v="0"/>
    <n v="0"/>
    <n v="0"/>
    <n v="0"/>
  </r>
  <r>
    <x v="50"/>
    <x v="49"/>
    <m/>
    <x v="6"/>
    <m/>
    <x v="0"/>
    <m/>
    <m/>
    <m/>
    <m/>
    <m/>
    <m/>
    <x v="0"/>
    <m/>
    <m/>
    <m/>
    <n v="2.25"/>
    <n v="0.85"/>
    <n v="1.9124999999999999"/>
    <n v="1650"/>
    <x v="9"/>
    <s v="Hum"/>
    <x v="6"/>
    <n v="21634"/>
    <n v="26986"/>
    <n v="100287.22500000001"/>
    <n v="3400"/>
    <n v="7650"/>
    <n v="107937.22500000001"/>
    <n v="0"/>
    <n v="0"/>
    <n v="0"/>
    <n v="0"/>
    <n v="0"/>
    <n v="0"/>
    <n v="0"/>
    <n v="0"/>
    <n v="1"/>
    <n v="0"/>
    <n v="0"/>
    <n v="0"/>
    <s v="Enl uttag från Ladok - Erik Å"/>
    <m/>
    <n v="0"/>
    <n v="0"/>
    <n v="0"/>
    <n v="0"/>
    <n v="0"/>
    <n v="0"/>
    <n v="0"/>
    <n v="0"/>
    <n v="0"/>
    <n v="0"/>
    <n v="0"/>
    <n v="0"/>
    <n v="0"/>
    <n v="0"/>
    <n v="0"/>
    <n v="0"/>
    <n v="2.25"/>
    <n v="1.9124999999999999"/>
    <n v="0"/>
    <n v="0"/>
    <n v="0"/>
    <n v="0"/>
    <n v="0"/>
  </r>
  <r>
    <x v="51"/>
    <x v="50"/>
    <m/>
    <x v="5"/>
    <m/>
    <x v="0"/>
    <m/>
    <m/>
    <m/>
    <m/>
    <m/>
    <m/>
    <x v="0"/>
    <m/>
    <m/>
    <m/>
    <n v="3.5"/>
    <n v="0.85"/>
    <n v="2.9750000000000001"/>
    <n v="1650"/>
    <x v="9"/>
    <s v="Hum"/>
    <x v="5"/>
    <n v="21634"/>
    <n v="26986"/>
    <n v="156002.35"/>
    <n v="3400"/>
    <n v="11900"/>
    <n v="167902.35"/>
    <n v="0"/>
    <n v="0"/>
    <n v="0"/>
    <n v="0"/>
    <n v="0"/>
    <n v="0"/>
    <n v="0"/>
    <n v="0"/>
    <n v="1"/>
    <n v="0"/>
    <n v="0"/>
    <n v="0"/>
    <s v="Enl uttag från Ladok - Erik Å"/>
    <m/>
    <n v="0"/>
    <n v="0"/>
    <n v="0"/>
    <n v="0"/>
    <n v="0"/>
    <n v="0"/>
    <n v="0"/>
    <n v="0"/>
    <n v="0"/>
    <n v="0"/>
    <n v="0"/>
    <n v="0"/>
    <n v="0"/>
    <n v="0"/>
    <n v="0"/>
    <n v="0"/>
    <n v="3.5"/>
    <n v="2.9750000000000001"/>
    <n v="0"/>
    <n v="0"/>
    <n v="0"/>
    <n v="0"/>
    <n v="0"/>
  </r>
  <r>
    <x v="51"/>
    <x v="50"/>
    <m/>
    <x v="6"/>
    <m/>
    <x v="0"/>
    <m/>
    <m/>
    <m/>
    <m/>
    <m/>
    <m/>
    <x v="0"/>
    <m/>
    <m/>
    <m/>
    <n v="2.25"/>
    <n v="0.85"/>
    <n v="1.9124999999999999"/>
    <n v="1650"/>
    <x v="9"/>
    <s v="Hum"/>
    <x v="6"/>
    <n v="21634"/>
    <n v="26986"/>
    <n v="100287.22500000001"/>
    <n v="3400"/>
    <n v="7650"/>
    <n v="107937.22500000001"/>
    <n v="0"/>
    <n v="0"/>
    <n v="0"/>
    <n v="0"/>
    <n v="0"/>
    <n v="0"/>
    <n v="0"/>
    <n v="0"/>
    <n v="1"/>
    <n v="0"/>
    <n v="0"/>
    <n v="0"/>
    <s v="Enl uttag från Ladok - Erik Å"/>
    <m/>
    <n v="0"/>
    <n v="0"/>
    <n v="0"/>
    <n v="0"/>
    <n v="0"/>
    <n v="0"/>
    <n v="0"/>
    <n v="0"/>
    <n v="0"/>
    <n v="0"/>
    <n v="0"/>
    <n v="0"/>
    <n v="0"/>
    <n v="0"/>
    <n v="0"/>
    <n v="0"/>
    <n v="2.25"/>
    <n v="1.9124999999999999"/>
    <n v="0"/>
    <n v="0"/>
    <n v="0"/>
    <n v="0"/>
    <n v="0"/>
  </r>
  <r>
    <x v="52"/>
    <x v="51"/>
    <m/>
    <x v="5"/>
    <m/>
    <x v="0"/>
    <m/>
    <m/>
    <m/>
    <m/>
    <m/>
    <m/>
    <x v="0"/>
    <m/>
    <m/>
    <m/>
    <n v="1.75"/>
    <n v="0.85"/>
    <n v="1.4875"/>
    <n v="1650"/>
    <x v="9"/>
    <s v="Hum"/>
    <x v="5"/>
    <n v="23641"/>
    <n v="28786"/>
    <n v="84190.925000000003"/>
    <n v="5800"/>
    <n v="10150"/>
    <n v="94340.925000000003"/>
    <n v="0"/>
    <n v="0"/>
    <n v="0"/>
    <n v="1"/>
    <n v="0"/>
    <n v="0"/>
    <n v="0"/>
    <n v="0"/>
    <n v="0"/>
    <n v="0"/>
    <n v="0"/>
    <n v="0"/>
    <s v="Enl uttag från Ladok - Erik Å"/>
    <m/>
    <n v="0"/>
    <n v="0"/>
    <n v="0"/>
    <n v="0"/>
    <n v="0"/>
    <n v="0"/>
    <n v="1.75"/>
    <n v="1.4875"/>
    <n v="0"/>
    <n v="0"/>
    <n v="0"/>
    <n v="0"/>
    <n v="0"/>
    <n v="0"/>
    <n v="0"/>
    <n v="0"/>
    <n v="0"/>
    <n v="0"/>
    <n v="0"/>
    <n v="0"/>
    <n v="0"/>
    <n v="0"/>
    <n v="0"/>
  </r>
  <r>
    <x v="52"/>
    <x v="51"/>
    <m/>
    <x v="6"/>
    <m/>
    <x v="0"/>
    <m/>
    <m/>
    <m/>
    <m/>
    <m/>
    <m/>
    <x v="0"/>
    <m/>
    <m/>
    <m/>
    <n v="2.5"/>
    <n v="0.85"/>
    <n v="2.125"/>
    <n v="1650"/>
    <x v="9"/>
    <s v="Hum"/>
    <x v="6"/>
    <n v="23641"/>
    <n v="28786"/>
    <n v="120272.75"/>
    <n v="5800"/>
    <n v="14500"/>
    <n v="134772.75"/>
    <n v="0"/>
    <n v="0"/>
    <n v="0"/>
    <n v="1"/>
    <n v="0"/>
    <n v="0"/>
    <n v="0"/>
    <n v="0"/>
    <n v="0"/>
    <n v="0"/>
    <n v="0"/>
    <n v="0"/>
    <s v="Enl uttag från Ladok - Erik Å"/>
    <m/>
    <n v="0"/>
    <n v="0"/>
    <n v="0"/>
    <n v="0"/>
    <n v="0"/>
    <n v="0"/>
    <n v="2.5"/>
    <n v="2.125"/>
    <n v="0"/>
    <n v="0"/>
    <n v="0"/>
    <n v="0"/>
    <n v="0"/>
    <n v="0"/>
    <n v="0"/>
    <n v="0"/>
    <n v="0"/>
    <n v="0"/>
    <n v="0"/>
    <n v="0"/>
    <n v="0"/>
    <n v="0"/>
    <n v="0"/>
  </r>
  <r>
    <x v="53"/>
    <x v="52"/>
    <m/>
    <x v="7"/>
    <m/>
    <x v="0"/>
    <m/>
    <m/>
    <m/>
    <m/>
    <m/>
    <m/>
    <x v="0"/>
    <m/>
    <m/>
    <m/>
    <n v="10.125"/>
    <n v="0.85"/>
    <n v="8.6062499999999993"/>
    <n v="1650"/>
    <x v="9"/>
    <s v="Hum"/>
    <x v="7"/>
    <n v="15846"/>
    <n v="26926"/>
    <n v="392172.63749999995"/>
    <n v="17300"/>
    <n v="175162.5"/>
    <n v="567335.13749999995"/>
    <n v="0"/>
    <n v="0"/>
    <n v="0"/>
    <n v="0"/>
    <n v="0"/>
    <n v="0"/>
    <n v="0"/>
    <n v="0"/>
    <n v="0"/>
    <n v="0"/>
    <n v="1"/>
    <n v="0"/>
    <s v="Enl uttag från Ladok - Erik Å"/>
    <m/>
    <n v="0"/>
    <n v="0"/>
    <n v="0"/>
    <n v="0"/>
    <n v="0"/>
    <n v="0"/>
    <n v="0"/>
    <n v="0"/>
    <n v="0"/>
    <n v="0"/>
    <n v="0"/>
    <n v="0"/>
    <n v="0"/>
    <n v="0"/>
    <n v="0"/>
    <n v="0"/>
    <n v="0"/>
    <n v="0"/>
    <n v="0"/>
    <n v="10.125"/>
    <n v="8.6062499999999993"/>
    <n v="0"/>
    <n v="0"/>
  </r>
  <r>
    <x v="54"/>
    <x v="53"/>
    <m/>
    <x v="8"/>
    <m/>
    <x v="0"/>
    <m/>
    <m/>
    <m/>
    <m/>
    <m/>
    <m/>
    <x v="0"/>
    <m/>
    <m/>
    <m/>
    <n v="1.75"/>
    <n v="0.85"/>
    <n v="1.4875"/>
    <n v="1650"/>
    <x v="9"/>
    <s v="Hum"/>
    <x v="8"/>
    <n v="15846"/>
    <n v="26926"/>
    <n v="67782.925000000003"/>
    <n v="17300"/>
    <n v="30275"/>
    <n v="98057.925000000003"/>
    <n v="0"/>
    <n v="0"/>
    <n v="0"/>
    <n v="0"/>
    <n v="0"/>
    <n v="0"/>
    <n v="0"/>
    <n v="0"/>
    <n v="0"/>
    <n v="0"/>
    <n v="1"/>
    <n v="0"/>
    <s v="Enl uttag från Ladok - Erik Å"/>
    <m/>
    <n v="0"/>
    <n v="0"/>
    <n v="0"/>
    <n v="0"/>
    <n v="0"/>
    <n v="0"/>
    <n v="0"/>
    <n v="0"/>
    <n v="0"/>
    <n v="0"/>
    <n v="0"/>
    <n v="0"/>
    <n v="0"/>
    <n v="0"/>
    <n v="0"/>
    <n v="0"/>
    <n v="0"/>
    <n v="0"/>
    <n v="0"/>
    <n v="1.75"/>
    <n v="1.4875"/>
    <n v="0"/>
    <n v="0"/>
  </r>
  <r>
    <x v="55"/>
    <x v="54"/>
    <m/>
    <x v="8"/>
    <m/>
    <x v="0"/>
    <m/>
    <m/>
    <m/>
    <m/>
    <m/>
    <m/>
    <x v="0"/>
    <m/>
    <m/>
    <m/>
    <n v="1.5"/>
    <n v="0.85"/>
    <n v="1.2749999999999999"/>
    <n v="1650"/>
    <x v="9"/>
    <s v="Hum"/>
    <x v="8"/>
    <n v="15846"/>
    <n v="26926"/>
    <n v="58099.649999999994"/>
    <n v="17300"/>
    <n v="25950"/>
    <n v="84049.65"/>
    <n v="0"/>
    <n v="0"/>
    <n v="0"/>
    <n v="0"/>
    <n v="0"/>
    <n v="0"/>
    <n v="0"/>
    <n v="0"/>
    <n v="0"/>
    <n v="0"/>
    <n v="1"/>
    <n v="0"/>
    <s v="Enl uttag från Ladok - Erik Å"/>
    <m/>
    <n v="0"/>
    <n v="0"/>
    <n v="0"/>
    <n v="0"/>
    <n v="0"/>
    <n v="0"/>
    <n v="0"/>
    <n v="0"/>
    <n v="0"/>
    <n v="0"/>
    <n v="0"/>
    <n v="0"/>
    <n v="0"/>
    <n v="0"/>
    <n v="0"/>
    <n v="0"/>
    <n v="0"/>
    <n v="0"/>
    <n v="0"/>
    <n v="1.5"/>
    <n v="1.2749999999999999"/>
    <n v="0"/>
    <n v="0"/>
  </r>
  <r>
    <x v="56"/>
    <x v="55"/>
    <m/>
    <x v="8"/>
    <m/>
    <x v="0"/>
    <m/>
    <m/>
    <m/>
    <m/>
    <m/>
    <m/>
    <x v="0"/>
    <m/>
    <m/>
    <m/>
    <n v="0.25"/>
    <n v="0.85"/>
    <n v="0.21249999999999999"/>
    <n v="1650"/>
    <x v="9"/>
    <s v="Hum"/>
    <x v="8"/>
    <n v="21634"/>
    <n v="26986"/>
    <n v="11143.025"/>
    <n v="3400"/>
    <n v="850"/>
    <n v="11993.025"/>
    <n v="0"/>
    <n v="0"/>
    <n v="0"/>
    <n v="0"/>
    <n v="0"/>
    <n v="0"/>
    <n v="0"/>
    <n v="0"/>
    <n v="1"/>
    <n v="0"/>
    <n v="0"/>
    <n v="0"/>
    <s v="Enl uttag från Ladok - Erik Å"/>
    <m/>
    <n v="0"/>
    <n v="0"/>
    <n v="0"/>
    <n v="0"/>
    <n v="0"/>
    <n v="0"/>
    <n v="0"/>
    <n v="0"/>
    <n v="0"/>
    <n v="0"/>
    <n v="0"/>
    <n v="0"/>
    <n v="0"/>
    <n v="0"/>
    <n v="0"/>
    <n v="0"/>
    <n v="0.25"/>
    <n v="0.21249999999999999"/>
    <n v="0"/>
    <n v="0"/>
    <n v="0"/>
    <n v="0"/>
    <n v="0"/>
  </r>
  <r>
    <x v="57"/>
    <x v="56"/>
    <m/>
    <x v="1"/>
    <m/>
    <x v="0"/>
    <m/>
    <m/>
    <m/>
    <m/>
    <m/>
    <m/>
    <x v="0"/>
    <m/>
    <m/>
    <m/>
    <n v="8.25"/>
    <n v="0.8"/>
    <n v="6.6000000000000005"/>
    <n v="1650"/>
    <x v="9"/>
    <s v="Hum"/>
    <x v="1"/>
    <n v="47957"/>
    <n v="57006"/>
    <n v="771884.85000000009"/>
    <n v="69000"/>
    <n v="569250"/>
    <n v="1341134.8500000001"/>
    <n v="1"/>
    <n v="0"/>
    <n v="0"/>
    <n v="0"/>
    <n v="0"/>
    <n v="0"/>
    <n v="0"/>
    <n v="0"/>
    <n v="0"/>
    <n v="0"/>
    <n v="0"/>
    <n v="0"/>
    <s v="Enl uttag från Ladok - Erik Å"/>
    <m/>
    <n v="8.25"/>
    <n v="6.6000000000000005"/>
    <n v="0"/>
    <n v="0"/>
    <n v="0"/>
    <n v="0"/>
    <n v="0"/>
    <n v="0"/>
    <n v="0"/>
    <n v="0"/>
    <n v="0"/>
    <n v="0"/>
    <n v="0"/>
    <n v="0"/>
    <n v="0"/>
    <n v="0"/>
    <n v="0"/>
    <n v="0"/>
    <n v="0"/>
    <n v="0"/>
    <n v="0"/>
    <n v="0"/>
    <n v="0"/>
  </r>
  <r>
    <x v="58"/>
    <x v="57"/>
    <m/>
    <x v="1"/>
    <m/>
    <x v="0"/>
    <m/>
    <m/>
    <m/>
    <m/>
    <m/>
    <m/>
    <x v="0"/>
    <m/>
    <m/>
    <m/>
    <n v="0.625"/>
    <n v="0.8"/>
    <n v="0.5"/>
    <n v="1650"/>
    <x v="9"/>
    <s v="Hum"/>
    <x v="1"/>
    <n v="18405"/>
    <n v="15773"/>
    <n v="19389.625"/>
    <n v="5800"/>
    <n v="3625"/>
    <n v="23014.625"/>
    <n v="0"/>
    <n v="1"/>
    <n v="0"/>
    <n v="0"/>
    <n v="0"/>
    <n v="0"/>
    <n v="0"/>
    <n v="0"/>
    <n v="0"/>
    <n v="0"/>
    <n v="0"/>
    <n v="0"/>
    <s v="Enl uttag från Ladok - Erik Å"/>
    <m/>
    <n v="0"/>
    <n v="0"/>
    <n v="0.625"/>
    <n v="0.5"/>
    <n v="0"/>
    <n v="0"/>
    <n v="0"/>
    <n v="0"/>
    <n v="0"/>
    <n v="0"/>
    <n v="0"/>
    <n v="0"/>
    <n v="0"/>
    <n v="0"/>
    <n v="0"/>
    <n v="0"/>
    <n v="0"/>
    <n v="0"/>
    <n v="0"/>
    <n v="0"/>
    <n v="0"/>
    <n v="0"/>
    <n v="0"/>
  </r>
  <r>
    <x v="59"/>
    <x v="58"/>
    <m/>
    <x v="1"/>
    <m/>
    <x v="0"/>
    <m/>
    <m/>
    <m/>
    <m/>
    <m/>
    <m/>
    <x v="0"/>
    <m/>
    <m/>
    <m/>
    <n v="0.5"/>
    <n v="0.8"/>
    <n v="0.4"/>
    <n v="1650"/>
    <x v="9"/>
    <s v="Hum"/>
    <x v="1"/>
    <n v="47957"/>
    <n v="57006"/>
    <n v="46780.9"/>
    <n v="69000"/>
    <n v="34500"/>
    <n v="81280.899999999994"/>
    <n v="1"/>
    <n v="0"/>
    <n v="0"/>
    <n v="0"/>
    <n v="0"/>
    <n v="0"/>
    <n v="0"/>
    <n v="0"/>
    <n v="0"/>
    <n v="0"/>
    <n v="0"/>
    <n v="0"/>
    <s v="Enl uttag från Ladok - Erik Å"/>
    <m/>
    <n v="0.5"/>
    <n v="0.4"/>
    <n v="0"/>
    <n v="0"/>
    <n v="0"/>
    <n v="0"/>
    <n v="0"/>
    <n v="0"/>
    <n v="0"/>
    <n v="0"/>
    <n v="0"/>
    <n v="0"/>
    <n v="0"/>
    <n v="0"/>
    <n v="0"/>
    <n v="0"/>
    <n v="0"/>
    <n v="0"/>
    <n v="0"/>
    <n v="0"/>
    <n v="0"/>
    <n v="0"/>
    <n v="0"/>
  </r>
  <r>
    <x v="60"/>
    <x v="59"/>
    <m/>
    <x v="1"/>
    <m/>
    <x v="0"/>
    <m/>
    <m/>
    <m/>
    <m/>
    <m/>
    <m/>
    <x v="0"/>
    <m/>
    <m/>
    <m/>
    <n v="0.625"/>
    <n v="0.8"/>
    <n v="0.5"/>
    <n v="1650"/>
    <x v="9"/>
    <s v="Hum"/>
    <x v="1"/>
    <n v="18405"/>
    <n v="15773"/>
    <n v="19389.625"/>
    <n v="5800"/>
    <n v="3625"/>
    <n v="23014.625"/>
    <n v="0"/>
    <n v="1"/>
    <n v="0"/>
    <n v="0"/>
    <n v="0"/>
    <n v="0"/>
    <n v="0"/>
    <n v="0"/>
    <n v="0"/>
    <n v="0"/>
    <n v="0"/>
    <n v="0"/>
    <s v="Enl uttag från Ladok - Erik Å"/>
    <m/>
    <n v="0"/>
    <n v="0"/>
    <n v="0.625"/>
    <n v="0.5"/>
    <n v="0"/>
    <n v="0"/>
    <n v="0"/>
    <n v="0"/>
    <n v="0"/>
    <n v="0"/>
    <n v="0"/>
    <n v="0"/>
    <n v="0"/>
    <n v="0"/>
    <n v="0"/>
    <n v="0"/>
    <n v="0"/>
    <n v="0"/>
    <n v="0"/>
    <n v="0"/>
    <n v="0"/>
    <n v="0"/>
    <n v="0"/>
  </r>
  <r>
    <x v="61"/>
    <x v="60"/>
    <m/>
    <x v="1"/>
    <m/>
    <x v="0"/>
    <m/>
    <m/>
    <m/>
    <m/>
    <m/>
    <m/>
    <x v="0"/>
    <m/>
    <m/>
    <m/>
    <n v="2.5"/>
    <n v="0.8"/>
    <n v="2"/>
    <n v="1650"/>
    <x v="9"/>
    <s v="Hum"/>
    <x v="1"/>
    <n v="47957"/>
    <n v="57006"/>
    <n v="233904.5"/>
    <n v="69000"/>
    <n v="172500"/>
    <n v="406404.5"/>
    <n v="1"/>
    <n v="0"/>
    <n v="0"/>
    <n v="0"/>
    <n v="0"/>
    <n v="0"/>
    <n v="0"/>
    <n v="0"/>
    <n v="0"/>
    <n v="0"/>
    <n v="0"/>
    <n v="0"/>
    <s v="Enl uttag från Ladok - Erik Å"/>
    <m/>
    <n v="2.5"/>
    <n v="2"/>
    <n v="0"/>
    <n v="0"/>
    <n v="0"/>
    <n v="0"/>
    <n v="0"/>
    <n v="0"/>
    <n v="0"/>
    <n v="0"/>
    <n v="0"/>
    <n v="0"/>
    <n v="0"/>
    <n v="0"/>
    <n v="0"/>
    <n v="0"/>
    <n v="0"/>
    <n v="0"/>
    <n v="0"/>
    <n v="0"/>
    <n v="0"/>
    <n v="0"/>
    <n v="0"/>
  </r>
  <r>
    <x v="62"/>
    <x v="61"/>
    <m/>
    <x v="1"/>
    <m/>
    <x v="0"/>
    <m/>
    <m/>
    <m/>
    <m/>
    <m/>
    <m/>
    <x v="0"/>
    <m/>
    <m/>
    <m/>
    <n v="2"/>
    <n v="0.8"/>
    <n v="1.6"/>
    <n v="1650"/>
    <x v="9"/>
    <s v="Hum"/>
    <x v="1"/>
    <n v="47957"/>
    <n v="57006"/>
    <n v="187123.6"/>
    <n v="69000"/>
    <n v="138000"/>
    <n v="325123.59999999998"/>
    <n v="1"/>
    <n v="0"/>
    <n v="0"/>
    <n v="0"/>
    <n v="0"/>
    <n v="0"/>
    <n v="0"/>
    <n v="0"/>
    <n v="0"/>
    <n v="0"/>
    <n v="0"/>
    <n v="0"/>
    <s v="Enl uttag från Ladok - Erik Å"/>
    <m/>
    <n v="2"/>
    <n v="1.6"/>
    <n v="0"/>
    <n v="0"/>
    <n v="0"/>
    <n v="0"/>
    <n v="0"/>
    <n v="0"/>
    <n v="0"/>
    <n v="0"/>
    <n v="0"/>
    <n v="0"/>
    <n v="0"/>
    <n v="0"/>
    <n v="0"/>
    <n v="0"/>
    <n v="0"/>
    <n v="0"/>
    <n v="0"/>
    <n v="0"/>
    <n v="0"/>
    <n v="0"/>
    <n v="0"/>
  </r>
  <r>
    <x v="63"/>
    <x v="62"/>
    <m/>
    <x v="4"/>
    <m/>
    <x v="0"/>
    <m/>
    <m/>
    <m/>
    <m/>
    <m/>
    <m/>
    <x v="0"/>
    <m/>
    <m/>
    <m/>
    <n v="0.75"/>
    <n v="0.85"/>
    <n v="0.63749999999999996"/>
    <n v="1650"/>
    <x v="9"/>
    <s v="Hum"/>
    <x v="4"/>
    <n v="47957"/>
    <n v="57006"/>
    <n v="72309.074999999997"/>
    <n v="69000"/>
    <n v="51750"/>
    <n v="124059.075"/>
    <n v="1"/>
    <n v="0"/>
    <n v="0"/>
    <n v="0"/>
    <n v="0"/>
    <n v="0"/>
    <n v="0"/>
    <n v="0"/>
    <n v="0"/>
    <n v="0"/>
    <n v="0"/>
    <n v="0"/>
    <s v="Enl uttag från Ladok - Erik Å"/>
    <m/>
    <n v="0.75"/>
    <n v="0.63749999999999996"/>
    <n v="0"/>
    <n v="0"/>
    <n v="0"/>
    <n v="0"/>
    <n v="0"/>
    <n v="0"/>
    <n v="0"/>
    <n v="0"/>
    <n v="0"/>
    <n v="0"/>
    <n v="0"/>
    <n v="0"/>
    <n v="0"/>
    <n v="0"/>
    <n v="0"/>
    <n v="0"/>
    <n v="0"/>
    <n v="0"/>
    <n v="0"/>
    <n v="0"/>
    <n v="0"/>
  </r>
  <r>
    <x v="63"/>
    <x v="62"/>
    <m/>
    <x v="0"/>
    <m/>
    <x v="0"/>
    <m/>
    <m/>
    <m/>
    <m/>
    <m/>
    <m/>
    <x v="0"/>
    <m/>
    <m/>
    <m/>
    <n v="2.75"/>
    <n v="0.85"/>
    <n v="2.3374999999999999"/>
    <n v="1650"/>
    <x v="9"/>
    <s v="Hum"/>
    <x v="0"/>
    <n v="47957"/>
    <n v="57006"/>
    <n v="265133.27500000002"/>
    <n v="69000"/>
    <n v="189750"/>
    <n v="454883.27500000002"/>
    <n v="1"/>
    <n v="0"/>
    <n v="0"/>
    <n v="0"/>
    <n v="0"/>
    <n v="0"/>
    <n v="0"/>
    <n v="0"/>
    <n v="0"/>
    <n v="0"/>
    <n v="0"/>
    <n v="0"/>
    <s v="Enl uttag från Ladok - Erik Å"/>
    <m/>
    <n v="2.75"/>
    <n v="2.3374999999999999"/>
    <n v="0"/>
    <n v="0"/>
    <n v="0"/>
    <n v="0"/>
    <n v="0"/>
    <n v="0"/>
    <n v="0"/>
    <n v="0"/>
    <n v="0"/>
    <n v="0"/>
    <n v="0"/>
    <n v="0"/>
    <n v="0"/>
    <n v="0"/>
    <n v="0"/>
    <n v="0"/>
    <n v="0"/>
    <n v="0"/>
    <n v="0"/>
    <n v="0"/>
    <n v="0"/>
  </r>
  <r>
    <x v="64"/>
    <x v="63"/>
    <m/>
    <x v="4"/>
    <m/>
    <x v="0"/>
    <m/>
    <m/>
    <m/>
    <m/>
    <m/>
    <m/>
    <x v="0"/>
    <m/>
    <m/>
    <m/>
    <n v="0.75"/>
    <n v="0.85"/>
    <n v="0.63749999999999996"/>
    <n v="1650"/>
    <x v="9"/>
    <s v="Hum"/>
    <x v="4"/>
    <n v="47957"/>
    <n v="57006"/>
    <n v="72309.074999999997"/>
    <n v="69000"/>
    <n v="51750"/>
    <n v="124059.075"/>
    <n v="1"/>
    <n v="0"/>
    <n v="0"/>
    <n v="0"/>
    <n v="0"/>
    <n v="0"/>
    <n v="0"/>
    <n v="0"/>
    <n v="0"/>
    <n v="0"/>
    <n v="0"/>
    <n v="0"/>
    <s v="Enl uttag från Ladok - Erik Å"/>
    <m/>
    <n v="0.75"/>
    <n v="0.63749999999999996"/>
    <n v="0"/>
    <n v="0"/>
    <n v="0"/>
    <n v="0"/>
    <n v="0"/>
    <n v="0"/>
    <n v="0"/>
    <n v="0"/>
    <n v="0"/>
    <n v="0"/>
    <n v="0"/>
    <n v="0"/>
    <n v="0"/>
    <n v="0"/>
    <n v="0"/>
    <n v="0"/>
    <n v="0"/>
    <n v="0"/>
    <n v="0"/>
    <n v="0"/>
    <n v="0"/>
  </r>
  <r>
    <x v="64"/>
    <x v="63"/>
    <m/>
    <x v="0"/>
    <m/>
    <x v="0"/>
    <m/>
    <m/>
    <m/>
    <m/>
    <m/>
    <m/>
    <x v="0"/>
    <m/>
    <m/>
    <m/>
    <n v="2.75"/>
    <n v="0.85"/>
    <n v="2.3374999999999999"/>
    <n v="1650"/>
    <x v="9"/>
    <s v="Hum"/>
    <x v="0"/>
    <n v="47957"/>
    <n v="57006"/>
    <n v="265133.27500000002"/>
    <n v="69000"/>
    <n v="189750"/>
    <n v="454883.27500000002"/>
    <n v="1"/>
    <n v="0"/>
    <n v="0"/>
    <n v="0"/>
    <n v="0"/>
    <n v="0"/>
    <n v="0"/>
    <n v="0"/>
    <n v="0"/>
    <n v="0"/>
    <n v="0"/>
    <n v="0"/>
    <s v="Enl uttag från Ladok - Erik Å"/>
    <m/>
    <n v="2.75"/>
    <n v="2.3374999999999999"/>
    <n v="0"/>
    <n v="0"/>
    <n v="0"/>
    <n v="0"/>
    <n v="0"/>
    <n v="0"/>
    <n v="0"/>
    <n v="0"/>
    <n v="0"/>
    <n v="0"/>
    <n v="0"/>
    <n v="0"/>
    <n v="0"/>
    <n v="0"/>
    <n v="0"/>
    <n v="0"/>
    <n v="0"/>
    <n v="0"/>
    <n v="0"/>
    <n v="0"/>
    <n v="0"/>
  </r>
  <r>
    <x v="65"/>
    <x v="64"/>
    <m/>
    <x v="7"/>
    <m/>
    <x v="0"/>
    <m/>
    <m/>
    <m/>
    <m/>
    <m/>
    <m/>
    <x v="0"/>
    <m/>
    <m/>
    <m/>
    <n v="21"/>
    <n v="0.85"/>
    <n v="17.849999999999998"/>
    <n v="1650"/>
    <x v="9"/>
    <s v="Hum"/>
    <x v="7"/>
    <n v="15846"/>
    <n v="26926"/>
    <n v="813395.09999999986"/>
    <n v="17300"/>
    <n v="363300"/>
    <n v="1176695.0999999999"/>
    <n v="0"/>
    <n v="0"/>
    <n v="0"/>
    <n v="0"/>
    <n v="0"/>
    <n v="0"/>
    <n v="0"/>
    <n v="0"/>
    <n v="0"/>
    <n v="0"/>
    <n v="1"/>
    <n v="0"/>
    <s v="Enl uttag från Ladok - Erik Å"/>
    <m/>
    <n v="0"/>
    <n v="0"/>
    <n v="0"/>
    <n v="0"/>
    <n v="0"/>
    <n v="0"/>
    <n v="0"/>
    <n v="0"/>
    <n v="0"/>
    <n v="0"/>
    <n v="0"/>
    <n v="0"/>
    <n v="0"/>
    <n v="0"/>
    <n v="0"/>
    <n v="0"/>
    <n v="0"/>
    <n v="0"/>
    <n v="0"/>
    <n v="21"/>
    <n v="17.849999999999998"/>
    <n v="0"/>
    <n v="0"/>
  </r>
  <r>
    <x v="66"/>
    <x v="65"/>
    <m/>
    <x v="0"/>
    <m/>
    <x v="0"/>
    <m/>
    <m/>
    <m/>
    <m/>
    <m/>
    <m/>
    <x v="0"/>
    <m/>
    <m/>
    <m/>
    <n v="0.2"/>
    <n v="0.85"/>
    <n v="0.17"/>
    <n v="1650"/>
    <x v="9"/>
    <s v="Hum"/>
    <x v="0"/>
    <n v="21634"/>
    <n v="26986"/>
    <n v="8914.42"/>
    <n v="3400"/>
    <n v="680"/>
    <n v="9594.42"/>
    <n v="0"/>
    <n v="0"/>
    <n v="0"/>
    <n v="0"/>
    <n v="0"/>
    <n v="0"/>
    <n v="0"/>
    <n v="0"/>
    <n v="1"/>
    <n v="0"/>
    <n v="0"/>
    <n v="0"/>
    <s v="Enl uttag från Ladok - Erik Å"/>
    <m/>
    <n v="0"/>
    <n v="0"/>
    <n v="0"/>
    <n v="0"/>
    <n v="0"/>
    <n v="0"/>
    <n v="0"/>
    <n v="0"/>
    <n v="0"/>
    <n v="0"/>
    <n v="0"/>
    <n v="0"/>
    <n v="0"/>
    <n v="0"/>
    <n v="0"/>
    <n v="0"/>
    <n v="0.2"/>
    <n v="0.17"/>
    <n v="0"/>
    <n v="0"/>
    <n v="0"/>
    <n v="0"/>
    <n v="0"/>
  </r>
  <r>
    <x v="67"/>
    <x v="66"/>
    <m/>
    <x v="4"/>
    <m/>
    <x v="0"/>
    <m/>
    <m/>
    <m/>
    <m/>
    <m/>
    <m/>
    <x v="0"/>
    <m/>
    <m/>
    <m/>
    <n v="0.4"/>
    <n v="0.85"/>
    <n v="0.34"/>
    <n v="1650"/>
    <x v="9"/>
    <s v="Hum"/>
    <x v="4"/>
    <n v="21634"/>
    <n v="26986"/>
    <n v="17828.84"/>
    <n v="3400"/>
    <n v="1360"/>
    <n v="19188.84"/>
    <n v="0"/>
    <n v="0"/>
    <n v="0"/>
    <n v="0"/>
    <n v="0"/>
    <n v="0"/>
    <n v="0"/>
    <n v="0"/>
    <n v="1"/>
    <n v="0"/>
    <n v="0"/>
    <n v="0"/>
    <s v="Enl uttag från Ladok - Erik Å"/>
    <m/>
    <n v="0"/>
    <n v="0"/>
    <n v="0"/>
    <n v="0"/>
    <n v="0"/>
    <n v="0"/>
    <n v="0"/>
    <n v="0"/>
    <n v="0"/>
    <n v="0"/>
    <n v="0"/>
    <n v="0"/>
    <n v="0"/>
    <n v="0"/>
    <n v="0"/>
    <n v="0"/>
    <n v="0.4"/>
    <n v="0.34"/>
    <n v="0"/>
    <n v="0"/>
    <n v="0"/>
    <n v="0"/>
    <n v="0"/>
  </r>
  <r>
    <x v="68"/>
    <x v="67"/>
    <m/>
    <x v="1"/>
    <m/>
    <x v="0"/>
    <m/>
    <m/>
    <m/>
    <m/>
    <m/>
    <m/>
    <x v="0"/>
    <m/>
    <m/>
    <m/>
    <n v="1.875"/>
    <n v="0.8"/>
    <n v="1.5"/>
    <n v="1650"/>
    <x v="9"/>
    <s v="Hum"/>
    <x v="1"/>
    <n v="18405"/>
    <n v="15773"/>
    <n v="58168.875"/>
    <n v="5800"/>
    <n v="10875"/>
    <n v="69043.875"/>
    <n v="0"/>
    <n v="1"/>
    <n v="0"/>
    <n v="0"/>
    <n v="0"/>
    <n v="0"/>
    <n v="0"/>
    <n v="0"/>
    <n v="0"/>
    <n v="0"/>
    <n v="0"/>
    <n v="0"/>
    <s v="Enl uttag från Ladok - Erik Å"/>
    <m/>
    <n v="0"/>
    <n v="0"/>
    <n v="1.875"/>
    <n v="1.5"/>
    <n v="0"/>
    <n v="0"/>
    <n v="0"/>
    <n v="0"/>
    <n v="0"/>
    <n v="0"/>
    <n v="0"/>
    <n v="0"/>
    <n v="0"/>
    <n v="0"/>
    <n v="0"/>
    <n v="0"/>
    <n v="0"/>
    <n v="0"/>
    <n v="0"/>
    <n v="0"/>
    <n v="0"/>
    <n v="0"/>
    <n v="0"/>
  </r>
  <r>
    <x v="69"/>
    <x v="68"/>
    <m/>
    <x v="4"/>
    <m/>
    <x v="0"/>
    <m/>
    <m/>
    <m/>
    <m/>
    <m/>
    <m/>
    <x v="0"/>
    <m/>
    <m/>
    <m/>
    <n v="1.5"/>
    <n v="0.85"/>
    <n v="1.2749999999999999"/>
    <n v="1650"/>
    <x v="9"/>
    <s v="Hum"/>
    <x v="4"/>
    <n v="47957"/>
    <n v="57006"/>
    <n v="144618.15"/>
    <n v="69000"/>
    <n v="103500"/>
    <n v="248118.15"/>
    <n v="1"/>
    <n v="0"/>
    <n v="0"/>
    <n v="0"/>
    <n v="0"/>
    <n v="0"/>
    <n v="0"/>
    <n v="0"/>
    <n v="0"/>
    <n v="0"/>
    <n v="0"/>
    <n v="0"/>
    <s v="Enl uttag från Ladok - Erik Å"/>
    <m/>
    <n v="1.5"/>
    <n v="1.2749999999999999"/>
    <n v="0"/>
    <n v="0"/>
    <n v="0"/>
    <n v="0"/>
    <n v="0"/>
    <n v="0"/>
    <n v="0"/>
    <n v="0"/>
    <n v="0"/>
    <n v="0"/>
    <n v="0"/>
    <n v="0"/>
    <n v="0"/>
    <n v="0"/>
    <n v="0"/>
    <n v="0"/>
    <n v="0"/>
    <n v="0"/>
    <n v="0"/>
    <n v="0"/>
    <n v="0"/>
  </r>
  <r>
    <x v="69"/>
    <x v="68"/>
    <m/>
    <x v="0"/>
    <m/>
    <x v="0"/>
    <m/>
    <m/>
    <m/>
    <m/>
    <m/>
    <m/>
    <x v="0"/>
    <m/>
    <m/>
    <m/>
    <n v="6.5"/>
    <n v="0.85"/>
    <n v="5.5249999999999995"/>
    <n v="1650"/>
    <x v="9"/>
    <s v="Hum"/>
    <x v="0"/>
    <n v="47957"/>
    <n v="57006"/>
    <n v="626678.64999999991"/>
    <n v="69000"/>
    <n v="448500"/>
    <n v="1075178.6499999999"/>
    <n v="1"/>
    <n v="0"/>
    <n v="0"/>
    <n v="0"/>
    <n v="0"/>
    <n v="0"/>
    <n v="0"/>
    <n v="0"/>
    <n v="0"/>
    <n v="0"/>
    <n v="0"/>
    <n v="0"/>
    <s v="Enl uttag från Ladok - Erik Å"/>
    <m/>
    <n v="6.5"/>
    <n v="5.5249999999999995"/>
    <n v="0"/>
    <n v="0"/>
    <n v="0"/>
    <n v="0"/>
    <n v="0"/>
    <n v="0"/>
    <n v="0"/>
    <n v="0"/>
    <n v="0"/>
    <n v="0"/>
    <n v="0"/>
    <n v="0"/>
    <n v="0"/>
    <n v="0"/>
    <n v="0"/>
    <n v="0"/>
    <n v="0"/>
    <n v="0"/>
    <n v="0"/>
    <n v="0"/>
    <n v="0"/>
  </r>
  <r>
    <x v="70"/>
    <x v="69"/>
    <m/>
    <x v="1"/>
    <m/>
    <x v="0"/>
    <m/>
    <m/>
    <m/>
    <m/>
    <m/>
    <m/>
    <x v="0"/>
    <m/>
    <m/>
    <m/>
    <n v="0.5"/>
    <n v="0.8"/>
    <n v="0.4"/>
    <n v="1650"/>
    <x v="9"/>
    <s v="Hum"/>
    <x v="1"/>
    <n v="47957"/>
    <n v="57006"/>
    <n v="46780.9"/>
    <n v="69000"/>
    <n v="34500"/>
    <n v="81280.899999999994"/>
    <n v="1"/>
    <n v="0"/>
    <n v="0"/>
    <n v="0"/>
    <n v="0"/>
    <n v="0"/>
    <n v="0"/>
    <n v="0"/>
    <n v="0"/>
    <n v="0"/>
    <n v="0"/>
    <n v="0"/>
    <s v="Enl uttag från Ladok - Erik Å"/>
    <m/>
    <n v="0.5"/>
    <n v="0.4"/>
    <n v="0"/>
    <n v="0"/>
    <n v="0"/>
    <n v="0"/>
    <n v="0"/>
    <n v="0"/>
    <n v="0"/>
    <n v="0"/>
    <n v="0"/>
    <n v="0"/>
    <n v="0"/>
    <n v="0"/>
    <n v="0"/>
    <n v="0"/>
    <n v="0"/>
    <n v="0"/>
    <n v="0"/>
    <n v="0"/>
    <n v="0"/>
    <n v="0"/>
    <n v="0"/>
  </r>
  <r>
    <x v="71"/>
    <x v="70"/>
    <m/>
    <x v="1"/>
    <m/>
    <x v="0"/>
    <m/>
    <m/>
    <m/>
    <m/>
    <m/>
    <m/>
    <x v="0"/>
    <m/>
    <m/>
    <m/>
    <n v="1.875"/>
    <n v="0.8"/>
    <n v="1.5"/>
    <n v="1650"/>
    <x v="9"/>
    <s v="Hum"/>
    <x v="1"/>
    <n v="18405"/>
    <n v="15773"/>
    <n v="58168.875"/>
    <n v="5800"/>
    <n v="10875"/>
    <n v="69043.875"/>
    <n v="0"/>
    <n v="1"/>
    <n v="0"/>
    <n v="0"/>
    <n v="0"/>
    <n v="0"/>
    <n v="0"/>
    <n v="0"/>
    <n v="0"/>
    <n v="0"/>
    <n v="0"/>
    <n v="0"/>
    <s v="Enl uttag från Ladok - Erik Å"/>
    <m/>
    <n v="0"/>
    <n v="0"/>
    <n v="1.875"/>
    <n v="1.5"/>
    <n v="0"/>
    <n v="0"/>
    <n v="0"/>
    <n v="0"/>
    <n v="0"/>
    <n v="0"/>
    <n v="0"/>
    <n v="0"/>
    <n v="0"/>
    <n v="0"/>
    <n v="0"/>
    <n v="0"/>
    <n v="0"/>
    <n v="0"/>
    <n v="0"/>
    <n v="0"/>
    <n v="0"/>
    <n v="0"/>
    <n v="0"/>
  </r>
  <r>
    <x v="72"/>
    <x v="71"/>
    <m/>
    <x v="0"/>
    <m/>
    <x v="0"/>
    <m/>
    <m/>
    <m/>
    <m/>
    <m/>
    <m/>
    <x v="0"/>
    <m/>
    <m/>
    <m/>
    <n v="2.5"/>
    <n v="0.85"/>
    <n v="2.125"/>
    <n v="1650"/>
    <x v="9"/>
    <s v="Hum"/>
    <x v="0"/>
    <n v="47957"/>
    <n v="57006"/>
    <n v="241030.25"/>
    <n v="69000"/>
    <n v="172500"/>
    <n v="413530.25"/>
    <n v="1"/>
    <n v="0"/>
    <n v="0"/>
    <n v="0"/>
    <n v="0"/>
    <n v="0"/>
    <n v="0"/>
    <n v="0"/>
    <n v="0"/>
    <n v="0"/>
    <n v="0"/>
    <n v="0"/>
    <s v="Enl uttag från Ladok - Erik Å"/>
    <m/>
    <n v="2.5"/>
    <n v="2.125"/>
    <n v="0"/>
    <n v="0"/>
    <n v="0"/>
    <n v="0"/>
    <n v="0"/>
    <n v="0"/>
    <n v="0"/>
    <n v="0"/>
    <n v="0"/>
    <n v="0"/>
    <n v="0"/>
    <n v="0"/>
    <n v="0"/>
    <n v="0"/>
    <n v="0"/>
    <n v="0"/>
    <n v="0"/>
    <n v="0"/>
    <n v="0"/>
    <n v="0"/>
    <n v="0"/>
  </r>
  <r>
    <x v="73"/>
    <x v="72"/>
    <m/>
    <x v="1"/>
    <m/>
    <x v="0"/>
    <m/>
    <m/>
    <m/>
    <m/>
    <m/>
    <m/>
    <x v="0"/>
    <m/>
    <m/>
    <m/>
    <n v="0.5"/>
    <n v="0.8"/>
    <n v="0.4"/>
    <n v="1650"/>
    <x v="9"/>
    <s v="Hum"/>
    <x v="1"/>
    <n v="47957"/>
    <n v="57006"/>
    <n v="46780.9"/>
    <n v="69000"/>
    <n v="34500"/>
    <n v="81280.899999999994"/>
    <n v="1"/>
    <n v="0"/>
    <n v="0"/>
    <n v="0"/>
    <n v="0"/>
    <n v="0"/>
    <n v="0"/>
    <n v="0"/>
    <n v="0"/>
    <n v="0"/>
    <n v="0"/>
    <n v="0"/>
    <s v="Enl uttag från Ladok - Erik Å"/>
    <m/>
    <n v="0.5"/>
    <n v="0.4"/>
    <n v="0"/>
    <n v="0"/>
    <n v="0"/>
    <n v="0"/>
    <n v="0"/>
    <n v="0"/>
    <n v="0"/>
    <n v="0"/>
    <n v="0"/>
    <n v="0"/>
    <n v="0"/>
    <n v="0"/>
    <n v="0"/>
    <n v="0"/>
    <n v="0"/>
    <n v="0"/>
    <n v="0"/>
    <n v="0"/>
    <n v="0"/>
    <n v="0"/>
    <n v="0"/>
  </r>
  <r>
    <x v="74"/>
    <x v="46"/>
    <m/>
    <x v="0"/>
    <m/>
    <x v="0"/>
    <m/>
    <m/>
    <m/>
    <m/>
    <m/>
    <m/>
    <x v="0"/>
    <m/>
    <m/>
    <m/>
    <n v="1"/>
    <n v="0.85"/>
    <n v="0.85"/>
    <n v="1650"/>
    <x v="9"/>
    <s v="Hum"/>
    <x v="0"/>
    <n v="47957"/>
    <n v="57006"/>
    <n v="96412.1"/>
    <n v="69000"/>
    <n v="69000"/>
    <n v="165412.1"/>
    <n v="1"/>
    <n v="0"/>
    <n v="0"/>
    <n v="0"/>
    <n v="0"/>
    <n v="0"/>
    <n v="0"/>
    <n v="0"/>
    <n v="0"/>
    <n v="0"/>
    <n v="0"/>
    <n v="0"/>
    <s v="Enl uttag från Ladok - Erik Å"/>
    <m/>
    <n v="1"/>
    <n v="0.85"/>
    <n v="0"/>
    <n v="0"/>
    <n v="0"/>
    <n v="0"/>
    <n v="0"/>
    <n v="0"/>
    <n v="0"/>
    <n v="0"/>
    <n v="0"/>
    <n v="0"/>
    <n v="0"/>
    <n v="0"/>
    <n v="0"/>
    <n v="0"/>
    <n v="0"/>
    <n v="0"/>
    <n v="0"/>
    <n v="0"/>
    <n v="0"/>
    <n v="0"/>
    <n v="0"/>
  </r>
  <r>
    <x v="75"/>
    <x v="45"/>
    <m/>
    <x v="1"/>
    <m/>
    <x v="0"/>
    <m/>
    <m/>
    <m/>
    <m/>
    <m/>
    <m/>
    <x v="0"/>
    <m/>
    <m/>
    <m/>
    <n v="4"/>
    <n v="0.8"/>
    <n v="3.2"/>
    <n v="1650"/>
    <x v="9"/>
    <s v="Hum"/>
    <x v="1"/>
    <n v="40569"/>
    <n v="46697.75"/>
    <n v="311708.80000000005"/>
    <n v="53200"/>
    <n v="212800"/>
    <n v="524508.80000000005"/>
    <n v="0.75"/>
    <n v="0.25"/>
    <n v="0"/>
    <n v="0"/>
    <n v="0"/>
    <n v="0"/>
    <n v="0"/>
    <n v="0"/>
    <n v="0"/>
    <n v="0"/>
    <n v="0"/>
    <n v="0"/>
    <s v="Enl uttag från Ladok - Erik Å"/>
    <m/>
    <n v="3"/>
    <n v="2.4000000000000004"/>
    <n v="1"/>
    <n v="0.8"/>
    <n v="0"/>
    <n v="0"/>
    <n v="0"/>
    <n v="0"/>
    <n v="0"/>
    <n v="0"/>
    <n v="0"/>
    <n v="0"/>
    <n v="0"/>
    <n v="0"/>
    <n v="0"/>
    <n v="0"/>
    <n v="0"/>
    <n v="0"/>
    <n v="0"/>
    <n v="0"/>
    <n v="0"/>
    <n v="0"/>
    <n v="0"/>
  </r>
  <r>
    <x v="76"/>
    <x v="73"/>
    <m/>
    <x v="1"/>
    <m/>
    <x v="0"/>
    <m/>
    <m/>
    <m/>
    <m/>
    <m/>
    <m/>
    <x v="0"/>
    <m/>
    <m/>
    <m/>
    <n v="1"/>
    <n v="0.8"/>
    <n v="0.8"/>
    <n v="1620"/>
    <x v="8"/>
    <s v="Hum"/>
    <x v="1"/>
    <n v="18405"/>
    <n v="15773"/>
    <n v="31023.4"/>
    <n v="5800"/>
    <n v="5800"/>
    <n v="36823.4"/>
    <n v="0"/>
    <n v="1"/>
    <n v="0"/>
    <n v="0"/>
    <n v="0"/>
    <n v="0"/>
    <n v="0"/>
    <n v="0"/>
    <n v="0"/>
    <n v="0"/>
    <n v="0"/>
    <n v="0"/>
    <s v="Enl uttag från Ladok - Erik Å"/>
    <m/>
    <n v="0"/>
    <n v="0"/>
    <n v="1"/>
    <n v="0.8"/>
    <n v="0"/>
    <n v="0"/>
    <n v="0"/>
    <n v="0"/>
    <n v="0"/>
    <n v="0"/>
    <n v="0"/>
    <n v="0"/>
    <n v="0"/>
    <n v="0"/>
    <n v="0"/>
    <n v="0"/>
    <n v="0"/>
    <n v="0"/>
    <n v="0"/>
    <n v="0"/>
    <n v="0"/>
    <n v="0"/>
    <n v="0"/>
  </r>
  <r>
    <x v="77"/>
    <x v="74"/>
    <m/>
    <x v="1"/>
    <m/>
    <x v="0"/>
    <m/>
    <m/>
    <m/>
    <m/>
    <m/>
    <m/>
    <x v="0"/>
    <m/>
    <m/>
    <m/>
    <n v="1"/>
    <n v="0.8"/>
    <n v="0.8"/>
    <n v="1620"/>
    <x v="8"/>
    <s v="Hum"/>
    <x v="1"/>
    <n v="18405"/>
    <n v="15773"/>
    <n v="31023.4"/>
    <n v="5800"/>
    <n v="5800"/>
    <n v="36823.4"/>
    <n v="0"/>
    <n v="1"/>
    <n v="0"/>
    <n v="0"/>
    <n v="0"/>
    <n v="0"/>
    <n v="0"/>
    <n v="0"/>
    <n v="0"/>
    <n v="0"/>
    <n v="0"/>
    <n v="0"/>
    <s v="Enl uttag från Ladok - Erik Å"/>
    <m/>
    <n v="0"/>
    <n v="0"/>
    <n v="1"/>
    <n v="0.8"/>
    <n v="0"/>
    <n v="0"/>
    <n v="0"/>
    <n v="0"/>
    <n v="0"/>
    <n v="0"/>
    <n v="0"/>
    <n v="0"/>
    <n v="0"/>
    <n v="0"/>
    <n v="0"/>
    <n v="0"/>
    <n v="0"/>
    <n v="0"/>
    <n v="0"/>
    <n v="0"/>
    <n v="0"/>
    <n v="0"/>
    <n v="0"/>
  </r>
  <r>
    <x v="78"/>
    <x v="75"/>
    <m/>
    <x v="0"/>
    <m/>
    <x v="0"/>
    <m/>
    <m/>
    <m/>
    <m/>
    <m/>
    <m/>
    <x v="0"/>
    <m/>
    <m/>
    <m/>
    <n v="0.375"/>
    <n v="0.85"/>
    <n v="0.31874999999999998"/>
    <n v="5740"/>
    <x v="6"/>
    <s v="TekNat"/>
    <x v="0"/>
    <n v="19473"/>
    <n v="34806"/>
    <n v="18396.787499999999"/>
    <n v="21800"/>
    <n v="8175"/>
    <n v="26571.787499999999"/>
    <n v="0"/>
    <n v="0"/>
    <n v="0"/>
    <n v="0"/>
    <n v="0"/>
    <n v="1"/>
    <n v="0"/>
    <n v="0"/>
    <n v="0"/>
    <n v="0"/>
    <n v="0"/>
    <n v="0"/>
    <s v="Enl uttag från Ladok - Erik Å"/>
    <m/>
    <n v="0"/>
    <n v="0"/>
    <n v="0"/>
    <n v="0"/>
    <n v="0"/>
    <n v="0"/>
    <n v="0"/>
    <n v="0"/>
    <n v="0"/>
    <n v="0"/>
    <n v="0.375"/>
    <n v="0.31874999999999998"/>
    <n v="0"/>
    <n v="0"/>
    <n v="0"/>
    <n v="0"/>
    <n v="0"/>
    <n v="0"/>
    <n v="0"/>
    <n v="0"/>
    <n v="0"/>
    <n v="0"/>
    <n v="0"/>
  </r>
  <r>
    <x v="79"/>
    <x v="76"/>
    <m/>
    <x v="0"/>
    <m/>
    <x v="0"/>
    <m/>
    <m/>
    <m/>
    <m/>
    <m/>
    <m/>
    <x v="0"/>
    <m/>
    <m/>
    <m/>
    <n v="1.625"/>
    <n v="0.85"/>
    <n v="1.3812499999999999"/>
    <n v="5400"/>
    <x v="3"/>
    <s v="TekNat"/>
    <x v="0"/>
    <n v="19473"/>
    <n v="34806"/>
    <n v="79719.412500000006"/>
    <n v="21800"/>
    <n v="35425"/>
    <n v="115144.41250000001"/>
    <n v="0"/>
    <n v="0"/>
    <n v="0"/>
    <n v="0"/>
    <n v="0"/>
    <n v="0.5"/>
    <n v="0"/>
    <n v="0.5"/>
    <n v="0"/>
    <n v="0"/>
    <n v="0"/>
    <n v="0"/>
    <s v="Enl uttag från Ladok - Erik Å"/>
    <m/>
    <n v="0"/>
    <n v="0"/>
    <n v="0"/>
    <n v="0"/>
    <n v="0"/>
    <n v="0"/>
    <n v="0"/>
    <n v="0"/>
    <n v="0"/>
    <n v="0"/>
    <n v="0.8125"/>
    <n v="0.69062499999999993"/>
    <n v="0"/>
    <n v="0"/>
    <n v="0.8125"/>
    <n v="0.69062499999999993"/>
    <n v="0"/>
    <n v="0"/>
    <n v="0"/>
    <n v="0"/>
    <n v="0"/>
    <n v="0"/>
    <n v="0"/>
  </r>
  <r>
    <x v="79"/>
    <x v="76"/>
    <m/>
    <x v="1"/>
    <m/>
    <x v="0"/>
    <m/>
    <m/>
    <m/>
    <m/>
    <m/>
    <m/>
    <x v="0"/>
    <m/>
    <m/>
    <m/>
    <n v="2.75"/>
    <n v="0.8"/>
    <n v="2.2000000000000002"/>
    <n v="5400"/>
    <x v="3"/>
    <s v="TekNat"/>
    <x v="1"/>
    <n v="19473"/>
    <n v="34806"/>
    <n v="130123.95000000001"/>
    <n v="21800"/>
    <n v="59950"/>
    <n v="190073.95"/>
    <n v="0"/>
    <n v="0"/>
    <n v="0"/>
    <n v="0"/>
    <n v="0"/>
    <n v="0.5"/>
    <n v="0"/>
    <n v="0.5"/>
    <n v="0"/>
    <n v="0"/>
    <n v="0"/>
    <n v="0"/>
    <s v="Enl uttag från Ladok - Erik Å"/>
    <m/>
    <n v="0"/>
    <n v="0"/>
    <n v="0"/>
    <n v="0"/>
    <n v="0"/>
    <n v="0"/>
    <n v="0"/>
    <n v="0"/>
    <n v="0"/>
    <n v="0"/>
    <n v="1.375"/>
    <n v="1.1000000000000001"/>
    <n v="0"/>
    <n v="0"/>
    <n v="1.375"/>
    <n v="1.1000000000000001"/>
    <n v="0"/>
    <n v="0"/>
    <n v="0"/>
    <n v="0"/>
    <n v="0"/>
    <n v="0"/>
    <n v="0"/>
  </r>
  <r>
    <x v="80"/>
    <x v="77"/>
    <m/>
    <x v="0"/>
    <m/>
    <x v="0"/>
    <m/>
    <m/>
    <m/>
    <m/>
    <m/>
    <m/>
    <x v="0"/>
    <m/>
    <m/>
    <m/>
    <n v="0.25"/>
    <n v="0.85"/>
    <n v="0.21249999999999999"/>
    <n v="5400"/>
    <x v="3"/>
    <s v="TekNat"/>
    <x v="0"/>
    <n v="19473"/>
    <n v="34806"/>
    <n v="12264.525"/>
    <n v="21800"/>
    <n v="5450"/>
    <n v="17714.525000000001"/>
    <n v="0"/>
    <n v="0"/>
    <n v="0"/>
    <n v="0"/>
    <n v="0"/>
    <n v="0"/>
    <n v="0"/>
    <n v="1"/>
    <n v="0"/>
    <n v="0"/>
    <n v="0"/>
    <n v="0"/>
    <s v="Enl uttag från Ladok - Erik Å"/>
    <m/>
    <n v="0"/>
    <n v="0"/>
    <n v="0"/>
    <n v="0"/>
    <n v="0"/>
    <n v="0"/>
    <n v="0"/>
    <n v="0"/>
    <n v="0"/>
    <n v="0"/>
    <n v="0"/>
    <n v="0"/>
    <n v="0"/>
    <n v="0"/>
    <n v="0.25"/>
    <n v="0.21249999999999999"/>
    <n v="0"/>
    <n v="0"/>
    <n v="0"/>
    <n v="0"/>
    <n v="0"/>
    <n v="0"/>
    <n v="0"/>
  </r>
  <r>
    <x v="81"/>
    <x v="78"/>
    <m/>
    <x v="0"/>
    <m/>
    <x v="0"/>
    <m/>
    <m/>
    <m/>
    <m/>
    <m/>
    <m/>
    <x v="0"/>
    <m/>
    <m/>
    <m/>
    <n v="0.5"/>
    <n v="0.85"/>
    <n v="0.42499999999999999"/>
    <n v="5740"/>
    <x v="6"/>
    <s v="TekNat"/>
    <x v="0"/>
    <n v="19473"/>
    <n v="34806"/>
    <n v="24529.05"/>
    <n v="21800"/>
    <n v="10900"/>
    <n v="35429.050000000003"/>
    <n v="0"/>
    <n v="0"/>
    <n v="0"/>
    <n v="0"/>
    <n v="0"/>
    <n v="1"/>
    <n v="0"/>
    <n v="0"/>
    <n v="0"/>
    <n v="0"/>
    <n v="0"/>
    <n v="0"/>
    <s v="Enl uttag från Ladok - Erik Å"/>
    <m/>
    <n v="0"/>
    <n v="0"/>
    <n v="0"/>
    <n v="0"/>
    <n v="0"/>
    <n v="0"/>
    <n v="0"/>
    <n v="0"/>
    <n v="0"/>
    <n v="0"/>
    <n v="0.5"/>
    <n v="0.42499999999999999"/>
    <n v="0"/>
    <n v="0"/>
    <n v="0"/>
    <n v="0"/>
    <n v="0"/>
    <n v="0"/>
    <n v="0"/>
    <n v="0"/>
    <n v="0"/>
    <n v="0"/>
    <n v="0"/>
  </r>
  <r>
    <x v="81"/>
    <x v="78"/>
    <m/>
    <x v="1"/>
    <m/>
    <x v="0"/>
    <m/>
    <m/>
    <m/>
    <m/>
    <m/>
    <m/>
    <x v="0"/>
    <m/>
    <m/>
    <m/>
    <n v="0.25"/>
    <n v="0.8"/>
    <n v="0.2"/>
    <n v="5740"/>
    <x v="6"/>
    <s v="TekNat"/>
    <x v="1"/>
    <n v="19473"/>
    <n v="34806"/>
    <n v="11829.45"/>
    <n v="21800"/>
    <n v="5450"/>
    <n v="17279.45"/>
    <n v="0"/>
    <n v="0"/>
    <n v="0"/>
    <n v="0"/>
    <n v="0"/>
    <n v="1"/>
    <n v="0"/>
    <n v="0"/>
    <n v="0"/>
    <n v="0"/>
    <n v="0"/>
    <n v="0"/>
    <s v="Enl uttag från Ladok - Erik Å"/>
    <m/>
    <n v="0"/>
    <n v="0"/>
    <n v="0"/>
    <n v="0"/>
    <n v="0"/>
    <n v="0"/>
    <n v="0"/>
    <n v="0"/>
    <n v="0"/>
    <n v="0"/>
    <n v="0.25"/>
    <n v="0.2"/>
    <n v="0"/>
    <n v="0"/>
    <n v="0"/>
    <n v="0"/>
    <n v="0"/>
    <n v="0"/>
    <n v="0"/>
    <n v="0"/>
    <n v="0"/>
    <n v="0"/>
    <n v="0"/>
  </r>
  <r>
    <x v="82"/>
    <x v="79"/>
    <m/>
    <x v="0"/>
    <m/>
    <x v="0"/>
    <m/>
    <m/>
    <m/>
    <m/>
    <m/>
    <m/>
    <x v="0"/>
    <m/>
    <m/>
    <m/>
    <n v="0.5"/>
    <n v="0.85"/>
    <n v="0.42499999999999999"/>
    <n v="5740"/>
    <x v="6"/>
    <s v="TekNat"/>
    <x v="0"/>
    <n v="19473"/>
    <n v="34806"/>
    <n v="24529.05"/>
    <n v="21800"/>
    <n v="10900"/>
    <n v="35429.050000000003"/>
    <n v="0"/>
    <n v="0"/>
    <n v="0"/>
    <n v="0"/>
    <n v="0"/>
    <n v="1"/>
    <n v="0"/>
    <n v="0"/>
    <n v="0"/>
    <n v="0"/>
    <n v="0"/>
    <n v="0"/>
    <s v="Enl uttag från Ladok - Erik Å"/>
    <m/>
    <n v="0"/>
    <n v="0"/>
    <n v="0"/>
    <n v="0"/>
    <n v="0"/>
    <n v="0"/>
    <n v="0"/>
    <n v="0"/>
    <n v="0"/>
    <n v="0"/>
    <n v="0.5"/>
    <n v="0.42499999999999999"/>
    <n v="0"/>
    <n v="0"/>
    <n v="0"/>
    <n v="0"/>
    <n v="0"/>
    <n v="0"/>
    <n v="0"/>
    <n v="0"/>
    <n v="0"/>
    <n v="0"/>
    <n v="0"/>
  </r>
  <r>
    <x v="82"/>
    <x v="79"/>
    <m/>
    <x v="1"/>
    <m/>
    <x v="0"/>
    <m/>
    <m/>
    <m/>
    <m/>
    <m/>
    <m/>
    <x v="0"/>
    <m/>
    <m/>
    <m/>
    <n v="0.25"/>
    <n v="0.8"/>
    <n v="0.2"/>
    <n v="5740"/>
    <x v="6"/>
    <s v="TekNat"/>
    <x v="1"/>
    <n v="19473"/>
    <n v="34806"/>
    <n v="11829.45"/>
    <n v="21800"/>
    <n v="5450"/>
    <n v="17279.45"/>
    <n v="0"/>
    <n v="0"/>
    <n v="0"/>
    <n v="0"/>
    <n v="0"/>
    <n v="1"/>
    <n v="0"/>
    <n v="0"/>
    <n v="0"/>
    <n v="0"/>
    <n v="0"/>
    <n v="0"/>
    <s v="Enl uttag från Ladok - Erik Å"/>
    <m/>
    <n v="0"/>
    <n v="0"/>
    <n v="0"/>
    <n v="0"/>
    <n v="0"/>
    <n v="0"/>
    <n v="0"/>
    <n v="0"/>
    <n v="0"/>
    <n v="0"/>
    <n v="0.25"/>
    <n v="0.2"/>
    <n v="0"/>
    <n v="0"/>
    <n v="0"/>
    <n v="0"/>
    <n v="0"/>
    <n v="0"/>
    <n v="0"/>
    <n v="0"/>
    <n v="0"/>
    <n v="0"/>
    <n v="0"/>
  </r>
  <r>
    <x v="83"/>
    <x v="1"/>
    <m/>
    <x v="0"/>
    <m/>
    <x v="0"/>
    <m/>
    <m/>
    <m/>
    <m/>
    <m/>
    <m/>
    <x v="0"/>
    <m/>
    <m/>
    <m/>
    <n v="0.75"/>
    <n v="0.85"/>
    <n v="0.63749999999999996"/>
    <n v="5100"/>
    <x v="1"/>
    <s v="TekNat"/>
    <x v="0"/>
    <n v="19473"/>
    <n v="34806"/>
    <n v="36793.574999999997"/>
    <n v="21800"/>
    <n v="16350"/>
    <n v="53143.574999999997"/>
    <n v="0"/>
    <n v="0"/>
    <n v="0"/>
    <n v="0"/>
    <n v="0"/>
    <n v="1"/>
    <n v="0"/>
    <n v="0"/>
    <n v="0"/>
    <n v="0"/>
    <n v="0"/>
    <n v="0"/>
    <s v="Enl uttag från Ladok - Erik Å"/>
    <m/>
    <n v="0"/>
    <n v="0"/>
    <n v="0"/>
    <n v="0"/>
    <n v="0"/>
    <n v="0"/>
    <n v="0"/>
    <n v="0"/>
    <n v="0"/>
    <n v="0"/>
    <n v="0.75"/>
    <n v="0.63749999999999996"/>
    <n v="0"/>
    <n v="0"/>
    <n v="0"/>
    <n v="0"/>
    <n v="0"/>
    <n v="0"/>
    <n v="0"/>
    <n v="0"/>
    <n v="0"/>
    <n v="0"/>
    <n v="0"/>
  </r>
  <r>
    <x v="84"/>
    <x v="80"/>
    <m/>
    <x v="0"/>
    <m/>
    <x v="0"/>
    <m/>
    <m/>
    <m/>
    <m/>
    <m/>
    <m/>
    <x v="0"/>
    <m/>
    <m/>
    <m/>
    <n v="0.75"/>
    <n v="0.85"/>
    <n v="0.63749999999999996"/>
    <n v="5100"/>
    <x v="1"/>
    <s v="TekNat"/>
    <x v="0"/>
    <n v="19473"/>
    <n v="34806"/>
    <n v="36793.574999999997"/>
    <n v="21800"/>
    <n v="16350"/>
    <n v="53143.574999999997"/>
    <n v="0"/>
    <n v="0"/>
    <n v="0"/>
    <n v="0"/>
    <n v="0"/>
    <n v="1"/>
    <n v="0"/>
    <n v="0"/>
    <n v="0"/>
    <n v="0"/>
    <n v="0"/>
    <n v="0"/>
    <s v="Enl uttag från Ladok - Erik Å"/>
    <m/>
    <n v="0"/>
    <n v="0"/>
    <n v="0"/>
    <n v="0"/>
    <n v="0"/>
    <n v="0"/>
    <n v="0"/>
    <n v="0"/>
    <n v="0"/>
    <n v="0"/>
    <n v="0.75"/>
    <n v="0.63749999999999996"/>
    <n v="0"/>
    <n v="0"/>
    <n v="0"/>
    <n v="0"/>
    <n v="0"/>
    <n v="0"/>
    <n v="0"/>
    <n v="0"/>
    <n v="0"/>
    <n v="0"/>
    <n v="0"/>
  </r>
  <r>
    <x v="84"/>
    <x v="80"/>
    <m/>
    <x v="1"/>
    <m/>
    <x v="0"/>
    <m/>
    <m/>
    <m/>
    <m/>
    <m/>
    <m/>
    <x v="0"/>
    <m/>
    <m/>
    <m/>
    <n v="0.125"/>
    <n v="0.8"/>
    <n v="0.1"/>
    <n v="5100"/>
    <x v="1"/>
    <s v="TekNat"/>
    <x v="1"/>
    <n v="19473"/>
    <n v="34806"/>
    <n v="5914.7250000000004"/>
    <n v="21800"/>
    <n v="2725"/>
    <n v="8639.7250000000004"/>
    <n v="0"/>
    <n v="0"/>
    <n v="0"/>
    <n v="0"/>
    <n v="0"/>
    <n v="1"/>
    <n v="0"/>
    <n v="0"/>
    <n v="0"/>
    <n v="0"/>
    <n v="0"/>
    <n v="0"/>
    <s v="Enl uttag från Ladok - Erik Å"/>
    <m/>
    <n v="0"/>
    <n v="0"/>
    <n v="0"/>
    <n v="0"/>
    <n v="0"/>
    <n v="0"/>
    <n v="0"/>
    <n v="0"/>
    <n v="0"/>
    <n v="0"/>
    <n v="0.125"/>
    <n v="0.1"/>
    <n v="0"/>
    <n v="0"/>
    <n v="0"/>
    <n v="0"/>
    <n v="0"/>
    <n v="0"/>
    <n v="0"/>
    <n v="0"/>
    <n v="0"/>
    <n v="0"/>
    <n v="0"/>
  </r>
  <r>
    <x v="85"/>
    <x v="81"/>
    <m/>
    <x v="0"/>
    <m/>
    <x v="0"/>
    <m/>
    <m/>
    <m/>
    <m/>
    <m/>
    <m/>
    <x v="0"/>
    <m/>
    <m/>
    <m/>
    <n v="0.75"/>
    <n v="0.85"/>
    <n v="0.63749999999999996"/>
    <n v="5100"/>
    <x v="1"/>
    <s v="TekNat"/>
    <x v="0"/>
    <n v="19473"/>
    <n v="34806"/>
    <n v="36793.574999999997"/>
    <n v="21800"/>
    <n v="16350"/>
    <n v="53143.574999999997"/>
    <n v="0"/>
    <n v="0"/>
    <n v="0"/>
    <n v="0"/>
    <n v="0"/>
    <n v="1"/>
    <n v="0"/>
    <n v="0"/>
    <n v="0"/>
    <n v="0"/>
    <n v="0"/>
    <n v="0"/>
    <s v="Enl uttag från Ladok - Erik Å"/>
    <m/>
    <n v="0"/>
    <n v="0"/>
    <n v="0"/>
    <n v="0"/>
    <n v="0"/>
    <n v="0"/>
    <n v="0"/>
    <n v="0"/>
    <n v="0"/>
    <n v="0"/>
    <n v="0.75"/>
    <n v="0.63749999999999996"/>
    <n v="0"/>
    <n v="0"/>
    <n v="0"/>
    <n v="0"/>
    <n v="0"/>
    <n v="0"/>
    <n v="0"/>
    <n v="0"/>
    <n v="0"/>
    <n v="0"/>
    <n v="0"/>
  </r>
  <r>
    <x v="86"/>
    <x v="82"/>
    <m/>
    <x v="0"/>
    <m/>
    <x v="0"/>
    <m/>
    <m/>
    <m/>
    <m/>
    <m/>
    <m/>
    <x v="0"/>
    <m/>
    <m/>
    <m/>
    <n v="0.625"/>
    <n v="0.85"/>
    <n v="0.53125"/>
    <n v="5100"/>
    <x v="1"/>
    <s v="TekNat"/>
    <x v="0"/>
    <n v="19473"/>
    <n v="34806"/>
    <n v="30661.3125"/>
    <n v="21800"/>
    <n v="13625"/>
    <n v="44286.3125"/>
    <n v="0"/>
    <n v="0"/>
    <n v="0"/>
    <n v="0"/>
    <n v="0"/>
    <n v="1"/>
    <n v="0"/>
    <n v="0"/>
    <n v="0"/>
    <n v="0"/>
    <n v="0"/>
    <n v="0"/>
    <s v="Enl uttag från Ladok - Erik Å"/>
    <m/>
    <n v="0"/>
    <n v="0"/>
    <n v="0"/>
    <n v="0"/>
    <n v="0"/>
    <n v="0"/>
    <n v="0"/>
    <n v="0"/>
    <n v="0"/>
    <n v="0"/>
    <n v="0.625"/>
    <n v="0.53125"/>
    <n v="0"/>
    <n v="0"/>
    <n v="0"/>
    <n v="0"/>
    <n v="0"/>
    <n v="0"/>
    <n v="0"/>
    <n v="0"/>
    <n v="0"/>
    <n v="0"/>
    <n v="0"/>
  </r>
  <r>
    <x v="87"/>
    <x v="83"/>
    <m/>
    <x v="0"/>
    <m/>
    <x v="0"/>
    <m/>
    <m/>
    <m/>
    <m/>
    <m/>
    <m/>
    <x v="0"/>
    <m/>
    <m/>
    <m/>
    <n v="2"/>
    <n v="0.85"/>
    <n v="1.7"/>
    <n v="1630"/>
    <x v="10"/>
    <s v="Hum"/>
    <x v="0"/>
    <n v="18405"/>
    <n v="15773"/>
    <n v="63624.1"/>
    <n v="5800"/>
    <n v="11600"/>
    <n v="75224.100000000006"/>
    <n v="0"/>
    <n v="1"/>
    <n v="0"/>
    <n v="0"/>
    <n v="0"/>
    <n v="0"/>
    <n v="0"/>
    <n v="0"/>
    <n v="0"/>
    <n v="0"/>
    <n v="0"/>
    <n v="0"/>
    <s v="Enl uttag från Ladok - Erik Å"/>
    <m/>
    <n v="0"/>
    <n v="0"/>
    <n v="2"/>
    <n v="1.7"/>
    <n v="0"/>
    <n v="0"/>
    <n v="0"/>
    <n v="0"/>
    <n v="0"/>
    <n v="0"/>
    <n v="0"/>
    <n v="0"/>
    <n v="0"/>
    <n v="0"/>
    <n v="0"/>
    <n v="0"/>
    <n v="0"/>
    <n v="0"/>
    <n v="0"/>
    <n v="0"/>
    <n v="0"/>
    <n v="0"/>
    <n v="0"/>
  </r>
  <r>
    <x v="88"/>
    <x v="84"/>
    <m/>
    <x v="0"/>
    <m/>
    <x v="0"/>
    <m/>
    <m/>
    <m/>
    <m/>
    <m/>
    <m/>
    <x v="0"/>
    <m/>
    <m/>
    <m/>
    <n v="4.125"/>
    <n v="0.85"/>
    <n v="3.5062500000000001"/>
    <n v="1630"/>
    <x v="10"/>
    <s v="Hum"/>
    <x v="0"/>
    <n v="21634"/>
    <n v="26986"/>
    <n v="183859.91250000001"/>
    <n v="3400"/>
    <n v="14025"/>
    <n v="197884.91250000001"/>
    <n v="0"/>
    <n v="0"/>
    <n v="0"/>
    <n v="0"/>
    <n v="0"/>
    <n v="0"/>
    <n v="0"/>
    <n v="0"/>
    <n v="1"/>
    <n v="0"/>
    <n v="0"/>
    <n v="0"/>
    <s v="Enl uttag från Ladok - Erik Å"/>
    <m/>
    <n v="0"/>
    <n v="0"/>
    <n v="0"/>
    <n v="0"/>
    <n v="0"/>
    <n v="0"/>
    <n v="0"/>
    <n v="0"/>
    <n v="0"/>
    <n v="0"/>
    <n v="0"/>
    <n v="0"/>
    <n v="0"/>
    <n v="0"/>
    <n v="0"/>
    <n v="0"/>
    <n v="4.125"/>
    <n v="3.5062500000000001"/>
    <n v="0"/>
    <n v="0"/>
    <n v="0"/>
    <n v="0"/>
    <n v="0"/>
  </r>
  <r>
    <x v="89"/>
    <x v="85"/>
    <m/>
    <x v="0"/>
    <m/>
    <x v="0"/>
    <m/>
    <m/>
    <m/>
    <m/>
    <m/>
    <m/>
    <x v="0"/>
    <m/>
    <m/>
    <m/>
    <n v="1.5"/>
    <n v="0.85"/>
    <n v="1.2749999999999999"/>
    <n v="1630"/>
    <x v="10"/>
    <s v="Hum"/>
    <x v="0"/>
    <n v="21634"/>
    <n v="26986"/>
    <n v="66858.149999999994"/>
    <n v="3400"/>
    <n v="5100"/>
    <n v="71958.149999999994"/>
    <n v="0"/>
    <n v="0"/>
    <n v="0"/>
    <n v="0"/>
    <n v="0"/>
    <n v="0"/>
    <n v="0"/>
    <n v="0"/>
    <n v="1"/>
    <n v="0"/>
    <n v="0"/>
    <n v="0"/>
    <s v="Enl uttag från Ladok - Erik Å"/>
    <m/>
    <n v="0"/>
    <n v="0"/>
    <n v="0"/>
    <n v="0"/>
    <n v="0"/>
    <n v="0"/>
    <n v="0"/>
    <n v="0"/>
    <n v="0"/>
    <n v="0"/>
    <n v="0"/>
    <n v="0"/>
    <n v="0"/>
    <n v="0"/>
    <n v="0"/>
    <n v="0"/>
    <n v="1.5"/>
    <n v="1.2749999999999999"/>
    <n v="0"/>
    <n v="0"/>
    <n v="0"/>
    <n v="0"/>
    <n v="0"/>
  </r>
  <r>
    <x v="90"/>
    <x v="86"/>
    <m/>
    <x v="0"/>
    <m/>
    <x v="0"/>
    <m/>
    <m/>
    <m/>
    <m/>
    <m/>
    <m/>
    <x v="0"/>
    <m/>
    <m/>
    <m/>
    <n v="12"/>
    <n v="0.85"/>
    <n v="10.199999999999999"/>
    <n v="1630"/>
    <x v="10"/>
    <s v="Hum"/>
    <x v="0"/>
    <n v="18405"/>
    <n v="15773"/>
    <n v="381744.6"/>
    <n v="5800"/>
    <n v="69600"/>
    <n v="451344.6"/>
    <n v="0"/>
    <n v="1"/>
    <n v="0"/>
    <n v="0"/>
    <n v="0"/>
    <n v="0"/>
    <n v="0"/>
    <n v="0"/>
    <n v="0"/>
    <n v="0"/>
    <n v="0"/>
    <n v="0"/>
    <s v="Enl uttag från Ladok - Erik Å"/>
    <m/>
    <n v="0"/>
    <n v="0"/>
    <n v="12"/>
    <n v="10.199999999999999"/>
    <n v="0"/>
    <n v="0"/>
    <n v="0"/>
    <n v="0"/>
    <n v="0"/>
    <n v="0"/>
    <n v="0"/>
    <n v="0"/>
    <n v="0"/>
    <n v="0"/>
    <n v="0"/>
    <n v="0"/>
    <n v="0"/>
    <n v="0"/>
    <n v="0"/>
    <n v="0"/>
    <n v="0"/>
    <n v="0"/>
    <n v="0"/>
  </r>
  <r>
    <x v="91"/>
    <x v="87"/>
    <m/>
    <x v="0"/>
    <m/>
    <x v="0"/>
    <m/>
    <m/>
    <m/>
    <m/>
    <m/>
    <m/>
    <x v="0"/>
    <m/>
    <m/>
    <m/>
    <n v="12.5"/>
    <n v="0.85"/>
    <n v="10.625"/>
    <n v="1630"/>
    <x v="10"/>
    <s v="Hum"/>
    <x v="0"/>
    <n v="18405"/>
    <n v="15773"/>
    <n v="397650.625"/>
    <n v="5800"/>
    <n v="72500"/>
    <n v="470150.625"/>
    <n v="0"/>
    <n v="1"/>
    <n v="0"/>
    <n v="0"/>
    <n v="0"/>
    <n v="0"/>
    <n v="0"/>
    <n v="0"/>
    <n v="0"/>
    <n v="0"/>
    <n v="0"/>
    <n v="0"/>
    <s v="Enl uttag från Ladok - Erik Å"/>
    <m/>
    <n v="0"/>
    <n v="0"/>
    <n v="12.5"/>
    <n v="10.625"/>
    <n v="0"/>
    <n v="0"/>
    <n v="0"/>
    <n v="0"/>
    <n v="0"/>
    <n v="0"/>
    <n v="0"/>
    <n v="0"/>
    <n v="0"/>
    <n v="0"/>
    <n v="0"/>
    <n v="0"/>
    <n v="0"/>
    <n v="0"/>
    <n v="0"/>
    <n v="0"/>
    <n v="0"/>
    <n v="0"/>
    <n v="0"/>
  </r>
  <r>
    <x v="92"/>
    <x v="88"/>
    <m/>
    <x v="0"/>
    <m/>
    <x v="0"/>
    <m/>
    <m/>
    <m/>
    <m/>
    <m/>
    <m/>
    <x v="0"/>
    <m/>
    <m/>
    <m/>
    <n v="12"/>
    <n v="0.85"/>
    <n v="10.199999999999999"/>
    <n v="1630"/>
    <x v="10"/>
    <s v="Hum"/>
    <x v="0"/>
    <n v="18405"/>
    <n v="15773"/>
    <n v="381744.6"/>
    <n v="5800"/>
    <n v="69600"/>
    <n v="451344.6"/>
    <n v="0"/>
    <n v="1"/>
    <n v="0"/>
    <n v="0"/>
    <n v="0"/>
    <n v="0"/>
    <n v="0"/>
    <n v="0"/>
    <n v="0"/>
    <n v="0"/>
    <n v="0"/>
    <n v="0"/>
    <s v="Enl uttag från Ladok - Erik Å"/>
    <m/>
    <n v="0"/>
    <n v="0"/>
    <n v="12"/>
    <n v="10.199999999999999"/>
    <n v="0"/>
    <n v="0"/>
    <n v="0"/>
    <n v="0"/>
    <n v="0"/>
    <n v="0"/>
    <n v="0"/>
    <n v="0"/>
    <n v="0"/>
    <n v="0"/>
    <n v="0"/>
    <n v="0"/>
    <n v="0"/>
    <n v="0"/>
    <n v="0"/>
    <n v="0"/>
    <n v="0"/>
    <n v="0"/>
    <n v="0"/>
  </r>
  <r>
    <x v="93"/>
    <x v="89"/>
    <m/>
    <x v="4"/>
    <m/>
    <x v="0"/>
    <m/>
    <m/>
    <m/>
    <m/>
    <m/>
    <m/>
    <x v="0"/>
    <m/>
    <m/>
    <m/>
    <n v="1.25"/>
    <n v="0.85"/>
    <n v="1.0625"/>
    <n v="2180"/>
    <x v="11"/>
    <s v="Sam"/>
    <x v="4"/>
    <n v="18405"/>
    <n v="15773"/>
    <n v="39765.0625"/>
    <n v="5800"/>
    <n v="7250"/>
    <n v="47015.0625"/>
    <n v="0"/>
    <n v="0"/>
    <n v="0"/>
    <n v="0"/>
    <n v="0"/>
    <n v="0"/>
    <n v="1"/>
    <n v="0"/>
    <n v="0"/>
    <n v="0"/>
    <n v="0"/>
    <n v="0"/>
    <s v="Enl uttag från Ladok - Erik Å"/>
    <m/>
    <n v="0"/>
    <n v="0"/>
    <n v="0"/>
    <n v="0"/>
    <n v="0"/>
    <n v="0"/>
    <n v="0"/>
    <n v="0"/>
    <n v="0"/>
    <n v="0"/>
    <n v="0"/>
    <n v="0"/>
    <n v="1.25"/>
    <n v="1.0625"/>
    <n v="0"/>
    <n v="0"/>
    <n v="0"/>
    <n v="0"/>
    <n v="0"/>
    <n v="0"/>
    <n v="0"/>
    <n v="0"/>
    <n v="0"/>
  </r>
  <r>
    <x v="93"/>
    <x v="89"/>
    <m/>
    <x v="0"/>
    <m/>
    <x v="0"/>
    <m/>
    <m/>
    <m/>
    <m/>
    <m/>
    <m/>
    <x v="0"/>
    <m/>
    <m/>
    <m/>
    <n v="6.625"/>
    <n v="0.85"/>
    <n v="5.6312499999999996"/>
    <n v="2180"/>
    <x v="11"/>
    <s v="Sam"/>
    <x v="0"/>
    <n v="18405"/>
    <n v="15773"/>
    <n v="210754.83124999999"/>
    <n v="5800"/>
    <n v="38425"/>
    <n v="249179.83124999999"/>
    <n v="0"/>
    <n v="0"/>
    <n v="0"/>
    <n v="0"/>
    <n v="0"/>
    <n v="0"/>
    <n v="1"/>
    <n v="0"/>
    <n v="0"/>
    <n v="0"/>
    <n v="0"/>
    <n v="0"/>
    <s v="Enl uttag från Ladok - Erik Å"/>
    <m/>
    <n v="0"/>
    <n v="0"/>
    <n v="0"/>
    <n v="0"/>
    <n v="0"/>
    <n v="0"/>
    <n v="0"/>
    <n v="0"/>
    <n v="0"/>
    <n v="0"/>
    <n v="0"/>
    <n v="0"/>
    <n v="6.625"/>
    <n v="5.6312499999999996"/>
    <n v="0"/>
    <n v="0"/>
    <n v="0"/>
    <n v="0"/>
    <n v="0"/>
    <n v="0"/>
    <n v="0"/>
    <n v="0"/>
    <n v="0"/>
  </r>
  <r>
    <x v="94"/>
    <x v="90"/>
    <m/>
    <x v="8"/>
    <m/>
    <x v="0"/>
    <m/>
    <m/>
    <m/>
    <m/>
    <m/>
    <m/>
    <x v="0"/>
    <m/>
    <m/>
    <m/>
    <n v="2.25"/>
    <n v="0.85"/>
    <n v="1.9124999999999999"/>
    <n v="2180"/>
    <x v="11"/>
    <s v="Sam"/>
    <x v="8"/>
    <n v="15846"/>
    <n v="26926"/>
    <n v="87149.475000000006"/>
    <n v="17300"/>
    <n v="38925"/>
    <n v="126074.47500000001"/>
    <n v="0"/>
    <n v="0"/>
    <n v="0"/>
    <n v="0"/>
    <n v="0"/>
    <n v="0"/>
    <n v="0"/>
    <n v="0"/>
    <n v="0"/>
    <n v="0"/>
    <n v="1"/>
    <n v="0"/>
    <s v="Enl uttag från Ladok - Erik Å"/>
    <m/>
    <n v="0"/>
    <n v="0"/>
    <n v="0"/>
    <n v="0"/>
    <n v="0"/>
    <n v="0"/>
    <n v="0"/>
    <n v="0"/>
    <n v="0"/>
    <n v="0"/>
    <n v="0"/>
    <n v="0"/>
    <n v="0"/>
    <n v="0"/>
    <n v="0"/>
    <n v="0"/>
    <n v="0"/>
    <n v="0"/>
    <n v="0"/>
    <n v="2.25"/>
    <n v="1.9124999999999999"/>
    <n v="0"/>
    <n v="0"/>
  </r>
  <r>
    <x v="94"/>
    <x v="90"/>
    <m/>
    <x v="1"/>
    <m/>
    <x v="0"/>
    <m/>
    <m/>
    <m/>
    <m/>
    <m/>
    <m/>
    <x v="0"/>
    <m/>
    <m/>
    <m/>
    <n v="0.25"/>
    <n v="0.8"/>
    <n v="0.2"/>
    <n v="2180"/>
    <x v="11"/>
    <s v="Sam"/>
    <x v="1"/>
    <n v="15846"/>
    <n v="26926"/>
    <n v="9346.7000000000007"/>
    <n v="17300"/>
    <n v="4325"/>
    <n v="13671.7"/>
    <n v="0"/>
    <n v="0"/>
    <n v="0"/>
    <n v="0"/>
    <n v="0"/>
    <n v="0"/>
    <n v="0"/>
    <n v="0"/>
    <n v="0"/>
    <n v="0"/>
    <n v="1"/>
    <n v="0"/>
    <s v="Enl uttag från Ladok - Erik Å"/>
    <m/>
    <n v="0"/>
    <n v="0"/>
    <n v="0"/>
    <n v="0"/>
    <n v="0"/>
    <n v="0"/>
    <n v="0"/>
    <n v="0"/>
    <n v="0"/>
    <n v="0"/>
    <n v="0"/>
    <n v="0"/>
    <n v="0"/>
    <n v="0"/>
    <n v="0"/>
    <n v="0"/>
    <n v="0"/>
    <n v="0"/>
    <n v="0"/>
    <n v="0.25"/>
    <n v="0.2"/>
    <n v="0"/>
    <n v="0"/>
  </r>
  <r>
    <x v="95"/>
    <x v="91"/>
    <m/>
    <x v="8"/>
    <m/>
    <x v="0"/>
    <m/>
    <m/>
    <m/>
    <m/>
    <m/>
    <m/>
    <x v="0"/>
    <m/>
    <m/>
    <m/>
    <n v="4.25"/>
    <n v="0.85"/>
    <n v="3.6124999999999998"/>
    <n v="2180"/>
    <x v="11"/>
    <s v="Sam"/>
    <x v="8"/>
    <n v="15846"/>
    <n v="26926"/>
    <n v="164615.67499999999"/>
    <n v="17300"/>
    <n v="73525"/>
    <n v="238140.67499999999"/>
    <n v="0"/>
    <n v="0"/>
    <n v="0"/>
    <n v="0"/>
    <n v="0"/>
    <n v="0"/>
    <n v="0"/>
    <n v="0"/>
    <n v="0"/>
    <n v="0"/>
    <n v="1"/>
    <n v="0"/>
    <s v="Enl uttag från Ladok - Erik Å"/>
    <m/>
    <n v="0"/>
    <n v="0"/>
    <n v="0"/>
    <n v="0"/>
    <n v="0"/>
    <n v="0"/>
    <n v="0"/>
    <n v="0"/>
    <n v="0"/>
    <n v="0"/>
    <n v="0"/>
    <n v="0"/>
    <n v="0"/>
    <n v="0"/>
    <n v="0"/>
    <n v="0"/>
    <n v="0"/>
    <n v="0"/>
    <n v="0"/>
    <n v="4.25"/>
    <n v="3.6124999999999998"/>
    <n v="0"/>
    <n v="0"/>
  </r>
  <r>
    <x v="95"/>
    <x v="91"/>
    <m/>
    <x v="1"/>
    <m/>
    <x v="0"/>
    <m/>
    <m/>
    <m/>
    <m/>
    <m/>
    <m/>
    <x v="0"/>
    <m/>
    <m/>
    <m/>
    <n v="0.5"/>
    <n v="0.8"/>
    <n v="0.4"/>
    <n v="2180"/>
    <x v="11"/>
    <s v="Sam"/>
    <x v="1"/>
    <n v="15846"/>
    <n v="26926"/>
    <n v="18693.400000000001"/>
    <n v="17300"/>
    <n v="8650"/>
    <n v="27343.4"/>
    <n v="0"/>
    <n v="0"/>
    <n v="0"/>
    <n v="0"/>
    <n v="0"/>
    <n v="0"/>
    <n v="0"/>
    <n v="0"/>
    <n v="0"/>
    <n v="0"/>
    <n v="1"/>
    <n v="0"/>
    <s v="Enl uttag från Ladok - Erik Å"/>
    <m/>
    <n v="0"/>
    <n v="0"/>
    <n v="0"/>
    <n v="0"/>
    <n v="0"/>
    <n v="0"/>
    <n v="0"/>
    <n v="0"/>
    <n v="0"/>
    <n v="0"/>
    <n v="0"/>
    <n v="0"/>
    <n v="0"/>
    <n v="0"/>
    <n v="0"/>
    <n v="0"/>
    <n v="0"/>
    <n v="0"/>
    <n v="0"/>
    <n v="0.5"/>
    <n v="0.4"/>
    <n v="0"/>
    <n v="0"/>
  </r>
  <r>
    <x v="96"/>
    <x v="92"/>
    <m/>
    <x v="0"/>
    <m/>
    <x v="0"/>
    <m/>
    <m/>
    <m/>
    <m/>
    <m/>
    <m/>
    <x v="0"/>
    <m/>
    <m/>
    <m/>
    <n v="12.5"/>
    <n v="0.85"/>
    <n v="10.625"/>
    <n v="2180"/>
    <x v="11"/>
    <s v="Sam"/>
    <x v="0"/>
    <n v="45034"/>
    <n v="31547"/>
    <n v="898111.875"/>
    <n v="34500"/>
    <n v="431250"/>
    <n v="1329361.875"/>
    <n v="0"/>
    <n v="0"/>
    <n v="1"/>
    <n v="0"/>
    <n v="0"/>
    <n v="0"/>
    <n v="0"/>
    <n v="0"/>
    <n v="0"/>
    <n v="0"/>
    <n v="0"/>
    <n v="0"/>
    <s v="Enl uttag från Ladok - Erik Å"/>
    <m/>
    <n v="0"/>
    <n v="0"/>
    <n v="0"/>
    <n v="0"/>
    <n v="12.5"/>
    <n v="10.625"/>
    <n v="0"/>
    <n v="0"/>
    <n v="0"/>
    <n v="0"/>
    <n v="0"/>
    <n v="0"/>
    <n v="0"/>
    <n v="0"/>
    <n v="0"/>
    <n v="0"/>
    <n v="0"/>
    <n v="0"/>
    <n v="0"/>
    <n v="0"/>
    <n v="0"/>
    <n v="0"/>
    <n v="0"/>
  </r>
  <r>
    <x v="96"/>
    <x v="92"/>
    <m/>
    <x v="1"/>
    <m/>
    <x v="0"/>
    <m/>
    <m/>
    <m/>
    <m/>
    <m/>
    <m/>
    <x v="0"/>
    <m/>
    <m/>
    <m/>
    <n v="2"/>
    <n v="0.8"/>
    <n v="1.6"/>
    <n v="2180"/>
    <x v="11"/>
    <s v="Sam"/>
    <x v="1"/>
    <n v="45034"/>
    <n v="31547"/>
    <n v="140543.20000000001"/>
    <n v="34500"/>
    <n v="69000"/>
    <n v="209543.2"/>
    <n v="0"/>
    <n v="0"/>
    <n v="1"/>
    <n v="0"/>
    <n v="0"/>
    <n v="0"/>
    <n v="0"/>
    <n v="0"/>
    <n v="0"/>
    <n v="0"/>
    <n v="0"/>
    <n v="0"/>
    <s v="Enl uttag från Ladok - Erik Å"/>
    <m/>
    <n v="0"/>
    <n v="0"/>
    <n v="0"/>
    <n v="0"/>
    <n v="2"/>
    <n v="1.6"/>
    <n v="0"/>
    <n v="0"/>
    <n v="0"/>
    <n v="0"/>
    <n v="0"/>
    <n v="0"/>
    <n v="0"/>
    <n v="0"/>
    <n v="0"/>
    <n v="0"/>
    <n v="0"/>
    <n v="0"/>
    <n v="0"/>
    <n v="0"/>
    <n v="0"/>
    <n v="0"/>
    <n v="0"/>
  </r>
  <r>
    <x v="97"/>
    <x v="93"/>
    <m/>
    <x v="0"/>
    <m/>
    <x v="0"/>
    <m/>
    <m/>
    <m/>
    <m/>
    <m/>
    <m/>
    <x v="0"/>
    <m/>
    <m/>
    <m/>
    <n v="9.5"/>
    <n v="0.85"/>
    <n v="8.0749999999999993"/>
    <n v="2180"/>
    <x v="11"/>
    <s v="Sam"/>
    <x v="0"/>
    <n v="45034"/>
    <n v="31547"/>
    <n v="682565.02499999991"/>
    <n v="34500"/>
    <n v="327750"/>
    <n v="1010315.0249999999"/>
    <n v="0"/>
    <n v="0"/>
    <n v="1"/>
    <n v="0"/>
    <n v="0"/>
    <n v="0"/>
    <n v="0"/>
    <n v="0"/>
    <n v="0"/>
    <n v="0"/>
    <n v="0"/>
    <n v="0"/>
    <s v="Enl uttag från Ladok - Erik Å"/>
    <m/>
    <n v="0"/>
    <n v="0"/>
    <n v="0"/>
    <n v="0"/>
    <n v="9.5"/>
    <n v="8.0749999999999993"/>
    <n v="0"/>
    <n v="0"/>
    <n v="0"/>
    <n v="0"/>
    <n v="0"/>
    <n v="0"/>
    <n v="0"/>
    <n v="0"/>
    <n v="0"/>
    <n v="0"/>
    <n v="0"/>
    <n v="0"/>
    <n v="0"/>
    <n v="0"/>
    <n v="0"/>
    <n v="0"/>
    <n v="0"/>
  </r>
  <r>
    <x v="97"/>
    <x v="93"/>
    <m/>
    <x v="1"/>
    <m/>
    <x v="0"/>
    <m/>
    <m/>
    <m/>
    <m/>
    <m/>
    <m/>
    <x v="0"/>
    <m/>
    <m/>
    <m/>
    <n v="2"/>
    <n v="0.8"/>
    <n v="1.6"/>
    <n v="2180"/>
    <x v="11"/>
    <s v="Sam"/>
    <x v="1"/>
    <n v="45034"/>
    <n v="31547"/>
    <n v="140543.20000000001"/>
    <n v="34500"/>
    <n v="69000"/>
    <n v="209543.2"/>
    <n v="0"/>
    <n v="0"/>
    <n v="1"/>
    <n v="0"/>
    <n v="0"/>
    <n v="0"/>
    <n v="0"/>
    <n v="0"/>
    <n v="0"/>
    <n v="0"/>
    <n v="0"/>
    <n v="0"/>
    <s v="Enl uttag från Ladok - Erik Å"/>
    <m/>
    <n v="0"/>
    <n v="0"/>
    <n v="0"/>
    <n v="0"/>
    <n v="2"/>
    <n v="1.6"/>
    <n v="0"/>
    <n v="0"/>
    <n v="0"/>
    <n v="0"/>
    <n v="0"/>
    <n v="0"/>
    <n v="0"/>
    <n v="0"/>
    <n v="0"/>
    <n v="0"/>
    <n v="0"/>
    <n v="0"/>
    <n v="0"/>
    <n v="0"/>
    <n v="0"/>
    <n v="0"/>
    <n v="0"/>
  </r>
  <r>
    <x v="98"/>
    <x v="94"/>
    <m/>
    <x v="1"/>
    <m/>
    <x v="0"/>
    <m/>
    <m/>
    <m/>
    <m/>
    <m/>
    <m/>
    <x v="0"/>
    <m/>
    <m/>
    <m/>
    <n v="0.375"/>
    <n v="0.8"/>
    <n v="0.30000000000000004"/>
    <n v="2180"/>
    <x v="11"/>
    <s v="Sam"/>
    <x v="1"/>
    <n v="18405"/>
    <n v="15773"/>
    <n v="11633.775000000001"/>
    <n v="5800"/>
    <n v="2175"/>
    <n v="13808.775000000001"/>
    <n v="0"/>
    <n v="0"/>
    <n v="0"/>
    <n v="0"/>
    <n v="0"/>
    <n v="0"/>
    <n v="1"/>
    <n v="0"/>
    <n v="0"/>
    <n v="0"/>
    <n v="0"/>
    <n v="0"/>
    <s v="Enl uttag från Ladok - Erik Å"/>
    <m/>
    <n v="0"/>
    <n v="0"/>
    <n v="0"/>
    <n v="0"/>
    <n v="0"/>
    <n v="0"/>
    <n v="0"/>
    <n v="0"/>
    <n v="0"/>
    <n v="0"/>
    <n v="0"/>
    <n v="0"/>
    <n v="0.375"/>
    <n v="0.30000000000000004"/>
    <n v="0"/>
    <n v="0"/>
    <n v="0"/>
    <n v="0"/>
    <n v="0"/>
    <n v="0"/>
    <n v="0"/>
    <n v="0"/>
    <n v="0"/>
  </r>
  <r>
    <x v="99"/>
    <x v="95"/>
    <m/>
    <x v="0"/>
    <m/>
    <x v="0"/>
    <m/>
    <m/>
    <m/>
    <m/>
    <m/>
    <m/>
    <x v="0"/>
    <m/>
    <m/>
    <m/>
    <n v="12"/>
    <n v="0.85"/>
    <n v="10.199999999999999"/>
    <n v="2180"/>
    <x v="11"/>
    <s v="Sam"/>
    <x v="0"/>
    <n v="45034"/>
    <n v="31547"/>
    <n v="862187.39999999991"/>
    <n v="34500"/>
    <n v="414000"/>
    <n v="1276187.3999999999"/>
    <n v="0"/>
    <n v="0"/>
    <n v="1"/>
    <n v="0"/>
    <n v="0"/>
    <n v="0"/>
    <n v="0"/>
    <n v="0"/>
    <n v="0"/>
    <n v="0"/>
    <n v="0"/>
    <n v="0"/>
    <s v="Enl uttag från Ladok - Erik Å"/>
    <m/>
    <n v="0"/>
    <n v="0"/>
    <n v="0"/>
    <n v="0"/>
    <n v="12"/>
    <n v="10.199999999999999"/>
    <n v="0"/>
    <n v="0"/>
    <n v="0"/>
    <n v="0"/>
    <n v="0"/>
    <n v="0"/>
    <n v="0"/>
    <n v="0"/>
    <n v="0"/>
    <n v="0"/>
    <n v="0"/>
    <n v="0"/>
    <n v="0"/>
    <n v="0"/>
    <n v="0"/>
    <n v="0"/>
    <n v="0"/>
  </r>
  <r>
    <x v="99"/>
    <x v="95"/>
    <m/>
    <x v="1"/>
    <m/>
    <x v="0"/>
    <m/>
    <m/>
    <m/>
    <m/>
    <m/>
    <m/>
    <x v="0"/>
    <m/>
    <m/>
    <m/>
    <n v="0.5"/>
    <n v="0.8"/>
    <n v="0.4"/>
    <n v="2180"/>
    <x v="11"/>
    <s v="Sam"/>
    <x v="1"/>
    <n v="45034"/>
    <n v="31547"/>
    <n v="35135.800000000003"/>
    <n v="34500"/>
    <n v="17250"/>
    <n v="52385.8"/>
    <n v="0"/>
    <n v="0"/>
    <n v="1"/>
    <n v="0"/>
    <n v="0"/>
    <n v="0"/>
    <n v="0"/>
    <n v="0"/>
    <n v="0"/>
    <n v="0"/>
    <n v="0"/>
    <n v="0"/>
    <s v="Enl uttag från Ladok - Erik Å"/>
    <m/>
    <n v="0"/>
    <n v="0"/>
    <n v="0"/>
    <n v="0"/>
    <n v="0.5"/>
    <n v="0.4"/>
    <n v="0"/>
    <n v="0"/>
    <n v="0"/>
    <n v="0"/>
    <n v="0"/>
    <n v="0"/>
    <n v="0"/>
    <n v="0"/>
    <n v="0"/>
    <n v="0"/>
    <n v="0"/>
    <n v="0"/>
    <n v="0"/>
    <n v="0"/>
    <n v="0"/>
    <n v="0"/>
    <n v="0"/>
  </r>
  <r>
    <x v="100"/>
    <x v="96"/>
    <m/>
    <x v="1"/>
    <m/>
    <x v="0"/>
    <m/>
    <m/>
    <m/>
    <m/>
    <m/>
    <m/>
    <x v="0"/>
    <m/>
    <m/>
    <m/>
    <n v="2.375"/>
    <n v="0.8"/>
    <n v="1.9000000000000001"/>
    <n v="2193"/>
    <x v="12"/>
    <s v="Sam"/>
    <x v="1"/>
    <n v="18405"/>
    <n v="15773"/>
    <n v="73680.574999999997"/>
    <n v="5800"/>
    <n v="13775"/>
    <n v="87455.574999999997"/>
    <n v="0"/>
    <n v="0"/>
    <n v="0"/>
    <n v="0"/>
    <n v="0"/>
    <n v="0"/>
    <n v="1"/>
    <n v="0"/>
    <n v="0"/>
    <n v="0"/>
    <n v="0"/>
    <n v="0"/>
    <s v="Enl uttag från Ladok - Erik Å"/>
    <m/>
    <n v="0"/>
    <n v="0"/>
    <n v="0"/>
    <n v="0"/>
    <n v="0"/>
    <n v="0"/>
    <n v="0"/>
    <n v="0"/>
    <n v="0"/>
    <n v="0"/>
    <n v="0"/>
    <n v="0"/>
    <n v="2.375"/>
    <n v="1.9000000000000001"/>
    <n v="0"/>
    <n v="0"/>
    <n v="0"/>
    <n v="0"/>
    <n v="0"/>
    <n v="0"/>
    <n v="0"/>
    <n v="0"/>
    <n v="0"/>
  </r>
  <r>
    <x v="101"/>
    <x v="97"/>
    <m/>
    <x v="1"/>
    <m/>
    <x v="0"/>
    <m/>
    <m/>
    <m/>
    <m/>
    <m/>
    <m/>
    <x v="0"/>
    <m/>
    <m/>
    <m/>
    <n v="3.75"/>
    <n v="0.8"/>
    <n v="3"/>
    <n v="2193"/>
    <x v="12"/>
    <s v="Sam"/>
    <x v="1"/>
    <n v="18405"/>
    <n v="15773"/>
    <n v="116337.75"/>
    <n v="5800"/>
    <n v="21750"/>
    <n v="138087.75"/>
    <n v="0"/>
    <n v="0"/>
    <n v="0"/>
    <n v="0"/>
    <n v="0"/>
    <n v="0"/>
    <n v="1"/>
    <n v="0"/>
    <n v="0"/>
    <n v="0"/>
    <n v="0"/>
    <n v="0"/>
    <s v="Enl uttag från Ladok - Erik Å"/>
    <m/>
    <n v="0"/>
    <n v="0"/>
    <n v="0"/>
    <n v="0"/>
    <n v="0"/>
    <n v="0"/>
    <n v="0"/>
    <n v="0"/>
    <n v="0"/>
    <n v="0"/>
    <n v="0"/>
    <n v="0"/>
    <n v="3.75"/>
    <n v="3"/>
    <n v="0"/>
    <n v="0"/>
    <n v="0"/>
    <n v="0"/>
    <n v="0"/>
    <n v="0"/>
    <n v="0"/>
    <n v="0"/>
    <n v="0"/>
  </r>
  <r>
    <x v="102"/>
    <x v="98"/>
    <m/>
    <x v="0"/>
    <m/>
    <x v="0"/>
    <m/>
    <m/>
    <m/>
    <m/>
    <m/>
    <m/>
    <x v="0"/>
    <m/>
    <m/>
    <m/>
    <n v="0.375"/>
    <n v="0.85"/>
    <n v="0.31874999999999998"/>
    <n v="5740"/>
    <x v="6"/>
    <s v="TekNat"/>
    <x v="0"/>
    <n v="19473"/>
    <n v="34806"/>
    <n v="18396.787499999999"/>
    <n v="21800"/>
    <n v="8175"/>
    <n v="26571.787499999999"/>
    <n v="0"/>
    <n v="0"/>
    <n v="0"/>
    <n v="0"/>
    <n v="0"/>
    <n v="1"/>
    <n v="0"/>
    <n v="0"/>
    <n v="0"/>
    <n v="0"/>
    <n v="0"/>
    <n v="0"/>
    <s v="Enl uttag från Ladok - Erik Å"/>
    <m/>
    <n v="0"/>
    <n v="0"/>
    <n v="0"/>
    <n v="0"/>
    <n v="0"/>
    <n v="0"/>
    <n v="0"/>
    <n v="0"/>
    <n v="0"/>
    <n v="0"/>
    <n v="0.375"/>
    <n v="0.31874999999999998"/>
    <n v="0"/>
    <n v="0"/>
    <n v="0"/>
    <n v="0"/>
    <n v="0"/>
    <n v="0"/>
    <n v="0"/>
    <n v="0"/>
    <n v="0"/>
    <n v="0"/>
    <n v="0"/>
  </r>
  <r>
    <x v="103"/>
    <x v="99"/>
    <m/>
    <x v="0"/>
    <m/>
    <x v="0"/>
    <m/>
    <m/>
    <m/>
    <m/>
    <m/>
    <m/>
    <x v="0"/>
    <m/>
    <m/>
    <m/>
    <n v="0.25"/>
    <n v="0.85"/>
    <n v="0.21249999999999999"/>
    <n v="5740"/>
    <x v="6"/>
    <s v="TekNat"/>
    <x v="0"/>
    <n v="19473"/>
    <n v="34806"/>
    <n v="12264.525"/>
    <n v="21800"/>
    <n v="5450"/>
    <n v="17714.525000000001"/>
    <n v="0"/>
    <n v="0"/>
    <n v="0"/>
    <n v="0"/>
    <n v="0"/>
    <n v="1"/>
    <n v="0"/>
    <n v="0"/>
    <n v="0"/>
    <n v="0"/>
    <n v="0"/>
    <n v="0"/>
    <s v="Enl uttag från Ladok - Erik Å"/>
    <m/>
    <n v="0"/>
    <n v="0"/>
    <n v="0"/>
    <n v="0"/>
    <n v="0"/>
    <n v="0"/>
    <n v="0"/>
    <n v="0"/>
    <n v="0"/>
    <n v="0"/>
    <n v="0.25"/>
    <n v="0.21249999999999999"/>
    <n v="0"/>
    <n v="0"/>
    <n v="0"/>
    <n v="0"/>
    <n v="0"/>
    <n v="0"/>
    <n v="0"/>
    <n v="0"/>
    <n v="0"/>
    <n v="0"/>
    <n v="0"/>
  </r>
  <r>
    <x v="104"/>
    <x v="100"/>
    <m/>
    <x v="0"/>
    <m/>
    <x v="0"/>
    <m/>
    <m/>
    <m/>
    <m/>
    <m/>
    <m/>
    <x v="0"/>
    <m/>
    <m/>
    <m/>
    <n v="1.25"/>
    <n v="0.85"/>
    <n v="1.0625"/>
    <n v="2500"/>
    <x v="13"/>
    <s v="Sam"/>
    <x v="0"/>
    <n v="18672"/>
    <n v="20531.25"/>
    <n v="45154.453125"/>
    <n v="9800"/>
    <n v="12250"/>
    <n v="57404.453125"/>
    <n v="0"/>
    <n v="0"/>
    <n v="0"/>
    <n v="0"/>
    <n v="0"/>
    <n v="0.25"/>
    <n v="0.75"/>
    <n v="0"/>
    <n v="0"/>
    <n v="0"/>
    <n v="0"/>
    <n v="0"/>
    <s v="Enl uttag från Ladok - Erik Å"/>
    <m/>
    <n v="0"/>
    <n v="0"/>
    <n v="0"/>
    <n v="0"/>
    <n v="0"/>
    <n v="0"/>
    <n v="0"/>
    <n v="0"/>
    <n v="0"/>
    <n v="0"/>
    <n v="0.3125"/>
    <n v="0.265625"/>
    <n v="0.9375"/>
    <n v="0.796875"/>
    <n v="0"/>
    <n v="0"/>
    <n v="0"/>
    <n v="0"/>
    <n v="0"/>
    <n v="0"/>
    <n v="0"/>
    <n v="0"/>
    <n v="0"/>
  </r>
  <r>
    <x v="105"/>
    <x v="101"/>
    <m/>
    <x v="0"/>
    <m/>
    <x v="0"/>
    <m/>
    <m/>
    <m/>
    <m/>
    <m/>
    <m/>
    <x v="0"/>
    <m/>
    <m/>
    <m/>
    <n v="0.75"/>
    <n v="0.85"/>
    <n v="0.63749999999999996"/>
    <n v="2500"/>
    <x v="13"/>
    <s v="Sam"/>
    <x v="0"/>
    <n v="18405"/>
    <n v="15773"/>
    <n v="23859.037499999999"/>
    <n v="5800"/>
    <n v="4350"/>
    <n v="28209.037499999999"/>
    <n v="0"/>
    <n v="0"/>
    <n v="0"/>
    <n v="0"/>
    <n v="0"/>
    <n v="0"/>
    <n v="1"/>
    <n v="0"/>
    <n v="0"/>
    <n v="0"/>
    <n v="0"/>
    <n v="0"/>
    <s v="Enl uttag från Ladok - Erik Å"/>
    <m/>
    <n v="0"/>
    <n v="0"/>
    <n v="0"/>
    <n v="0"/>
    <n v="0"/>
    <n v="0"/>
    <n v="0"/>
    <n v="0"/>
    <n v="0"/>
    <n v="0"/>
    <n v="0"/>
    <n v="0"/>
    <n v="0.75"/>
    <n v="0.63749999999999996"/>
    <n v="0"/>
    <n v="0"/>
    <n v="0"/>
    <n v="0"/>
    <n v="0"/>
    <n v="0"/>
    <n v="0"/>
    <n v="0"/>
    <n v="0"/>
  </r>
  <r>
    <x v="106"/>
    <x v="102"/>
    <m/>
    <x v="0"/>
    <m/>
    <x v="0"/>
    <m/>
    <m/>
    <m/>
    <m/>
    <m/>
    <m/>
    <x v="0"/>
    <m/>
    <m/>
    <m/>
    <n v="1.5"/>
    <n v="0.85"/>
    <n v="1.2749999999999999"/>
    <n v="2500"/>
    <x v="13"/>
    <s v="Sam"/>
    <x v="0"/>
    <n v="18672"/>
    <n v="20531.25"/>
    <n v="54185.34375"/>
    <n v="9800"/>
    <n v="14700"/>
    <n v="68885.34375"/>
    <n v="0"/>
    <n v="0"/>
    <n v="0"/>
    <n v="0"/>
    <n v="0"/>
    <n v="0.25"/>
    <n v="0.75"/>
    <n v="0"/>
    <n v="0"/>
    <n v="0"/>
    <n v="0"/>
    <n v="0"/>
    <s v="Enl uttag från Ladok - Erik Å"/>
    <m/>
    <n v="0"/>
    <n v="0"/>
    <n v="0"/>
    <n v="0"/>
    <n v="0"/>
    <n v="0"/>
    <n v="0"/>
    <n v="0"/>
    <n v="0"/>
    <n v="0"/>
    <n v="0.375"/>
    <n v="0.31874999999999998"/>
    <n v="1.125"/>
    <n v="0.95624999999999993"/>
    <n v="0"/>
    <n v="0"/>
    <n v="0"/>
    <n v="0"/>
    <n v="0"/>
    <n v="0"/>
    <n v="0"/>
    <n v="0"/>
    <n v="0"/>
  </r>
  <r>
    <x v="107"/>
    <x v="103"/>
    <m/>
    <x v="0"/>
    <m/>
    <x v="0"/>
    <m/>
    <m/>
    <m/>
    <m/>
    <m/>
    <m/>
    <x v="0"/>
    <m/>
    <m/>
    <m/>
    <n v="0.75"/>
    <n v="0.85"/>
    <n v="0.63749999999999996"/>
    <n v="2500"/>
    <x v="13"/>
    <s v="Sam"/>
    <x v="0"/>
    <n v="18939"/>
    <n v="25289.5"/>
    <n v="30326.306250000001"/>
    <n v="13800"/>
    <n v="10350"/>
    <n v="40676.306250000001"/>
    <n v="0"/>
    <n v="0"/>
    <n v="0"/>
    <n v="0"/>
    <n v="0"/>
    <n v="0.5"/>
    <n v="0.5"/>
    <n v="0"/>
    <n v="0"/>
    <n v="0"/>
    <n v="0"/>
    <n v="0"/>
    <s v="Enl uttag från Ladok - Erik Å"/>
    <m/>
    <n v="0"/>
    <n v="0"/>
    <n v="0"/>
    <n v="0"/>
    <n v="0"/>
    <n v="0"/>
    <n v="0"/>
    <n v="0"/>
    <n v="0"/>
    <n v="0"/>
    <n v="0.375"/>
    <n v="0.31874999999999998"/>
    <n v="0.375"/>
    <n v="0.31874999999999998"/>
    <n v="0"/>
    <n v="0"/>
    <n v="0"/>
    <n v="0"/>
    <n v="0"/>
    <n v="0"/>
    <n v="0"/>
    <n v="0"/>
    <n v="0"/>
  </r>
  <r>
    <x v="108"/>
    <x v="104"/>
    <m/>
    <x v="0"/>
    <m/>
    <x v="0"/>
    <m/>
    <m/>
    <m/>
    <m/>
    <m/>
    <m/>
    <x v="0"/>
    <m/>
    <m/>
    <m/>
    <n v="0.75"/>
    <n v="0.85"/>
    <n v="0.63749999999999996"/>
    <n v="2500"/>
    <x v="13"/>
    <s v="Sam"/>
    <x v="0"/>
    <n v="18405"/>
    <n v="15773"/>
    <n v="23859.037499999999"/>
    <n v="5800"/>
    <n v="4350"/>
    <n v="28209.037499999999"/>
    <n v="0"/>
    <n v="0"/>
    <n v="0"/>
    <n v="0"/>
    <n v="0"/>
    <n v="0"/>
    <n v="1"/>
    <n v="0"/>
    <n v="0"/>
    <n v="0"/>
    <n v="0"/>
    <n v="0"/>
    <s v="Enl uttag från Ladok - Erik Å"/>
    <m/>
    <n v="0"/>
    <n v="0"/>
    <n v="0"/>
    <n v="0"/>
    <n v="0"/>
    <n v="0"/>
    <n v="0"/>
    <n v="0"/>
    <n v="0"/>
    <n v="0"/>
    <n v="0"/>
    <n v="0"/>
    <n v="0.75"/>
    <n v="0.63749999999999996"/>
    <n v="0"/>
    <n v="0"/>
    <n v="0"/>
    <n v="0"/>
    <n v="0"/>
    <n v="0"/>
    <n v="0"/>
    <n v="0"/>
    <n v="0"/>
  </r>
  <r>
    <x v="109"/>
    <x v="105"/>
    <m/>
    <x v="0"/>
    <m/>
    <x v="0"/>
    <m/>
    <m/>
    <m/>
    <m/>
    <m/>
    <m/>
    <x v="0"/>
    <m/>
    <m/>
    <m/>
    <n v="0.625"/>
    <n v="0.85"/>
    <n v="0.53125"/>
    <n v="2500"/>
    <x v="13"/>
    <s v="Sam"/>
    <x v="0"/>
    <n v="18405"/>
    <n v="15773"/>
    <n v="19882.53125"/>
    <n v="5800"/>
    <n v="3625"/>
    <n v="23507.53125"/>
    <n v="0"/>
    <n v="0"/>
    <n v="0"/>
    <n v="0"/>
    <n v="0"/>
    <n v="0"/>
    <n v="1"/>
    <n v="0"/>
    <n v="0"/>
    <n v="0"/>
    <n v="0"/>
    <n v="0"/>
    <s v="Enl uttag från Ladok - Erik Å"/>
    <m/>
    <n v="0"/>
    <n v="0"/>
    <n v="0"/>
    <n v="0"/>
    <n v="0"/>
    <n v="0"/>
    <n v="0"/>
    <n v="0"/>
    <n v="0"/>
    <n v="0"/>
    <n v="0"/>
    <n v="0"/>
    <n v="0.625"/>
    <n v="0.53125"/>
    <n v="0"/>
    <n v="0"/>
    <n v="0"/>
    <n v="0"/>
    <n v="0"/>
    <n v="0"/>
    <n v="0"/>
    <n v="0"/>
    <n v="0"/>
  </r>
  <r>
    <x v="110"/>
    <x v="106"/>
    <m/>
    <x v="1"/>
    <m/>
    <x v="0"/>
    <m/>
    <m/>
    <m/>
    <m/>
    <m/>
    <m/>
    <x v="0"/>
    <m/>
    <m/>
    <m/>
    <n v="5.5"/>
    <n v="0.8"/>
    <n v="4.4000000000000004"/>
    <n v="2750"/>
    <x v="14"/>
    <s v="Sam"/>
    <x v="1"/>
    <n v="18405"/>
    <n v="15773"/>
    <n v="170628.7"/>
    <n v="5800"/>
    <n v="31900"/>
    <n v="202528.7"/>
    <n v="0"/>
    <n v="0"/>
    <n v="0"/>
    <n v="0"/>
    <n v="0"/>
    <n v="0"/>
    <n v="1"/>
    <n v="0"/>
    <n v="0"/>
    <n v="0"/>
    <n v="0"/>
    <n v="0"/>
    <s v="Enl uttag från Ladok - Erik Å"/>
    <m/>
    <n v="0"/>
    <n v="0"/>
    <n v="0"/>
    <n v="0"/>
    <n v="0"/>
    <n v="0"/>
    <n v="0"/>
    <n v="0"/>
    <n v="0"/>
    <n v="0"/>
    <n v="0"/>
    <n v="0"/>
    <n v="5.5"/>
    <n v="4.4000000000000004"/>
    <n v="0"/>
    <n v="0"/>
    <n v="0"/>
    <n v="0"/>
    <n v="0"/>
    <n v="0"/>
    <n v="0"/>
    <n v="0"/>
    <n v="0"/>
  </r>
  <r>
    <x v="111"/>
    <x v="107"/>
    <m/>
    <x v="4"/>
    <m/>
    <x v="0"/>
    <m/>
    <m/>
    <m/>
    <m/>
    <m/>
    <m/>
    <x v="0"/>
    <m/>
    <m/>
    <m/>
    <n v="0.375"/>
    <n v="0.85"/>
    <n v="0.31874999999999998"/>
    <n v="2750"/>
    <x v="14"/>
    <s v="Sam"/>
    <x v="4"/>
    <n v="18405"/>
    <n v="15773"/>
    <n v="11929.518749999999"/>
    <n v="5800"/>
    <n v="2175"/>
    <n v="14104.518749999999"/>
    <n v="0"/>
    <n v="0"/>
    <n v="0"/>
    <n v="0"/>
    <n v="0"/>
    <n v="0"/>
    <n v="1"/>
    <n v="0"/>
    <n v="0"/>
    <n v="0"/>
    <n v="0"/>
    <n v="0"/>
    <s v="Enl uttag från Ladok - Erik Å"/>
    <m/>
    <n v="0"/>
    <n v="0"/>
    <n v="0"/>
    <n v="0"/>
    <n v="0"/>
    <n v="0"/>
    <n v="0"/>
    <n v="0"/>
    <n v="0"/>
    <n v="0"/>
    <n v="0"/>
    <n v="0"/>
    <n v="0.375"/>
    <n v="0.31874999999999998"/>
    <n v="0"/>
    <n v="0"/>
    <n v="0"/>
    <n v="0"/>
    <n v="0"/>
    <n v="0"/>
    <n v="0"/>
    <n v="0"/>
    <n v="0"/>
  </r>
  <r>
    <x v="112"/>
    <x v="108"/>
    <m/>
    <x v="1"/>
    <m/>
    <x v="0"/>
    <m/>
    <m/>
    <m/>
    <m/>
    <m/>
    <m/>
    <x v="0"/>
    <m/>
    <m/>
    <m/>
    <n v="17.5"/>
    <n v="0.8"/>
    <n v="14"/>
    <n v="2750"/>
    <x v="14"/>
    <s v="Sam"/>
    <x v="1"/>
    <n v="19473"/>
    <n v="34806"/>
    <n v="828061.5"/>
    <n v="21800"/>
    <n v="381500"/>
    <n v="1209561.5"/>
    <n v="0"/>
    <n v="0"/>
    <n v="0"/>
    <n v="0"/>
    <n v="0"/>
    <n v="1"/>
    <n v="0"/>
    <n v="0"/>
    <n v="0"/>
    <n v="0"/>
    <n v="0"/>
    <n v="0"/>
    <s v="Enl uttag från Ladok - Erik Å"/>
    <m/>
    <n v="0"/>
    <n v="0"/>
    <n v="0"/>
    <n v="0"/>
    <n v="0"/>
    <n v="0"/>
    <n v="0"/>
    <n v="0"/>
    <n v="0"/>
    <n v="0"/>
    <n v="17.5"/>
    <n v="14"/>
    <n v="0"/>
    <n v="0"/>
    <n v="0"/>
    <n v="0"/>
    <n v="0"/>
    <n v="0"/>
    <n v="0"/>
    <n v="0"/>
    <n v="0"/>
    <n v="0"/>
    <n v="0"/>
  </r>
  <r>
    <x v="113"/>
    <x v="109"/>
    <m/>
    <x v="1"/>
    <m/>
    <x v="0"/>
    <m/>
    <m/>
    <m/>
    <m/>
    <m/>
    <m/>
    <x v="0"/>
    <m/>
    <m/>
    <m/>
    <n v="7"/>
    <n v="0.8"/>
    <n v="5.6000000000000005"/>
    <n v="2750"/>
    <x v="14"/>
    <s v="Sam"/>
    <x v="1"/>
    <n v="19473"/>
    <n v="34806"/>
    <n v="331224.59999999998"/>
    <n v="21800"/>
    <n v="152600"/>
    <n v="483824.6"/>
    <n v="0"/>
    <n v="0"/>
    <n v="0"/>
    <n v="0"/>
    <n v="0"/>
    <n v="1"/>
    <n v="0"/>
    <n v="0"/>
    <n v="0"/>
    <n v="0"/>
    <n v="0"/>
    <n v="0"/>
    <s v="Enl uttag från Ladok - Erik Å"/>
    <m/>
    <n v="0"/>
    <n v="0"/>
    <n v="0"/>
    <n v="0"/>
    <n v="0"/>
    <n v="0"/>
    <n v="0"/>
    <n v="0"/>
    <n v="0"/>
    <n v="0"/>
    <n v="7"/>
    <n v="5.6000000000000005"/>
    <n v="0"/>
    <n v="0"/>
    <n v="0"/>
    <n v="0"/>
    <n v="0"/>
    <n v="0"/>
    <n v="0"/>
    <n v="0"/>
    <n v="0"/>
    <n v="0"/>
    <n v="0"/>
  </r>
  <r>
    <x v="114"/>
    <x v="110"/>
    <m/>
    <x v="1"/>
    <m/>
    <x v="0"/>
    <m/>
    <m/>
    <m/>
    <m/>
    <m/>
    <m/>
    <x v="0"/>
    <m/>
    <m/>
    <m/>
    <n v="14.5"/>
    <n v="0.8"/>
    <n v="11.600000000000001"/>
    <n v="2750"/>
    <x v="14"/>
    <s v="Sam"/>
    <x v="1"/>
    <n v="19473"/>
    <n v="34806"/>
    <n v="686108.10000000009"/>
    <n v="21800"/>
    <n v="316100"/>
    <n v="1002208.1000000001"/>
    <n v="0"/>
    <n v="0"/>
    <n v="0"/>
    <n v="0"/>
    <n v="0"/>
    <n v="1"/>
    <n v="0"/>
    <n v="0"/>
    <n v="0"/>
    <n v="0"/>
    <n v="0"/>
    <n v="0"/>
    <s v="Enl uttag från Ladok - Erik Å"/>
    <m/>
    <n v="0"/>
    <n v="0"/>
    <n v="0"/>
    <n v="0"/>
    <n v="0"/>
    <n v="0"/>
    <n v="0"/>
    <n v="0"/>
    <n v="0"/>
    <n v="0"/>
    <n v="14.5"/>
    <n v="11.600000000000001"/>
    <n v="0"/>
    <n v="0"/>
    <n v="0"/>
    <n v="0"/>
    <n v="0"/>
    <n v="0"/>
    <n v="0"/>
    <n v="0"/>
    <n v="0"/>
    <n v="0"/>
    <n v="0"/>
  </r>
  <r>
    <x v="115"/>
    <x v="111"/>
    <m/>
    <x v="1"/>
    <m/>
    <x v="0"/>
    <m/>
    <m/>
    <m/>
    <m/>
    <m/>
    <m/>
    <x v="0"/>
    <m/>
    <m/>
    <m/>
    <n v="1.75"/>
    <n v="0.8"/>
    <n v="1.4000000000000001"/>
    <n v="2750"/>
    <x v="14"/>
    <s v="Sam"/>
    <x v="1"/>
    <n v="19473"/>
    <n v="34806"/>
    <n v="82806.149999999994"/>
    <n v="21800"/>
    <n v="38150"/>
    <n v="120956.15"/>
    <n v="0"/>
    <n v="0"/>
    <n v="0"/>
    <n v="0"/>
    <n v="0"/>
    <n v="1"/>
    <n v="0"/>
    <n v="0"/>
    <n v="0"/>
    <n v="0"/>
    <n v="0"/>
    <n v="0"/>
    <s v="Enl uttag från Ladok - Erik Å"/>
    <m/>
    <n v="0"/>
    <n v="0"/>
    <n v="0"/>
    <n v="0"/>
    <n v="0"/>
    <n v="0"/>
    <n v="0"/>
    <n v="0"/>
    <n v="0"/>
    <n v="0"/>
    <n v="1.75"/>
    <n v="1.4000000000000001"/>
    <n v="0"/>
    <n v="0"/>
    <n v="0"/>
    <n v="0"/>
    <n v="0"/>
    <n v="0"/>
    <n v="0"/>
    <n v="0"/>
    <n v="0"/>
    <n v="0"/>
    <n v="0"/>
  </r>
  <r>
    <x v="116"/>
    <x v="112"/>
    <m/>
    <x v="1"/>
    <m/>
    <x v="0"/>
    <m/>
    <m/>
    <m/>
    <m/>
    <m/>
    <m/>
    <x v="0"/>
    <m/>
    <m/>
    <m/>
    <n v="3.625"/>
    <n v="0.8"/>
    <n v="2.9000000000000004"/>
    <n v="1650"/>
    <x v="9"/>
    <s v="Hum"/>
    <x v="1"/>
    <n v="19473"/>
    <n v="34806"/>
    <n v="171527.02500000002"/>
    <n v="21800"/>
    <n v="79025"/>
    <n v="250552.02500000002"/>
    <n v="0"/>
    <n v="0"/>
    <n v="0"/>
    <n v="0"/>
    <n v="0"/>
    <n v="0"/>
    <n v="0"/>
    <n v="1"/>
    <n v="0"/>
    <n v="0"/>
    <n v="0"/>
    <n v="0"/>
    <s v="Enl uttag från Ladok - Erik Å"/>
    <m/>
    <n v="0"/>
    <n v="0"/>
    <n v="0"/>
    <n v="0"/>
    <n v="0"/>
    <n v="0"/>
    <n v="0"/>
    <n v="0"/>
    <n v="0"/>
    <n v="0"/>
    <n v="0"/>
    <n v="0"/>
    <n v="0"/>
    <n v="0"/>
    <n v="3.625"/>
    <n v="2.9000000000000004"/>
    <n v="0"/>
    <n v="0"/>
    <n v="0"/>
    <n v="0"/>
    <n v="0"/>
    <n v="0"/>
    <n v="0"/>
  </r>
  <r>
    <x v="117"/>
    <x v="113"/>
    <m/>
    <x v="1"/>
    <m/>
    <x v="0"/>
    <m/>
    <m/>
    <m/>
    <m/>
    <m/>
    <m/>
    <x v="0"/>
    <m/>
    <m/>
    <m/>
    <n v="1.75"/>
    <n v="0.8"/>
    <n v="1.4000000000000001"/>
    <n v="1650"/>
    <x v="9"/>
    <s v="Hum"/>
    <x v="1"/>
    <n v="24603.5"/>
    <n v="39785"/>
    <n v="98755.125"/>
    <n v="37950"/>
    <n v="66412.5"/>
    <n v="165167.625"/>
    <n v="0"/>
    <n v="0.5"/>
    <n v="0"/>
    <n v="0"/>
    <n v="0.5"/>
    <n v="0"/>
    <n v="0"/>
    <n v="0"/>
    <n v="0"/>
    <n v="0"/>
    <n v="0"/>
    <n v="0"/>
    <s v="Enl uttag från Ladok - Erik Å"/>
    <m/>
    <n v="0"/>
    <n v="0"/>
    <n v="0.875"/>
    <n v="0.70000000000000007"/>
    <n v="0"/>
    <n v="0"/>
    <n v="0"/>
    <n v="0"/>
    <n v="0.875"/>
    <n v="0.70000000000000007"/>
    <n v="0"/>
    <n v="0"/>
    <n v="0"/>
    <n v="0"/>
    <n v="0"/>
    <n v="0"/>
    <n v="0"/>
    <n v="0"/>
    <n v="0"/>
    <n v="0"/>
    <n v="0"/>
    <n v="0"/>
    <n v="0"/>
  </r>
  <r>
    <x v="118"/>
    <x v="114"/>
    <m/>
    <x v="1"/>
    <m/>
    <x v="0"/>
    <m/>
    <m/>
    <m/>
    <m/>
    <m/>
    <m/>
    <x v="0"/>
    <m/>
    <m/>
    <m/>
    <n v="2.25"/>
    <n v="0.8"/>
    <n v="1.8"/>
    <n v="1620"/>
    <x v="8"/>
    <s v="Hum"/>
    <x v="1"/>
    <n v="18405"/>
    <n v="15773"/>
    <n v="69802.649999999994"/>
    <n v="5800"/>
    <n v="13050"/>
    <n v="82852.649999999994"/>
    <n v="0"/>
    <n v="1"/>
    <n v="0"/>
    <n v="0"/>
    <n v="0"/>
    <n v="0"/>
    <n v="0"/>
    <n v="0"/>
    <n v="0"/>
    <n v="0"/>
    <n v="0"/>
    <n v="0"/>
    <s v="Enl uttag från Ladok - Erik Å"/>
    <m/>
    <n v="0"/>
    <n v="0"/>
    <n v="2.25"/>
    <n v="1.8"/>
    <n v="0"/>
    <n v="0"/>
    <n v="0"/>
    <n v="0"/>
    <n v="0"/>
    <n v="0"/>
    <n v="0"/>
    <n v="0"/>
    <n v="0"/>
    <n v="0"/>
    <n v="0"/>
    <n v="0"/>
    <n v="0"/>
    <n v="0"/>
    <n v="0"/>
    <n v="0"/>
    <n v="0"/>
    <n v="0"/>
    <n v="0"/>
  </r>
  <r>
    <x v="119"/>
    <x v="115"/>
    <m/>
    <x v="1"/>
    <m/>
    <x v="0"/>
    <m/>
    <m/>
    <m/>
    <m/>
    <m/>
    <m/>
    <x v="0"/>
    <m/>
    <m/>
    <m/>
    <n v="5.5833300000000001"/>
    <n v="0.8"/>
    <n v="4.4666640000000006"/>
    <n v="1620"/>
    <x v="8"/>
    <s v="Hum"/>
    <x v="1"/>
    <n v="18405"/>
    <n v="15773"/>
    <n v="173213.87992199999"/>
    <n v="5800"/>
    <n v="32383.314000000002"/>
    <n v="205597.19392200001"/>
    <n v="0"/>
    <n v="1"/>
    <n v="0"/>
    <n v="0"/>
    <n v="0"/>
    <n v="0"/>
    <n v="0"/>
    <n v="0"/>
    <n v="0"/>
    <n v="0"/>
    <n v="0"/>
    <n v="0"/>
    <s v="Enl uttag från Ladok - Erik Å"/>
    <m/>
    <n v="0"/>
    <n v="0"/>
    <n v="5.5833300000000001"/>
    <n v="4.4666640000000006"/>
    <n v="0"/>
    <n v="0"/>
    <n v="0"/>
    <n v="0"/>
    <n v="0"/>
    <n v="0"/>
    <n v="0"/>
    <n v="0"/>
    <n v="0"/>
    <n v="0"/>
    <n v="0"/>
    <n v="0"/>
    <n v="0"/>
    <n v="0"/>
    <n v="0"/>
    <n v="0"/>
    <n v="0"/>
    <n v="0"/>
    <n v="0"/>
  </r>
  <r>
    <x v="120"/>
    <x v="116"/>
    <m/>
    <x v="1"/>
    <m/>
    <x v="0"/>
    <m/>
    <m/>
    <m/>
    <m/>
    <m/>
    <m/>
    <x v="0"/>
    <m/>
    <m/>
    <m/>
    <n v="1.75"/>
    <n v="0.8"/>
    <n v="1.4000000000000001"/>
    <n v="1620"/>
    <x v="8"/>
    <s v="Hum"/>
    <x v="1"/>
    <n v="18405"/>
    <n v="15773"/>
    <n v="54290.95"/>
    <n v="5800"/>
    <n v="10150"/>
    <n v="64440.95"/>
    <n v="0"/>
    <n v="1"/>
    <n v="0"/>
    <n v="0"/>
    <n v="0"/>
    <n v="0"/>
    <n v="0"/>
    <n v="0"/>
    <n v="0"/>
    <n v="0"/>
    <n v="0"/>
    <n v="0"/>
    <s v="Enl uttag från Ladok - Erik Å"/>
    <m/>
    <n v="0"/>
    <n v="0"/>
    <n v="1.75"/>
    <n v="1.4000000000000001"/>
    <n v="0"/>
    <n v="0"/>
    <n v="0"/>
    <n v="0"/>
    <n v="0"/>
    <n v="0"/>
    <n v="0"/>
    <n v="0"/>
    <n v="0"/>
    <n v="0"/>
    <n v="0"/>
    <n v="0"/>
    <n v="0"/>
    <n v="0"/>
    <n v="0"/>
    <n v="0"/>
    <n v="0"/>
    <n v="0"/>
    <n v="0"/>
  </r>
  <r>
    <x v="121"/>
    <x v="117"/>
    <m/>
    <x v="2"/>
    <m/>
    <x v="0"/>
    <m/>
    <m/>
    <m/>
    <m/>
    <m/>
    <m/>
    <x v="0"/>
    <m/>
    <m/>
    <m/>
    <n v="8.25"/>
    <n v="0.85"/>
    <n v="7.0125000000000002"/>
    <n v="1620"/>
    <x v="8"/>
    <s v="Hum"/>
    <x v="2"/>
    <n v="18405"/>
    <n v="15773"/>
    <n v="262449.41249999998"/>
    <n v="5800"/>
    <n v="47850"/>
    <n v="310299.41249999998"/>
    <n v="0"/>
    <n v="1"/>
    <n v="0"/>
    <n v="0"/>
    <n v="0"/>
    <n v="0"/>
    <n v="0"/>
    <n v="0"/>
    <n v="0"/>
    <n v="0"/>
    <n v="0"/>
    <n v="0"/>
    <s v="Enl uttag från Ladok - Erik Å"/>
    <m/>
    <n v="0"/>
    <n v="0"/>
    <n v="8.25"/>
    <n v="7.0125000000000002"/>
    <n v="0"/>
    <n v="0"/>
    <n v="0"/>
    <n v="0"/>
    <n v="0"/>
    <n v="0"/>
    <n v="0"/>
    <n v="0"/>
    <n v="0"/>
    <n v="0"/>
    <n v="0"/>
    <n v="0"/>
    <n v="0"/>
    <n v="0"/>
    <n v="0"/>
    <n v="0"/>
    <n v="0"/>
    <n v="0"/>
    <n v="0"/>
  </r>
  <r>
    <x v="122"/>
    <x v="118"/>
    <m/>
    <x v="5"/>
    <m/>
    <x v="0"/>
    <m/>
    <m/>
    <m/>
    <m/>
    <m/>
    <m/>
    <x v="0"/>
    <m/>
    <m/>
    <m/>
    <n v="2.6666699999999999"/>
    <n v="0.85"/>
    <n v="2.2666694999999999"/>
    <n v="1630"/>
    <x v="10"/>
    <s v="Hum"/>
    <x v="5"/>
    <n v="23641"/>
    <n v="28786"/>
    <n v="128291.09369699999"/>
    <n v="5800"/>
    <n v="15466.686"/>
    <n v="143757.77969699999"/>
    <n v="0"/>
    <n v="0"/>
    <n v="0"/>
    <n v="1"/>
    <n v="0"/>
    <n v="0"/>
    <n v="0"/>
    <n v="0"/>
    <n v="0"/>
    <n v="0"/>
    <n v="0"/>
    <n v="0"/>
    <s v="Enl uttag från Ladok - Erik Å"/>
    <m/>
    <n v="0"/>
    <n v="0"/>
    <n v="0"/>
    <n v="0"/>
    <n v="0"/>
    <n v="0"/>
    <n v="2.6666699999999999"/>
    <n v="2.2666694999999999"/>
    <n v="0"/>
    <n v="0"/>
    <n v="0"/>
    <n v="0"/>
    <n v="0"/>
    <n v="0"/>
    <n v="0"/>
    <n v="0"/>
    <n v="0"/>
    <n v="0"/>
    <n v="0"/>
    <n v="0"/>
    <n v="0"/>
    <n v="0"/>
    <n v="0"/>
  </r>
  <r>
    <x v="122"/>
    <x v="118"/>
    <m/>
    <x v="6"/>
    <m/>
    <x v="0"/>
    <m/>
    <m/>
    <m/>
    <m/>
    <m/>
    <m/>
    <x v="0"/>
    <m/>
    <m/>
    <m/>
    <n v="1"/>
    <n v="0.85"/>
    <n v="0.85"/>
    <n v="1630"/>
    <x v="10"/>
    <s v="Hum"/>
    <x v="6"/>
    <n v="23641"/>
    <n v="28786"/>
    <n v="48109.1"/>
    <n v="5800"/>
    <n v="5800"/>
    <n v="53909.1"/>
    <n v="0"/>
    <n v="0"/>
    <n v="0"/>
    <n v="1"/>
    <n v="0"/>
    <n v="0"/>
    <n v="0"/>
    <n v="0"/>
    <n v="0"/>
    <n v="0"/>
    <n v="0"/>
    <n v="0"/>
    <s v="Enl uttag från Ladok - Erik Å"/>
    <m/>
    <n v="0"/>
    <n v="0"/>
    <n v="0"/>
    <n v="0"/>
    <n v="0"/>
    <n v="0"/>
    <n v="1"/>
    <n v="0.85"/>
    <n v="0"/>
    <n v="0"/>
    <n v="0"/>
    <n v="0"/>
    <n v="0"/>
    <n v="0"/>
    <n v="0"/>
    <n v="0"/>
    <n v="0"/>
    <n v="0"/>
    <n v="0"/>
    <n v="0"/>
    <n v="0"/>
    <n v="0"/>
    <n v="0"/>
  </r>
  <r>
    <x v="122"/>
    <x v="118"/>
    <m/>
    <x v="9"/>
    <m/>
    <x v="0"/>
    <m/>
    <m/>
    <m/>
    <m/>
    <m/>
    <m/>
    <x v="0"/>
    <m/>
    <m/>
    <m/>
    <n v="9.6666699999999999"/>
    <n v="0.85"/>
    <n v="8.2166695000000001"/>
    <n v="1630"/>
    <x v="10"/>
    <s v="Hum"/>
    <x v="9"/>
    <n v="23641"/>
    <n v="28786"/>
    <n v="465054.79369700002"/>
    <n v="5800"/>
    <n v="56066.686000000002"/>
    <n v="521121.479697"/>
    <n v="0"/>
    <n v="0"/>
    <n v="0"/>
    <n v="1"/>
    <n v="0"/>
    <n v="0"/>
    <n v="0"/>
    <n v="0"/>
    <n v="0"/>
    <n v="0"/>
    <n v="0"/>
    <n v="0"/>
    <s v="Enl uttag från Ladok - Erik Å"/>
    <m/>
    <n v="0"/>
    <n v="0"/>
    <n v="0"/>
    <n v="0"/>
    <n v="0"/>
    <n v="0"/>
    <n v="9.6666699999999999"/>
    <n v="8.2166695000000001"/>
    <n v="0"/>
    <n v="0"/>
    <n v="0"/>
    <n v="0"/>
    <n v="0"/>
    <n v="0"/>
    <n v="0"/>
    <n v="0"/>
    <n v="0"/>
    <n v="0"/>
    <n v="0"/>
    <n v="0"/>
    <n v="0"/>
    <n v="0"/>
    <n v="0"/>
  </r>
  <r>
    <x v="123"/>
    <x v="119"/>
    <m/>
    <x v="5"/>
    <m/>
    <x v="0"/>
    <m/>
    <m/>
    <m/>
    <m/>
    <m/>
    <m/>
    <x v="0"/>
    <m/>
    <m/>
    <m/>
    <n v="3"/>
    <n v="0.85"/>
    <n v="2.5499999999999998"/>
    <n v="1630"/>
    <x v="10"/>
    <s v="Hum"/>
    <x v="5"/>
    <n v="23641"/>
    <n v="28786"/>
    <n v="144327.29999999999"/>
    <n v="5800"/>
    <n v="17400"/>
    <n v="161727.29999999999"/>
    <n v="0"/>
    <n v="0"/>
    <n v="0"/>
    <n v="1"/>
    <n v="0"/>
    <n v="0"/>
    <n v="0"/>
    <n v="0"/>
    <n v="0"/>
    <n v="0"/>
    <n v="0"/>
    <n v="0"/>
    <s v="Enl uttag från Ladok - Erik Å"/>
    <m/>
    <n v="0"/>
    <n v="0"/>
    <n v="0"/>
    <n v="0"/>
    <n v="0"/>
    <n v="0"/>
    <n v="3"/>
    <n v="2.5499999999999998"/>
    <n v="0"/>
    <n v="0"/>
    <n v="0"/>
    <n v="0"/>
    <n v="0"/>
    <n v="0"/>
    <n v="0"/>
    <n v="0"/>
    <n v="0"/>
    <n v="0"/>
    <n v="0"/>
    <n v="0"/>
    <n v="0"/>
    <n v="0"/>
    <n v="0"/>
  </r>
  <r>
    <x v="123"/>
    <x v="119"/>
    <m/>
    <x v="6"/>
    <m/>
    <x v="0"/>
    <m/>
    <m/>
    <m/>
    <m/>
    <m/>
    <m/>
    <x v="0"/>
    <m/>
    <m/>
    <m/>
    <n v="0.66666999999999998"/>
    <n v="0.85"/>
    <n v="0.56666949999999994"/>
    <n v="1630"/>
    <x v="10"/>
    <s v="Hum"/>
    <x v="6"/>
    <n v="23641"/>
    <n v="28786"/>
    <n v="32072.893697"/>
    <n v="5800"/>
    <n v="3866.6859999999997"/>
    <n v="35939.579697000001"/>
    <n v="0"/>
    <n v="0"/>
    <n v="0"/>
    <n v="1"/>
    <n v="0"/>
    <n v="0"/>
    <n v="0"/>
    <n v="0"/>
    <n v="0"/>
    <n v="0"/>
    <n v="0"/>
    <n v="0"/>
    <s v="Enl uttag från Ladok - Erik Å"/>
    <m/>
    <n v="0"/>
    <n v="0"/>
    <n v="0"/>
    <n v="0"/>
    <n v="0"/>
    <n v="0"/>
    <n v="0.66666999999999998"/>
    <n v="0.56666949999999994"/>
    <n v="0"/>
    <n v="0"/>
    <n v="0"/>
    <n v="0"/>
    <n v="0"/>
    <n v="0"/>
    <n v="0"/>
    <n v="0"/>
    <n v="0"/>
    <n v="0"/>
    <n v="0"/>
    <n v="0"/>
    <n v="0"/>
    <n v="0"/>
    <n v="0"/>
  </r>
  <r>
    <x v="123"/>
    <x v="119"/>
    <m/>
    <x v="9"/>
    <m/>
    <x v="0"/>
    <m/>
    <m/>
    <m/>
    <m/>
    <m/>
    <m/>
    <x v="0"/>
    <m/>
    <m/>
    <m/>
    <n v="12.83333"/>
    <n v="0.85"/>
    <n v="10.9083305"/>
    <n v="1630"/>
    <x v="10"/>
    <s v="Hum"/>
    <x v="9"/>
    <n v="23641"/>
    <n v="28786"/>
    <n v="617399.95630299998"/>
    <n v="5800"/>
    <n v="74433.313999999998"/>
    <n v="691833.270303"/>
    <n v="0"/>
    <n v="0"/>
    <n v="0"/>
    <n v="1"/>
    <n v="0"/>
    <n v="0"/>
    <n v="0"/>
    <n v="0"/>
    <n v="0"/>
    <n v="0"/>
    <n v="0"/>
    <n v="0"/>
    <s v="Enl uttag från Ladok - Erik Å"/>
    <m/>
    <n v="0"/>
    <n v="0"/>
    <n v="0"/>
    <n v="0"/>
    <n v="0"/>
    <n v="0"/>
    <n v="12.83333"/>
    <n v="10.9083305"/>
    <n v="0"/>
    <n v="0"/>
    <n v="0"/>
    <n v="0"/>
    <n v="0"/>
    <n v="0"/>
    <n v="0"/>
    <n v="0"/>
    <n v="0"/>
    <n v="0"/>
    <n v="0"/>
    <n v="0"/>
    <n v="0"/>
    <n v="0"/>
    <n v="0"/>
  </r>
  <r>
    <x v="124"/>
    <x v="120"/>
    <m/>
    <x v="3"/>
    <m/>
    <x v="0"/>
    <m/>
    <m/>
    <m/>
    <m/>
    <m/>
    <m/>
    <x v="0"/>
    <m/>
    <m/>
    <m/>
    <n v="7"/>
    <n v="0.85"/>
    <n v="5.95"/>
    <n v="1630"/>
    <x v="10"/>
    <s v="Hum"/>
    <x v="3"/>
    <n v="18405"/>
    <n v="15773"/>
    <n v="222684.35"/>
    <n v="5800"/>
    <n v="40600"/>
    <n v="263284.34999999998"/>
    <n v="0"/>
    <n v="1"/>
    <n v="0"/>
    <n v="0"/>
    <n v="0"/>
    <n v="0"/>
    <n v="0"/>
    <n v="0"/>
    <n v="0"/>
    <n v="0"/>
    <n v="0"/>
    <n v="0"/>
    <s v="Enl uttag från Ladok - Erik Å"/>
    <m/>
    <n v="0"/>
    <n v="0"/>
    <n v="7"/>
    <n v="5.95"/>
    <n v="0"/>
    <n v="0"/>
    <n v="0"/>
    <n v="0"/>
    <n v="0"/>
    <n v="0"/>
    <n v="0"/>
    <n v="0"/>
    <n v="0"/>
    <n v="0"/>
    <n v="0"/>
    <n v="0"/>
    <n v="0"/>
    <n v="0"/>
    <n v="0"/>
    <n v="0"/>
    <n v="0"/>
    <n v="0"/>
    <n v="0"/>
  </r>
  <r>
    <x v="125"/>
    <x v="121"/>
    <m/>
    <x v="0"/>
    <m/>
    <x v="0"/>
    <m/>
    <m/>
    <m/>
    <m/>
    <m/>
    <m/>
    <x v="0"/>
    <m/>
    <m/>
    <m/>
    <n v="17.875"/>
    <n v="0.85"/>
    <n v="15.19375"/>
    <n v="1630"/>
    <x v="10"/>
    <s v="Hum"/>
    <x v="0"/>
    <n v="23641"/>
    <n v="28786"/>
    <n v="859950.16249999998"/>
    <n v="5800"/>
    <n v="103675"/>
    <n v="963625.16249999998"/>
    <n v="0"/>
    <n v="0"/>
    <n v="0"/>
    <n v="1"/>
    <n v="0"/>
    <n v="0"/>
    <n v="0"/>
    <n v="0"/>
    <n v="0"/>
    <n v="0"/>
    <n v="0"/>
    <n v="0"/>
    <s v="Enl uttag från Ladok - Erik Å"/>
    <m/>
    <n v="0"/>
    <n v="0"/>
    <n v="0"/>
    <n v="0"/>
    <n v="0"/>
    <n v="0"/>
    <n v="17.875"/>
    <n v="15.19375"/>
    <n v="0"/>
    <n v="0"/>
    <n v="0"/>
    <n v="0"/>
    <n v="0"/>
    <n v="0"/>
    <n v="0"/>
    <n v="0"/>
    <n v="0"/>
    <n v="0"/>
    <n v="0"/>
    <n v="0"/>
    <n v="0"/>
    <n v="0"/>
    <n v="0"/>
  </r>
  <r>
    <x v="125"/>
    <x v="121"/>
    <m/>
    <x v="7"/>
    <m/>
    <x v="0"/>
    <m/>
    <m/>
    <m/>
    <m/>
    <m/>
    <m/>
    <x v="0"/>
    <m/>
    <m/>
    <m/>
    <n v="8.375"/>
    <n v="0.85"/>
    <n v="7.1187499999999995"/>
    <n v="1630"/>
    <x v="10"/>
    <s v="Hum"/>
    <x v="7"/>
    <n v="23641"/>
    <n v="28786"/>
    <n v="402913.71250000002"/>
    <n v="5800"/>
    <n v="48575"/>
    <n v="451488.71250000002"/>
    <n v="0"/>
    <n v="0"/>
    <n v="0"/>
    <n v="1"/>
    <n v="0"/>
    <n v="0"/>
    <n v="0"/>
    <n v="0"/>
    <n v="0"/>
    <n v="0"/>
    <n v="0"/>
    <n v="0"/>
    <s v="Enl uttag från Ladok - Erik Å"/>
    <m/>
    <n v="0"/>
    <n v="0"/>
    <n v="0"/>
    <n v="0"/>
    <n v="0"/>
    <n v="0"/>
    <n v="8.375"/>
    <n v="7.1187499999999995"/>
    <n v="0"/>
    <n v="0"/>
    <n v="0"/>
    <n v="0"/>
    <n v="0"/>
    <n v="0"/>
    <n v="0"/>
    <n v="0"/>
    <n v="0"/>
    <n v="0"/>
    <n v="0"/>
    <n v="0"/>
    <n v="0"/>
    <n v="0"/>
    <n v="0"/>
  </r>
  <r>
    <x v="125"/>
    <x v="121"/>
    <m/>
    <x v="8"/>
    <m/>
    <x v="0"/>
    <m/>
    <m/>
    <m/>
    <m/>
    <m/>
    <m/>
    <x v="0"/>
    <m/>
    <m/>
    <m/>
    <n v="2.125"/>
    <n v="0.85"/>
    <n v="1.8062499999999999"/>
    <n v="1630"/>
    <x v="10"/>
    <s v="Hum"/>
    <x v="8"/>
    <n v="23641"/>
    <n v="28786"/>
    <n v="102231.83749999999"/>
    <n v="5800"/>
    <n v="12325"/>
    <n v="114556.83749999999"/>
    <n v="0"/>
    <n v="0"/>
    <n v="0"/>
    <n v="1"/>
    <n v="0"/>
    <n v="0"/>
    <n v="0"/>
    <n v="0"/>
    <n v="0"/>
    <n v="0"/>
    <n v="0"/>
    <n v="0"/>
    <s v="Enl uttag från Ladok - Erik Å"/>
    <m/>
    <n v="0"/>
    <n v="0"/>
    <n v="0"/>
    <n v="0"/>
    <n v="0"/>
    <n v="0"/>
    <n v="2.125"/>
    <n v="1.8062499999999999"/>
    <n v="0"/>
    <n v="0"/>
    <n v="0"/>
    <n v="0"/>
    <n v="0"/>
    <n v="0"/>
    <n v="0"/>
    <n v="0"/>
    <n v="0"/>
    <n v="0"/>
    <n v="0"/>
    <n v="0"/>
    <n v="0"/>
    <n v="0"/>
    <n v="0"/>
  </r>
  <r>
    <x v="125"/>
    <x v="121"/>
    <m/>
    <x v="2"/>
    <m/>
    <x v="0"/>
    <m/>
    <m/>
    <m/>
    <m/>
    <m/>
    <m/>
    <x v="0"/>
    <m/>
    <m/>
    <m/>
    <n v="6.375"/>
    <n v="0.85"/>
    <n v="5.4187500000000002"/>
    <n v="1630"/>
    <x v="10"/>
    <s v="Hum"/>
    <x v="2"/>
    <n v="23641"/>
    <n v="28786"/>
    <n v="306695.51250000001"/>
    <n v="5800"/>
    <n v="36975"/>
    <n v="343670.51250000001"/>
    <n v="0"/>
    <n v="0"/>
    <n v="0"/>
    <n v="1"/>
    <n v="0"/>
    <n v="0"/>
    <n v="0"/>
    <n v="0"/>
    <n v="0"/>
    <n v="0"/>
    <n v="0"/>
    <n v="0"/>
    <s v="Enl uttag från Ladok - Erik Å"/>
    <m/>
    <n v="0"/>
    <n v="0"/>
    <n v="0"/>
    <n v="0"/>
    <n v="0"/>
    <n v="0"/>
    <n v="6.375"/>
    <n v="5.4187500000000002"/>
    <n v="0"/>
    <n v="0"/>
    <n v="0"/>
    <n v="0"/>
    <n v="0"/>
    <n v="0"/>
    <n v="0"/>
    <n v="0"/>
    <n v="0"/>
    <n v="0"/>
    <n v="0"/>
    <n v="0"/>
    <n v="0"/>
    <n v="0"/>
    <n v="0"/>
  </r>
  <r>
    <x v="125"/>
    <x v="121"/>
    <m/>
    <x v="3"/>
    <m/>
    <x v="0"/>
    <m/>
    <m/>
    <m/>
    <m/>
    <m/>
    <m/>
    <x v="0"/>
    <m/>
    <m/>
    <m/>
    <n v="3.375"/>
    <n v="0.85"/>
    <n v="2.8687499999999999"/>
    <n v="1630"/>
    <x v="10"/>
    <s v="Hum"/>
    <x v="3"/>
    <n v="23641"/>
    <n v="28786"/>
    <n v="162368.21249999999"/>
    <n v="5800"/>
    <n v="19575"/>
    <n v="181943.21249999999"/>
    <n v="0"/>
    <n v="0"/>
    <n v="0"/>
    <n v="1"/>
    <n v="0"/>
    <n v="0"/>
    <n v="0"/>
    <n v="0"/>
    <n v="0"/>
    <n v="0"/>
    <n v="0"/>
    <n v="0"/>
    <s v="Enl uttag från Ladok - Erik Å"/>
    <m/>
    <n v="0"/>
    <n v="0"/>
    <n v="0"/>
    <n v="0"/>
    <n v="0"/>
    <n v="0"/>
    <n v="3.375"/>
    <n v="2.8687499999999999"/>
    <n v="0"/>
    <n v="0"/>
    <n v="0"/>
    <n v="0"/>
    <n v="0"/>
    <n v="0"/>
    <n v="0"/>
    <n v="0"/>
    <n v="0"/>
    <n v="0"/>
    <n v="0"/>
    <n v="0"/>
    <n v="0"/>
    <n v="0"/>
    <n v="0"/>
  </r>
  <r>
    <x v="126"/>
    <x v="122"/>
    <m/>
    <x v="0"/>
    <m/>
    <x v="0"/>
    <m/>
    <m/>
    <m/>
    <m/>
    <m/>
    <m/>
    <x v="0"/>
    <m/>
    <m/>
    <m/>
    <n v="16.625"/>
    <n v="0.85"/>
    <n v="14.13125"/>
    <n v="1630"/>
    <x v="10"/>
    <s v="Hum"/>
    <x v="0"/>
    <n v="23641"/>
    <n v="28786"/>
    <n v="799813.78749999998"/>
    <n v="5800"/>
    <n v="96425"/>
    <n v="896238.78749999998"/>
    <n v="0"/>
    <n v="0"/>
    <n v="0"/>
    <n v="1"/>
    <n v="0"/>
    <n v="0"/>
    <n v="0"/>
    <n v="0"/>
    <n v="0"/>
    <n v="0"/>
    <n v="0"/>
    <n v="0"/>
    <s v="Enl uttag från Ladok - Erik Å"/>
    <m/>
    <n v="0"/>
    <n v="0"/>
    <n v="0"/>
    <n v="0"/>
    <n v="0"/>
    <n v="0"/>
    <n v="16.625"/>
    <n v="14.13125"/>
    <n v="0"/>
    <n v="0"/>
    <n v="0"/>
    <n v="0"/>
    <n v="0"/>
    <n v="0"/>
    <n v="0"/>
    <n v="0"/>
    <n v="0"/>
    <n v="0"/>
    <n v="0"/>
    <n v="0"/>
    <n v="0"/>
    <n v="0"/>
    <n v="0"/>
  </r>
  <r>
    <x v="126"/>
    <x v="122"/>
    <m/>
    <x v="7"/>
    <m/>
    <x v="0"/>
    <m/>
    <m/>
    <m/>
    <m/>
    <m/>
    <m/>
    <x v="0"/>
    <m/>
    <m/>
    <m/>
    <n v="8.25"/>
    <n v="0.85"/>
    <n v="7.0125000000000002"/>
    <n v="1630"/>
    <x v="10"/>
    <s v="Hum"/>
    <x v="7"/>
    <n v="23641"/>
    <n v="28786"/>
    <n v="396900.07500000001"/>
    <n v="5800"/>
    <n v="47850"/>
    <n v="444750.07500000001"/>
    <n v="0"/>
    <n v="0"/>
    <n v="0"/>
    <n v="1"/>
    <n v="0"/>
    <n v="0"/>
    <n v="0"/>
    <n v="0"/>
    <n v="0"/>
    <n v="0"/>
    <n v="0"/>
    <n v="0"/>
    <s v="Enl uttag från Ladok - Erik Å"/>
    <m/>
    <n v="0"/>
    <n v="0"/>
    <n v="0"/>
    <n v="0"/>
    <n v="0"/>
    <n v="0"/>
    <n v="8.25"/>
    <n v="7.0125000000000002"/>
    <n v="0"/>
    <n v="0"/>
    <n v="0"/>
    <n v="0"/>
    <n v="0"/>
    <n v="0"/>
    <n v="0"/>
    <n v="0"/>
    <n v="0"/>
    <n v="0"/>
    <n v="0"/>
    <n v="0"/>
    <n v="0"/>
    <n v="0"/>
    <n v="0"/>
  </r>
  <r>
    <x v="126"/>
    <x v="122"/>
    <m/>
    <x v="8"/>
    <m/>
    <x v="0"/>
    <m/>
    <m/>
    <m/>
    <m/>
    <m/>
    <m/>
    <x v="0"/>
    <m/>
    <m/>
    <m/>
    <n v="2.125"/>
    <n v="0.85"/>
    <n v="1.8062499999999999"/>
    <n v="1630"/>
    <x v="10"/>
    <s v="Hum"/>
    <x v="8"/>
    <n v="23641"/>
    <n v="28786"/>
    <n v="102231.83749999999"/>
    <n v="5800"/>
    <n v="12325"/>
    <n v="114556.83749999999"/>
    <n v="0"/>
    <n v="0"/>
    <n v="0"/>
    <n v="1"/>
    <n v="0"/>
    <n v="0"/>
    <n v="0"/>
    <n v="0"/>
    <n v="0"/>
    <n v="0"/>
    <n v="0"/>
    <n v="0"/>
    <s v="Enl uttag från Ladok - Erik Å"/>
    <m/>
    <n v="0"/>
    <n v="0"/>
    <n v="0"/>
    <n v="0"/>
    <n v="0"/>
    <n v="0"/>
    <n v="2.125"/>
    <n v="1.8062499999999999"/>
    <n v="0"/>
    <n v="0"/>
    <n v="0"/>
    <n v="0"/>
    <n v="0"/>
    <n v="0"/>
    <n v="0"/>
    <n v="0"/>
    <n v="0"/>
    <n v="0"/>
    <n v="0"/>
    <n v="0"/>
    <n v="0"/>
    <n v="0"/>
    <n v="0"/>
  </r>
  <r>
    <x v="126"/>
    <x v="122"/>
    <m/>
    <x v="2"/>
    <m/>
    <x v="0"/>
    <m/>
    <m/>
    <m/>
    <m/>
    <m/>
    <m/>
    <x v="0"/>
    <m/>
    <m/>
    <m/>
    <n v="6.25"/>
    <n v="0.85"/>
    <n v="5.3125"/>
    <n v="1630"/>
    <x v="10"/>
    <s v="Hum"/>
    <x v="2"/>
    <n v="23641"/>
    <n v="28786"/>
    <n v="300681.875"/>
    <n v="5800"/>
    <n v="36250"/>
    <n v="336931.875"/>
    <n v="0"/>
    <n v="0"/>
    <n v="0"/>
    <n v="1"/>
    <n v="0"/>
    <n v="0"/>
    <n v="0"/>
    <n v="0"/>
    <n v="0"/>
    <n v="0"/>
    <n v="0"/>
    <n v="0"/>
    <s v="Enl uttag från Ladok - Erik Å"/>
    <m/>
    <n v="0"/>
    <n v="0"/>
    <n v="0"/>
    <n v="0"/>
    <n v="0"/>
    <n v="0"/>
    <n v="6.25"/>
    <n v="5.3125"/>
    <n v="0"/>
    <n v="0"/>
    <n v="0"/>
    <n v="0"/>
    <n v="0"/>
    <n v="0"/>
    <n v="0"/>
    <n v="0"/>
    <n v="0"/>
    <n v="0"/>
    <n v="0"/>
    <n v="0"/>
    <n v="0"/>
    <n v="0"/>
    <n v="0"/>
  </r>
  <r>
    <x v="126"/>
    <x v="122"/>
    <m/>
    <x v="3"/>
    <m/>
    <x v="0"/>
    <m/>
    <m/>
    <m/>
    <m/>
    <m/>
    <m/>
    <x v="0"/>
    <m/>
    <m/>
    <m/>
    <n v="3.5"/>
    <n v="0.85"/>
    <n v="2.9750000000000001"/>
    <n v="1630"/>
    <x v="10"/>
    <s v="Hum"/>
    <x v="3"/>
    <n v="23641"/>
    <n v="28786"/>
    <n v="168381.85"/>
    <n v="5800"/>
    <n v="20300"/>
    <n v="188681.85"/>
    <n v="0"/>
    <n v="0"/>
    <n v="0"/>
    <n v="1"/>
    <n v="0"/>
    <n v="0"/>
    <n v="0"/>
    <n v="0"/>
    <n v="0"/>
    <n v="0"/>
    <n v="0"/>
    <n v="0"/>
    <s v="Enl uttag från Ladok - Erik Å"/>
    <m/>
    <n v="0"/>
    <n v="0"/>
    <n v="0"/>
    <n v="0"/>
    <n v="0"/>
    <n v="0"/>
    <n v="3.5"/>
    <n v="2.9750000000000001"/>
    <n v="0"/>
    <n v="0"/>
    <n v="0"/>
    <n v="0"/>
    <n v="0"/>
    <n v="0"/>
    <n v="0"/>
    <n v="0"/>
    <n v="0"/>
    <n v="0"/>
    <n v="0"/>
    <n v="0"/>
    <n v="0"/>
    <n v="0"/>
    <n v="0"/>
  </r>
  <r>
    <x v="127"/>
    <x v="123"/>
    <m/>
    <x v="3"/>
    <m/>
    <x v="0"/>
    <m/>
    <m/>
    <m/>
    <m/>
    <m/>
    <m/>
    <x v="0"/>
    <m/>
    <m/>
    <m/>
    <n v="2.9"/>
    <n v="0.85"/>
    <n v="2.4649999999999999"/>
    <n v="1620"/>
    <x v="8"/>
    <s v="Hum"/>
    <x v="3"/>
    <n v="21634"/>
    <n v="26986"/>
    <n v="129259.09"/>
    <n v="3400"/>
    <n v="9860"/>
    <n v="139119.09"/>
    <n v="0"/>
    <n v="0"/>
    <n v="0"/>
    <n v="0"/>
    <n v="0"/>
    <n v="0"/>
    <n v="0"/>
    <n v="0"/>
    <n v="1"/>
    <n v="0"/>
    <n v="0"/>
    <n v="0"/>
    <s v="Enl uttag från Ladok - Erik Å"/>
    <m/>
    <n v="0"/>
    <n v="0"/>
    <n v="0"/>
    <n v="0"/>
    <n v="0"/>
    <n v="0"/>
    <n v="0"/>
    <n v="0"/>
    <n v="0"/>
    <n v="0"/>
    <n v="0"/>
    <n v="0"/>
    <n v="0"/>
    <n v="0"/>
    <n v="0"/>
    <n v="0"/>
    <n v="2.9"/>
    <n v="2.4649999999999999"/>
    <n v="0"/>
    <n v="0"/>
    <n v="0"/>
    <n v="0"/>
    <n v="0"/>
  </r>
  <r>
    <x v="128"/>
    <x v="124"/>
    <m/>
    <x v="2"/>
    <m/>
    <x v="0"/>
    <m/>
    <m/>
    <m/>
    <m/>
    <m/>
    <m/>
    <x v="0"/>
    <m/>
    <m/>
    <m/>
    <n v="3.4"/>
    <n v="0.85"/>
    <n v="2.8899999999999997"/>
    <n v="1620"/>
    <x v="8"/>
    <s v="Hum"/>
    <x v="2"/>
    <n v="21634"/>
    <n v="26986"/>
    <n v="151545.13999999998"/>
    <n v="3400"/>
    <n v="11560"/>
    <n v="163105.13999999998"/>
    <n v="0"/>
    <n v="0"/>
    <n v="0"/>
    <n v="0"/>
    <n v="0"/>
    <n v="0"/>
    <n v="0"/>
    <n v="0"/>
    <n v="1"/>
    <n v="0"/>
    <n v="0"/>
    <n v="0"/>
    <s v="Enl uttag från Ladok - Erik Å"/>
    <m/>
    <n v="0"/>
    <n v="0"/>
    <n v="0"/>
    <n v="0"/>
    <n v="0"/>
    <n v="0"/>
    <n v="0"/>
    <n v="0"/>
    <n v="0"/>
    <n v="0"/>
    <n v="0"/>
    <n v="0"/>
    <n v="0"/>
    <n v="0"/>
    <n v="0"/>
    <n v="0"/>
    <n v="3.4"/>
    <n v="2.8899999999999997"/>
    <n v="0"/>
    <n v="0"/>
    <n v="0"/>
    <n v="0"/>
    <n v="0"/>
  </r>
  <r>
    <x v="129"/>
    <x v="125"/>
    <m/>
    <x v="0"/>
    <m/>
    <x v="0"/>
    <m/>
    <m/>
    <m/>
    <m/>
    <m/>
    <m/>
    <x v="0"/>
    <m/>
    <m/>
    <m/>
    <n v="4.5"/>
    <n v="0.85"/>
    <n v="3.8249999999999997"/>
    <n v="1620"/>
    <x v="8"/>
    <s v="Hum"/>
    <x v="0"/>
    <n v="21634"/>
    <n v="26986"/>
    <n v="200574.45"/>
    <n v="3400"/>
    <n v="15300"/>
    <n v="215874.45"/>
    <n v="0"/>
    <n v="0"/>
    <n v="0"/>
    <n v="0"/>
    <n v="0"/>
    <n v="0"/>
    <n v="0"/>
    <n v="0"/>
    <n v="1"/>
    <n v="0"/>
    <n v="0"/>
    <n v="0"/>
    <s v="Enl uttag från Ladok - Erik Å"/>
    <m/>
    <n v="0"/>
    <n v="0"/>
    <n v="0"/>
    <n v="0"/>
    <n v="0"/>
    <n v="0"/>
    <n v="0"/>
    <n v="0"/>
    <n v="0"/>
    <n v="0"/>
    <n v="0"/>
    <n v="0"/>
    <n v="0"/>
    <n v="0"/>
    <n v="0"/>
    <n v="0"/>
    <n v="4.5"/>
    <n v="3.8249999999999997"/>
    <n v="0"/>
    <n v="0"/>
    <n v="0"/>
    <n v="0"/>
    <n v="0"/>
  </r>
  <r>
    <x v="130"/>
    <x v="126"/>
    <m/>
    <x v="0"/>
    <m/>
    <x v="0"/>
    <m/>
    <m/>
    <m/>
    <m/>
    <m/>
    <m/>
    <x v="0"/>
    <m/>
    <m/>
    <m/>
    <n v="4.125"/>
    <n v="0.85"/>
    <n v="3.5062500000000001"/>
    <n v="1620"/>
    <x v="8"/>
    <s v="Hum"/>
    <x v="0"/>
    <n v="21634"/>
    <n v="26986"/>
    <n v="183859.91250000001"/>
    <n v="3400"/>
    <n v="14025"/>
    <n v="197884.91250000001"/>
    <n v="0"/>
    <n v="0"/>
    <n v="0"/>
    <n v="0"/>
    <n v="0"/>
    <n v="0"/>
    <n v="0"/>
    <n v="0"/>
    <n v="1"/>
    <n v="0"/>
    <n v="0"/>
    <n v="0"/>
    <s v="Enl uttag från Ladok - Erik Å"/>
    <m/>
    <n v="0"/>
    <n v="0"/>
    <n v="0"/>
    <n v="0"/>
    <n v="0"/>
    <n v="0"/>
    <n v="0"/>
    <n v="0"/>
    <n v="0"/>
    <n v="0"/>
    <n v="0"/>
    <n v="0"/>
    <n v="0"/>
    <n v="0"/>
    <n v="0"/>
    <n v="0"/>
    <n v="4.125"/>
    <n v="3.5062500000000001"/>
    <n v="0"/>
    <n v="0"/>
    <n v="0"/>
    <n v="0"/>
    <n v="0"/>
  </r>
  <r>
    <x v="131"/>
    <x v="127"/>
    <m/>
    <x v="7"/>
    <m/>
    <x v="0"/>
    <m/>
    <m/>
    <m/>
    <m/>
    <m/>
    <m/>
    <x v="0"/>
    <m/>
    <m/>
    <m/>
    <n v="21.25"/>
    <n v="0.85"/>
    <n v="18.0625"/>
    <n v="1620"/>
    <x v="8"/>
    <s v="Hum"/>
    <x v="7"/>
    <n v="18405"/>
    <n v="15773"/>
    <n v="676006.0625"/>
    <n v="5800"/>
    <n v="123250"/>
    <n v="799256.0625"/>
    <n v="0"/>
    <n v="1"/>
    <n v="0"/>
    <n v="0"/>
    <n v="0"/>
    <n v="0"/>
    <n v="0"/>
    <n v="0"/>
    <n v="0"/>
    <n v="0"/>
    <n v="0"/>
    <n v="0"/>
    <s v="Enl uttag från Ladok - Erik Å"/>
    <m/>
    <n v="0"/>
    <n v="0"/>
    <n v="21.25"/>
    <n v="18.0625"/>
    <n v="0"/>
    <n v="0"/>
    <n v="0"/>
    <n v="0"/>
    <n v="0"/>
    <n v="0"/>
    <n v="0"/>
    <n v="0"/>
    <n v="0"/>
    <n v="0"/>
    <n v="0"/>
    <n v="0"/>
    <n v="0"/>
    <n v="0"/>
    <n v="0"/>
    <n v="0"/>
    <n v="0"/>
    <n v="0"/>
    <n v="0"/>
  </r>
  <r>
    <x v="132"/>
    <x v="128"/>
    <m/>
    <x v="8"/>
    <m/>
    <x v="0"/>
    <m/>
    <m/>
    <m/>
    <m/>
    <m/>
    <m/>
    <x v="0"/>
    <m/>
    <m/>
    <m/>
    <n v="3.125"/>
    <n v="0.85"/>
    <n v="2.65625"/>
    <n v="1620"/>
    <x v="8"/>
    <s v="Hum"/>
    <x v="8"/>
    <n v="18405"/>
    <n v="15773"/>
    <n v="99412.65625"/>
    <n v="5800"/>
    <n v="18125"/>
    <n v="117537.65625"/>
    <n v="0"/>
    <n v="1"/>
    <n v="0"/>
    <n v="0"/>
    <n v="0"/>
    <n v="0"/>
    <n v="0"/>
    <n v="0"/>
    <n v="0"/>
    <n v="0"/>
    <n v="0"/>
    <n v="0"/>
    <s v="Enl uttag från Ladok - Erik Å"/>
    <m/>
    <n v="0"/>
    <n v="0"/>
    <n v="3.125"/>
    <n v="2.65625"/>
    <n v="0"/>
    <n v="0"/>
    <n v="0"/>
    <n v="0"/>
    <n v="0"/>
    <n v="0"/>
    <n v="0"/>
    <n v="0"/>
    <n v="0"/>
    <n v="0"/>
    <n v="0"/>
    <n v="0"/>
    <n v="0"/>
    <n v="0"/>
    <n v="0"/>
    <n v="0"/>
    <n v="0"/>
    <n v="0"/>
    <n v="0"/>
  </r>
  <r>
    <x v="133"/>
    <x v="129"/>
    <m/>
    <x v="4"/>
    <m/>
    <x v="0"/>
    <m/>
    <m/>
    <m/>
    <m/>
    <m/>
    <m/>
    <x v="0"/>
    <m/>
    <m/>
    <m/>
    <n v="0.375"/>
    <n v="0.85"/>
    <n v="0.31874999999999998"/>
    <n v="5730"/>
    <x v="5"/>
    <s v="TekNat"/>
    <x v="4"/>
    <n v="21634"/>
    <n v="26986"/>
    <n v="16714.537499999999"/>
    <n v="3400"/>
    <n v="1275"/>
    <n v="17989.537499999999"/>
    <n v="0"/>
    <n v="0"/>
    <n v="0"/>
    <n v="0"/>
    <n v="0"/>
    <n v="0"/>
    <n v="0"/>
    <n v="0"/>
    <n v="1"/>
    <n v="0"/>
    <n v="0"/>
    <n v="0"/>
    <s v="Enl uttag från Ladok - Erik Å"/>
    <m/>
    <n v="0"/>
    <n v="0"/>
    <n v="0"/>
    <n v="0"/>
    <n v="0"/>
    <n v="0"/>
    <n v="0"/>
    <n v="0"/>
    <n v="0"/>
    <n v="0"/>
    <n v="0"/>
    <n v="0"/>
    <n v="0"/>
    <n v="0"/>
    <n v="0"/>
    <n v="0"/>
    <n v="0.375"/>
    <n v="0.31874999999999998"/>
    <n v="0"/>
    <n v="0"/>
    <n v="0"/>
    <n v="0"/>
    <n v="0"/>
  </r>
  <r>
    <x v="133"/>
    <x v="129"/>
    <m/>
    <x v="0"/>
    <m/>
    <x v="0"/>
    <m/>
    <m/>
    <m/>
    <m/>
    <m/>
    <m/>
    <x v="0"/>
    <m/>
    <m/>
    <m/>
    <n v="2.25"/>
    <n v="0.85"/>
    <n v="1.9124999999999999"/>
    <n v="5730"/>
    <x v="5"/>
    <s v="TekNat"/>
    <x v="0"/>
    <n v="21634"/>
    <n v="26986"/>
    <n v="100287.22500000001"/>
    <n v="3400"/>
    <n v="7650"/>
    <n v="107937.22500000001"/>
    <n v="0"/>
    <n v="0"/>
    <n v="0"/>
    <n v="0"/>
    <n v="0"/>
    <n v="0"/>
    <n v="0"/>
    <n v="0"/>
    <n v="1"/>
    <n v="0"/>
    <n v="0"/>
    <n v="0"/>
    <s v="Enl uttag från Ladok - Erik Å"/>
    <m/>
    <n v="0"/>
    <n v="0"/>
    <n v="0"/>
    <n v="0"/>
    <n v="0"/>
    <n v="0"/>
    <n v="0"/>
    <n v="0"/>
    <n v="0"/>
    <n v="0"/>
    <n v="0"/>
    <n v="0"/>
    <n v="0"/>
    <n v="0"/>
    <n v="0"/>
    <n v="0"/>
    <n v="2.25"/>
    <n v="1.9124999999999999"/>
    <n v="0"/>
    <n v="0"/>
    <n v="0"/>
    <n v="0"/>
    <n v="0"/>
  </r>
  <r>
    <x v="134"/>
    <x v="130"/>
    <m/>
    <x v="0"/>
    <m/>
    <x v="0"/>
    <m/>
    <m/>
    <m/>
    <m/>
    <m/>
    <m/>
    <x v="0"/>
    <m/>
    <m/>
    <m/>
    <n v="2.25"/>
    <n v="0.85"/>
    <n v="1.9124999999999999"/>
    <n v="5730"/>
    <x v="5"/>
    <s v="TekNat"/>
    <x v="0"/>
    <n v="19473"/>
    <n v="34806"/>
    <n v="110380.72499999999"/>
    <n v="21800"/>
    <n v="49050"/>
    <n v="159430.72499999998"/>
    <n v="0"/>
    <n v="0"/>
    <n v="0"/>
    <n v="0"/>
    <n v="0"/>
    <n v="1"/>
    <n v="0"/>
    <n v="0"/>
    <n v="0"/>
    <n v="0"/>
    <n v="0"/>
    <n v="0"/>
    <s v="Enl uttag från Ladok - Erik Å"/>
    <m/>
    <n v="0"/>
    <n v="0"/>
    <n v="0"/>
    <n v="0"/>
    <n v="0"/>
    <n v="0"/>
    <n v="0"/>
    <n v="0"/>
    <n v="0"/>
    <n v="0"/>
    <n v="2.25"/>
    <n v="1.9124999999999999"/>
    <n v="0"/>
    <n v="0"/>
    <n v="0"/>
    <n v="0"/>
    <n v="0"/>
    <n v="0"/>
    <n v="0"/>
    <n v="0"/>
    <n v="0"/>
    <n v="0"/>
    <n v="0"/>
  </r>
  <r>
    <x v="134"/>
    <x v="130"/>
    <m/>
    <x v="1"/>
    <m/>
    <x v="0"/>
    <m/>
    <m/>
    <m/>
    <m/>
    <m/>
    <m/>
    <x v="0"/>
    <m/>
    <m/>
    <m/>
    <n v="0.25"/>
    <n v="0.8"/>
    <n v="0.2"/>
    <n v="5730"/>
    <x v="5"/>
    <s v="TekNat"/>
    <x v="1"/>
    <n v="19473"/>
    <n v="34806"/>
    <n v="11829.45"/>
    <n v="21800"/>
    <n v="5450"/>
    <n v="17279.45"/>
    <n v="0"/>
    <n v="0"/>
    <n v="0"/>
    <n v="0"/>
    <n v="0"/>
    <n v="1"/>
    <n v="0"/>
    <n v="0"/>
    <n v="0"/>
    <n v="0"/>
    <n v="0"/>
    <n v="0"/>
    <s v="Enl uttag från Ladok - Erik Å"/>
    <m/>
    <n v="0"/>
    <n v="0"/>
    <n v="0"/>
    <n v="0"/>
    <n v="0"/>
    <n v="0"/>
    <n v="0"/>
    <n v="0"/>
    <n v="0"/>
    <n v="0"/>
    <n v="0.25"/>
    <n v="0.2"/>
    <n v="0"/>
    <n v="0"/>
    <n v="0"/>
    <n v="0"/>
    <n v="0"/>
    <n v="0"/>
    <n v="0"/>
    <n v="0"/>
    <n v="0"/>
    <n v="0"/>
    <n v="0"/>
  </r>
  <r>
    <x v="135"/>
    <x v="131"/>
    <m/>
    <x v="2"/>
    <m/>
    <x v="0"/>
    <m/>
    <m/>
    <m/>
    <m/>
    <m/>
    <m/>
    <x v="0"/>
    <m/>
    <m/>
    <m/>
    <n v="5.125"/>
    <n v="0.85"/>
    <n v="4.3562500000000002"/>
    <n v="5730"/>
    <x v="5"/>
    <s v="TekNat"/>
    <x v="2"/>
    <n v="19473"/>
    <n v="34806"/>
    <n v="251422.76250000001"/>
    <n v="21800"/>
    <n v="111725"/>
    <n v="363147.76250000001"/>
    <n v="0"/>
    <n v="0"/>
    <n v="0"/>
    <n v="0"/>
    <n v="0"/>
    <n v="1"/>
    <n v="0"/>
    <n v="0"/>
    <n v="0"/>
    <n v="0"/>
    <n v="0"/>
    <n v="0"/>
    <s v="Enl uttag från Ladok - Erik Å"/>
    <m/>
    <n v="0"/>
    <n v="0"/>
    <n v="0"/>
    <n v="0"/>
    <n v="0"/>
    <n v="0"/>
    <n v="0"/>
    <n v="0"/>
    <n v="0"/>
    <n v="0"/>
    <n v="5.125"/>
    <n v="4.3562500000000002"/>
    <n v="0"/>
    <n v="0"/>
    <n v="0"/>
    <n v="0"/>
    <n v="0"/>
    <n v="0"/>
    <n v="0"/>
    <n v="0"/>
    <n v="0"/>
    <n v="0"/>
    <n v="0"/>
  </r>
  <r>
    <x v="136"/>
    <x v="132"/>
    <m/>
    <x v="3"/>
    <m/>
    <x v="0"/>
    <m/>
    <m/>
    <m/>
    <m/>
    <m/>
    <m/>
    <x v="0"/>
    <m/>
    <m/>
    <m/>
    <n v="3.25"/>
    <n v="0.85"/>
    <n v="2.7624999999999997"/>
    <n v="5730"/>
    <x v="5"/>
    <s v="TekNat"/>
    <x v="3"/>
    <n v="19473"/>
    <n v="34806"/>
    <n v="159438.82500000001"/>
    <n v="21800"/>
    <n v="70850"/>
    <n v="230288.82500000001"/>
    <n v="0"/>
    <n v="0"/>
    <n v="0"/>
    <n v="0"/>
    <n v="0"/>
    <n v="1"/>
    <n v="0"/>
    <n v="0"/>
    <n v="0"/>
    <n v="0"/>
    <n v="0"/>
    <n v="0"/>
    <s v="Enl uttag från Ladok - Erik Å"/>
    <m/>
    <n v="0"/>
    <n v="0"/>
    <n v="0"/>
    <n v="0"/>
    <n v="0"/>
    <n v="0"/>
    <n v="0"/>
    <n v="0"/>
    <n v="0"/>
    <n v="0"/>
    <n v="3.25"/>
    <n v="2.7624999999999997"/>
    <n v="0"/>
    <n v="0"/>
    <n v="0"/>
    <n v="0"/>
    <n v="0"/>
    <n v="0"/>
    <n v="0"/>
    <n v="0"/>
    <n v="0"/>
    <n v="0"/>
    <n v="0"/>
  </r>
  <r>
    <x v="137"/>
    <x v="133"/>
    <m/>
    <x v="0"/>
    <m/>
    <x v="0"/>
    <m/>
    <m/>
    <m/>
    <m/>
    <m/>
    <m/>
    <x v="0"/>
    <m/>
    <m/>
    <m/>
    <n v="1.375"/>
    <n v="0.85"/>
    <n v="1.16875"/>
    <n v="5730"/>
    <x v="5"/>
    <s v="TekNat"/>
    <x v="0"/>
    <n v="19473"/>
    <n v="34806"/>
    <n v="67454.887499999997"/>
    <n v="21800"/>
    <n v="29975"/>
    <n v="97429.887499999997"/>
    <n v="0"/>
    <n v="0"/>
    <n v="0"/>
    <n v="0"/>
    <n v="0"/>
    <n v="1"/>
    <n v="0"/>
    <n v="0"/>
    <n v="0"/>
    <n v="0"/>
    <n v="0"/>
    <n v="0"/>
    <s v="Enl uttag från Ladok - Erik Å"/>
    <m/>
    <n v="0"/>
    <n v="0"/>
    <n v="0"/>
    <n v="0"/>
    <n v="0"/>
    <n v="0"/>
    <n v="0"/>
    <n v="0"/>
    <n v="0"/>
    <n v="0"/>
    <n v="1.375"/>
    <n v="1.16875"/>
    <n v="0"/>
    <n v="0"/>
    <n v="0"/>
    <n v="0"/>
    <n v="0"/>
    <n v="0"/>
    <n v="0"/>
    <n v="0"/>
    <n v="0"/>
    <n v="0"/>
    <n v="0"/>
  </r>
  <r>
    <x v="137"/>
    <x v="133"/>
    <m/>
    <x v="1"/>
    <m/>
    <x v="0"/>
    <m/>
    <m/>
    <m/>
    <m/>
    <m/>
    <m/>
    <x v="0"/>
    <m/>
    <m/>
    <m/>
    <n v="0.875"/>
    <n v="0.8"/>
    <n v="0.70000000000000007"/>
    <n v="5730"/>
    <x v="5"/>
    <s v="TekNat"/>
    <x v="1"/>
    <n v="19473"/>
    <n v="34806"/>
    <n v="41403.074999999997"/>
    <n v="21800"/>
    <n v="19075"/>
    <n v="60478.074999999997"/>
    <n v="0"/>
    <n v="0"/>
    <n v="0"/>
    <n v="0"/>
    <n v="0"/>
    <n v="1"/>
    <n v="0"/>
    <n v="0"/>
    <n v="0"/>
    <n v="0"/>
    <n v="0"/>
    <n v="0"/>
    <s v="Enl uttag från Ladok - Erik Å"/>
    <m/>
    <n v="0"/>
    <n v="0"/>
    <n v="0"/>
    <n v="0"/>
    <n v="0"/>
    <n v="0"/>
    <n v="0"/>
    <n v="0"/>
    <n v="0"/>
    <n v="0"/>
    <n v="0.875"/>
    <n v="0.70000000000000007"/>
    <n v="0"/>
    <n v="0"/>
    <n v="0"/>
    <n v="0"/>
    <n v="0"/>
    <n v="0"/>
    <n v="0"/>
    <n v="0"/>
    <n v="0"/>
    <n v="0"/>
    <n v="0"/>
  </r>
  <r>
    <x v="138"/>
    <x v="134"/>
    <m/>
    <x v="0"/>
    <m/>
    <x v="0"/>
    <m/>
    <m/>
    <m/>
    <m/>
    <m/>
    <m/>
    <x v="0"/>
    <m/>
    <m/>
    <m/>
    <n v="1"/>
    <n v="0.85"/>
    <n v="0.85"/>
    <n v="5730"/>
    <x v="5"/>
    <s v="TekNat"/>
    <x v="0"/>
    <n v="19473"/>
    <n v="34806"/>
    <n v="49058.1"/>
    <n v="21800"/>
    <n v="21800"/>
    <n v="70858.100000000006"/>
    <n v="0"/>
    <n v="0"/>
    <n v="0"/>
    <n v="0"/>
    <n v="0"/>
    <n v="0.5"/>
    <n v="0"/>
    <n v="0.5"/>
    <n v="0"/>
    <n v="0"/>
    <n v="0"/>
    <n v="0"/>
    <s v="Enl uttag från Ladok - Erik Å"/>
    <m/>
    <n v="0"/>
    <n v="0"/>
    <n v="0"/>
    <n v="0"/>
    <n v="0"/>
    <n v="0"/>
    <n v="0"/>
    <n v="0"/>
    <n v="0"/>
    <n v="0"/>
    <n v="0.5"/>
    <n v="0.42499999999999999"/>
    <n v="0"/>
    <n v="0"/>
    <n v="0.5"/>
    <n v="0.42499999999999999"/>
    <n v="0"/>
    <n v="0"/>
    <n v="0"/>
    <n v="0"/>
    <n v="0"/>
    <n v="0"/>
    <n v="0"/>
  </r>
  <r>
    <x v="138"/>
    <x v="134"/>
    <m/>
    <x v="1"/>
    <m/>
    <x v="0"/>
    <m/>
    <m/>
    <m/>
    <m/>
    <m/>
    <m/>
    <x v="0"/>
    <m/>
    <m/>
    <m/>
    <n v="0.5"/>
    <n v="0.8"/>
    <n v="0.4"/>
    <n v="5730"/>
    <x v="5"/>
    <s v="TekNat"/>
    <x v="1"/>
    <n v="19473"/>
    <n v="34806"/>
    <n v="23658.9"/>
    <n v="21800"/>
    <n v="10900"/>
    <n v="34558.9"/>
    <n v="0"/>
    <n v="0"/>
    <n v="0"/>
    <n v="0"/>
    <n v="0"/>
    <n v="0.5"/>
    <n v="0"/>
    <n v="0.5"/>
    <n v="0"/>
    <n v="0"/>
    <n v="0"/>
    <n v="0"/>
    <s v="Enl uttag från Ladok - Erik Å"/>
    <m/>
    <n v="0"/>
    <n v="0"/>
    <n v="0"/>
    <n v="0"/>
    <n v="0"/>
    <n v="0"/>
    <n v="0"/>
    <n v="0"/>
    <n v="0"/>
    <n v="0"/>
    <n v="0.25"/>
    <n v="0.2"/>
    <n v="0"/>
    <n v="0"/>
    <n v="0.25"/>
    <n v="0.2"/>
    <n v="0"/>
    <n v="0"/>
    <n v="0"/>
    <n v="0"/>
    <n v="0"/>
    <n v="0"/>
    <n v="0"/>
  </r>
  <r>
    <x v="139"/>
    <x v="135"/>
    <m/>
    <x v="0"/>
    <m/>
    <x v="0"/>
    <m/>
    <m/>
    <m/>
    <m/>
    <m/>
    <m/>
    <x v="0"/>
    <m/>
    <m/>
    <m/>
    <n v="1.25"/>
    <n v="0.85"/>
    <n v="1.0625"/>
    <n v="5730"/>
    <x v="5"/>
    <s v="TekNat"/>
    <x v="0"/>
    <n v="19473"/>
    <n v="34806"/>
    <n v="61322.625"/>
    <n v="21800"/>
    <n v="27250"/>
    <n v="88572.625"/>
    <n v="0"/>
    <n v="0"/>
    <n v="0"/>
    <n v="0"/>
    <n v="0"/>
    <n v="1"/>
    <n v="0"/>
    <n v="0"/>
    <n v="0"/>
    <n v="0"/>
    <n v="0"/>
    <n v="0"/>
    <s v="Enl uttag från Ladok - Erik Å"/>
    <m/>
    <n v="0"/>
    <n v="0"/>
    <n v="0"/>
    <n v="0"/>
    <n v="0"/>
    <n v="0"/>
    <n v="0"/>
    <n v="0"/>
    <n v="0"/>
    <n v="0"/>
    <n v="1.25"/>
    <n v="1.0625"/>
    <n v="0"/>
    <n v="0"/>
    <n v="0"/>
    <n v="0"/>
    <n v="0"/>
    <n v="0"/>
    <n v="0"/>
    <n v="0"/>
    <n v="0"/>
    <n v="0"/>
    <n v="0"/>
  </r>
  <r>
    <x v="139"/>
    <x v="135"/>
    <m/>
    <x v="1"/>
    <m/>
    <x v="0"/>
    <m/>
    <m/>
    <m/>
    <m/>
    <m/>
    <m/>
    <x v="0"/>
    <m/>
    <m/>
    <m/>
    <n v="0.75"/>
    <n v="0.8"/>
    <n v="0.60000000000000009"/>
    <n v="5730"/>
    <x v="5"/>
    <s v="TekNat"/>
    <x v="1"/>
    <n v="19473"/>
    <n v="34806"/>
    <n v="35488.350000000006"/>
    <n v="21800"/>
    <n v="16350"/>
    <n v="51838.350000000006"/>
    <n v="0"/>
    <n v="0"/>
    <n v="0"/>
    <n v="0"/>
    <n v="0"/>
    <n v="1"/>
    <n v="0"/>
    <n v="0"/>
    <n v="0"/>
    <n v="0"/>
    <n v="0"/>
    <n v="0"/>
    <s v="Enl uttag från Ladok - Erik Å"/>
    <m/>
    <n v="0"/>
    <n v="0"/>
    <n v="0"/>
    <n v="0"/>
    <n v="0"/>
    <n v="0"/>
    <n v="0"/>
    <n v="0"/>
    <n v="0"/>
    <n v="0"/>
    <n v="0.75"/>
    <n v="0.60000000000000009"/>
    <n v="0"/>
    <n v="0"/>
    <n v="0"/>
    <n v="0"/>
    <n v="0"/>
    <n v="0"/>
    <n v="0"/>
    <n v="0"/>
    <n v="0"/>
    <n v="0"/>
    <n v="0"/>
  </r>
  <r>
    <x v="140"/>
    <x v="136"/>
    <m/>
    <x v="0"/>
    <m/>
    <x v="0"/>
    <m/>
    <m/>
    <m/>
    <m/>
    <m/>
    <m/>
    <x v="0"/>
    <m/>
    <m/>
    <m/>
    <n v="2"/>
    <n v="0.85"/>
    <n v="1.7"/>
    <n v="5730"/>
    <x v="5"/>
    <s v="TekNat"/>
    <x v="0"/>
    <n v="19473"/>
    <n v="34806"/>
    <n v="98116.2"/>
    <n v="21800"/>
    <n v="43600"/>
    <n v="141716.20000000001"/>
    <n v="0"/>
    <n v="0"/>
    <n v="0"/>
    <n v="0"/>
    <n v="0"/>
    <n v="0.5"/>
    <n v="0"/>
    <n v="0.5"/>
    <n v="0"/>
    <n v="0"/>
    <n v="0"/>
    <n v="0"/>
    <s v="Enl uttag från Ladok - Erik Å"/>
    <m/>
    <n v="0"/>
    <n v="0"/>
    <n v="0"/>
    <n v="0"/>
    <n v="0"/>
    <n v="0"/>
    <n v="0"/>
    <n v="0"/>
    <n v="0"/>
    <n v="0"/>
    <n v="1"/>
    <n v="0.85"/>
    <n v="0"/>
    <n v="0"/>
    <n v="1"/>
    <n v="0.85"/>
    <n v="0"/>
    <n v="0"/>
    <n v="0"/>
    <n v="0"/>
    <n v="0"/>
    <n v="0"/>
    <n v="0"/>
  </r>
  <r>
    <x v="140"/>
    <x v="136"/>
    <m/>
    <x v="10"/>
    <m/>
    <x v="0"/>
    <m/>
    <m/>
    <m/>
    <m/>
    <m/>
    <m/>
    <x v="0"/>
    <m/>
    <m/>
    <m/>
    <n v="0.125"/>
    <n v="0.85"/>
    <n v="0.10625"/>
    <n v="5730"/>
    <x v="5"/>
    <s v="TekNat"/>
    <x v="10"/>
    <n v="19473"/>
    <n v="34806"/>
    <n v="6132.2624999999998"/>
    <n v="21800"/>
    <n v="2725"/>
    <n v="8857.2625000000007"/>
    <n v="0"/>
    <n v="0"/>
    <n v="0"/>
    <n v="0"/>
    <n v="0"/>
    <n v="0.5"/>
    <n v="0"/>
    <n v="0.5"/>
    <n v="0"/>
    <n v="0"/>
    <n v="0"/>
    <n v="0"/>
    <s v="Enl uttag från Ladok - Erik Å"/>
    <m/>
    <n v="0"/>
    <n v="0"/>
    <n v="0"/>
    <n v="0"/>
    <n v="0"/>
    <n v="0"/>
    <n v="0"/>
    <n v="0"/>
    <n v="0"/>
    <n v="0"/>
    <n v="6.25E-2"/>
    <n v="5.3124999999999999E-2"/>
    <n v="0"/>
    <n v="0"/>
    <n v="6.25E-2"/>
    <n v="5.3124999999999999E-2"/>
    <n v="0"/>
    <n v="0"/>
    <n v="0"/>
    <n v="0"/>
    <n v="0"/>
    <n v="0"/>
    <n v="0"/>
  </r>
  <r>
    <x v="140"/>
    <x v="136"/>
    <m/>
    <x v="1"/>
    <m/>
    <x v="0"/>
    <m/>
    <m/>
    <m/>
    <m/>
    <m/>
    <m/>
    <x v="0"/>
    <m/>
    <m/>
    <m/>
    <n v="1.125"/>
    <n v="0.8"/>
    <n v="0.9"/>
    <n v="5730"/>
    <x v="5"/>
    <s v="TekNat"/>
    <x v="1"/>
    <n v="19473"/>
    <n v="34806"/>
    <n v="53232.525000000001"/>
    <n v="21800"/>
    <n v="24525"/>
    <n v="77757.524999999994"/>
    <n v="0"/>
    <n v="0"/>
    <n v="0"/>
    <n v="0"/>
    <n v="0"/>
    <n v="0.5"/>
    <n v="0"/>
    <n v="0.5"/>
    <n v="0"/>
    <n v="0"/>
    <n v="0"/>
    <n v="0"/>
    <s v="Enl uttag från Ladok - Erik Å"/>
    <m/>
    <n v="0"/>
    <n v="0"/>
    <n v="0"/>
    <n v="0"/>
    <n v="0"/>
    <n v="0"/>
    <n v="0"/>
    <n v="0"/>
    <n v="0"/>
    <n v="0"/>
    <n v="0.5625"/>
    <n v="0.45"/>
    <n v="0"/>
    <n v="0"/>
    <n v="0.5625"/>
    <n v="0.45"/>
    <n v="0"/>
    <n v="0"/>
    <n v="0"/>
    <n v="0"/>
    <n v="0"/>
    <n v="0"/>
    <n v="0"/>
  </r>
  <r>
    <x v="141"/>
    <x v="137"/>
    <m/>
    <x v="0"/>
    <m/>
    <x v="0"/>
    <m/>
    <m/>
    <m/>
    <m/>
    <m/>
    <m/>
    <x v="0"/>
    <m/>
    <m/>
    <m/>
    <n v="2"/>
    <n v="0.85"/>
    <n v="1.7"/>
    <n v="5730"/>
    <x v="5"/>
    <s v="TekNat"/>
    <x v="0"/>
    <n v="19473"/>
    <n v="34806"/>
    <n v="98116.2"/>
    <n v="21800"/>
    <n v="43600"/>
    <n v="141716.20000000001"/>
    <n v="0"/>
    <n v="0"/>
    <n v="0"/>
    <n v="0"/>
    <n v="0"/>
    <n v="0.5"/>
    <n v="0"/>
    <n v="0.5"/>
    <n v="0"/>
    <n v="0"/>
    <n v="0"/>
    <n v="0"/>
    <s v="Enl uttag från Ladok - Erik Å"/>
    <m/>
    <n v="0"/>
    <n v="0"/>
    <n v="0"/>
    <n v="0"/>
    <n v="0"/>
    <n v="0"/>
    <n v="0"/>
    <n v="0"/>
    <n v="0"/>
    <n v="0"/>
    <n v="1"/>
    <n v="0.85"/>
    <n v="0"/>
    <n v="0"/>
    <n v="1"/>
    <n v="0.85"/>
    <n v="0"/>
    <n v="0"/>
    <n v="0"/>
    <n v="0"/>
    <n v="0"/>
    <n v="0"/>
    <n v="0"/>
  </r>
  <r>
    <x v="141"/>
    <x v="137"/>
    <m/>
    <x v="1"/>
    <m/>
    <x v="0"/>
    <m/>
    <m/>
    <m/>
    <m/>
    <m/>
    <m/>
    <x v="0"/>
    <m/>
    <m/>
    <m/>
    <n v="0.5"/>
    <n v="0.8"/>
    <n v="0.4"/>
    <n v="5730"/>
    <x v="5"/>
    <s v="TekNat"/>
    <x v="1"/>
    <n v="19473"/>
    <n v="34806"/>
    <n v="23658.9"/>
    <n v="21800"/>
    <n v="10900"/>
    <n v="34558.9"/>
    <n v="0"/>
    <n v="0"/>
    <n v="0"/>
    <n v="0"/>
    <n v="0"/>
    <n v="0.5"/>
    <n v="0"/>
    <n v="0.5"/>
    <n v="0"/>
    <n v="0"/>
    <n v="0"/>
    <n v="0"/>
    <s v="Enl uttag från Ladok - Erik Å"/>
    <m/>
    <n v="0"/>
    <n v="0"/>
    <n v="0"/>
    <n v="0"/>
    <n v="0"/>
    <n v="0"/>
    <n v="0"/>
    <n v="0"/>
    <n v="0"/>
    <n v="0"/>
    <n v="0.25"/>
    <n v="0.2"/>
    <n v="0"/>
    <n v="0"/>
    <n v="0.25"/>
    <n v="0.2"/>
    <n v="0"/>
    <n v="0"/>
    <n v="0"/>
    <n v="0"/>
    <n v="0"/>
    <n v="0"/>
    <n v="0"/>
  </r>
  <r>
    <x v="142"/>
    <x v="138"/>
    <m/>
    <x v="0"/>
    <m/>
    <x v="0"/>
    <m/>
    <m/>
    <m/>
    <m/>
    <m/>
    <m/>
    <x v="0"/>
    <m/>
    <m/>
    <m/>
    <n v="1.875"/>
    <n v="0.85"/>
    <n v="1.59375"/>
    <n v="5730"/>
    <x v="5"/>
    <s v="TekNat"/>
    <x v="0"/>
    <n v="19473"/>
    <n v="34806"/>
    <n v="91983.9375"/>
    <n v="21800"/>
    <n v="40875"/>
    <n v="132858.9375"/>
    <n v="0"/>
    <n v="0"/>
    <n v="0"/>
    <n v="0"/>
    <n v="0"/>
    <n v="0.5"/>
    <n v="0"/>
    <n v="0.5"/>
    <n v="0"/>
    <n v="0"/>
    <n v="0"/>
    <n v="0"/>
    <s v="Enl uttag från Ladok - Erik Å"/>
    <m/>
    <n v="0"/>
    <n v="0"/>
    <n v="0"/>
    <n v="0"/>
    <n v="0"/>
    <n v="0"/>
    <n v="0"/>
    <n v="0"/>
    <n v="0"/>
    <n v="0"/>
    <n v="0.9375"/>
    <n v="0.796875"/>
    <n v="0"/>
    <n v="0"/>
    <n v="0.9375"/>
    <n v="0.796875"/>
    <n v="0"/>
    <n v="0"/>
    <n v="0"/>
    <n v="0"/>
    <n v="0"/>
    <n v="0"/>
    <n v="0"/>
  </r>
  <r>
    <x v="142"/>
    <x v="138"/>
    <m/>
    <x v="1"/>
    <m/>
    <x v="0"/>
    <m/>
    <m/>
    <m/>
    <m/>
    <m/>
    <m/>
    <x v="0"/>
    <m/>
    <m/>
    <m/>
    <n v="0.625"/>
    <n v="0.8"/>
    <n v="0.5"/>
    <n v="5730"/>
    <x v="5"/>
    <s v="TekNat"/>
    <x v="1"/>
    <n v="19473"/>
    <n v="34806"/>
    <n v="29573.625"/>
    <n v="21800"/>
    <n v="13625"/>
    <n v="43198.625"/>
    <n v="0"/>
    <n v="0"/>
    <n v="0"/>
    <n v="0"/>
    <n v="0"/>
    <n v="0.5"/>
    <n v="0"/>
    <n v="0.5"/>
    <n v="0"/>
    <n v="0"/>
    <n v="0"/>
    <n v="0"/>
    <s v="Enl uttag från Ladok - Erik Å"/>
    <m/>
    <n v="0"/>
    <n v="0"/>
    <n v="0"/>
    <n v="0"/>
    <n v="0"/>
    <n v="0"/>
    <n v="0"/>
    <n v="0"/>
    <n v="0"/>
    <n v="0"/>
    <n v="0.3125"/>
    <n v="0.25"/>
    <n v="0"/>
    <n v="0"/>
    <n v="0.3125"/>
    <n v="0.25"/>
    <n v="0"/>
    <n v="0"/>
    <n v="0"/>
    <n v="0"/>
    <n v="0"/>
    <n v="0"/>
    <n v="0"/>
  </r>
  <r>
    <x v="143"/>
    <x v="26"/>
    <m/>
    <x v="0"/>
    <m/>
    <x v="0"/>
    <m/>
    <m/>
    <m/>
    <m/>
    <m/>
    <m/>
    <x v="0"/>
    <m/>
    <m/>
    <m/>
    <n v="1.125"/>
    <n v="0.85"/>
    <n v="0.95624999999999993"/>
    <n v="5730"/>
    <x v="5"/>
    <s v="TekNat"/>
    <x v="0"/>
    <n v="19473"/>
    <n v="34806"/>
    <n v="55190.362499999996"/>
    <n v="21800"/>
    <n v="24525"/>
    <n v="79715.362499999988"/>
    <n v="0"/>
    <n v="0"/>
    <n v="0"/>
    <n v="0"/>
    <n v="0"/>
    <n v="0.5"/>
    <n v="0"/>
    <n v="0.5"/>
    <n v="0"/>
    <n v="0"/>
    <n v="0"/>
    <n v="0"/>
    <s v="Enl uttag från Ladok - Erik Å"/>
    <m/>
    <n v="0"/>
    <n v="0"/>
    <n v="0"/>
    <n v="0"/>
    <n v="0"/>
    <n v="0"/>
    <n v="0"/>
    <n v="0"/>
    <n v="0"/>
    <n v="0"/>
    <n v="0.5625"/>
    <n v="0.47812499999999997"/>
    <n v="0"/>
    <n v="0"/>
    <n v="0.5625"/>
    <n v="0.47812499999999997"/>
    <n v="0"/>
    <n v="0"/>
    <n v="0"/>
    <n v="0"/>
    <n v="0"/>
    <n v="0"/>
    <n v="0"/>
  </r>
  <r>
    <x v="143"/>
    <x v="26"/>
    <m/>
    <x v="1"/>
    <m/>
    <x v="0"/>
    <m/>
    <m/>
    <m/>
    <m/>
    <m/>
    <m/>
    <x v="0"/>
    <m/>
    <m/>
    <m/>
    <n v="0.5"/>
    <n v="0.8"/>
    <n v="0.4"/>
    <n v="5730"/>
    <x v="5"/>
    <s v="TekNat"/>
    <x v="1"/>
    <n v="19473"/>
    <n v="34806"/>
    <n v="23658.9"/>
    <n v="21800"/>
    <n v="10900"/>
    <n v="34558.9"/>
    <n v="0"/>
    <n v="0"/>
    <n v="0"/>
    <n v="0"/>
    <n v="0"/>
    <n v="0.5"/>
    <n v="0"/>
    <n v="0.5"/>
    <n v="0"/>
    <n v="0"/>
    <n v="0"/>
    <n v="0"/>
    <s v="Enl uttag från Ladok - Erik Å"/>
    <m/>
    <n v="0"/>
    <n v="0"/>
    <n v="0"/>
    <n v="0"/>
    <n v="0"/>
    <n v="0"/>
    <n v="0"/>
    <n v="0"/>
    <n v="0"/>
    <n v="0"/>
    <n v="0.25"/>
    <n v="0.2"/>
    <n v="0"/>
    <n v="0"/>
    <n v="0.25"/>
    <n v="0.2"/>
    <n v="0"/>
    <n v="0"/>
    <n v="0"/>
    <n v="0"/>
    <n v="0"/>
    <n v="0"/>
    <n v="0"/>
  </r>
  <r>
    <x v="144"/>
    <x v="139"/>
    <m/>
    <x v="0"/>
    <m/>
    <x v="0"/>
    <m/>
    <m/>
    <m/>
    <m/>
    <m/>
    <m/>
    <x v="0"/>
    <m/>
    <m/>
    <m/>
    <n v="0.5"/>
    <n v="0.85"/>
    <n v="0.42499999999999999"/>
    <n v="5730"/>
    <x v="5"/>
    <s v="TekNat"/>
    <x v="0"/>
    <n v="19473"/>
    <n v="34806"/>
    <n v="24529.05"/>
    <n v="21800"/>
    <n v="10900"/>
    <n v="35429.050000000003"/>
    <n v="0"/>
    <n v="0"/>
    <n v="0"/>
    <n v="0"/>
    <n v="0"/>
    <n v="0.5"/>
    <n v="0"/>
    <n v="0.5"/>
    <n v="0"/>
    <n v="0"/>
    <n v="0"/>
    <n v="0"/>
    <s v="Enl uttag från Ladok - Erik Å"/>
    <m/>
    <n v="0"/>
    <n v="0"/>
    <n v="0"/>
    <n v="0"/>
    <n v="0"/>
    <n v="0"/>
    <n v="0"/>
    <n v="0"/>
    <n v="0"/>
    <n v="0"/>
    <n v="0.25"/>
    <n v="0.21249999999999999"/>
    <n v="0"/>
    <n v="0"/>
    <n v="0.25"/>
    <n v="0.21249999999999999"/>
    <n v="0"/>
    <n v="0"/>
    <n v="0"/>
    <n v="0"/>
    <n v="0"/>
    <n v="0"/>
    <n v="0"/>
  </r>
  <r>
    <x v="145"/>
    <x v="140"/>
    <m/>
    <x v="0"/>
    <m/>
    <x v="0"/>
    <m/>
    <m/>
    <m/>
    <m/>
    <m/>
    <m/>
    <x v="0"/>
    <m/>
    <m/>
    <m/>
    <n v="1.5"/>
    <n v="0.85"/>
    <n v="1.2749999999999999"/>
    <n v="5730"/>
    <x v="5"/>
    <s v="TekNat"/>
    <x v="0"/>
    <n v="19473"/>
    <n v="34806"/>
    <n v="73587.149999999994"/>
    <n v="21800"/>
    <n v="32700"/>
    <n v="106287.15"/>
    <n v="0"/>
    <n v="0"/>
    <n v="0"/>
    <n v="0"/>
    <n v="0"/>
    <n v="1"/>
    <n v="0"/>
    <n v="0"/>
    <n v="0"/>
    <n v="0"/>
    <n v="0"/>
    <n v="0"/>
    <s v="Enl uttag från Ladok - Erik Å"/>
    <m/>
    <n v="0"/>
    <n v="0"/>
    <n v="0"/>
    <n v="0"/>
    <n v="0"/>
    <n v="0"/>
    <n v="0"/>
    <n v="0"/>
    <n v="0"/>
    <n v="0"/>
    <n v="1.5"/>
    <n v="1.2749999999999999"/>
    <n v="0"/>
    <n v="0"/>
    <n v="0"/>
    <n v="0"/>
    <n v="0"/>
    <n v="0"/>
    <n v="0"/>
    <n v="0"/>
    <n v="0"/>
    <n v="0"/>
    <n v="0"/>
  </r>
  <r>
    <x v="145"/>
    <x v="140"/>
    <m/>
    <x v="1"/>
    <m/>
    <x v="0"/>
    <m/>
    <m/>
    <m/>
    <m/>
    <m/>
    <m/>
    <x v="0"/>
    <m/>
    <m/>
    <m/>
    <n v="0.5"/>
    <n v="0.8"/>
    <n v="0.4"/>
    <n v="5730"/>
    <x v="5"/>
    <s v="TekNat"/>
    <x v="1"/>
    <n v="19473"/>
    <n v="34806"/>
    <n v="23658.9"/>
    <n v="21800"/>
    <n v="10900"/>
    <n v="34558.9"/>
    <n v="0"/>
    <n v="0"/>
    <n v="0"/>
    <n v="0"/>
    <n v="0"/>
    <n v="1"/>
    <n v="0"/>
    <n v="0"/>
    <n v="0"/>
    <n v="0"/>
    <n v="0"/>
    <n v="0"/>
    <s v="Enl uttag från Ladok - Erik Å"/>
    <m/>
    <n v="0"/>
    <n v="0"/>
    <n v="0"/>
    <n v="0"/>
    <n v="0"/>
    <n v="0"/>
    <n v="0"/>
    <n v="0"/>
    <n v="0"/>
    <n v="0"/>
    <n v="0.5"/>
    <n v="0.4"/>
    <n v="0"/>
    <n v="0"/>
    <n v="0"/>
    <n v="0"/>
    <n v="0"/>
    <n v="0"/>
    <n v="0"/>
    <n v="0"/>
    <n v="0"/>
    <n v="0"/>
    <n v="0"/>
  </r>
  <r>
    <x v="146"/>
    <x v="141"/>
    <m/>
    <x v="0"/>
    <m/>
    <x v="0"/>
    <m/>
    <m/>
    <m/>
    <m/>
    <m/>
    <m/>
    <x v="0"/>
    <m/>
    <m/>
    <m/>
    <n v="1.6"/>
    <n v="0.85"/>
    <n v="1.36"/>
    <n v="5730"/>
    <x v="5"/>
    <s v="TekNat"/>
    <x v="0"/>
    <n v="21634"/>
    <n v="26986"/>
    <n v="71315.360000000001"/>
    <n v="3400"/>
    <n v="5440"/>
    <n v="76755.360000000001"/>
    <n v="0"/>
    <n v="0"/>
    <n v="0"/>
    <n v="0"/>
    <n v="0"/>
    <n v="0"/>
    <n v="0"/>
    <n v="0"/>
    <n v="1"/>
    <n v="0"/>
    <n v="0"/>
    <n v="0"/>
    <s v="Enl uttag från Ladok - Erik Å"/>
    <m/>
    <n v="0"/>
    <n v="0"/>
    <n v="0"/>
    <n v="0"/>
    <n v="0"/>
    <n v="0"/>
    <n v="0"/>
    <n v="0"/>
    <n v="0"/>
    <n v="0"/>
    <n v="0"/>
    <n v="0"/>
    <n v="0"/>
    <n v="0"/>
    <n v="0"/>
    <n v="0"/>
    <n v="1.6"/>
    <n v="1.36"/>
    <n v="0"/>
    <n v="0"/>
    <n v="0"/>
    <n v="0"/>
    <n v="0"/>
  </r>
  <r>
    <x v="147"/>
    <x v="142"/>
    <m/>
    <x v="0"/>
    <m/>
    <x v="0"/>
    <m/>
    <m/>
    <m/>
    <m/>
    <m/>
    <m/>
    <x v="0"/>
    <m/>
    <m/>
    <m/>
    <n v="0.25"/>
    <n v="0.85"/>
    <n v="0.21249999999999999"/>
    <n v="5730"/>
    <x v="5"/>
    <s v="TekNat"/>
    <x v="0"/>
    <n v="19473"/>
    <n v="34806"/>
    <n v="12264.525"/>
    <n v="21800"/>
    <n v="5450"/>
    <n v="17714.525000000001"/>
    <n v="0"/>
    <n v="0"/>
    <n v="0"/>
    <n v="0"/>
    <n v="0"/>
    <n v="0.5"/>
    <n v="0"/>
    <n v="0.5"/>
    <n v="0"/>
    <n v="0"/>
    <n v="0"/>
    <n v="0"/>
    <s v="Enl uttag från Ladok - Erik Å"/>
    <m/>
    <n v="0"/>
    <n v="0"/>
    <n v="0"/>
    <n v="0"/>
    <n v="0"/>
    <n v="0"/>
    <n v="0"/>
    <n v="0"/>
    <n v="0"/>
    <n v="0"/>
    <n v="0.125"/>
    <n v="0.10625"/>
    <n v="0"/>
    <n v="0"/>
    <n v="0.125"/>
    <n v="0.10625"/>
    <n v="0"/>
    <n v="0"/>
    <n v="0"/>
    <n v="0"/>
    <n v="0"/>
    <n v="0"/>
    <n v="0"/>
  </r>
  <r>
    <x v="148"/>
    <x v="143"/>
    <m/>
    <x v="4"/>
    <m/>
    <x v="0"/>
    <m/>
    <m/>
    <m/>
    <m/>
    <m/>
    <m/>
    <x v="0"/>
    <m/>
    <m/>
    <m/>
    <n v="0.125"/>
    <n v="0.85"/>
    <n v="0.10625"/>
    <n v="5740"/>
    <x v="6"/>
    <s v="TekNat"/>
    <x v="4"/>
    <n v="19473"/>
    <n v="34806"/>
    <n v="6132.2624999999998"/>
    <n v="21800"/>
    <n v="2725"/>
    <n v="8857.2625000000007"/>
    <n v="0"/>
    <n v="0"/>
    <n v="0"/>
    <n v="0"/>
    <n v="0"/>
    <n v="1"/>
    <n v="0"/>
    <n v="0"/>
    <n v="0"/>
    <n v="0"/>
    <n v="0"/>
    <n v="0"/>
    <s v="Enl uttag från Ladok - Erik Å"/>
    <m/>
    <n v="0"/>
    <n v="0"/>
    <n v="0"/>
    <n v="0"/>
    <n v="0"/>
    <n v="0"/>
    <n v="0"/>
    <n v="0"/>
    <n v="0"/>
    <n v="0"/>
    <n v="0.125"/>
    <n v="0.10625"/>
    <n v="0"/>
    <n v="0"/>
    <n v="0"/>
    <n v="0"/>
    <n v="0"/>
    <n v="0"/>
    <n v="0"/>
    <n v="0"/>
    <n v="0"/>
    <n v="0"/>
    <n v="0"/>
  </r>
  <r>
    <x v="148"/>
    <x v="143"/>
    <m/>
    <x v="0"/>
    <m/>
    <x v="0"/>
    <m/>
    <m/>
    <m/>
    <m/>
    <m/>
    <m/>
    <x v="0"/>
    <m/>
    <m/>
    <m/>
    <n v="0.375"/>
    <n v="0.85"/>
    <n v="0.31874999999999998"/>
    <n v="5740"/>
    <x v="6"/>
    <s v="TekNat"/>
    <x v="0"/>
    <n v="19473"/>
    <n v="34806"/>
    <n v="18396.787499999999"/>
    <n v="21800"/>
    <n v="8175"/>
    <n v="26571.787499999999"/>
    <n v="0"/>
    <n v="0"/>
    <n v="0"/>
    <n v="0"/>
    <n v="0"/>
    <n v="1"/>
    <n v="0"/>
    <n v="0"/>
    <n v="0"/>
    <n v="0"/>
    <n v="0"/>
    <n v="0"/>
    <s v="Enl uttag från Ladok - Erik Å"/>
    <m/>
    <n v="0"/>
    <n v="0"/>
    <n v="0"/>
    <n v="0"/>
    <n v="0"/>
    <n v="0"/>
    <n v="0"/>
    <n v="0"/>
    <n v="0"/>
    <n v="0"/>
    <n v="0.375"/>
    <n v="0.31874999999999998"/>
    <n v="0"/>
    <n v="0"/>
    <n v="0"/>
    <n v="0"/>
    <n v="0"/>
    <n v="0"/>
    <n v="0"/>
    <n v="0"/>
    <n v="0"/>
    <n v="0"/>
    <n v="0"/>
  </r>
  <r>
    <x v="148"/>
    <x v="143"/>
    <m/>
    <x v="1"/>
    <m/>
    <x v="0"/>
    <m/>
    <m/>
    <m/>
    <m/>
    <m/>
    <m/>
    <x v="0"/>
    <m/>
    <m/>
    <m/>
    <n v="0.125"/>
    <n v="0.8"/>
    <n v="0.1"/>
    <n v="5740"/>
    <x v="6"/>
    <s v="TekNat"/>
    <x v="1"/>
    <n v="19473"/>
    <n v="34806"/>
    <n v="5914.7250000000004"/>
    <n v="21800"/>
    <n v="2725"/>
    <n v="8639.7250000000004"/>
    <n v="0"/>
    <n v="0"/>
    <n v="0"/>
    <n v="0"/>
    <n v="0"/>
    <n v="1"/>
    <n v="0"/>
    <n v="0"/>
    <n v="0"/>
    <n v="0"/>
    <n v="0"/>
    <n v="0"/>
    <s v="Enl uttag från Ladok - Erik Å"/>
    <m/>
    <n v="0"/>
    <n v="0"/>
    <n v="0"/>
    <n v="0"/>
    <n v="0"/>
    <n v="0"/>
    <n v="0"/>
    <n v="0"/>
    <n v="0"/>
    <n v="0"/>
    <n v="0.125"/>
    <n v="0.1"/>
    <n v="0"/>
    <n v="0"/>
    <n v="0"/>
    <n v="0"/>
    <n v="0"/>
    <n v="0"/>
    <n v="0"/>
    <n v="0"/>
    <n v="0"/>
    <n v="0"/>
    <n v="0"/>
  </r>
  <r>
    <x v="149"/>
    <x v="144"/>
    <m/>
    <x v="2"/>
    <m/>
    <x v="0"/>
    <m/>
    <m/>
    <m/>
    <m/>
    <m/>
    <m/>
    <x v="0"/>
    <m/>
    <m/>
    <m/>
    <n v="5.75"/>
    <n v="0.85"/>
    <n v="4.8875000000000002"/>
    <n v="5740"/>
    <x v="6"/>
    <s v="TekNat"/>
    <x v="2"/>
    <n v="19473"/>
    <n v="34806"/>
    <n v="282084.07500000001"/>
    <n v="21800"/>
    <n v="125350"/>
    <n v="407434.07500000001"/>
    <n v="0"/>
    <n v="0"/>
    <n v="0"/>
    <n v="0"/>
    <n v="0"/>
    <n v="1"/>
    <n v="0"/>
    <n v="0"/>
    <n v="0"/>
    <n v="0"/>
    <n v="0"/>
    <n v="0"/>
    <s v="Enl uttag från Ladok - Erik Å"/>
    <m/>
    <n v="0"/>
    <n v="0"/>
    <n v="0"/>
    <n v="0"/>
    <n v="0"/>
    <n v="0"/>
    <n v="0"/>
    <n v="0"/>
    <n v="0"/>
    <n v="0"/>
    <n v="5.75"/>
    <n v="4.8875000000000002"/>
    <n v="0"/>
    <n v="0"/>
    <n v="0"/>
    <n v="0"/>
    <n v="0"/>
    <n v="0"/>
    <n v="0"/>
    <n v="0"/>
    <n v="0"/>
    <n v="0"/>
    <n v="0"/>
  </r>
  <r>
    <x v="150"/>
    <x v="145"/>
    <m/>
    <x v="2"/>
    <m/>
    <x v="0"/>
    <m/>
    <m/>
    <m/>
    <m/>
    <m/>
    <m/>
    <x v="0"/>
    <m/>
    <m/>
    <m/>
    <n v="5.25"/>
    <n v="0.85"/>
    <n v="4.4624999999999995"/>
    <n v="5740"/>
    <x v="6"/>
    <s v="TekNat"/>
    <x v="2"/>
    <n v="19473"/>
    <n v="34806"/>
    <n v="257555.02499999999"/>
    <n v="21800"/>
    <n v="114450"/>
    <n v="372005.02500000002"/>
    <n v="0"/>
    <n v="0"/>
    <n v="0"/>
    <n v="0"/>
    <n v="0"/>
    <n v="1"/>
    <n v="0"/>
    <n v="0"/>
    <n v="0"/>
    <n v="0"/>
    <n v="0"/>
    <n v="0"/>
    <s v="Enl uttag från Ladok - Erik Å"/>
    <m/>
    <n v="0"/>
    <n v="0"/>
    <n v="0"/>
    <n v="0"/>
    <n v="0"/>
    <n v="0"/>
    <n v="0"/>
    <n v="0"/>
    <n v="0"/>
    <n v="0"/>
    <n v="5.25"/>
    <n v="4.4624999999999995"/>
    <n v="0"/>
    <n v="0"/>
    <n v="0"/>
    <n v="0"/>
    <n v="0"/>
    <n v="0"/>
    <n v="0"/>
    <n v="0"/>
    <n v="0"/>
    <n v="0"/>
    <n v="0"/>
  </r>
  <r>
    <x v="151"/>
    <x v="146"/>
    <m/>
    <x v="2"/>
    <m/>
    <x v="0"/>
    <m/>
    <m/>
    <m/>
    <m/>
    <m/>
    <m/>
    <x v="0"/>
    <m/>
    <m/>
    <m/>
    <n v="4"/>
    <n v="0.85"/>
    <n v="3.4"/>
    <n v="5740"/>
    <x v="6"/>
    <s v="TekNat"/>
    <x v="2"/>
    <n v="19473"/>
    <n v="34806"/>
    <n v="196232.4"/>
    <n v="21800"/>
    <n v="87200"/>
    <n v="283432.40000000002"/>
    <n v="0"/>
    <n v="0"/>
    <n v="0"/>
    <n v="0"/>
    <n v="0"/>
    <n v="1"/>
    <n v="0"/>
    <n v="0"/>
    <n v="0"/>
    <n v="0"/>
    <n v="0"/>
    <n v="0"/>
    <s v="Enl uttag från Ladok - Erik Å"/>
    <m/>
    <n v="0"/>
    <n v="0"/>
    <n v="0"/>
    <n v="0"/>
    <n v="0"/>
    <n v="0"/>
    <n v="0"/>
    <n v="0"/>
    <n v="0"/>
    <n v="0"/>
    <n v="4"/>
    <n v="3.4"/>
    <n v="0"/>
    <n v="0"/>
    <n v="0"/>
    <n v="0"/>
    <n v="0"/>
    <n v="0"/>
    <n v="0"/>
    <n v="0"/>
    <n v="0"/>
    <n v="0"/>
    <n v="0"/>
  </r>
  <r>
    <x v="152"/>
    <x v="147"/>
    <m/>
    <x v="3"/>
    <m/>
    <x v="0"/>
    <m/>
    <m/>
    <m/>
    <m/>
    <m/>
    <m/>
    <x v="0"/>
    <m/>
    <m/>
    <m/>
    <n v="2.625"/>
    <n v="0.85"/>
    <n v="2.2312499999999997"/>
    <n v="5740"/>
    <x v="6"/>
    <s v="TekNat"/>
    <x v="3"/>
    <n v="19473"/>
    <n v="34806"/>
    <n v="128777.5125"/>
    <n v="21800"/>
    <n v="57225"/>
    <n v="186002.51250000001"/>
    <n v="0"/>
    <n v="0"/>
    <n v="0"/>
    <n v="0"/>
    <n v="0"/>
    <n v="1"/>
    <n v="0"/>
    <n v="0"/>
    <n v="0"/>
    <n v="0"/>
    <n v="0"/>
    <n v="0"/>
    <s v="Enl uttag från Ladok - Erik Å"/>
    <m/>
    <n v="0"/>
    <n v="0"/>
    <n v="0"/>
    <n v="0"/>
    <n v="0"/>
    <n v="0"/>
    <n v="0"/>
    <n v="0"/>
    <n v="0"/>
    <n v="0"/>
    <n v="2.625"/>
    <n v="2.2312499999999997"/>
    <n v="0"/>
    <n v="0"/>
    <n v="0"/>
    <n v="0"/>
    <n v="0"/>
    <n v="0"/>
    <n v="0"/>
    <n v="0"/>
    <n v="0"/>
    <n v="0"/>
    <n v="0"/>
  </r>
  <r>
    <x v="153"/>
    <x v="148"/>
    <m/>
    <x v="3"/>
    <m/>
    <x v="0"/>
    <m/>
    <m/>
    <m/>
    <m/>
    <m/>
    <m/>
    <x v="0"/>
    <m/>
    <m/>
    <m/>
    <n v="2.75"/>
    <n v="0.85"/>
    <n v="2.3374999999999999"/>
    <n v="5740"/>
    <x v="6"/>
    <s v="TekNat"/>
    <x v="3"/>
    <n v="19473"/>
    <n v="34806"/>
    <n v="134909.77499999999"/>
    <n v="21800"/>
    <n v="59950"/>
    <n v="194859.77499999999"/>
    <n v="0"/>
    <n v="0"/>
    <n v="0"/>
    <n v="0"/>
    <n v="0"/>
    <n v="1"/>
    <n v="0"/>
    <n v="0"/>
    <n v="0"/>
    <n v="0"/>
    <n v="0"/>
    <n v="0"/>
    <s v="Enl uttag från Ladok - Erik Å"/>
    <m/>
    <n v="0"/>
    <n v="0"/>
    <n v="0"/>
    <n v="0"/>
    <n v="0"/>
    <n v="0"/>
    <n v="0"/>
    <n v="0"/>
    <n v="0"/>
    <n v="0"/>
    <n v="2.75"/>
    <n v="2.3374999999999999"/>
    <n v="0"/>
    <n v="0"/>
    <n v="0"/>
    <n v="0"/>
    <n v="0"/>
    <n v="0"/>
    <n v="0"/>
    <n v="0"/>
    <n v="0"/>
    <n v="0"/>
    <n v="0"/>
  </r>
  <r>
    <x v="154"/>
    <x v="149"/>
    <m/>
    <x v="3"/>
    <m/>
    <x v="0"/>
    <m/>
    <m/>
    <m/>
    <m/>
    <m/>
    <m/>
    <x v="0"/>
    <m/>
    <m/>
    <m/>
    <n v="3.5"/>
    <n v="0.85"/>
    <n v="2.9750000000000001"/>
    <n v="5740"/>
    <x v="6"/>
    <s v="TekNat"/>
    <x v="3"/>
    <n v="19473"/>
    <n v="34806"/>
    <n v="171703.35"/>
    <n v="21800"/>
    <n v="76300"/>
    <n v="248003.35"/>
    <n v="0"/>
    <n v="0"/>
    <n v="0"/>
    <n v="0"/>
    <n v="0"/>
    <n v="1"/>
    <n v="0"/>
    <n v="0"/>
    <n v="0"/>
    <n v="0"/>
    <n v="0"/>
    <n v="0"/>
    <s v="Enl uttag från Ladok - Erik Å"/>
    <m/>
    <n v="0"/>
    <n v="0"/>
    <n v="0"/>
    <n v="0"/>
    <n v="0"/>
    <n v="0"/>
    <n v="0"/>
    <n v="0"/>
    <n v="0"/>
    <n v="0"/>
    <n v="3.5"/>
    <n v="2.9750000000000001"/>
    <n v="0"/>
    <n v="0"/>
    <n v="0"/>
    <n v="0"/>
    <n v="0"/>
    <n v="0"/>
    <n v="0"/>
    <n v="0"/>
    <n v="0"/>
    <n v="0"/>
    <n v="0"/>
  </r>
  <r>
    <x v="155"/>
    <x v="150"/>
    <m/>
    <x v="7"/>
    <m/>
    <x v="0"/>
    <m/>
    <m/>
    <m/>
    <m/>
    <m/>
    <m/>
    <x v="0"/>
    <m/>
    <m/>
    <m/>
    <n v="10.375"/>
    <n v="0.85"/>
    <n v="8.8187499999999996"/>
    <n v="5740"/>
    <x v="6"/>
    <s v="TekNat"/>
    <x v="7"/>
    <n v="19473"/>
    <n v="34806"/>
    <n v="508977.78749999998"/>
    <n v="21800"/>
    <n v="226175"/>
    <n v="735152.78749999998"/>
    <n v="0"/>
    <n v="0"/>
    <n v="0"/>
    <n v="0"/>
    <n v="0"/>
    <n v="1"/>
    <n v="0"/>
    <n v="0"/>
    <n v="0"/>
    <n v="0"/>
    <n v="0"/>
    <n v="0"/>
    <s v="Enl uttag från Ladok - Erik Å"/>
    <m/>
    <n v="0"/>
    <n v="0"/>
    <n v="0"/>
    <n v="0"/>
    <n v="0"/>
    <n v="0"/>
    <n v="0"/>
    <n v="0"/>
    <n v="0"/>
    <n v="0"/>
    <n v="10.375"/>
    <n v="8.8187499999999996"/>
    <n v="0"/>
    <n v="0"/>
    <n v="0"/>
    <n v="0"/>
    <n v="0"/>
    <n v="0"/>
    <n v="0"/>
    <n v="0"/>
    <n v="0"/>
    <n v="0"/>
    <n v="0"/>
  </r>
  <r>
    <x v="156"/>
    <x v="151"/>
    <m/>
    <x v="1"/>
    <m/>
    <x v="0"/>
    <m/>
    <m/>
    <m/>
    <m/>
    <m/>
    <m/>
    <x v="0"/>
    <m/>
    <m/>
    <m/>
    <n v="1"/>
    <n v="0.8"/>
    <n v="0.8"/>
    <n v="5740"/>
    <x v="6"/>
    <s v="TekNat"/>
    <x v="1"/>
    <n v="19473"/>
    <n v="34806"/>
    <n v="47317.8"/>
    <n v="21800"/>
    <n v="21800"/>
    <n v="69117.8"/>
    <n v="0"/>
    <n v="0"/>
    <n v="0"/>
    <n v="0"/>
    <n v="0"/>
    <n v="1"/>
    <n v="0"/>
    <n v="0"/>
    <n v="0"/>
    <n v="0"/>
    <n v="0"/>
    <n v="0"/>
    <s v="Enl uttag från Ladok - Erik Å"/>
    <m/>
    <n v="0"/>
    <n v="0"/>
    <n v="0"/>
    <n v="0"/>
    <n v="0"/>
    <n v="0"/>
    <n v="0"/>
    <n v="0"/>
    <n v="0"/>
    <n v="0"/>
    <n v="1"/>
    <n v="0.8"/>
    <n v="0"/>
    <n v="0"/>
    <n v="0"/>
    <n v="0"/>
    <n v="0"/>
    <n v="0"/>
    <n v="0"/>
    <n v="0"/>
    <n v="0"/>
    <n v="0"/>
    <n v="0"/>
  </r>
  <r>
    <x v="157"/>
    <x v="152"/>
    <m/>
    <x v="1"/>
    <m/>
    <x v="0"/>
    <m/>
    <m/>
    <m/>
    <m/>
    <m/>
    <m/>
    <x v="0"/>
    <m/>
    <m/>
    <m/>
    <n v="1.25"/>
    <n v="0.8"/>
    <n v="1"/>
    <n v="5740"/>
    <x v="6"/>
    <s v="TekNat"/>
    <x v="1"/>
    <n v="19473"/>
    <n v="34806"/>
    <n v="59147.25"/>
    <n v="21800"/>
    <n v="27250"/>
    <n v="86397.25"/>
    <n v="0"/>
    <n v="0"/>
    <n v="0"/>
    <n v="0"/>
    <n v="0"/>
    <n v="1"/>
    <n v="0"/>
    <n v="0"/>
    <n v="0"/>
    <n v="0"/>
    <n v="0"/>
    <n v="0"/>
    <s v="Enl uttag från Ladok - Erik Å"/>
    <m/>
    <n v="0"/>
    <n v="0"/>
    <n v="0"/>
    <n v="0"/>
    <n v="0"/>
    <n v="0"/>
    <n v="0"/>
    <n v="0"/>
    <n v="0"/>
    <n v="0"/>
    <n v="1.25"/>
    <n v="1"/>
    <n v="0"/>
    <n v="0"/>
    <n v="0"/>
    <n v="0"/>
    <n v="0"/>
    <n v="0"/>
    <n v="0"/>
    <n v="0"/>
    <n v="0"/>
    <n v="0"/>
    <n v="0"/>
  </r>
  <r>
    <x v="158"/>
    <x v="153"/>
    <m/>
    <x v="11"/>
    <m/>
    <x v="0"/>
    <m/>
    <m/>
    <m/>
    <m/>
    <m/>
    <m/>
    <x v="0"/>
    <m/>
    <m/>
    <m/>
    <n v="0.5"/>
    <n v="0.85"/>
    <n v="0.42499999999999999"/>
    <n v="5740"/>
    <x v="6"/>
    <s v="TekNat"/>
    <x v="11"/>
    <n v="19473"/>
    <n v="34806"/>
    <n v="24529.05"/>
    <n v="21800"/>
    <n v="10900"/>
    <n v="35429.050000000003"/>
    <n v="0"/>
    <n v="0"/>
    <n v="0"/>
    <n v="0"/>
    <n v="0"/>
    <n v="1"/>
    <n v="0"/>
    <n v="0"/>
    <n v="0"/>
    <n v="0"/>
    <n v="0"/>
    <n v="0"/>
    <s v="Enl uttag från Ladok - Erik Å"/>
    <m/>
    <n v="0"/>
    <n v="0"/>
    <n v="0"/>
    <n v="0"/>
    <n v="0"/>
    <n v="0"/>
    <n v="0"/>
    <n v="0"/>
    <n v="0"/>
    <n v="0"/>
    <n v="0.5"/>
    <n v="0.42499999999999999"/>
    <n v="0"/>
    <n v="0"/>
    <n v="0"/>
    <n v="0"/>
    <n v="0"/>
    <n v="0"/>
    <n v="0"/>
    <n v="0"/>
    <n v="0"/>
    <n v="0"/>
    <n v="0"/>
  </r>
  <r>
    <x v="158"/>
    <x v="153"/>
    <m/>
    <x v="1"/>
    <m/>
    <x v="0"/>
    <m/>
    <m/>
    <m/>
    <m/>
    <m/>
    <m/>
    <x v="0"/>
    <m/>
    <m/>
    <m/>
    <n v="2"/>
    <n v="0.8"/>
    <n v="1.6"/>
    <n v="5740"/>
    <x v="6"/>
    <s v="TekNat"/>
    <x v="1"/>
    <n v="19473"/>
    <n v="34806"/>
    <n v="94635.6"/>
    <n v="21800"/>
    <n v="43600"/>
    <n v="138235.6"/>
    <n v="0"/>
    <n v="0"/>
    <n v="0"/>
    <n v="0"/>
    <n v="0"/>
    <n v="1"/>
    <n v="0"/>
    <n v="0"/>
    <n v="0"/>
    <n v="0"/>
    <n v="0"/>
    <n v="0"/>
    <s v="Enl uttag från Ladok - Erik Å"/>
    <m/>
    <n v="0"/>
    <n v="0"/>
    <n v="0"/>
    <n v="0"/>
    <n v="0"/>
    <n v="0"/>
    <n v="0"/>
    <n v="0"/>
    <n v="0"/>
    <n v="0"/>
    <n v="2"/>
    <n v="1.6"/>
    <n v="0"/>
    <n v="0"/>
    <n v="0"/>
    <n v="0"/>
    <n v="0"/>
    <n v="0"/>
    <n v="0"/>
    <n v="0"/>
    <n v="0"/>
    <n v="0"/>
    <n v="0"/>
  </r>
  <r>
    <x v="159"/>
    <x v="154"/>
    <m/>
    <x v="0"/>
    <m/>
    <x v="0"/>
    <m/>
    <m/>
    <m/>
    <m/>
    <m/>
    <m/>
    <x v="0"/>
    <m/>
    <m/>
    <m/>
    <n v="1.375"/>
    <n v="0.85"/>
    <n v="1.16875"/>
    <n v="5740"/>
    <x v="6"/>
    <s v="TekNat"/>
    <x v="0"/>
    <n v="19473"/>
    <n v="34806"/>
    <n v="67454.887499999997"/>
    <n v="21800"/>
    <n v="29975"/>
    <n v="97429.887499999997"/>
    <n v="0"/>
    <n v="0"/>
    <n v="0"/>
    <n v="0"/>
    <n v="0"/>
    <n v="1"/>
    <n v="0"/>
    <n v="0"/>
    <n v="0"/>
    <n v="0"/>
    <n v="0"/>
    <n v="0"/>
    <s v="Enl uttag från Ladok - Erik Å"/>
    <m/>
    <n v="0"/>
    <n v="0"/>
    <n v="0"/>
    <n v="0"/>
    <n v="0"/>
    <n v="0"/>
    <n v="0"/>
    <n v="0"/>
    <n v="0"/>
    <n v="0"/>
    <n v="1.375"/>
    <n v="1.16875"/>
    <n v="0"/>
    <n v="0"/>
    <n v="0"/>
    <n v="0"/>
    <n v="0"/>
    <n v="0"/>
    <n v="0"/>
    <n v="0"/>
    <n v="0"/>
    <n v="0"/>
    <n v="0"/>
  </r>
  <r>
    <x v="159"/>
    <x v="154"/>
    <m/>
    <x v="1"/>
    <m/>
    <x v="0"/>
    <m/>
    <m/>
    <m/>
    <m/>
    <m/>
    <m/>
    <x v="0"/>
    <m/>
    <m/>
    <m/>
    <n v="0.5"/>
    <n v="0.8"/>
    <n v="0.4"/>
    <n v="5740"/>
    <x v="6"/>
    <s v="TekNat"/>
    <x v="1"/>
    <n v="19473"/>
    <n v="34806"/>
    <n v="23658.9"/>
    <n v="21800"/>
    <n v="10900"/>
    <n v="34558.9"/>
    <n v="0"/>
    <n v="0"/>
    <n v="0"/>
    <n v="0"/>
    <n v="0"/>
    <n v="1"/>
    <n v="0"/>
    <n v="0"/>
    <n v="0"/>
    <n v="0"/>
    <n v="0"/>
    <n v="0"/>
    <s v="Enl uttag från Ladok - Erik Å"/>
    <m/>
    <n v="0"/>
    <n v="0"/>
    <n v="0"/>
    <n v="0"/>
    <n v="0"/>
    <n v="0"/>
    <n v="0"/>
    <n v="0"/>
    <n v="0"/>
    <n v="0"/>
    <n v="0.5"/>
    <n v="0.4"/>
    <n v="0"/>
    <n v="0"/>
    <n v="0"/>
    <n v="0"/>
    <n v="0"/>
    <n v="0"/>
    <n v="0"/>
    <n v="0"/>
    <n v="0"/>
    <n v="0"/>
    <n v="0"/>
  </r>
  <r>
    <x v="160"/>
    <x v="155"/>
    <m/>
    <x v="0"/>
    <m/>
    <x v="0"/>
    <m/>
    <m/>
    <m/>
    <m/>
    <m/>
    <m/>
    <x v="0"/>
    <m/>
    <m/>
    <m/>
    <n v="1.25"/>
    <n v="0.85"/>
    <n v="1.0625"/>
    <n v="5740"/>
    <x v="6"/>
    <s v="TekNat"/>
    <x v="0"/>
    <n v="19473"/>
    <n v="34806"/>
    <n v="61322.625"/>
    <n v="21800"/>
    <n v="27250"/>
    <n v="88572.625"/>
    <n v="0"/>
    <n v="0"/>
    <n v="0"/>
    <n v="0"/>
    <n v="0"/>
    <n v="1"/>
    <n v="0"/>
    <n v="0"/>
    <n v="0"/>
    <n v="0"/>
    <n v="0"/>
    <n v="0"/>
    <s v="Enl uttag från Ladok - Erik Å"/>
    <m/>
    <n v="0"/>
    <n v="0"/>
    <n v="0"/>
    <n v="0"/>
    <n v="0"/>
    <n v="0"/>
    <n v="0"/>
    <n v="0"/>
    <n v="0"/>
    <n v="0"/>
    <n v="1.25"/>
    <n v="1.0625"/>
    <n v="0"/>
    <n v="0"/>
    <n v="0"/>
    <n v="0"/>
    <n v="0"/>
    <n v="0"/>
    <n v="0"/>
    <n v="0"/>
    <n v="0"/>
    <n v="0"/>
    <n v="0"/>
  </r>
  <r>
    <x v="160"/>
    <x v="155"/>
    <m/>
    <x v="1"/>
    <m/>
    <x v="0"/>
    <m/>
    <m/>
    <m/>
    <m/>
    <m/>
    <m/>
    <x v="0"/>
    <m/>
    <m/>
    <m/>
    <n v="0.375"/>
    <n v="0.8"/>
    <n v="0.30000000000000004"/>
    <n v="5740"/>
    <x v="6"/>
    <s v="TekNat"/>
    <x v="1"/>
    <n v="19473"/>
    <n v="34806"/>
    <n v="17744.175000000003"/>
    <n v="21800"/>
    <n v="8175"/>
    <n v="25919.175000000003"/>
    <n v="0"/>
    <n v="0"/>
    <n v="0"/>
    <n v="0"/>
    <n v="0"/>
    <n v="1"/>
    <n v="0"/>
    <n v="0"/>
    <n v="0"/>
    <n v="0"/>
    <n v="0"/>
    <n v="0"/>
    <s v="Enl uttag från Ladok - Erik Å"/>
    <m/>
    <n v="0"/>
    <n v="0"/>
    <n v="0"/>
    <n v="0"/>
    <n v="0"/>
    <n v="0"/>
    <n v="0"/>
    <n v="0"/>
    <n v="0"/>
    <n v="0"/>
    <n v="0.375"/>
    <n v="0.30000000000000004"/>
    <n v="0"/>
    <n v="0"/>
    <n v="0"/>
    <n v="0"/>
    <n v="0"/>
    <n v="0"/>
    <n v="0"/>
    <n v="0"/>
    <n v="0"/>
    <n v="0"/>
    <n v="0"/>
  </r>
  <r>
    <x v="161"/>
    <x v="156"/>
    <m/>
    <x v="0"/>
    <m/>
    <x v="0"/>
    <m/>
    <m/>
    <m/>
    <m/>
    <m/>
    <m/>
    <x v="0"/>
    <m/>
    <m/>
    <m/>
    <n v="1.25"/>
    <n v="0.85"/>
    <n v="1.0625"/>
    <n v="5730"/>
    <x v="5"/>
    <s v="TekNat"/>
    <x v="0"/>
    <n v="19473"/>
    <n v="34806"/>
    <n v="61322.625"/>
    <n v="21800"/>
    <n v="27250"/>
    <n v="88572.625"/>
    <n v="0"/>
    <n v="0"/>
    <n v="0"/>
    <n v="0"/>
    <n v="0"/>
    <n v="1"/>
    <n v="0"/>
    <n v="0"/>
    <n v="0"/>
    <n v="0"/>
    <n v="0"/>
    <n v="0"/>
    <s v="Enl uttag från Ladok - Erik Å"/>
    <m/>
    <n v="0"/>
    <n v="0"/>
    <n v="0"/>
    <n v="0"/>
    <n v="0"/>
    <n v="0"/>
    <n v="0"/>
    <n v="0"/>
    <n v="0"/>
    <n v="0"/>
    <n v="1.25"/>
    <n v="1.0625"/>
    <n v="0"/>
    <n v="0"/>
    <n v="0"/>
    <n v="0"/>
    <n v="0"/>
    <n v="0"/>
    <n v="0"/>
    <n v="0"/>
    <n v="0"/>
    <n v="0"/>
    <n v="0"/>
  </r>
  <r>
    <x v="161"/>
    <x v="156"/>
    <m/>
    <x v="1"/>
    <m/>
    <x v="0"/>
    <m/>
    <m/>
    <m/>
    <m/>
    <m/>
    <m/>
    <x v="0"/>
    <m/>
    <m/>
    <m/>
    <n v="0.375"/>
    <n v="0.8"/>
    <n v="0.30000000000000004"/>
    <n v="5730"/>
    <x v="5"/>
    <s v="TekNat"/>
    <x v="1"/>
    <n v="19473"/>
    <n v="34806"/>
    <n v="17744.175000000003"/>
    <n v="21800"/>
    <n v="8175"/>
    <n v="25919.175000000003"/>
    <n v="0"/>
    <n v="0"/>
    <n v="0"/>
    <n v="0"/>
    <n v="0"/>
    <n v="1"/>
    <n v="0"/>
    <n v="0"/>
    <n v="0"/>
    <n v="0"/>
    <n v="0"/>
    <n v="0"/>
    <s v="Enl uttag från Ladok - Erik Å"/>
    <m/>
    <n v="0"/>
    <n v="0"/>
    <n v="0"/>
    <n v="0"/>
    <n v="0"/>
    <n v="0"/>
    <n v="0"/>
    <n v="0"/>
    <n v="0"/>
    <n v="0"/>
    <n v="0.375"/>
    <n v="0.30000000000000004"/>
    <n v="0"/>
    <n v="0"/>
    <n v="0"/>
    <n v="0"/>
    <n v="0"/>
    <n v="0"/>
    <n v="0"/>
    <n v="0"/>
    <n v="0"/>
    <n v="0"/>
    <n v="0"/>
  </r>
  <r>
    <x v="162"/>
    <x v="157"/>
    <m/>
    <x v="0"/>
    <m/>
    <x v="0"/>
    <m/>
    <m/>
    <m/>
    <m/>
    <m/>
    <m/>
    <x v="0"/>
    <m/>
    <m/>
    <m/>
    <n v="0.25"/>
    <n v="0.85"/>
    <n v="0.21249999999999999"/>
    <n v="5730"/>
    <x v="5"/>
    <s v="TekNat"/>
    <x v="0"/>
    <n v="19473"/>
    <n v="34806"/>
    <n v="12264.525"/>
    <n v="21800"/>
    <n v="5450"/>
    <n v="17714.525000000001"/>
    <n v="0"/>
    <n v="0"/>
    <n v="0"/>
    <n v="0"/>
    <n v="0"/>
    <n v="0.5"/>
    <n v="0"/>
    <n v="0.5"/>
    <n v="0"/>
    <n v="0"/>
    <n v="0"/>
    <n v="0"/>
    <s v="Enl uttag från Ladok - Erik Å"/>
    <m/>
    <n v="0"/>
    <n v="0"/>
    <n v="0"/>
    <n v="0"/>
    <n v="0"/>
    <n v="0"/>
    <n v="0"/>
    <n v="0"/>
    <n v="0"/>
    <n v="0"/>
    <n v="0.125"/>
    <n v="0.10625"/>
    <n v="0"/>
    <n v="0"/>
    <n v="0.125"/>
    <n v="0.10625"/>
    <n v="0"/>
    <n v="0"/>
    <n v="0"/>
    <n v="0"/>
    <n v="0"/>
    <n v="0"/>
    <n v="0"/>
  </r>
  <r>
    <x v="162"/>
    <x v="157"/>
    <m/>
    <x v="1"/>
    <m/>
    <x v="0"/>
    <m/>
    <m/>
    <m/>
    <m/>
    <m/>
    <m/>
    <x v="0"/>
    <m/>
    <m/>
    <m/>
    <n v="0.25"/>
    <n v="0.8"/>
    <n v="0.2"/>
    <n v="5730"/>
    <x v="5"/>
    <s v="TekNat"/>
    <x v="1"/>
    <n v="19473"/>
    <n v="34806"/>
    <n v="11829.45"/>
    <n v="21800"/>
    <n v="5450"/>
    <n v="17279.45"/>
    <n v="0"/>
    <n v="0"/>
    <n v="0"/>
    <n v="0"/>
    <n v="0"/>
    <n v="0.5"/>
    <n v="0"/>
    <n v="0.5"/>
    <n v="0"/>
    <n v="0"/>
    <n v="0"/>
    <n v="0"/>
    <s v="Enl uttag från Ladok - Erik Å"/>
    <m/>
    <n v="0"/>
    <n v="0"/>
    <n v="0"/>
    <n v="0"/>
    <n v="0"/>
    <n v="0"/>
    <n v="0"/>
    <n v="0"/>
    <n v="0"/>
    <n v="0"/>
    <n v="0.125"/>
    <n v="0.1"/>
    <n v="0"/>
    <n v="0"/>
    <n v="0.125"/>
    <n v="0.1"/>
    <n v="0"/>
    <n v="0"/>
    <n v="0"/>
    <n v="0"/>
    <n v="0"/>
    <n v="0"/>
    <n v="0"/>
  </r>
  <r>
    <x v="163"/>
    <x v="158"/>
    <m/>
    <x v="1"/>
    <m/>
    <x v="0"/>
    <m/>
    <m/>
    <m/>
    <m/>
    <m/>
    <m/>
    <x v="0"/>
    <m/>
    <m/>
    <m/>
    <n v="1"/>
    <n v="0.8"/>
    <n v="0.8"/>
    <n v="1650"/>
    <x v="9"/>
    <s v="Hum"/>
    <x v="1"/>
    <n v="30802"/>
    <n v="63797"/>
    <n v="81839.600000000006"/>
    <n v="70100"/>
    <n v="70100"/>
    <n v="151939.6"/>
    <n v="0"/>
    <n v="0"/>
    <n v="0"/>
    <n v="0"/>
    <n v="1"/>
    <n v="0"/>
    <n v="0"/>
    <n v="0"/>
    <n v="0"/>
    <n v="0"/>
    <n v="0"/>
    <n v="0"/>
    <s v="Enl uttag från Ladok - Erik Å"/>
    <m/>
    <n v="0"/>
    <n v="0"/>
    <n v="0"/>
    <n v="0"/>
    <n v="0"/>
    <n v="0"/>
    <n v="0"/>
    <n v="0"/>
    <n v="1"/>
    <n v="0.8"/>
    <n v="0"/>
    <n v="0"/>
    <n v="0"/>
    <n v="0"/>
    <n v="0"/>
    <n v="0"/>
    <n v="0"/>
    <n v="0"/>
    <n v="0"/>
    <n v="0"/>
    <n v="0"/>
    <n v="0"/>
    <n v="0"/>
  </r>
  <r>
    <x v="164"/>
    <x v="159"/>
    <m/>
    <x v="1"/>
    <m/>
    <x v="0"/>
    <m/>
    <m/>
    <m/>
    <m/>
    <m/>
    <m/>
    <x v="0"/>
    <m/>
    <m/>
    <m/>
    <n v="2.25"/>
    <n v="0.8"/>
    <n v="1.8"/>
    <n v="1650"/>
    <x v="9"/>
    <s v="Hum"/>
    <x v="1"/>
    <n v="30802"/>
    <n v="63797"/>
    <n v="184139.1"/>
    <n v="70100"/>
    <n v="157725"/>
    <n v="341864.1"/>
    <n v="0"/>
    <n v="0"/>
    <n v="0"/>
    <n v="0"/>
    <n v="1"/>
    <n v="0"/>
    <n v="0"/>
    <n v="0"/>
    <n v="0"/>
    <n v="0"/>
    <n v="0"/>
    <n v="0"/>
    <s v="Enl uttag från Ladok - Erik Å"/>
    <m/>
    <n v="0"/>
    <n v="0"/>
    <n v="0"/>
    <n v="0"/>
    <n v="0"/>
    <n v="0"/>
    <n v="0"/>
    <n v="0"/>
    <n v="2.25"/>
    <n v="1.8"/>
    <n v="0"/>
    <n v="0"/>
    <n v="0"/>
    <n v="0"/>
    <n v="0"/>
    <n v="0"/>
    <n v="0"/>
    <n v="0"/>
    <n v="0"/>
    <n v="0"/>
    <n v="0"/>
    <n v="0"/>
    <n v="0"/>
  </r>
  <r>
    <x v="165"/>
    <x v="160"/>
    <m/>
    <x v="0"/>
    <m/>
    <x v="0"/>
    <m/>
    <m/>
    <m/>
    <m/>
    <m/>
    <m/>
    <x v="0"/>
    <m/>
    <m/>
    <m/>
    <n v="2.5"/>
    <n v="0.85"/>
    <n v="2.125"/>
    <n v="1650"/>
    <x v="9"/>
    <s v="Hum"/>
    <x v="0"/>
    <n v="30802"/>
    <n v="63797"/>
    <n v="212573.625"/>
    <n v="70100"/>
    <n v="175250"/>
    <n v="387823.625"/>
    <n v="0"/>
    <n v="0"/>
    <n v="0"/>
    <n v="0"/>
    <n v="1"/>
    <n v="0"/>
    <n v="0"/>
    <n v="0"/>
    <n v="0"/>
    <n v="0"/>
    <n v="0"/>
    <n v="0"/>
    <s v="Enl uttag från Ladok - Erik Å"/>
    <m/>
    <n v="0"/>
    <n v="0"/>
    <n v="0"/>
    <n v="0"/>
    <n v="0"/>
    <n v="0"/>
    <n v="0"/>
    <n v="0"/>
    <n v="2.5"/>
    <n v="2.125"/>
    <n v="0"/>
    <n v="0"/>
    <n v="0"/>
    <n v="0"/>
    <n v="0"/>
    <n v="0"/>
    <n v="0"/>
    <n v="0"/>
    <n v="0"/>
    <n v="0"/>
    <n v="0"/>
    <n v="0"/>
    <n v="0"/>
  </r>
  <r>
    <x v="166"/>
    <x v="161"/>
    <m/>
    <x v="0"/>
    <m/>
    <x v="0"/>
    <m/>
    <m/>
    <m/>
    <m/>
    <m/>
    <m/>
    <x v="0"/>
    <m/>
    <m/>
    <m/>
    <n v="1.5"/>
    <n v="0.85"/>
    <n v="1.2749999999999999"/>
    <n v="1650"/>
    <x v="9"/>
    <s v="Hum"/>
    <x v="0"/>
    <n v="30802"/>
    <n v="63797"/>
    <n v="127544.17499999999"/>
    <n v="70100"/>
    <n v="105150"/>
    <n v="232694.17499999999"/>
    <n v="0"/>
    <n v="0"/>
    <n v="0"/>
    <n v="0"/>
    <n v="1"/>
    <n v="0"/>
    <n v="0"/>
    <n v="0"/>
    <n v="0"/>
    <n v="0"/>
    <n v="0"/>
    <n v="0"/>
    <s v="Enl uttag från Ladok - Erik Å"/>
    <m/>
    <n v="0"/>
    <n v="0"/>
    <n v="0"/>
    <n v="0"/>
    <n v="0"/>
    <n v="0"/>
    <n v="0"/>
    <n v="0"/>
    <n v="1.5"/>
    <n v="1.2749999999999999"/>
    <n v="0"/>
    <n v="0"/>
    <n v="0"/>
    <n v="0"/>
    <n v="0"/>
    <n v="0"/>
    <n v="0"/>
    <n v="0"/>
    <n v="0"/>
    <n v="0"/>
    <n v="0"/>
    <n v="0"/>
    <n v="0"/>
  </r>
  <r>
    <x v="167"/>
    <x v="162"/>
    <m/>
    <x v="1"/>
    <m/>
    <x v="0"/>
    <m/>
    <m/>
    <m/>
    <m/>
    <m/>
    <m/>
    <x v="0"/>
    <m/>
    <m/>
    <m/>
    <n v="1.25"/>
    <n v="0.8"/>
    <n v="1"/>
    <n v="1650"/>
    <x v="9"/>
    <s v="Hum"/>
    <x v="1"/>
    <n v="30802"/>
    <n v="63797"/>
    <n v="102299.5"/>
    <n v="70100"/>
    <n v="87625"/>
    <n v="189924.5"/>
    <n v="0"/>
    <n v="0"/>
    <n v="0"/>
    <n v="0"/>
    <n v="1"/>
    <n v="0"/>
    <n v="0"/>
    <n v="0"/>
    <n v="0"/>
    <n v="0"/>
    <n v="0"/>
    <n v="0"/>
    <s v="Enl uttag från Ladok - Erik Å"/>
    <m/>
    <n v="0"/>
    <n v="0"/>
    <n v="0"/>
    <n v="0"/>
    <n v="0"/>
    <n v="0"/>
    <n v="0"/>
    <n v="0"/>
    <n v="1.25"/>
    <n v="1"/>
    <n v="0"/>
    <n v="0"/>
    <n v="0"/>
    <n v="0"/>
    <n v="0"/>
    <n v="0"/>
    <n v="0"/>
    <n v="0"/>
    <n v="0"/>
    <n v="0"/>
    <n v="0"/>
    <n v="0"/>
    <n v="0"/>
  </r>
  <r>
    <x v="168"/>
    <x v="163"/>
    <m/>
    <x v="0"/>
    <m/>
    <x v="0"/>
    <m/>
    <m/>
    <m/>
    <m/>
    <m/>
    <m/>
    <x v="0"/>
    <m/>
    <m/>
    <m/>
    <n v="2.5"/>
    <n v="0.85"/>
    <n v="2.125"/>
    <n v="1650"/>
    <x v="9"/>
    <s v="Hum"/>
    <x v="0"/>
    <n v="30802"/>
    <n v="63797"/>
    <n v="212573.625"/>
    <n v="70100"/>
    <n v="175250"/>
    <n v="387823.625"/>
    <n v="0"/>
    <n v="0"/>
    <n v="0"/>
    <n v="0"/>
    <n v="1"/>
    <n v="0"/>
    <n v="0"/>
    <n v="0"/>
    <n v="0"/>
    <n v="0"/>
    <n v="0"/>
    <n v="0"/>
    <s v="Enl uttag från Ladok - Erik Å"/>
    <m/>
    <n v="0"/>
    <n v="0"/>
    <n v="0"/>
    <n v="0"/>
    <n v="0"/>
    <n v="0"/>
    <n v="0"/>
    <n v="0"/>
    <n v="2.5"/>
    <n v="2.125"/>
    <n v="0"/>
    <n v="0"/>
    <n v="0"/>
    <n v="0"/>
    <n v="0"/>
    <n v="0"/>
    <n v="0"/>
    <n v="0"/>
    <n v="0"/>
    <n v="0"/>
    <n v="0"/>
    <n v="0"/>
    <n v="0"/>
  </r>
  <r>
    <x v="169"/>
    <x v="164"/>
    <m/>
    <x v="1"/>
    <m/>
    <x v="0"/>
    <m/>
    <m/>
    <m/>
    <m/>
    <m/>
    <m/>
    <x v="0"/>
    <m/>
    <m/>
    <m/>
    <n v="1.5"/>
    <n v="0.8"/>
    <n v="1.2000000000000002"/>
    <n v="1650"/>
    <x v="9"/>
    <s v="Hum"/>
    <x v="1"/>
    <n v="30802"/>
    <n v="63797"/>
    <n v="122759.40000000001"/>
    <n v="70100"/>
    <n v="105150"/>
    <n v="227909.40000000002"/>
    <n v="0"/>
    <n v="0"/>
    <n v="0"/>
    <n v="0"/>
    <n v="1"/>
    <n v="0"/>
    <n v="0"/>
    <n v="0"/>
    <n v="0"/>
    <n v="0"/>
    <n v="0"/>
    <n v="0"/>
    <s v="Enl uttag från Ladok - Erik Å"/>
    <m/>
    <n v="0"/>
    <n v="0"/>
    <n v="0"/>
    <n v="0"/>
    <n v="0"/>
    <n v="0"/>
    <n v="0"/>
    <n v="0"/>
    <n v="1.5"/>
    <n v="1.2000000000000002"/>
    <n v="0"/>
    <n v="0"/>
    <n v="0"/>
    <n v="0"/>
    <n v="0"/>
    <n v="0"/>
    <n v="0"/>
    <n v="0"/>
    <n v="0"/>
    <n v="0"/>
    <n v="0"/>
    <n v="0"/>
    <n v="0"/>
  </r>
  <r>
    <x v="170"/>
    <x v="165"/>
    <m/>
    <x v="1"/>
    <m/>
    <x v="0"/>
    <m/>
    <m/>
    <m/>
    <m/>
    <m/>
    <m/>
    <x v="0"/>
    <m/>
    <m/>
    <m/>
    <n v="3.5"/>
    <n v="0.8"/>
    <n v="2.8000000000000003"/>
    <n v="1650"/>
    <x v="9"/>
    <s v="Hum"/>
    <x v="1"/>
    <n v="30802"/>
    <n v="63797"/>
    <n v="286438.59999999998"/>
    <n v="70100"/>
    <n v="245350"/>
    <n v="531788.6"/>
    <n v="0"/>
    <n v="0"/>
    <n v="0"/>
    <n v="0"/>
    <n v="1"/>
    <n v="0"/>
    <n v="0"/>
    <n v="0"/>
    <n v="0"/>
    <n v="0"/>
    <n v="0"/>
    <n v="0"/>
    <s v="Enl uttag från Ladok - Erik Å"/>
    <m/>
    <n v="0"/>
    <n v="0"/>
    <n v="0"/>
    <n v="0"/>
    <n v="0"/>
    <n v="0"/>
    <n v="0"/>
    <n v="0"/>
    <n v="3.5"/>
    <n v="2.8000000000000003"/>
    <n v="0"/>
    <n v="0"/>
    <n v="0"/>
    <n v="0"/>
    <n v="0"/>
    <n v="0"/>
    <n v="0"/>
    <n v="0"/>
    <n v="0"/>
    <n v="0"/>
    <n v="0"/>
    <n v="0"/>
    <n v="0"/>
  </r>
  <r>
    <x v="171"/>
    <x v="166"/>
    <m/>
    <x v="11"/>
    <m/>
    <x v="0"/>
    <m/>
    <m/>
    <m/>
    <m/>
    <m/>
    <m/>
    <x v="0"/>
    <m/>
    <m/>
    <m/>
    <n v="0.25"/>
    <n v="0.85"/>
    <n v="0.21249999999999999"/>
    <n v="1650"/>
    <x v="9"/>
    <s v="Hum"/>
    <x v="11"/>
    <n v="30802"/>
    <n v="63797"/>
    <n v="21257.362499999999"/>
    <n v="70100"/>
    <n v="17525"/>
    <n v="38782.362500000003"/>
    <n v="0"/>
    <n v="0"/>
    <n v="0"/>
    <n v="0"/>
    <n v="1"/>
    <n v="0"/>
    <n v="0"/>
    <n v="0"/>
    <n v="0"/>
    <n v="0"/>
    <n v="0"/>
    <n v="0"/>
    <s v="Enl uttag från Ladok - Erik Å"/>
    <m/>
    <n v="0"/>
    <n v="0"/>
    <n v="0"/>
    <n v="0"/>
    <n v="0"/>
    <n v="0"/>
    <n v="0"/>
    <n v="0"/>
    <n v="0.25"/>
    <n v="0.21249999999999999"/>
    <n v="0"/>
    <n v="0"/>
    <n v="0"/>
    <n v="0"/>
    <n v="0"/>
    <n v="0"/>
    <n v="0"/>
    <n v="0"/>
    <n v="0"/>
    <n v="0"/>
    <n v="0"/>
    <n v="0"/>
    <n v="0"/>
  </r>
  <r>
    <x v="171"/>
    <x v="166"/>
    <m/>
    <x v="1"/>
    <m/>
    <x v="0"/>
    <m/>
    <m/>
    <m/>
    <m/>
    <m/>
    <m/>
    <x v="0"/>
    <m/>
    <m/>
    <m/>
    <n v="0.75"/>
    <n v="0.8"/>
    <n v="0.60000000000000009"/>
    <n v="1650"/>
    <x v="9"/>
    <s v="Hum"/>
    <x v="1"/>
    <n v="30802"/>
    <n v="63797"/>
    <n v="61379.700000000004"/>
    <n v="70100"/>
    <n v="52575"/>
    <n v="113954.70000000001"/>
    <n v="0"/>
    <n v="0"/>
    <n v="0"/>
    <n v="0"/>
    <n v="1"/>
    <n v="0"/>
    <n v="0"/>
    <n v="0"/>
    <n v="0"/>
    <n v="0"/>
    <n v="0"/>
    <n v="0"/>
    <s v="Enl uttag från Ladok - Erik Å"/>
    <m/>
    <n v="0"/>
    <n v="0"/>
    <n v="0"/>
    <n v="0"/>
    <n v="0"/>
    <n v="0"/>
    <n v="0"/>
    <n v="0"/>
    <n v="0.75"/>
    <n v="0.60000000000000009"/>
    <n v="0"/>
    <n v="0"/>
    <n v="0"/>
    <n v="0"/>
    <n v="0"/>
    <n v="0"/>
    <n v="0"/>
    <n v="0"/>
    <n v="0"/>
    <n v="0"/>
    <n v="0"/>
    <n v="0"/>
    <n v="0"/>
  </r>
  <r>
    <x v="172"/>
    <x v="167"/>
    <m/>
    <x v="0"/>
    <m/>
    <x v="0"/>
    <m/>
    <m/>
    <m/>
    <m/>
    <m/>
    <m/>
    <x v="0"/>
    <m/>
    <m/>
    <m/>
    <n v="2"/>
    <n v="0.85"/>
    <n v="1.7"/>
    <n v="1650"/>
    <x v="9"/>
    <s v="Hum"/>
    <x v="0"/>
    <n v="30802"/>
    <n v="63797"/>
    <n v="170058.9"/>
    <n v="70100"/>
    <n v="140200"/>
    <n v="310258.90000000002"/>
    <n v="0"/>
    <n v="0"/>
    <n v="0"/>
    <n v="0"/>
    <n v="1"/>
    <n v="0"/>
    <n v="0"/>
    <n v="0"/>
    <n v="0"/>
    <n v="0"/>
    <n v="0"/>
    <n v="0"/>
    <s v="Enl uttag från Ladok - Erik Å"/>
    <m/>
    <n v="0"/>
    <n v="0"/>
    <n v="0"/>
    <n v="0"/>
    <n v="0"/>
    <n v="0"/>
    <n v="0"/>
    <n v="0"/>
    <n v="2"/>
    <n v="1.7"/>
    <n v="0"/>
    <n v="0"/>
    <n v="0"/>
    <n v="0"/>
    <n v="0"/>
    <n v="0"/>
    <n v="0"/>
    <n v="0"/>
    <n v="0"/>
    <n v="0"/>
    <n v="0"/>
    <n v="0"/>
    <n v="0"/>
  </r>
  <r>
    <x v="173"/>
    <x v="168"/>
    <m/>
    <x v="0"/>
    <m/>
    <x v="0"/>
    <m/>
    <m/>
    <m/>
    <m/>
    <m/>
    <m/>
    <x v="0"/>
    <m/>
    <m/>
    <m/>
    <n v="2"/>
    <n v="0.85"/>
    <n v="1.7"/>
    <n v="1650"/>
    <x v="9"/>
    <s v="Hum"/>
    <x v="0"/>
    <n v="30802"/>
    <n v="63797"/>
    <n v="170058.9"/>
    <n v="70100"/>
    <n v="140200"/>
    <n v="310258.90000000002"/>
    <n v="0"/>
    <n v="0"/>
    <n v="0"/>
    <n v="0"/>
    <n v="1"/>
    <n v="0"/>
    <n v="0"/>
    <n v="0"/>
    <n v="0"/>
    <n v="0"/>
    <n v="0"/>
    <n v="0"/>
    <s v="Enl uttag från Ladok - Erik Å"/>
    <m/>
    <n v="0"/>
    <n v="0"/>
    <n v="0"/>
    <n v="0"/>
    <n v="0"/>
    <n v="0"/>
    <n v="0"/>
    <n v="0"/>
    <n v="2"/>
    <n v="1.7"/>
    <n v="0"/>
    <n v="0"/>
    <n v="0"/>
    <n v="0"/>
    <n v="0"/>
    <n v="0"/>
    <n v="0"/>
    <n v="0"/>
    <n v="0"/>
    <n v="0"/>
    <n v="0"/>
    <n v="0"/>
    <n v="0"/>
  </r>
  <r>
    <x v="174"/>
    <x v="169"/>
    <m/>
    <x v="12"/>
    <m/>
    <x v="0"/>
    <m/>
    <m/>
    <m/>
    <m/>
    <m/>
    <m/>
    <x v="0"/>
    <m/>
    <m/>
    <m/>
    <n v="3.75"/>
    <n v="0.85"/>
    <n v="3.1875"/>
    <n v="2271"/>
    <x v="15"/>
    <s v="Sam"/>
    <x v="12"/>
    <n v="18405"/>
    <n v="15773"/>
    <n v="119295.1875"/>
    <n v="5800"/>
    <n v="21750"/>
    <n v="141045.1875"/>
    <n v="0"/>
    <n v="0"/>
    <n v="0"/>
    <n v="0"/>
    <n v="0"/>
    <n v="0"/>
    <n v="1"/>
    <n v="0"/>
    <n v="0"/>
    <n v="0"/>
    <n v="0"/>
    <n v="0"/>
    <s v="Enl uttag från Ladok - Erik Å"/>
    <m/>
    <n v="0"/>
    <n v="0"/>
    <n v="0"/>
    <n v="0"/>
    <n v="0"/>
    <n v="0"/>
    <n v="0"/>
    <n v="0"/>
    <n v="0"/>
    <n v="0"/>
    <n v="0"/>
    <n v="0"/>
    <n v="3.75"/>
    <n v="3.1875"/>
    <n v="0"/>
    <n v="0"/>
    <n v="0"/>
    <n v="0"/>
    <n v="0"/>
    <n v="0"/>
    <n v="0"/>
    <n v="0"/>
    <n v="0"/>
  </r>
  <r>
    <x v="175"/>
    <x v="170"/>
    <m/>
    <x v="0"/>
    <m/>
    <x v="0"/>
    <m/>
    <m/>
    <m/>
    <m/>
    <m/>
    <m/>
    <x v="0"/>
    <m/>
    <m/>
    <m/>
    <n v="0.1"/>
    <n v="0.85"/>
    <n v="8.5000000000000006E-2"/>
    <n v="5740"/>
    <x v="6"/>
    <s v="TekNat"/>
    <x v="0"/>
    <n v="21634"/>
    <n v="26986"/>
    <n v="4457.21"/>
    <n v="3400"/>
    <n v="340"/>
    <n v="4797.21"/>
    <n v="0"/>
    <n v="0"/>
    <n v="0"/>
    <n v="0"/>
    <n v="0"/>
    <n v="0"/>
    <n v="0"/>
    <n v="0"/>
    <n v="1"/>
    <n v="0"/>
    <n v="0"/>
    <n v="0"/>
    <s v="Enl uttag från Ladok - Erik Å"/>
    <m/>
    <n v="0"/>
    <n v="0"/>
    <n v="0"/>
    <n v="0"/>
    <n v="0"/>
    <n v="0"/>
    <n v="0"/>
    <n v="0"/>
    <n v="0"/>
    <n v="0"/>
    <n v="0"/>
    <n v="0"/>
    <n v="0"/>
    <n v="0"/>
    <n v="0"/>
    <n v="0"/>
    <n v="0.1"/>
    <n v="8.5000000000000006E-2"/>
    <n v="0"/>
    <n v="0"/>
    <n v="0"/>
    <n v="0"/>
    <n v="0"/>
  </r>
  <r>
    <x v="176"/>
    <x v="171"/>
    <m/>
    <x v="0"/>
    <m/>
    <x v="0"/>
    <m/>
    <m/>
    <m/>
    <m/>
    <m/>
    <m/>
    <x v="0"/>
    <m/>
    <m/>
    <m/>
    <n v="0.375"/>
    <n v="0.85"/>
    <n v="0.31874999999999998"/>
    <n v="5740"/>
    <x v="6"/>
    <s v="TekNat"/>
    <x v="0"/>
    <n v="19473"/>
    <n v="34806"/>
    <n v="18396.787499999999"/>
    <n v="21800"/>
    <n v="8175"/>
    <n v="26571.787499999999"/>
    <n v="0"/>
    <n v="0"/>
    <n v="0"/>
    <n v="0"/>
    <n v="0"/>
    <n v="1"/>
    <n v="0"/>
    <n v="0"/>
    <n v="0"/>
    <n v="0"/>
    <n v="0"/>
    <n v="0"/>
    <s v="Enl uttag från Ladok - Erik Å"/>
    <m/>
    <n v="0"/>
    <n v="0"/>
    <n v="0"/>
    <n v="0"/>
    <n v="0"/>
    <n v="0"/>
    <n v="0"/>
    <n v="0"/>
    <n v="0"/>
    <n v="0"/>
    <n v="0.375"/>
    <n v="0.31874999999999998"/>
    <n v="0"/>
    <n v="0"/>
    <n v="0"/>
    <n v="0"/>
    <n v="0"/>
    <n v="0"/>
    <n v="0"/>
    <n v="0"/>
    <n v="0"/>
    <n v="0"/>
    <n v="0"/>
  </r>
  <r>
    <x v="177"/>
    <x v="172"/>
    <m/>
    <x v="0"/>
    <m/>
    <x v="0"/>
    <m/>
    <m/>
    <m/>
    <m/>
    <m/>
    <m/>
    <x v="0"/>
    <m/>
    <m/>
    <m/>
    <n v="0.125"/>
    <n v="0.85"/>
    <n v="0.10625"/>
    <n v="5740"/>
    <x v="6"/>
    <s v="TekNat"/>
    <x v="0"/>
    <n v="19473"/>
    <n v="34806"/>
    <n v="6132.2624999999998"/>
    <n v="21800"/>
    <n v="2725"/>
    <n v="8857.2625000000007"/>
    <n v="0"/>
    <n v="0"/>
    <n v="0"/>
    <n v="0"/>
    <n v="0"/>
    <n v="1"/>
    <n v="0"/>
    <n v="0"/>
    <n v="0"/>
    <n v="0"/>
    <n v="0"/>
    <n v="0"/>
    <s v="Enl uttag från Ladok - Erik Å"/>
    <m/>
    <n v="0"/>
    <n v="0"/>
    <n v="0"/>
    <n v="0"/>
    <n v="0"/>
    <n v="0"/>
    <n v="0"/>
    <n v="0"/>
    <n v="0"/>
    <n v="0"/>
    <n v="0.125"/>
    <n v="0.10625"/>
    <n v="0"/>
    <n v="0"/>
    <n v="0"/>
    <n v="0"/>
    <n v="0"/>
    <n v="0"/>
    <n v="0"/>
    <n v="0"/>
    <n v="0"/>
    <n v="0"/>
    <n v="0"/>
  </r>
  <r>
    <x v="177"/>
    <x v="172"/>
    <m/>
    <x v="1"/>
    <m/>
    <x v="0"/>
    <m/>
    <m/>
    <m/>
    <m/>
    <m/>
    <m/>
    <x v="0"/>
    <m/>
    <m/>
    <m/>
    <n v="0.125"/>
    <n v="0.8"/>
    <n v="0.1"/>
    <n v="5740"/>
    <x v="6"/>
    <s v="TekNat"/>
    <x v="1"/>
    <n v="19473"/>
    <n v="34806"/>
    <n v="5914.7250000000004"/>
    <n v="21800"/>
    <n v="2725"/>
    <n v="8639.7250000000004"/>
    <n v="0"/>
    <n v="0"/>
    <n v="0"/>
    <n v="0"/>
    <n v="0"/>
    <n v="1"/>
    <n v="0"/>
    <n v="0"/>
    <n v="0"/>
    <n v="0"/>
    <n v="0"/>
    <n v="0"/>
    <s v="Enl uttag från Ladok - Erik Å"/>
    <m/>
    <n v="0"/>
    <n v="0"/>
    <n v="0"/>
    <n v="0"/>
    <n v="0"/>
    <n v="0"/>
    <n v="0"/>
    <n v="0"/>
    <n v="0"/>
    <n v="0"/>
    <n v="0.125"/>
    <n v="0.1"/>
    <n v="0"/>
    <n v="0"/>
    <n v="0"/>
    <n v="0"/>
    <n v="0"/>
    <n v="0"/>
    <n v="0"/>
    <n v="0"/>
    <n v="0"/>
    <n v="0"/>
    <n v="0"/>
  </r>
  <r>
    <x v="178"/>
    <x v="173"/>
    <m/>
    <x v="0"/>
    <m/>
    <x v="0"/>
    <m/>
    <m/>
    <m/>
    <m/>
    <m/>
    <m/>
    <x v="0"/>
    <m/>
    <m/>
    <m/>
    <n v="0.125"/>
    <n v="0.85"/>
    <n v="0.10625"/>
    <n v="5740"/>
    <x v="6"/>
    <s v="TekNat"/>
    <x v="0"/>
    <n v="19473"/>
    <n v="34806"/>
    <n v="6132.2624999999998"/>
    <n v="21800"/>
    <n v="2725"/>
    <n v="8857.2625000000007"/>
    <n v="0"/>
    <n v="0"/>
    <n v="0"/>
    <n v="0"/>
    <n v="0"/>
    <n v="1"/>
    <n v="0"/>
    <n v="0"/>
    <n v="0"/>
    <n v="0"/>
    <n v="0"/>
    <n v="0"/>
    <s v="Enl uttag från Ladok - Erik Å"/>
    <m/>
    <n v="0"/>
    <n v="0"/>
    <n v="0"/>
    <n v="0"/>
    <n v="0"/>
    <n v="0"/>
    <n v="0"/>
    <n v="0"/>
    <n v="0"/>
    <n v="0"/>
    <n v="0.125"/>
    <n v="0.10625"/>
    <n v="0"/>
    <n v="0"/>
    <n v="0"/>
    <n v="0"/>
    <n v="0"/>
    <n v="0"/>
    <n v="0"/>
    <n v="0"/>
    <n v="0"/>
    <n v="0"/>
    <n v="0"/>
  </r>
  <r>
    <x v="178"/>
    <x v="173"/>
    <m/>
    <x v="1"/>
    <m/>
    <x v="0"/>
    <m/>
    <m/>
    <m/>
    <m/>
    <m/>
    <m/>
    <x v="0"/>
    <m/>
    <m/>
    <m/>
    <n v="0.125"/>
    <n v="0.8"/>
    <n v="0.1"/>
    <n v="5740"/>
    <x v="6"/>
    <s v="TekNat"/>
    <x v="1"/>
    <n v="19473"/>
    <n v="34806"/>
    <n v="5914.7250000000004"/>
    <n v="21800"/>
    <n v="2725"/>
    <n v="8639.7250000000004"/>
    <n v="0"/>
    <n v="0"/>
    <n v="0"/>
    <n v="0"/>
    <n v="0"/>
    <n v="1"/>
    <n v="0"/>
    <n v="0"/>
    <n v="0"/>
    <n v="0"/>
    <n v="0"/>
    <n v="0"/>
    <s v="Enl uttag från Ladok - Erik Å"/>
    <m/>
    <n v="0"/>
    <n v="0"/>
    <n v="0"/>
    <n v="0"/>
    <n v="0"/>
    <n v="0"/>
    <n v="0"/>
    <n v="0"/>
    <n v="0"/>
    <n v="0"/>
    <n v="0.125"/>
    <n v="0.1"/>
    <n v="0"/>
    <n v="0"/>
    <n v="0"/>
    <n v="0"/>
    <n v="0"/>
    <n v="0"/>
    <n v="0"/>
    <n v="0"/>
    <n v="0"/>
    <n v="0"/>
    <n v="0"/>
  </r>
  <r>
    <x v="179"/>
    <x v="174"/>
    <m/>
    <x v="8"/>
    <m/>
    <x v="0"/>
    <m/>
    <m/>
    <m/>
    <m/>
    <m/>
    <m/>
    <x v="0"/>
    <m/>
    <m/>
    <m/>
    <n v="3.25"/>
    <n v="0.85"/>
    <n v="2.7624999999999997"/>
    <n v="5740"/>
    <x v="6"/>
    <s v="TekNat"/>
    <x v="8"/>
    <n v="19473"/>
    <n v="34806"/>
    <n v="159438.82500000001"/>
    <n v="21800"/>
    <n v="70850"/>
    <n v="230288.82500000001"/>
    <n v="0"/>
    <n v="0"/>
    <n v="0"/>
    <n v="0"/>
    <n v="0"/>
    <n v="1"/>
    <n v="0"/>
    <n v="0"/>
    <n v="0"/>
    <n v="0"/>
    <n v="0"/>
    <n v="0"/>
    <s v="Enl uttag från Ladok - Erik Å"/>
    <m/>
    <n v="0"/>
    <n v="0"/>
    <n v="0"/>
    <n v="0"/>
    <n v="0"/>
    <n v="0"/>
    <n v="0"/>
    <n v="0"/>
    <n v="0"/>
    <n v="0"/>
    <n v="3.25"/>
    <n v="2.7624999999999997"/>
    <n v="0"/>
    <n v="0"/>
    <n v="0"/>
    <n v="0"/>
    <n v="0"/>
    <n v="0"/>
    <n v="0"/>
    <n v="0"/>
    <n v="0"/>
    <n v="0"/>
    <n v="0"/>
  </r>
  <r>
    <x v="180"/>
    <x v="175"/>
    <m/>
    <x v="2"/>
    <m/>
    <x v="0"/>
    <m/>
    <m/>
    <m/>
    <m/>
    <m/>
    <m/>
    <x v="0"/>
    <m/>
    <m/>
    <m/>
    <n v="9.75"/>
    <n v="0.85"/>
    <n v="8.2874999999999996"/>
    <n v="5740"/>
    <x v="6"/>
    <s v="TekNat"/>
    <x v="2"/>
    <n v="19473"/>
    <n v="34806"/>
    <n v="478316.47499999998"/>
    <n v="21800"/>
    <n v="212550"/>
    <n v="690866.47499999998"/>
    <n v="0"/>
    <n v="0"/>
    <n v="0"/>
    <n v="0"/>
    <n v="0"/>
    <n v="1"/>
    <n v="0"/>
    <n v="0"/>
    <n v="0"/>
    <n v="0"/>
    <n v="0"/>
    <n v="0"/>
    <s v="Enl uttag från Ladok - Erik Å"/>
    <m/>
    <n v="0"/>
    <n v="0"/>
    <n v="0"/>
    <n v="0"/>
    <n v="0"/>
    <n v="0"/>
    <n v="0"/>
    <n v="0"/>
    <n v="0"/>
    <n v="0"/>
    <n v="9.75"/>
    <n v="8.2874999999999996"/>
    <n v="0"/>
    <n v="0"/>
    <n v="0"/>
    <n v="0"/>
    <n v="0"/>
    <n v="0"/>
    <n v="0"/>
    <n v="0"/>
    <n v="0"/>
    <n v="0"/>
    <n v="0"/>
  </r>
  <r>
    <x v="181"/>
    <x v="176"/>
    <m/>
    <x v="3"/>
    <m/>
    <x v="0"/>
    <m/>
    <m/>
    <m/>
    <m/>
    <m/>
    <m/>
    <x v="0"/>
    <m/>
    <m/>
    <m/>
    <n v="5.5"/>
    <n v="0.85"/>
    <n v="4.6749999999999998"/>
    <n v="5740"/>
    <x v="6"/>
    <s v="TekNat"/>
    <x v="3"/>
    <n v="19473"/>
    <n v="34806"/>
    <n v="269819.55"/>
    <n v="21800"/>
    <n v="119900"/>
    <n v="389719.55"/>
    <n v="0"/>
    <n v="0"/>
    <n v="0"/>
    <n v="0"/>
    <n v="0"/>
    <n v="1"/>
    <n v="0"/>
    <n v="0"/>
    <n v="0"/>
    <n v="0"/>
    <n v="0"/>
    <n v="0"/>
    <s v="Enl uttag från Ladok - Erik Å"/>
    <m/>
    <n v="0"/>
    <n v="0"/>
    <n v="0"/>
    <n v="0"/>
    <n v="0"/>
    <n v="0"/>
    <n v="0"/>
    <n v="0"/>
    <n v="0"/>
    <n v="0"/>
    <n v="5.5"/>
    <n v="4.6749999999999998"/>
    <n v="0"/>
    <n v="0"/>
    <n v="0"/>
    <n v="0"/>
    <n v="0"/>
    <n v="0"/>
    <n v="0"/>
    <n v="0"/>
    <n v="0"/>
    <n v="0"/>
    <n v="0"/>
  </r>
  <r>
    <x v="182"/>
    <x v="177"/>
    <m/>
    <x v="1"/>
    <m/>
    <x v="0"/>
    <m/>
    <m/>
    <m/>
    <m/>
    <m/>
    <m/>
    <x v="0"/>
    <m/>
    <m/>
    <m/>
    <n v="0.375"/>
    <n v="0.8"/>
    <n v="0.30000000000000004"/>
    <n v="5740"/>
    <x v="6"/>
    <s v="TekNat"/>
    <x v="1"/>
    <n v="19473"/>
    <n v="34806"/>
    <n v="17744.175000000003"/>
    <n v="21800"/>
    <n v="8175"/>
    <n v="25919.175000000003"/>
    <n v="0"/>
    <n v="0"/>
    <n v="0"/>
    <n v="0"/>
    <n v="0"/>
    <n v="1"/>
    <n v="0"/>
    <n v="0"/>
    <n v="0"/>
    <n v="0"/>
    <n v="0"/>
    <n v="0"/>
    <s v="Enl uttag från Ladok - Erik Å"/>
    <m/>
    <n v="0"/>
    <n v="0"/>
    <n v="0"/>
    <n v="0"/>
    <n v="0"/>
    <n v="0"/>
    <n v="0"/>
    <n v="0"/>
    <n v="0"/>
    <n v="0"/>
    <n v="0.375"/>
    <n v="0.30000000000000004"/>
    <n v="0"/>
    <n v="0"/>
    <n v="0"/>
    <n v="0"/>
    <n v="0"/>
    <n v="0"/>
    <n v="0"/>
    <n v="0"/>
    <n v="0"/>
    <n v="0"/>
    <n v="0"/>
  </r>
  <r>
    <x v="183"/>
    <x v="178"/>
    <m/>
    <x v="7"/>
    <m/>
    <x v="0"/>
    <m/>
    <m/>
    <m/>
    <m/>
    <m/>
    <m/>
    <x v="0"/>
    <m/>
    <m/>
    <m/>
    <n v="13.25"/>
    <n v="0.85"/>
    <n v="11.262499999999999"/>
    <n v="5740"/>
    <x v="6"/>
    <s v="TekNat"/>
    <x v="7"/>
    <n v="19473"/>
    <n v="34806"/>
    <n v="650019.82499999995"/>
    <n v="21800"/>
    <n v="288850"/>
    <n v="938869.82499999995"/>
    <n v="0"/>
    <n v="0"/>
    <n v="0"/>
    <n v="0"/>
    <n v="0"/>
    <n v="1"/>
    <n v="0"/>
    <n v="0"/>
    <n v="0"/>
    <n v="0"/>
    <n v="0"/>
    <n v="0"/>
    <s v="Enl uttag från Ladok - Erik Å"/>
    <m/>
    <n v="0"/>
    <n v="0"/>
    <n v="0"/>
    <n v="0"/>
    <n v="0"/>
    <n v="0"/>
    <n v="0"/>
    <n v="0"/>
    <n v="0"/>
    <n v="0"/>
    <n v="13.25"/>
    <n v="11.262499999999999"/>
    <n v="0"/>
    <n v="0"/>
    <n v="0"/>
    <n v="0"/>
    <n v="0"/>
    <n v="0"/>
    <n v="0"/>
    <n v="0"/>
    <n v="0"/>
    <n v="0"/>
    <n v="0"/>
  </r>
  <r>
    <x v="184"/>
    <x v="179"/>
    <m/>
    <x v="1"/>
    <m/>
    <x v="0"/>
    <m/>
    <m/>
    <m/>
    <m/>
    <m/>
    <m/>
    <x v="0"/>
    <m/>
    <m/>
    <m/>
    <n v="2.125"/>
    <n v="0.8"/>
    <n v="1.7000000000000002"/>
    <n v="5740"/>
    <x v="6"/>
    <s v="TekNat"/>
    <x v="1"/>
    <n v="19473"/>
    <n v="34806"/>
    <n v="100550.32500000001"/>
    <n v="21800"/>
    <n v="46325"/>
    <n v="146875.32500000001"/>
    <n v="0"/>
    <n v="0"/>
    <n v="0"/>
    <n v="0"/>
    <n v="0"/>
    <n v="1"/>
    <n v="0"/>
    <n v="0"/>
    <n v="0"/>
    <n v="0"/>
    <n v="0"/>
    <n v="0"/>
    <s v="Enl uttag från Ladok - Erik Å"/>
    <m/>
    <n v="0"/>
    <n v="0"/>
    <n v="0"/>
    <n v="0"/>
    <n v="0"/>
    <n v="0"/>
    <n v="0"/>
    <n v="0"/>
    <n v="0"/>
    <n v="0"/>
    <n v="2.125"/>
    <n v="1.7000000000000002"/>
    <n v="0"/>
    <n v="0"/>
    <n v="0"/>
    <n v="0"/>
    <n v="0"/>
    <n v="0"/>
    <n v="0"/>
    <n v="0"/>
    <n v="0"/>
    <n v="0"/>
    <n v="0"/>
  </r>
  <r>
    <x v="185"/>
    <x v="180"/>
    <m/>
    <x v="12"/>
    <m/>
    <x v="0"/>
    <m/>
    <m/>
    <m/>
    <m/>
    <m/>
    <m/>
    <x v="0"/>
    <m/>
    <m/>
    <m/>
    <n v="18.5"/>
    <n v="0.85"/>
    <n v="15.725"/>
    <n v="2193"/>
    <x v="12"/>
    <s v="Sam"/>
    <x v="12"/>
    <n v="18405"/>
    <n v="15773"/>
    <n v="588522.92500000005"/>
    <n v="5800"/>
    <n v="107300"/>
    <n v="695822.92500000005"/>
    <n v="0"/>
    <n v="0"/>
    <n v="0"/>
    <n v="0"/>
    <n v="0"/>
    <n v="0"/>
    <n v="1"/>
    <n v="0"/>
    <n v="0"/>
    <n v="0"/>
    <n v="0"/>
    <n v="0"/>
    <s v="Enl uttag från Ladok - Erik Å"/>
    <m/>
    <n v="0"/>
    <n v="0"/>
    <n v="0"/>
    <n v="0"/>
    <n v="0"/>
    <n v="0"/>
    <n v="0"/>
    <n v="0"/>
    <n v="0"/>
    <n v="0"/>
    <n v="0"/>
    <n v="0"/>
    <n v="18.5"/>
    <n v="15.725"/>
    <n v="0"/>
    <n v="0"/>
    <n v="0"/>
    <n v="0"/>
    <n v="0"/>
    <n v="0"/>
    <n v="0"/>
    <n v="0"/>
    <n v="0"/>
  </r>
  <r>
    <x v="186"/>
    <x v="181"/>
    <m/>
    <x v="8"/>
    <m/>
    <x v="0"/>
    <m/>
    <m/>
    <m/>
    <m/>
    <m/>
    <m/>
    <x v="0"/>
    <m/>
    <m/>
    <m/>
    <n v="3.125"/>
    <n v="0.85"/>
    <n v="2.65625"/>
    <n v="2193"/>
    <x v="12"/>
    <s v="Sam"/>
    <x v="8"/>
    <n v="18405"/>
    <n v="15773"/>
    <n v="99412.65625"/>
    <n v="5800"/>
    <n v="18125"/>
    <n v="117537.65625"/>
    <n v="0"/>
    <n v="0"/>
    <n v="0"/>
    <n v="0"/>
    <n v="0"/>
    <n v="0"/>
    <n v="1"/>
    <n v="0"/>
    <n v="0"/>
    <n v="0"/>
    <n v="0"/>
    <n v="0"/>
    <s v="Enl uttag från Ladok - Erik Å"/>
    <m/>
    <n v="0"/>
    <n v="0"/>
    <n v="0"/>
    <n v="0"/>
    <n v="0"/>
    <n v="0"/>
    <n v="0"/>
    <n v="0"/>
    <n v="0"/>
    <n v="0"/>
    <n v="0"/>
    <n v="0"/>
    <n v="3.125"/>
    <n v="2.65625"/>
    <n v="0"/>
    <n v="0"/>
    <n v="0"/>
    <n v="0"/>
    <n v="0"/>
    <n v="0"/>
    <n v="0"/>
    <n v="0"/>
    <n v="0"/>
  </r>
  <r>
    <x v="187"/>
    <x v="182"/>
    <m/>
    <x v="8"/>
    <m/>
    <x v="0"/>
    <m/>
    <m/>
    <m/>
    <m/>
    <m/>
    <m/>
    <x v="0"/>
    <m/>
    <m/>
    <m/>
    <n v="6"/>
    <n v="0.85"/>
    <n v="5.0999999999999996"/>
    <n v="2193"/>
    <x v="12"/>
    <s v="Sam"/>
    <x v="8"/>
    <n v="18405"/>
    <n v="15773"/>
    <n v="190872.3"/>
    <n v="5800"/>
    <n v="34800"/>
    <n v="225672.3"/>
    <n v="0"/>
    <n v="0"/>
    <n v="0"/>
    <n v="0"/>
    <n v="0"/>
    <n v="0"/>
    <n v="1"/>
    <n v="0"/>
    <n v="0"/>
    <n v="0"/>
    <n v="0"/>
    <n v="0"/>
    <s v="Enl uttag från Ladok - Erik Å"/>
    <m/>
    <n v="0"/>
    <n v="0"/>
    <n v="0"/>
    <n v="0"/>
    <n v="0"/>
    <n v="0"/>
    <n v="0"/>
    <n v="0"/>
    <n v="0"/>
    <n v="0"/>
    <n v="0"/>
    <n v="0"/>
    <n v="6"/>
    <n v="5.0999999999999996"/>
    <n v="0"/>
    <n v="0"/>
    <n v="0"/>
    <n v="0"/>
    <n v="0"/>
    <n v="0"/>
    <n v="0"/>
    <n v="0"/>
    <n v="0"/>
  </r>
  <r>
    <x v="188"/>
    <x v="183"/>
    <m/>
    <x v="9"/>
    <m/>
    <x v="0"/>
    <m/>
    <m/>
    <m/>
    <m/>
    <m/>
    <m/>
    <x v="0"/>
    <m/>
    <m/>
    <m/>
    <n v="10.75"/>
    <n v="0.85"/>
    <n v="9.1374999999999993"/>
    <n v="2180"/>
    <x v="11"/>
    <s v="Sam"/>
    <x v="9"/>
    <n v="23641"/>
    <n v="28786"/>
    <n v="517172.82499999995"/>
    <n v="5800"/>
    <n v="62350"/>
    <n v="579522.82499999995"/>
    <n v="0"/>
    <n v="0"/>
    <n v="0"/>
    <n v="1"/>
    <n v="0"/>
    <n v="0"/>
    <n v="0"/>
    <n v="0"/>
    <n v="0"/>
    <n v="0"/>
    <n v="0"/>
    <n v="0"/>
    <s v="Enl uttag från Ladok - Erik Å"/>
    <m/>
    <n v="0"/>
    <n v="0"/>
    <n v="0"/>
    <n v="0"/>
    <n v="0"/>
    <n v="0"/>
    <n v="10.75"/>
    <n v="9.1374999999999993"/>
    <n v="0"/>
    <n v="0"/>
    <n v="0"/>
    <n v="0"/>
    <n v="0"/>
    <n v="0"/>
    <n v="0"/>
    <n v="0"/>
    <n v="0"/>
    <n v="0"/>
    <n v="0"/>
    <n v="0"/>
    <n v="0"/>
    <n v="0"/>
    <n v="0"/>
  </r>
  <r>
    <x v="189"/>
    <x v="184"/>
    <m/>
    <x v="1"/>
    <m/>
    <x v="0"/>
    <m/>
    <m/>
    <m/>
    <m/>
    <m/>
    <m/>
    <x v="0"/>
    <m/>
    <m/>
    <m/>
    <n v="2.25"/>
    <n v="0.8"/>
    <n v="1.8"/>
    <n v="2193"/>
    <x v="12"/>
    <s v="Sam"/>
    <x v="1"/>
    <n v="18405"/>
    <n v="15773"/>
    <n v="69802.649999999994"/>
    <n v="5800"/>
    <n v="13050"/>
    <n v="82852.649999999994"/>
    <n v="0"/>
    <n v="0"/>
    <n v="0"/>
    <n v="0"/>
    <n v="0"/>
    <n v="0"/>
    <n v="1"/>
    <n v="0"/>
    <n v="0"/>
    <n v="0"/>
    <n v="0"/>
    <n v="0"/>
    <s v="Enl uttag från Ladok - Erik Å"/>
    <m/>
    <n v="0"/>
    <n v="0"/>
    <n v="0"/>
    <n v="0"/>
    <n v="0"/>
    <n v="0"/>
    <n v="0"/>
    <n v="0"/>
    <n v="0"/>
    <n v="0"/>
    <n v="0"/>
    <n v="0"/>
    <n v="2.25"/>
    <n v="1.8"/>
    <n v="0"/>
    <n v="0"/>
    <n v="0"/>
    <n v="0"/>
    <n v="0"/>
    <n v="0"/>
    <n v="0"/>
    <n v="0"/>
    <n v="0"/>
  </r>
  <r>
    <x v="190"/>
    <x v="185"/>
    <m/>
    <x v="9"/>
    <m/>
    <x v="0"/>
    <m/>
    <m/>
    <m/>
    <m/>
    <m/>
    <m/>
    <x v="0"/>
    <m/>
    <m/>
    <m/>
    <n v="4.3333300000000001"/>
    <n v="0.85"/>
    <n v="3.6833304999999998"/>
    <n v="2193"/>
    <x v="12"/>
    <s v="Sam"/>
    <x v="9"/>
    <n v="23641"/>
    <n v="28786"/>
    <n v="208472.60630300001"/>
    <n v="5800"/>
    <n v="25133.314000000002"/>
    <n v="233605.92030300002"/>
    <n v="0"/>
    <n v="0"/>
    <n v="0"/>
    <n v="1"/>
    <n v="0"/>
    <n v="0"/>
    <n v="0"/>
    <n v="0"/>
    <n v="0"/>
    <n v="0"/>
    <n v="0"/>
    <n v="0"/>
    <s v="Enl uttag från Ladok - Erik Å"/>
    <m/>
    <n v="0"/>
    <n v="0"/>
    <n v="0"/>
    <n v="0"/>
    <n v="0"/>
    <n v="0"/>
    <n v="4.3333300000000001"/>
    <n v="3.6833304999999998"/>
    <n v="0"/>
    <n v="0"/>
    <n v="0"/>
    <n v="0"/>
    <n v="0"/>
    <n v="0"/>
    <n v="0"/>
    <n v="0"/>
    <n v="0"/>
    <n v="0"/>
    <n v="0"/>
    <n v="0"/>
    <n v="0"/>
    <n v="0"/>
    <n v="0"/>
  </r>
  <r>
    <x v="191"/>
    <x v="186"/>
    <m/>
    <x v="9"/>
    <m/>
    <x v="0"/>
    <m/>
    <m/>
    <m/>
    <m/>
    <m/>
    <m/>
    <x v="0"/>
    <m/>
    <m/>
    <m/>
    <n v="2.0833300000000001"/>
    <n v="0.85"/>
    <n v="1.7708305"/>
    <n v="2193"/>
    <x v="12"/>
    <s v="Sam"/>
    <x v="9"/>
    <n v="23641"/>
    <n v="28786"/>
    <n v="100227.131303"/>
    <n v="5800"/>
    <n v="12083.314"/>
    <n v="112310.445303"/>
    <n v="0"/>
    <n v="0"/>
    <n v="0"/>
    <n v="1"/>
    <n v="0"/>
    <n v="0"/>
    <n v="0"/>
    <n v="0"/>
    <n v="0"/>
    <n v="0"/>
    <n v="0"/>
    <n v="0"/>
    <s v="Enl uttag från Ladok - Erik Å"/>
    <m/>
    <n v="0"/>
    <n v="0"/>
    <n v="0"/>
    <n v="0"/>
    <n v="0"/>
    <n v="0"/>
    <n v="2.0833300000000001"/>
    <n v="1.7708305"/>
    <n v="0"/>
    <n v="0"/>
    <n v="0"/>
    <n v="0"/>
    <n v="0"/>
    <n v="0"/>
    <n v="0"/>
    <n v="0"/>
    <n v="0"/>
    <n v="0"/>
    <n v="0"/>
    <n v="0"/>
    <n v="0"/>
    <n v="0"/>
    <n v="0"/>
  </r>
  <r>
    <x v="192"/>
    <x v="187"/>
    <m/>
    <x v="1"/>
    <m/>
    <x v="0"/>
    <m/>
    <m/>
    <m/>
    <m/>
    <m/>
    <m/>
    <x v="0"/>
    <m/>
    <m/>
    <m/>
    <n v="0.25"/>
    <n v="0.8"/>
    <n v="0.2"/>
    <n v="2193"/>
    <x v="12"/>
    <s v="Sam"/>
    <x v="1"/>
    <n v="18405"/>
    <n v="15773"/>
    <n v="7755.85"/>
    <n v="5800"/>
    <n v="1450"/>
    <n v="9205.85"/>
    <n v="0"/>
    <n v="0"/>
    <n v="0"/>
    <n v="0"/>
    <n v="0"/>
    <n v="0"/>
    <n v="1"/>
    <n v="0"/>
    <n v="0"/>
    <n v="0"/>
    <n v="0"/>
    <n v="0"/>
    <s v="Enl uttag från Ladok - Erik Å"/>
    <m/>
    <n v="0"/>
    <n v="0"/>
    <n v="0"/>
    <n v="0"/>
    <n v="0"/>
    <n v="0"/>
    <n v="0"/>
    <n v="0"/>
    <n v="0"/>
    <n v="0"/>
    <n v="0"/>
    <n v="0"/>
    <n v="0.25"/>
    <n v="0.2"/>
    <n v="0"/>
    <n v="0"/>
    <n v="0"/>
    <n v="0"/>
    <n v="0"/>
    <n v="0"/>
    <n v="0"/>
    <n v="0"/>
    <n v="0"/>
  </r>
  <r>
    <x v="193"/>
    <x v="188"/>
    <m/>
    <x v="2"/>
    <m/>
    <x v="0"/>
    <m/>
    <m/>
    <m/>
    <m/>
    <m/>
    <m/>
    <x v="0"/>
    <m/>
    <m/>
    <m/>
    <n v="9.5"/>
    <n v="0.85"/>
    <n v="8.0749999999999993"/>
    <n v="2180"/>
    <x v="11"/>
    <s v="Sam"/>
    <x v="2"/>
    <n v="18405"/>
    <n v="15773"/>
    <n v="302214.47499999998"/>
    <n v="5800"/>
    <n v="55100"/>
    <n v="357314.47499999998"/>
    <n v="0"/>
    <n v="0"/>
    <n v="0"/>
    <n v="0"/>
    <n v="0"/>
    <n v="0"/>
    <n v="1"/>
    <n v="0"/>
    <n v="0"/>
    <n v="0"/>
    <n v="0"/>
    <n v="0"/>
    <s v="Enl uttag från Ladok - Erik Å"/>
    <m/>
    <n v="0"/>
    <n v="0"/>
    <n v="0"/>
    <n v="0"/>
    <n v="0"/>
    <n v="0"/>
    <n v="0"/>
    <n v="0"/>
    <n v="0"/>
    <n v="0"/>
    <n v="0"/>
    <n v="0"/>
    <n v="9.5"/>
    <n v="8.0749999999999993"/>
    <n v="0"/>
    <n v="0"/>
    <n v="0"/>
    <n v="0"/>
    <n v="0"/>
    <n v="0"/>
    <n v="0"/>
    <n v="0"/>
    <n v="0"/>
  </r>
  <r>
    <x v="194"/>
    <x v="189"/>
    <m/>
    <x v="0"/>
    <m/>
    <x v="0"/>
    <m/>
    <m/>
    <m/>
    <m/>
    <m/>
    <m/>
    <x v="0"/>
    <m/>
    <m/>
    <m/>
    <n v="0.5"/>
    <n v="0.85"/>
    <n v="0.42499999999999999"/>
    <n v="5740"/>
    <x v="6"/>
    <s v="TekNat"/>
    <x v="0"/>
    <n v="19473"/>
    <n v="34806"/>
    <n v="24529.05"/>
    <n v="21800"/>
    <n v="10900"/>
    <n v="35429.050000000003"/>
    <n v="0"/>
    <n v="0"/>
    <n v="0"/>
    <n v="0"/>
    <n v="0"/>
    <n v="1"/>
    <n v="0"/>
    <n v="0"/>
    <n v="0"/>
    <n v="0"/>
    <n v="0"/>
    <n v="0"/>
    <s v="Enl uttag från Ladok - Erik Å"/>
    <m/>
    <n v="0"/>
    <n v="0"/>
    <n v="0"/>
    <n v="0"/>
    <n v="0"/>
    <n v="0"/>
    <n v="0"/>
    <n v="0"/>
    <n v="0"/>
    <n v="0"/>
    <n v="0.5"/>
    <n v="0.42499999999999999"/>
    <n v="0"/>
    <n v="0"/>
    <n v="0"/>
    <n v="0"/>
    <n v="0"/>
    <n v="0"/>
    <n v="0"/>
    <n v="0"/>
    <n v="0"/>
    <n v="0"/>
    <n v="0"/>
  </r>
  <r>
    <x v="194"/>
    <x v="189"/>
    <m/>
    <x v="1"/>
    <m/>
    <x v="0"/>
    <m/>
    <m/>
    <m/>
    <m/>
    <m/>
    <m/>
    <x v="0"/>
    <m/>
    <m/>
    <m/>
    <n v="0.75"/>
    <n v="0.8"/>
    <n v="0.60000000000000009"/>
    <n v="5740"/>
    <x v="6"/>
    <s v="TekNat"/>
    <x v="1"/>
    <n v="19473"/>
    <n v="34806"/>
    <n v="35488.350000000006"/>
    <n v="21800"/>
    <n v="16350"/>
    <n v="51838.350000000006"/>
    <n v="0"/>
    <n v="0"/>
    <n v="0"/>
    <n v="0"/>
    <n v="0"/>
    <n v="1"/>
    <n v="0"/>
    <n v="0"/>
    <n v="0"/>
    <n v="0"/>
    <n v="0"/>
    <n v="0"/>
    <s v="Enl uttag från Ladok - Erik Å"/>
    <m/>
    <n v="0"/>
    <n v="0"/>
    <n v="0"/>
    <n v="0"/>
    <n v="0"/>
    <n v="0"/>
    <n v="0"/>
    <n v="0"/>
    <n v="0"/>
    <n v="0"/>
    <n v="0.75"/>
    <n v="0.60000000000000009"/>
    <n v="0"/>
    <n v="0"/>
    <n v="0"/>
    <n v="0"/>
    <n v="0"/>
    <n v="0"/>
    <n v="0"/>
    <n v="0"/>
    <n v="0"/>
    <n v="0"/>
    <n v="0"/>
  </r>
  <r>
    <x v="195"/>
    <x v="190"/>
    <m/>
    <x v="7"/>
    <m/>
    <x v="0"/>
    <m/>
    <m/>
    <m/>
    <m/>
    <m/>
    <m/>
    <x v="0"/>
    <m/>
    <m/>
    <m/>
    <n v="7.8"/>
    <n v="0.85"/>
    <n v="6.63"/>
    <n v="2193"/>
    <x v="12"/>
    <s v="Sam"/>
    <x v="7"/>
    <n v="23641"/>
    <n v="28786"/>
    <n v="375250.98"/>
    <n v="5800"/>
    <n v="45240"/>
    <n v="420490.98"/>
    <n v="0"/>
    <n v="0"/>
    <n v="0"/>
    <n v="1"/>
    <n v="0"/>
    <n v="0"/>
    <n v="0"/>
    <n v="0"/>
    <n v="0"/>
    <n v="0"/>
    <n v="0"/>
    <n v="0"/>
    <s v="Enl uttag från Ladok - Erik Å"/>
    <m/>
    <n v="0"/>
    <n v="0"/>
    <n v="0"/>
    <n v="0"/>
    <n v="0"/>
    <n v="0"/>
    <n v="7.8"/>
    <n v="6.63"/>
    <n v="0"/>
    <n v="0"/>
    <n v="0"/>
    <n v="0"/>
    <n v="0"/>
    <n v="0"/>
    <n v="0"/>
    <n v="0"/>
    <n v="0"/>
    <n v="0"/>
    <n v="0"/>
    <n v="0"/>
    <n v="0"/>
    <n v="0"/>
    <n v="0"/>
  </r>
  <r>
    <x v="196"/>
    <x v="191"/>
    <m/>
    <x v="7"/>
    <m/>
    <x v="0"/>
    <m/>
    <m/>
    <m/>
    <m/>
    <m/>
    <m/>
    <x v="0"/>
    <m/>
    <m/>
    <m/>
    <n v="1.8"/>
    <n v="0.85"/>
    <n v="1.53"/>
    <n v="2193"/>
    <x v="12"/>
    <s v="Sam"/>
    <x v="7"/>
    <n v="21634"/>
    <n v="26986"/>
    <n v="80229.78"/>
    <n v="3400"/>
    <n v="6120"/>
    <n v="86349.78"/>
    <n v="0"/>
    <n v="0"/>
    <n v="0"/>
    <n v="0"/>
    <n v="0"/>
    <n v="0"/>
    <n v="0"/>
    <n v="0"/>
    <n v="1"/>
    <n v="0"/>
    <n v="0"/>
    <n v="0"/>
    <s v="Enl uttag från Ladok - Erik Å"/>
    <m/>
    <n v="0"/>
    <n v="0"/>
    <n v="0"/>
    <n v="0"/>
    <n v="0"/>
    <n v="0"/>
    <n v="0"/>
    <n v="0"/>
    <n v="0"/>
    <n v="0"/>
    <n v="0"/>
    <n v="0"/>
    <n v="0"/>
    <n v="0"/>
    <n v="0"/>
    <n v="0"/>
    <n v="1.8"/>
    <n v="1.53"/>
    <n v="0"/>
    <n v="0"/>
    <n v="0"/>
    <n v="0"/>
    <n v="0"/>
  </r>
  <r>
    <x v="197"/>
    <x v="192"/>
    <m/>
    <x v="0"/>
    <m/>
    <x v="0"/>
    <m/>
    <m/>
    <m/>
    <m/>
    <m/>
    <m/>
    <x v="0"/>
    <m/>
    <m/>
    <m/>
    <n v="14.7"/>
    <n v="0.85"/>
    <n v="12.494999999999999"/>
    <n v="2180"/>
    <x v="11"/>
    <s v="Sam"/>
    <x v="0"/>
    <n v="23641"/>
    <n v="28786"/>
    <n v="707203.77"/>
    <n v="5800"/>
    <n v="85260"/>
    <n v="792463.77"/>
    <n v="0"/>
    <n v="0"/>
    <n v="0"/>
    <n v="1"/>
    <n v="0"/>
    <n v="0"/>
    <n v="0"/>
    <n v="0"/>
    <n v="0"/>
    <n v="0"/>
    <n v="0"/>
    <n v="0"/>
    <s v="Enl uttag från Ladok - Erik Å"/>
    <m/>
    <n v="0"/>
    <n v="0"/>
    <n v="0"/>
    <n v="0"/>
    <n v="0"/>
    <n v="0"/>
    <n v="14.7"/>
    <n v="12.494999999999999"/>
    <n v="0"/>
    <n v="0"/>
    <n v="0"/>
    <n v="0"/>
    <n v="0"/>
    <n v="0"/>
    <n v="0"/>
    <n v="0"/>
    <n v="0"/>
    <n v="0"/>
    <n v="0"/>
    <n v="0"/>
    <n v="0"/>
    <n v="0"/>
    <n v="0"/>
  </r>
  <r>
    <x v="198"/>
    <x v="193"/>
    <m/>
    <x v="0"/>
    <m/>
    <x v="0"/>
    <m/>
    <m/>
    <m/>
    <m/>
    <m/>
    <m/>
    <x v="0"/>
    <m/>
    <m/>
    <m/>
    <n v="3.5750000000000002"/>
    <n v="0.85"/>
    <n v="3.0387500000000003"/>
    <n v="2180"/>
    <x v="11"/>
    <s v="Sam"/>
    <x v="0"/>
    <n v="21634"/>
    <n v="26986"/>
    <n v="159345.25750000001"/>
    <n v="3400"/>
    <n v="12155"/>
    <n v="171500.25750000001"/>
    <n v="0"/>
    <n v="0"/>
    <n v="0"/>
    <n v="0"/>
    <n v="0"/>
    <n v="0"/>
    <n v="0"/>
    <n v="0"/>
    <n v="1"/>
    <n v="0"/>
    <n v="0"/>
    <n v="0"/>
    <s v="Enl uttag från Ladok - Erik Å"/>
    <m/>
    <n v="0"/>
    <n v="0"/>
    <n v="0"/>
    <n v="0"/>
    <n v="0"/>
    <n v="0"/>
    <n v="0"/>
    <n v="0"/>
    <n v="0"/>
    <n v="0"/>
    <n v="0"/>
    <n v="0"/>
    <n v="0"/>
    <n v="0"/>
    <n v="0"/>
    <n v="0"/>
    <n v="3.5750000000000002"/>
    <n v="3.0387500000000003"/>
    <n v="0"/>
    <n v="0"/>
    <n v="0"/>
    <n v="0"/>
    <n v="0"/>
  </r>
  <r>
    <x v="199"/>
    <x v="194"/>
    <m/>
    <x v="0"/>
    <m/>
    <x v="0"/>
    <m/>
    <m/>
    <m/>
    <m/>
    <m/>
    <m/>
    <x v="0"/>
    <m/>
    <m/>
    <m/>
    <n v="17.25"/>
    <n v="0.85"/>
    <n v="14.6625"/>
    <n v="2180"/>
    <x v="11"/>
    <s v="Sam"/>
    <x v="0"/>
    <n v="23641"/>
    <n v="28786"/>
    <n v="829881.97499999998"/>
    <n v="5800"/>
    <n v="100050"/>
    <n v="929931.97499999998"/>
    <n v="0"/>
    <n v="0"/>
    <n v="0"/>
    <n v="1"/>
    <n v="0"/>
    <n v="0"/>
    <n v="0"/>
    <n v="0"/>
    <n v="0"/>
    <n v="0"/>
    <n v="0"/>
    <n v="0"/>
    <s v="Enl uttag från Ladok - Erik Å"/>
    <m/>
    <n v="0"/>
    <n v="0"/>
    <n v="0"/>
    <n v="0"/>
    <n v="0"/>
    <n v="0"/>
    <n v="17.25"/>
    <n v="14.6625"/>
    <n v="0"/>
    <n v="0"/>
    <n v="0"/>
    <n v="0"/>
    <n v="0"/>
    <n v="0"/>
    <n v="0"/>
    <n v="0"/>
    <n v="0"/>
    <n v="0"/>
    <n v="0"/>
    <n v="0"/>
    <n v="0"/>
    <n v="0"/>
    <n v="0"/>
  </r>
  <r>
    <x v="199"/>
    <x v="194"/>
    <m/>
    <x v="7"/>
    <m/>
    <x v="0"/>
    <m/>
    <m/>
    <m/>
    <m/>
    <m/>
    <m/>
    <x v="0"/>
    <m/>
    <m/>
    <m/>
    <n v="9"/>
    <n v="0.85"/>
    <n v="7.6499999999999995"/>
    <n v="2180"/>
    <x v="11"/>
    <s v="Sam"/>
    <x v="7"/>
    <n v="23641"/>
    <n v="28786"/>
    <n v="432981.9"/>
    <n v="5800"/>
    <n v="52200"/>
    <n v="485181.9"/>
    <n v="0"/>
    <n v="0"/>
    <n v="0"/>
    <n v="1"/>
    <n v="0"/>
    <n v="0"/>
    <n v="0"/>
    <n v="0"/>
    <n v="0"/>
    <n v="0"/>
    <n v="0"/>
    <n v="0"/>
    <s v="Enl uttag från Ladok - Erik Å"/>
    <m/>
    <n v="0"/>
    <n v="0"/>
    <n v="0"/>
    <n v="0"/>
    <n v="0"/>
    <n v="0"/>
    <n v="9"/>
    <n v="7.6499999999999995"/>
    <n v="0"/>
    <n v="0"/>
    <n v="0"/>
    <n v="0"/>
    <n v="0"/>
    <n v="0"/>
    <n v="0"/>
    <n v="0"/>
    <n v="0"/>
    <n v="0"/>
    <n v="0"/>
    <n v="0"/>
    <n v="0"/>
    <n v="0"/>
    <n v="0"/>
  </r>
  <r>
    <x v="199"/>
    <x v="194"/>
    <m/>
    <x v="8"/>
    <m/>
    <x v="0"/>
    <m/>
    <m/>
    <m/>
    <m/>
    <m/>
    <m/>
    <x v="0"/>
    <m/>
    <m/>
    <m/>
    <n v="2.375"/>
    <n v="0.85"/>
    <n v="2.0187499999999998"/>
    <n v="2180"/>
    <x v="11"/>
    <s v="Sam"/>
    <x v="8"/>
    <n v="23641"/>
    <n v="28786"/>
    <n v="114259.11249999999"/>
    <n v="5800"/>
    <n v="13775"/>
    <n v="128034.11249999999"/>
    <n v="0"/>
    <n v="0"/>
    <n v="0"/>
    <n v="1"/>
    <n v="0"/>
    <n v="0"/>
    <n v="0"/>
    <n v="0"/>
    <n v="0"/>
    <n v="0"/>
    <n v="0"/>
    <n v="0"/>
    <s v="Enl uttag från Ladok - Erik Å"/>
    <m/>
    <n v="0"/>
    <n v="0"/>
    <n v="0"/>
    <n v="0"/>
    <n v="0"/>
    <n v="0"/>
    <n v="2.375"/>
    <n v="2.0187499999999998"/>
    <n v="0"/>
    <n v="0"/>
    <n v="0"/>
    <n v="0"/>
    <n v="0"/>
    <n v="0"/>
    <n v="0"/>
    <n v="0"/>
    <n v="0"/>
    <n v="0"/>
    <n v="0"/>
    <n v="0"/>
    <n v="0"/>
    <n v="0"/>
    <n v="0"/>
  </r>
  <r>
    <x v="199"/>
    <x v="194"/>
    <m/>
    <x v="2"/>
    <m/>
    <x v="0"/>
    <m/>
    <m/>
    <m/>
    <m/>
    <m/>
    <m/>
    <x v="0"/>
    <m/>
    <m/>
    <m/>
    <n v="6.375"/>
    <n v="0.85"/>
    <n v="5.4187500000000002"/>
    <n v="2180"/>
    <x v="11"/>
    <s v="Sam"/>
    <x v="2"/>
    <n v="23641"/>
    <n v="28786"/>
    <n v="306695.51250000001"/>
    <n v="5800"/>
    <n v="36975"/>
    <n v="343670.51250000001"/>
    <n v="0"/>
    <n v="0"/>
    <n v="0"/>
    <n v="1"/>
    <n v="0"/>
    <n v="0"/>
    <n v="0"/>
    <n v="0"/>
    <n v="0"/>
    <n v="0"/>
    <n v="0"/>
    <n v="0"/>
    <s v="Enl uttag från Ladok - Erik Å"/>
    <m/>
    <n v="0"/>
    <n v="0"/>
    <n v="0"/>
    <n v="0"/>
    <n v="0"/>
    <n v="0"/>
    <n v="6.375"/>
    <n v="5.4187500000000002"/>
    <n v="0"/>
    <n v="0"/>
    <n v="0"/>
    <n v="0"/>
    <n v="0"/>
    <n v="0"/>
    <n v="0"/>
    <n v="0"/>
    <n v="0"/>
    <n v="0"/>
    <n v="0"/>
    <n v="0"/>
    <n v="0"/>
    <n v="0"/>
    <n v="0"/>
  </r>
  <r>
    <x v="199"/>
    <x v="194"/>
    <m/>
    <x v="3"/>
    <m/>
    <x v="0"/>
    <m/>
    <m/>
    <m/>
    <m/>
    <m/>
    <m/>
    <x v="0"/>
    <m/>
    <m/>
    <m/>
    <n v="3.625"/>
    <n v="0.85"/>
    <n v="3.0812499999999998"/>
    <n v="2180"/>
    <x v="11"/>
    <s v="Sam"/>
    <x v="3"/>
    <n v="23641"/>
    <n v="28786"/>
    <n v="174395.48749999999"/>
    <n v="5800"/>
    <n v="21025"/>
    <n v="195420.48749999999"/>
    <n v="0"/>
    <n v="0"/>
    <n v="0"/>
    <n v="1"/>
    <n v="0"/>
    <n v="0"/>
    <n v="0"/>
    <n v="0"/>
    <n v="0"/>
    <n v="0"/>
    <n v="0"/>
    <n v="0"/>
    <s v="Enl uttag från Ladok - Erik Å"/>
    <m/>
    <n v="0"/>
    <n v="0"/>
    <n v="0"/>
    <n v="0"/>
    <n v="0"/>
    <n v="0"/>
    <n v="3.625"/>
    <n v="3.0812499999999998"/>
    <n v="0"/>
    <n v="0"/>
    <n v="0"/>
    <n v="0"/>
    <n v="0"/>
    <n v="0"/>
    <n v="0"/>
    <n v="0"/>
    <n v="0"/>
    <n v="0"/>
    <n v="0"/>
    <n v="0"/>
    <n v="0"/>
    <n v="0"/>
    <n v="0"/>
  </r>
  <r>
    <x v="200"/>
    <x v="195"/>
    <m/>
    <x v="1"/>
    <m/>
    <x v="0"/>
    <m/>
    <m/>
    <m/>
    <m/>
    <m/>
    <m/>
    <x v="0"/>
    <m/>
    <m/>
    <m/>
    <n v="2.875"/>
    <n v="0.8"/>
    <n v="2.3000000000000003"/>
    <n v="2180"/>
    <x v="11"/>
    <s v="Sam"/>
    <x v="1"/>
    <n v="20988.2"/>
    <n v="24743.4"/>
    <n v="117250.89500000002"/>
    <n v="3880"/>
    <n v="11155"/>
    <n v="128405.89500000002"/>
    <n v="0"/>
    <n v="0"/>
    <n v="0"/>
    <n v="0"/>
    <n v="0"/>
    <n v="0"/>
    <n v="0.2"/>
    <n v="0"/>
    <n v="0.8"/>
    <n v="0"/>
    <n v="0"/>
    <n v="0"/>
    <s v="Enl uttag från Ladok - Erik Å"/>
    <m/>
    <n v="0"/>
    <n v="0"/>
    <n v="0"/>
    <n v="0"/>
    <n v="0"/>
    <n v="0"/>
    <n v="0"/>
    <n v="0"/>
    <n v="0"/>
    <n v="0"/>
    <n v="0"/>
    <n v="0"/>
    <n v="0.57500000000000007"/>
    <n v="0.46000000000000008"/>
    <n v="0"/>
    <n v="0"/>
    <n v="2.3000000000000003"/>
    <n v="1.8400000000000003"/>
    <n v="0"/>
    <n v="0"/>
    <n v="0"/>
    <n v="0"/>
    <n v="0"/>
  </r>
  <r>
    <x v="201"/>
    <x v="196"/>
    <m/>
    <x v="1"/>
    <m/>
    <x v="0"/>
    <m/>
    <m/>
    <m/>
    <m/>
    <m/>
    <m/>
    <x v="0"/>
    <m/>
    <m/>
    <m/>
    <n v="4.75"/>
    <n v="0.8"/>
    <n v="3.8000000000000003"/>
    <n v="2180"/>
    <x v="11"/>
    <s v="Sam"/>
    <x v="1"/>
    <n v="18405"/>
    <n v="15773"/>
    <n v="147361.15"/>
    <n v="5800"/>
    <n v="27550"/>
    <n v="174911.15"/>
    <n v="0"/>
    <n v="0"/>
    <n v="0"/>
    <n v="0"/>
    <n v="0"/>
    <n v="0"/>
    <n v="1"/>
    <n v="0"/>
    <n v="0"/>
    <n v="0"/>
    <n v="0"/>
    <n v="0"/>
    <s v="Enl uttag från Ladok - Erik Å"/>
    <m/>
    <n v="0"/>
    <n v="0"/>
    <n v="0"/>
    <n v="0"/>
    <n v="0"/>
    <n v="0"/>
    <n v="0"/>
    <n v="0"/>
    <n v="0"/>
    <n v="0"/>
    <n v="0"/>
    <n v="0"/>
    <n v="4.75"/>
    <n v="3.8000000000000003"/>
    <n v="0"/>
    <n v="0"/>
    <n v="0"/>
    <n v="0"/>
    <n v="0"/>
    <n v="0"/>
    <n v="0"/>
    <n v="0"/>
    <n v="0"/>
  </r>
  <r>
    <x v="202"/>
    <x v="197"/>
    <m/>
    <x v="1"/>
    <m/>
    <x v="0"/>
    <m/>
    <m/>
    <m/>
    <m/>
    <m/>
    <m/>
    <x v="0"/>
    <m/>
    <m/>
    <m/>
    <n v="8.625"/>
    <n v="0.8"/>
    <n v="6.9"/>
    <n v="2180"/>
    <x v="11"/>
    <s v="Sam"/>
    <x v="1"/>
    <n v="18405"/>
    <n v="15773"/>
    <n v="267576.82500000001"/>
    <n v="5800"/>
    <n v="50025"/>
    <n v="317601.82500000001"/>
    <n v="0"/>
    <n v="0"/>
    <n v="0"/>
    <n v="0"/>
    <n v="0"/>
    <n v="0"/>
    <n v="1"/>
    <n v="0"/>
    <n v="0"/>
    <n v="0"/>
    <n v="0"/>
    <n v="0"/>
    <s v="Enl uttag från Ladok - Erik Å"/>
    <m/>
    <n v="0"/>
    <n v="0"/>
    <n v="0"/>
    <n v="0"/>
    <n v="0"/>
    <n v="0"/>
    <n v="0"/>
    <n v="0"/>
    <n v="0"/>
    <n v="0"/>
    <n v="0"/>
    <n v="0"/>
    <n v="8.625"/>
    <n v="6.9"/>
    <n v="0"/>
    <n v="0"/>
    <n v="0"/>
    <n v="0"/>
    <n v="0"/>
    <n v="0"/>
    <n v="0"/>
    <n v="0"/>
    <n v="0"/>
  </r>
  <r>
    <x v="203"/>
    <x v="198"/>
    <m/>
    <x v="1"/>
    <m/>
    <x v="0"/>
    <m/>
    <m/>
    <m/>
    <m/>
    <m/>
    <m/>
    <x v="0"/>
    <m/>
    <m/>
    <m/>
    <n v="2"/>
    <n v="0.8"/>
    <n v="1.6"/>
    <n v="2180"/>
    <x v="11"/>
    <s v="Sam"/>
    <x v="1"/>
    <n v="18405"/>
    <n v="15773"/>
    <n v="62046.8"/>
    <n v="5800"/>
    <n v="11600"/>
    <n v="73646.8"/>
    <n v="0"/>
    <n v="0"/>
    <n v="0"/>
    <n v="0"/>
    <n v="0"/>
    <n v="0"/>
    <n v="1"/>
    <n v="0"/>
    <n v="0"/>
    <n v="0"/>
    <n v="0"/>
    <n v="0"/>
    <s v="Enl uttag från Ladok - Erik Å"/>
    <m/>
    <n v="0"/>
    <n v="0"/>
    <n v="0"/>
    <n v="0"/>
    <n v="0"/>
    <n v="0"/>
    <n v="0"/>
    <n v="0"/>
    <n v="0"/>
    <n v="0"/>
    <n v="0"/>
    <n v="0"/>
    <n v="2"/>
    <n v="1.6"/>
    <n v="0"/>
    <n v="0"/>
    <n v="0"/>
    <n v="0"/>
    <n v="0"/>
    <n v="0"/>
    <n v="0"/>
    <n v="0"/>
    <n v="0"/>
  </r>
  <r>
    <x v="204"/>
    <x v="199"/>
    <m/>
    <x v="13"/>
    <m/>
    <x v="0"/>
    <m/>
    <m/>
    <m/>
    <m/>
    <m/>
    <m/>
    <x v="0"/>
    <m/>
    <m/>
    <m/>
    <n v="1.06667"/>
    <n v="0.85"/>
    <n v="0.90666950000000002"/>
    <n v="5740"/>
    <x v="6"/>
    <s v="TekNat"/>
    <x v="13"/>
    <n v="19473"/>
    <n v="34806"/>
    <n v="52328.803527000004"/>
    <n v="21800"/>
    <n v="23253.405999999999"/>
    <n v="75582.209526999999"/>
    <n v="0"/>
    <n v="0"/>
    <n v="0"/>
    <n v="0"/>
    <n v="0"/>
    <n v="1"/>
    <n v="0"/>
    <n v="0"/>
    <n v="0"/>
    <n v="0"/>
    <n v="0"/>
    <n v="0"/>
    <s v="Enl uttag från Ladok - Erik Å"/>
    <m/>
    <n v="0"/>
    <n v="0"/>
    <n v="0"/>
    <n v="0"/>
    <n v="0"/>
    <n v="0"/>
    <n v="0"/>
    <n v="0"/>
    <n v="0"/>
    <n v="0"/>
    <n v="1.06667"/>
    <n v="0.90666950000000002"/>
    <n v="0"/>
    <n v="0"/>
    <n v="0"/>
    <n v="0"/>
    <n v="0"/>
    <n v="0"/>
    <n v="0"/>
    <n v="0"/>
    <n v="0"/>
    <n v="0"/>
    <n v="0"/>
  </r>
  <r>
    <x v="205"/>
    <x v="200"/>
    <m/>
    <x v="13"/>
    <m/>
    <x v="0"/>
    <m/>
    <m/>
    <m/>
    <m/>
    <m/>
    <m/>
    <x v="0"/>
    <m/>
    <m/>
    <m/>
    <n v="1.6"/>
    <n v="0.85"/>
    <n v="1.36"/>
    <n v="5740"/>
    <x v="6"/>
    <s v="TekNat"/>
    <x v="13"/>
    <n v="19473"/>
    <n v="34806"/>
    <n v="78492.960000000006"/>
    <n v="21800"/>
    <n v="34880"/>
    <n v="113372.96"/>
    <n v="0"/>
    <n v="0"/>
    <n v="0"/>
    <n v="0"/>
    <n v="0"/>
    <n v="1"/>
    <n v="0"/>
    <n v="0"/>
    <n v="0"/>
    <n v="0"/>
    <n v="0"/>
    <n v="0"/>
    <s v="Enl uttag från Ladok - Erik Å"/>
    <m/>
    <n v="0"/>
    <n v="0"/>
    <n v="0"/>
    <n v="0"/>
    <n v="0"/>
    <n v="0"/>
    <n v="0"/>
    <n v="0"/>
    <n v="0"/>
    <n v="0"/>
    <n v="1.6"/>
    <n v="1.36"/>
    <n v="0"/>
    <n v="0"/>
    <n v="0"/>
    <n v="0"/>
    <n v="0"/>
    <n v="0"/>
    <n v="0"/>
    <n v="0"/>
    <n v="0"/>
    <n v="0"/>
    <n v="0"/>
  </r>
  <r>
    <x v="206"/>
    <x v="201"/>
    <m/>
    <x v="13"/>
    <m/>
    <x v="0"/>
    <m/>
    <m/>
    <m/>
    <m/>
    <m/>
    <m/>
    <x v="0"/>
    <m/>
    <m/>
    <m/>
    <n v="1.3333299999999999"/>
    <n v="0.85"/>
    <n v="1.1333304999999998"/>
    <n v="5740"/>
    <x v="6"/>
    <s v="TekNat"/>
    <x v="13"/>
    <n v="19473"/>
    <n v="34806"/>
    <n v="65410.636472999991"/>
    <n v="21800"/>
    <n v="29066.593999999997"/>
    <n v="94477.230472999989"/>
    <n v="0"/>
    <n v="0"/>
    <n v="0"/>
    <n v="0"/>
    <n v="0"/>
    <n v="1"/>
    <n v="0"/>
    <n v="0"/>
    <n v="0"/>
    <n v="0"/>
    <n v="0"/>
    <n v="0"/>
    <s v="Enl uttag från Ladok - Erik Å"/>
    <m/>
    <n v="0"/>
    <n v="0"/>
    <n v="0"/>
    <n v="0"/>
    <n v="0"/>
    <n v="0"/>
    <n v="0"/>
    <n v="0"/>
    <n v="0"/>
    <n v="0"/>
    <n v="1.3333299999999999"/>
    <n v="1.1333304999999998"/>
    <n v="0"/>
    <n v="0"/>
    <n v="0"/>
    <n v="0"/>
    <n v="0"/>
    <n v="0"/>
    <n v="0"/>
    <n v="0"/>
    <n v="0"/>
    <n v="0"/>
    <n v="0"/>
  </r>
  <r>
    <x v="207"/>
    <x v="202"/>
    <m/>
    <x v="4"/>
    <m/>
    <x v="0"/>
    <m/>
    <m/>
    <m/>
    <m/>
    <m/>
    <m/>
    <x v="0"/>
    <m/>
    <m/>
    <m/>
    <n v="0.375"/>
    <n v="0.85"/>
    <n v="0.31874999999999998"/>
    <n v="2180"/>
    <x v="11"/>
    <s v="Sam"/>
    <x v="4"/>
    <n v="21634"/>
    <n v="26986"/>
    <n v="16714.537499999999"/>
    <n v="3400"/>
    <n v="1275"/>
    <n v="17989.537499999999"/>
    <n v="0"/>
    <n v="0"/>
    <n v="0"/>
    <n v="0"/>
    <n v="0"/>
    <n v="0"/>
    <n v="0"/>
    <n v="0"/>
    <n v="1"/>
    <n v="0"/>
    <n v="0"/>
    <n v="0"/>
    <s v="Enl uttag från Ladok - Erik Å"/>
    <m/>
    <n v="0"/>
    <n v="0"/>
    <n v="0"/>
    <n v="0"/>
    <n v="0"/>
    <n v="0"/>
    <n v="0"/>
    <n v="0"/>
    <n v="0"/>
    <n v="0"/>
    <n v="0"/>
    <n v="0"/>
    <n v="0"/>
    <n v="0"/>
    <n v="0"/>
    <n v="0"/>
    <n v="0.375"/>
    <n v="0.31874999999999998"/>
    <n v="0"/>
    <n v="0"/>
    <n v="0"/>
    <n v="0"/>
    <n v="0"/>
  </r>
  <r>
    <x v="207"/>
    <x v="202"/>
    <m/>
    <x v="0"/>
    <m/>
    <x v="0"/>
    <m/>
    <m/>
    <m/>
    <m/>
    <m/>
    <m/>
    <x v="0"/>
    <m/>
    <m/>
    <m/>
    <n v="4.5"/>
    <n v="0.85"/>
    <n v="3.8249999999999997"/>
    <n v="2180"/>
    <x v="11"/>
    <s v="Sam"/>
    <x v="0"/>
    <n v="21634"/>
    <n v="26986"/>
    <n v="200574.45"/>
    <n v="3400"/>
    <n v="15300"/>
    <n v="215874.45"/>
    <n v="0"/>
    <n v="0"/>
    <n v="0"/>
    <n v="0"/>
    <n v="0"/>
    <n v="0"/>
    <n v="0"/>
    <n v="0"/>
    <n v="1"/>
    <n v="0"/>
    <n v="0"/>
    <n v="0"/>
    <s v="Enl uttag från Ladok - Erik Å"/>
    <m/>
    <n v="0"/>
    <n v="0"/>
    <n v="0"/>
    <n v="0"/>
    <n v="0"/>
    <n v="0"/>
    <n v="0"/>
    <n v="0"/>
    <n v="0"/>
    <n v="0"/>
    <n v="0"/>
    <n v="0"/>
    <n v="0"/>
    <n v="0"/>
    <n v="0"/>
    <n v="0"/>
    <n v="4.5"/>
    <n v="3.8249999999999997"/>
    <n v="0"/>
    <n v="0"/>
    <n v="0"/>
    <n v="0"/>
    <n v="0"/>
  </r>
  <r>
    <x v="208"/>
    <x v="203"/>
    <m/>
    <x v="7"/>
    <m/>
    <x v="0"/>
    <m/>
    <m/>
    <m/>
    <m/>
    <m/>
    <m/>
    <x v="0"/>
    <m/>
    <m/>
    <m/>
    <n v="16"/>
    <n v="0.85"/>
    <n v="13.6"/>
    <n v="2193"/>
    <x v="12"/>
    <s v="Sam"/>
    <x v="7"/>
    <n v="18405"/>
    <n v="15773"/>
    <n v="508992.8"/>
    <n v="5800"/>
    <n v="92800"/>
    <n v="601792.80000000005"/>
    <n v="0"/>
    <n v="0"/>
    <n v="0"/>
    <n v="0"/>
    <n v="0"/>
    <n v="0"/>
    <n v="1"/>
    <n v="0"/>
    <n v="0"/>
    <n v="0"/>
    <n v="0"/>
    <n v="0"/>
    <s v="Enl uttag från Ladok - Erik Å"/>
    <m/>
    <n v="0"/>
    <n v="0"/>
    <n v="0"/>
    <n v="0"/>
    <n v="0"/>
    <n v="0"/>
    <n v="0"/>
    <n v="0"/>
    <n v="0"/>
    <n v="0"/>
    <n v="0"/>
    <n v="0"/>
    <n v="16"/>
    <n v="13.6"/>
    <n v="0"/>
    <n v="0"/>
    <n v="0"/>
    <n v="0"/>
    <n v="0"/>
    <n v="0"/>
    <n v="0"/>
    <n v="0"/>
    <n v="0"/>
  </r>
  <r>
    <x v="209"/>
    <x v="204"/>
    <m/>
    <x v="7"/>
    <m/>
    <x v="0"/>
    <m/>
    <m/>
    <m/>
    <m/>
    <m/>
    <m/>
    <x v="0"/>
    <m/>
    <m/>
    <m/>
    <n v="5.4166699999999999"/>
    <n v="0.85"/>
    <n v="4.6041694999999994"/>
    <n v="2193"/>
    <x v="12"/>
    <s v="Sam"/>
    <x v="7"/>
    <n v="18405"/>
    <n v="15773"/>
    <n v="172315.3768735"/>
    <n v="5800"/>
    <n v="31416.685999999998"/>
    <n v="203732.06287349999"/>
    <n v="0"/>
    <n v="0"/>
    <n v="0"/>
    <n v="0"/>
    <n v="0"/>
    <n v="0"/>
    <n v="1"/>
    <n v="0"/>
    <n v="0"/>
    <n v="0"/>
    <n v="0"/>
    <n v="0"/>
    <s v="Enl uttag från Ladok - Erik Å"/>
    <m/>
    <n v="0"/>
    <n v="0"/>
    <n v="0"/>
    <n v="0"/>
    <n v="0"/>
    <n v="0"/>
    <n v="0"/>
    <n v="0"/>
    <n v="0"/>
    <n v="0"/>
    <n v="0"/>
    <n v="0"/>
    <n v="5.4166699999999999"/>
    <n v="4.6041694999999994"/>
    <n v="0"/>
    <n v="0"/>
    <n v="0"/>
    <n v="0"/>
    <n v="0"/>
    <n v="0"/>
    <n v="0"/>
    <n v="0"/>
    <n v="0"/>
  </r>
  <r>
    <x v="210"/>
    <x v="205"/>
    <m/>
    <x v="4"/>
    <m/>
    <x v="0"/>
    <m/>
    <m/>
    <m/>
    <m/>
    <m/>
    <m/>
    <x v="0"/>
    <m/>
    <m/>
    <m/>
    <n v="0.375"/>
    <n v="0.85"/>
    <n v="0.31874999999999998"/>
    <n v="2180"/>
    <x v="11"/>
    <s v="Sam"/>
    <x v="4"/>
    <n v="21634"/>
    <n v="26986"/>
    <n v="16714.537499999999"/>
    <n v="3400"/>
    <n v="1275"/>
    <n v="17989.537499999999"/>
    <n v="0"/>
    <n v="0"/>
    <n v="0"/>
    <n v="0"/>
    <n v="0"/>
    <n v="0"/>
    <n v="0"/>
    <n v="0"/>
    <n v="1"/>
    <n v="0"/>
    <n v="0"/>
    <n v="0"/>
    <s v="Enl uttag från Ladok - Erik Å"/>
    <m/>
    <n v="0"/>
    <n v="0"/>
    <n v="0"/>
    <n v="0"/>
    <n v="0"/>
    <n v="0"/>
    <n v="0"/>
    <n v="0"/>
    <n v="0"/>
    <n v="0"/>
    <n v="0"/>
    <n v="0"/>
    <n v="0"/>
    <n v="0"/>
    <n v="0"/>
    <n v="0"/>
    <n v="0.375"/>
    <n v="0.31874999999999998"/>
    <n v="0"/>
    <n v="0"/>
    <n v="0"/>
    <n v="0"/>
    <n v="0"/>
  </r>
  <r>
    <x v="210"/>
    <x v="205"/>
    <m/>
    <x v="0"/>
    <m/>
    <x v="0"/>
    <m/>
    <m/>
    <m/>
    <m/>
    <m/>
    <m/>
    <x v="0"/>
    <m/>
    <m/>
    <m/>
    <n v="1.5"/>
    <n v="0.85"/>
    <n v="1.2749999999999999"/>
    <n v="2180"/>
    <x v="11"/>
    <s v="Sam"/>
    <x v="0"/>
    <n v="21634"/>
    <n v="26986"/>
    <n v="66858.149999999994"/>
    <n v="3400"/>
    <n v="5100"/>
    <n v="71958.149999999994"/>
    <n v="0"/>
    <n v="0"/>
    <n v="0"/>
    <n v="0"/>
    <n v="0"/>
    <n v="0"/>
    <n v="0"/>
    <n v="0"/>
    <n v="1"/>
    <n v="0"/>
    <n v="0"/>
    <n v="0"/>
    <s v="Enl uttag från Ladok - Erik Å"/>
    <m/>
    <n v="0"/>
    <n v="0"/>
    <n v="0"/>
    <n v="0"/>
    <n v="0"/>
    <n v="0"/>
    <n v="0"/>
    <n v="0"/>
    <n v="0"/>
    <n v="0"/>
    <n v="0"/>
    <n v="0"/>
    <n v="0"/>
    <n v="0"/>
    <n v="0"/>
    <n v="0"/>
    <n v="1.5"/>
    <n v="1.2749999999999999"/>
    <n v="0"/>
    <n v="0"/>
    <n v="0"/>
    <n v="0"/>
    <n v="0"/>
  </r>
  <r>
    <x v="211"/>
    <x v="206"/>
    <m/>
    <x v="1"/>
    <m/>
    <x v="0"/>
    <m/>
    <m/>
    <m/>
    <m/>
    <m/>
    <m/>
    <x v="0"/>
    <m/>
    <m/>
    <m/>
    <n v="4.2583299999999999"/>
    <n v="0.8"/>
    <n v="3.4066640000000001"/>
    <n v="5740"/>
    <x v="6"/>
    <s v="TekNat"/>
    <x v="1"/>
    <n v="19473"/>
    <n v="34806"/>
    <n v="201494.80727399999"/>
    <n v="21800"/>
    <n v="92831.593999999997"/>
    <n v="294326.401274"/>
    <n v="0"/>
    <n v="0"/>
    <n v="0"/>
    <n v="0"/>
    <n v="0"/>
    <n v="1"/>
    <n v="0"/>
    <n v="0"/>
    <n v="0"/>
    <n v="0"/>
    <n v="0"/>
    <n v="0"/>
    <s v="Enl uttag från Ladok - Erik Å"/>
    <m/>
    <n v="0"/>
    <n v="0"/>
    <n v="0"/>
    <n v="0"/>
    <n v="0"/>
    <n v="0"/>
    <n v="0"/>
    <n v="0"/>
    <n v="0"/>
    <n v="0"/>
    <n v="4.2583299999999999"/>
    <n v="3.4066640000000001"/>
    <n v="0"/>
    <n v="0"/>
    <n v="0"/>
    <n v="0"/>
    <n v="0"/>
    <n v="0"/>
    <n v="0"/>
    <n v="0"/>
    <n v="0"/>
    <n v="0"/>
    <n v="0"/>
  </r>
  <r>
    <x v="212"/>
    <x v="207"/>
    <m/>
    <x v="8"/>
    <m/>
    <x v="0"/>
    <m/>
    <m/>
    <m/>
    <m/>
    <m/>
    <m/>
    <x v="0"/>
    <m/>
    <m/>
    <m/>
    <n v="3.125"/>
    <n v="0.85"/>
    <n v="2.65625"/>
    <n v="2193"/>
    <x v="12"/>
    <s v="Sam"/>
    <x v="8"/>
    <n v="21634"/>
    <n v="26986"/>
    <n v="139287.8125"/>
    <n v="3400"/>
    <n v="10625"/>
    <n v="149912.8125"/>
    <n v="0"/>
    <n v="0"/>
    <n v="0"/>
    <n v="0"/>
    <n v="0"/>
    <n v="0"/>
    <n v="0"/>
    <n v="0"/>
    <n v="1"/>
    <n v="0"/>
    <n v="0"/>
    <n v="0"/>
    <s v="Enl uttag från Ladok - Erik Å"/>
    <m/>
    <n v="0"/>
    <n v="0"/>
    <n v="0"/>
    <n v="0"/>
    <n v="0"/>
    <n v="0"/>
    <n v="0"/>
    <n v="0"/>
    <n v="0"/>
    <n v="0"/>
    <n v="0"/>
    <n v="0"/>
    <n v="0"/>
    <n v="0"/>
    <n v="0"/>
    <n v="0"/>
    <n v="3.125"/>
    <n v="2.65625"/>
    <n v="0"/>
    <n v="0"/>
    <n v="0"/>
    <n v="0"/>
    <n v="0"/>
  </r>
  <r>
    <x v="213"/>
    <x v="208"/>
    <m/>
    <x v="1"/>
    <m/>
    <x v="0"/>
    <m/>
    <m/>
    <m/>
    <m/>
    <m/>
    <m/>
    <x v="0"/>
    <m/>
    <m/>
    <m/>
    <n v="5.2666700000000004"/>
    <n v="0.8"/>
    <n v="4.2133360000000009"/>
    <n v="2193"/>
    <x v="12"/>
    <s v="Sam"/>
    <x v="1"/>
    <n v="18405"/>
    <n v="15773"/>
    <n v="163390.01007800002"/>
    <n v="5800"/>
    <n v="30546.686000000002"/>
    <n v="193936.69607800001"/>
    <n v="0"/>
    <n v="0"/>
    <n v="0"/>
    <n v="0"/>
    <n v="0"/>
    <n v="0"/>
    <n v="1"/>
    <n v="0"/>
    <n v="0"/>
    <n v="0"/>
    <n v="0"/>
    <n v="0"/>
    <s v="Enl uttag från Ladok - Erik Å"/>
    <m/>
    <n v="0"/>
    <n v="0"/>
    <n v="0"/>
    <n v="0"/>
    <n v="0"/>
    <n v="0"/>
    <n v="0"/>
    <n v="0"/>
    <n v="0"/>
    <n v="0"/>
    <n v="0"/>
    <n v="0"/>
    <n v="5.2666700000000004"/>
    <n v="4.2133360000000009"/>
    <n v="0"/>
    <n v="0"/>
    <n v="0"/>
    <n v="0"/>
    <n v="0"/>
    <n v="0"/>
    <n v="0"/>
    <n v="0"/>
    <n v="0"/>
  </r>
  <r>
    <x v="214"/>
    <x v="209"/>
    <m/>
    <x v="9"/>
    <m/>
    <x v="0"/>
    <m/>
    <m/>
    <m/>
    <m/>
    <m/>
    <m/>
    <x v="0"/>
    <m/>
    <m/>
    <m/>
    <n v="9.25"/>
    <n v="0.85"/>
    <n v="7.8624999999999998"/>
    <n v="2180"/>
    <x v="11"/>
    <s v="Sam"/>
    <x v="9"/>
    <n v="21634"/>
    <n v="26986"/>
    <n v="412291.92499999999"/>
    <n v="3400"/>
    <n v="31450"/>
    <n v="443741.92499999999"/>
    <n v="0"/>
    <n v="0"/>
    <n v="0"/>
    <n v="0"/>
    <n v="0"/>
    <n v="0"/>
    <n v="0"/>
    <n v="0"/>
    <n v="1"/>
    <n v="0"/>
    <n v="0"/>
    <n v="0"/>
    <s v="Enl uttag från Ladok - Erik Å"/>
    <m/>
    <n v="0"/>
    <n v="0"/>
    <n v="0"/>
    <n v="0"/>
    <n v="0"/>
    <n v="0"/>
    <n v="0"/>
    <n v="0"/>
    <n v="0"/>
    <n v="0"/>
    <n v="0"/>
    <n v="0"/>
    <n v="0"/>
    <n v="0"/>
    <n v="0"/>
    <n v="0"/>
    <n v="9.25"/>
    <n v="7.8624999999999998"/>
    <n v="0"/>
    <n v="0"/>
    <n v="0"/>
    <n v="0"/>
    <n v="0"/>
  </r>
  <r>
    <x v="215"/>
    <x v="210"/>
    <m/>
    <x v="2"/>
    <m/>
    <x v="0"/>
    <m/>
    <m/>
    <m/>
    <m/>
    <m/>
    <m/>
    <x v="0"/>
    <m/>
    <m/>
    <m/>
    <n v="22.625"/>
    <n v="0.85"/>
    <n v="19.231249999999999"/>
    <n v="5740"/>
    <x v="6"/>
    <s v="TekNat"/>
    <x v="2"/>
    <n v="19473"/>
    <n v="34806"/>
    <n v="1109939.5125"/>
    <n v="21800"/>
    <n v="493225"/>
    <n v="1603164.5125"/>
    <n v="0"/>
    <n v="0"/>
    <n v="0"/>
    <n v="0"/>
    <n v="0"/>
    <n v="1"/>
    <n v="0"/>
    <n v="0"/>
    <n v="0"/>
    <n v="0"/>
    <n v="0"/>
    <n v="0"/>
    <s v="Enl uttag från Ladok - Erik Å"/>
    <m/>
    <n v="0"/>
    <n v="0"/>
    <n v="0"/>
    <n v="0"/>
    <n v="0"/>
    <n v="0"/>
    <n v="0"/>
    <n v="0"/>
    <n v="0"/>
    <n v="0"/>
    <n v="22.625"/>
    <n v="19.231249999999999"/>
    <n v="0"/>
    <n v="0"/>
    <n v="0"/>
    <n v="0"/>
    <n v="0"/>
    <n v="0"/>
    <n v="0"/>
    <n v="0"/>
    <n v="0"/>
    <n v="0"/>
    <n v="0"/>
  </r>
  <r>
    <x v="216"/>
    <x v="211"/>
    <m/>
    <x v="3"/>
    <m/>
    <x v="0"/>
    <m/>
    <m/>
    <m/>
    <m/>
    <m/>
    <m/>
    <x v="0"/>
    <m/>
    <m/>
    <m/>
    <n v="12.75"/>
    <n v="0.85"/>
    <n v="10.8375"/>
    <n v="5740"/>
    <x v="6"/>
    <s v="TekNat"/>
    <x v="3"/>
    <n v="19473"/>
    <n v="34806"/>
    <n v="625490.77500000002"/>
    <n v="21800"/>
    <n v="277950"/>
    <n v="903440.77500000002"/>
    <n v="0"/>
    <n v="0"/>
    <n v="0"/>
    <n v="0"/>
    <n v="0"/>
    <n v="1"/>
    <n v="0"/>
    <n v="0"/>
    <n v="0"/>
    <n v="0"/>
    <n v="0"/>
    <n v="0"/>
    <s v="Enl uttag från Ladok - Erik Å"/>
    <m/>
    <n v="0"/>
    <n v="0"/>
    <n v="0"/>
    <n v="0"/>
    <n v="0"/>
    <n v="0"/>
    <n v="0"/>
    <n v="0"/>
    <n v="0"/>
    <n v="0"/>
    <n v="12.75"/>
    <n v="10.8375"/>
    <n v="0"/>
    <n v="0"/>
    <n v="0"/>
    <n v="0"/>
    <n v="0"/>
    <n v="0"/>
    <n v="0"/>
    <n v="0"/>
    <n v="0"/>
    <n v="0"/>
    <n v="0"/>
  </r>
  <r>
    <x v="217"/>
    <x v="212"/>
    <m/>
    <x v="14"/>
    <m/>
    <x v="0"/>
    <m/>
    <m/>
    <m/>
    <m/>
    <m/>
    <m/>
    <x v="0"/>
    <m/>
    <m/>
    <m/>
    <n v="2.1"/>
    <n v="0.85"/>
    <n v="1.7849999999999999"/>
    <n v="2180"/>
    <x v="11"/>
    <s v="Sam"/>
    <x v="14"/>
    <n v="23299.809999999998"/>
    <n v="28479.999999999996"/>
    <n v="99766.400999999983"/>
    <n v="5392"/>
    <n v="11323.2"/>
    <n v="111089.60099999998"/>
    <n v="0"/>
    <n v="0"/>
    <n v="0"/>
    <n v="0.83"/>
    <n v="0"/>
    <n v="0"/>
    <n v="0"/>
    <n v="0"/>
    <n v="0.17"/>
    <n v="0"/>
    <n v="0"/>
    <n v="0"/>
    <s v="Enl uttag från Ladok - Erik Å"/>
    <m/>
    <n v="0"/>
    <n v="0"/>
    <n v="0"/>
    <n v="0"/>
    <n v="0"/>
    <n v="0"/>
    <n v="1.7429999999999999"/>
    <n v="1.4815499999999999"/>
    <n v="0"/>
    <n v="0"/>
    <n v="0"/>
    <n v="0"/>
    <n v="0"/>
    <n v="0"/>
    <n v="0"/>
    <n v="0"/>
    <n v="0.35700000000000004"/>
    <n v="0.30345"/>
    <n v="0"/>
    <n v="0"/>
    <n v="0"/>
    <n v="0"/>
    <n v="0"/>
  </r>
  <r>
    <x v="217"/>
    <x v="212"/>
    <m/>
    <x v="5"/>
    <m/>
    <x v="0"/>
    <m/>
    <m/>
    <m/>
    <m/>
    <m/>
    <m/>
    <x v="0"/>
    <m/>
    <m/>
    <m/>
    <n v="2.5499999999999998"/>
    <n v="0.85"/>
    <n v="2.1675"/>
    <n v="2180"/>
    <x v="11"/>
    <s v="Sam"/>
    <x v="5"/>
    <n v="23299.809999999998"/>
    <n v="28479.999999999996"/>
    <n v="121144.91549999997"/>
    <n v="5392"/>
    <n v="13749.599999999999"/>
    <n v="134894.51549999998"/>
    <n v="0"/>
    <n v="0"/>
    <n v="0"/>
    <n v="0.83"/>
    <n v="0"/>
    <n v="0"/>
    <n v="0"/>
    <n v="0"/>
    <n v="0.17"/>
    <n v="0"/>
    <n v="0"/>
    <n v="0"/>
    <s v="Enl uttag från Ladok - Erik Å"/>
    <m/>
    <n v="0"/>
    <n v="0"/>
    <n v="0"/>
    <n v="0"/>
    <n v="0"/>
    <n v="0"/>
    <n v="2.1164999999999998"/>
    <n v="1.7990249999999999"/>
    <n v="0"/>
    <n v="0"/>
    <n v="0"/>
    <n v="0"/>
    <n v="0"/>
    <n v="0"/>
    <n v="0"/>
    <n v="0"/>
    <n v="0.4335"/>
    <n v="0.368475"/>
    <n v="0"/>
    <n v="0"/>
    <n v="0"/>
    <n v="0"/>
    <n v="0"/>
  </r>
  <r>
    <x v="217"/>
    <x v="212"/>
    <m/>
    <x v="6"/>
    <m/>
    <x v="0"/>
    <m/>
    <m/>
    <m/>
    <m/>
    <m/>
    <m/>
    <x v="0"/>
    <m/>
    <m/>
    <m/>
    <n v="2.85"/>
    <n v="0.85"/>
    <n v="2.4224999999999999"/>
    <n v="2180"/>
    <x v="11"/>
    <s v="Sam"/>
    <x v="6"/>
    <n v="23299.809999999998"/>
    <n v="28479.999999999996"/>
    <n v="135397.2585"/>
    <n v="5392"/>
    <n v="15367.2"/>
    <n v="150764.45850000001"/>
    <n v="0"/>
    <n v="0"/>
    <n v="0"/>
    <n v="0.83"/>
    <n v="0"/>
    <n v="0"/>
    <n v="0"/>
    <n v="0"/>
    <n v="0.17"/>
    <n v="0"/>
    <n v="0"/>
    <n v="0"/>
    <s v="Enl uttag från Ladok - Erik Å"/>
    <m/>
    <n v="0"/>
    <n v="0"/>
    <n v="0"/>
    <n v="0"/>
    <n v="0"/>
    <n v="0"/>
    <n v="2.3654999999999999"/>
    <n v="2.010675"/>
    <n v="0"/>
    <n v="0"/>
    <n v="0"/>
    <n v="0"/>
    <n v="0"/>
    <n v="0"/>
    <n v="0"/>
    <n v="0"/>
    <n v="0.48450000000000004"/>
    <n v="0.411825"/>
    <n v="0"/>
    <n v="0"/>
    <n v="0"/>
    <n v="0"/>
    <n v="0"/>
  </r>
  <r>
    <x v="218"/>
    <x v="213"/>
    <m/>
    <x v="14"/>
    <m/>
    <x v="0"/>
    <m/>
    <m/>
    <m/>
    <m/>
    <m/>
    <m/>
    <x v="0"/>
    <m/>
    <m/>
    <m/>
    <n v="1.75"/>
    <n v="0.85"/>
    <n v="1.4875"/>
    <n v="5740"/>
    <x v="6"/>
    <s v="TekNat"/>
    <x v="14"/>
    <n v="23641"/>
    <n v="28786"/>
    <n v="84190.925000000003"/>
    <n v="5800"/>
    <n v="10150"/>
    <n v="94340.925000000003"/>
    <n v="0"/>
    <n v="0"/>
    <n v="0"/>
    <n v="1"/>
    <n v="0"/>
    <n v="0"/>
    <n v="0"/>
    <n v="0"/>
    <n v="0"/>
    <n v="0"/>
    <n v="0"/>
    <n v="0"/>
    <s v="Enl uttag från Ladok - Erik Å"/>
    <m/>
    <n v="0"/>
    <n v="0"/>
    <n v="0"/>
    <n v="0"/>
    <n v="0"/>
    <n v="0"/>
    <n v="1.75"/>
    <n v="1.4875"/>
    <n v="0"/>
    <n v="0"/>
    <n v="0"/>
    <n v="0"/>
    <n v="0"/>
    <n v="0"/>
    <n v="0"/>
    <n v="0"/>
    <n v="0"/>
    <n v="0"/>
    <n v="0"/>
    <n v="0"/>
    <n v="0"/>
    <n v="0"/>
    <n v="0"/>
  </r>
  <r>
    <x v="218"/>
    <x v="213"/>
    <m/>
    <x v="5"/>
    <m/>
    <x v="0"/>
    <m/>
    <m/>
    <m/>
    <m/>
    <m/>
    <m/>
    <x v="0"/>
    <m/>
    <m/>
    <m/>
    <n v="2.125"/>
    <n v="0.85"/>
    <n v="1.8062499999999999"/>
    <n v="5740"/>
    <x v="6"/>
    <s v="TekNat"/>
    <x v="5"/>
    <n v="23641"/>
    <n v="28786"/>
    <n v="102231.83749999999"/>
    <n v="5800"/>
    <n v="12325"/>
    <n v="114556.83749999999"/>
    <n v="0"/>
    <n v="0"/>
    <n v="0"/>
    <n v="1"/>
    <n v="0"/>
    <n v="0"/>
    <n v="0"/>
    <n v="0"/>
    <n v="0"/>
    <n v="0"/>
    <n v="0"/>
    <n v="0"/>
    <s v="Enl uttag från Ladok - Erik Å"/>
    <m/>
    <n v="0"/>
    <n v="0"/>
    <n v="0"/>
    <n v="0"/>
    <n v="0"/>
    <n v="0"/>
    <n v="2.125"/>
    <n v="1.8062499999999999"/>
    <n v="0"/>
    <n v="0"/>
    <n v="0"/>
    <n v="0"/>
    <n v="0"/>
    <n v="0"/>
    <n v="0"/>
    <n v="0"/>
    <n v="0"/>
    <n v="0"/>
    <n v="0"/>
    <n v="0"/>
    <n v="0"/>
    <n v="0"/>
    <n v="0"/>
  </r>
  <r>
    <x v="218"/>
    <x v="213"/>
    <m/>
    <x v="6"/>
    <m/>
    <x v="0"/>
    <m/>
    <m/>
    <m/>
    <m/>
    <m/>
    <m/>
    <x v="0"/>
    <m/>
    <m/>
    <m/>
    <n v="2.125"/>
    <n v="0.85"/>
    <n v="1.8062499999999999"/>
    <n v="5740"/>
    <x v="6"/>
    <s v="TekNat"/>
    <x v="6"/>
    <n v="23641"/>
    <n v="28786"/>
    <n v="102231.83749999999"/>
    <n v="5800"/>
    <n v="12325"/>
    <n v="114556.83749999999"/>
    <n v="0"/>
    <n v="0"/>
    <n v="0"/>
    <n v="1"/>
    <n v="0"/>
    <n v="0"/>
    <n v="0"/>
    <n v="0"/>
    <n v="0"/>
    <n v="0"/>
    <n v="0"/>
    <n v="0"/>
    <s v="Enl uttag från Ladok - Erik Å"/>
    <m/>
    <n v="0"/>
    <n v="0"/>
    <n v="0"/>
    <n v="0"/>
    <n v="0"/>
    <n v="0"/>
    <n v="2.125"/>
    <n v="1.8062499999999999"/>
    <n v="0"/>
    <n v="0"/>
    <n v="0"/>
    <n v="0"/>
    <n v="0"/>
    <n v="0"/>
    <n v="0"/>
    <n v="0"/>
    <n v="0"/>
    <n v="0"/>
    <n v="0"/>
    <n v="0"/>
    <n v="0"/>
    <n v="0"/>
    <n v="0"/>
  </r>
  <r>
    <x v="219"/>
    <x v="214"/>
    <m/>
    <x v="14"/>
    <m/>
    <x v="0"/>
    <m/>
    <m/>
    <m/>
    <m/>
    <m/>
    <m/>
    <x v="0"/>
    <m/>
    <m/>
    <m/>
    <n v="2"/>
    <n v="0.85"/>
    <n v="1.7"/>
    <n v="2193"/>
    <x v="12"/>
    <s v="Sam"/>
    <x v="14"/>
    <n v="23641"/>
    <n v="28786"/>
    <n v="96218.2"/>
    <n v="5800"/>
    <n v="11600"/>
    <n v="107818.2"/>
    <n v="0"/>
    <n v="0"/>
    <n v="0"/>
    <n v="1"/>
    <n v="0"/>
    <n v="0"/>
    <n v="0"/>
    <n v="0"/>
    <n v="0"/>
    <n v="0"/>
    <n v="0"/>
    <n v="0"/>
    <s v="Enl uttag från Ladok - Erik Å"/>
    <m/>
    <n v="0"/>
    <n v="0"/>
    <n v="0"/>
    <n v="0"/>
    <n v="0"/>
    <n v="0"/>
    <n v="2"/>
    <n v="1.7"/>
    <n v="0"/>
    <n v="0"/>
    <n v="0"/>
    <n v="0"/>
    <n v="0"/>
    <n v="0"/>
    <n v="0"/>
    <n v="0"/>
    <n v="0"/>
    <n v="0"/>
    <n v="0"/>
    <n v="0"/>
    <n v="0"/>
    <n v="0"/>
    <n v="0"/>
  </r>
  <r>
    <x v="219"/>
    <x v="214"/>
    <m/>
    <x v="5"/>
    <m/>
    <x v="0"/>
    <m/>
    <m/>
    <m/>
    <m/>
    <m/>
    <m/>
    <x v="0"/>
    <m/>
    <m/>
    <m/>
    <n v="2.125"/>
    <n v="0.85"/>
    <n v="1.8062499999999999"/>
    <n v="2193"/>
    <x v="12"/>
    <s v="Sam"/>
    <x v="5"/>
    <n v="23641"/>
    <n v="28786"/>
    <n v="102231.83749999999"/>
    <n v="5800"/>
    <n v="12325"/>
    <n v="114556.83749999999"/>
    <n v="0"/>
    <n v="0"/>
    <n v="0"/>
    <n v="1"/>
    <n v="0"/>
    <n v="0"/>
    <n v="0"/>
    <n v="0"/>
    <n v="0"/>
    <n v="0"/>
    <n v="0"/>
    <n v="0"/>
    <s v="Enl uttag från Ladok - Erik Å"/>
    <m/>
    <n v="0"/>
    <n v="0"/>
    <n v="0"/>
    <n v="0"/>
    <n v="0"/>
    <n v="0"/>
    <n v="2.125"/>
    <n v="1.8062499999999999"/>
    <n v="0"/>
    <n v="0"/>
    <n v="0"/>
    <n v="0"/>
    <n v="0"/>
    <n v="0"/>
    <n v="0"/>
    <n v="0"/>
    <n v="0"/>
    <n v="0"/>
    <n v="0"/>
    <n v="0"/>
    <n v="0"/>
    <n v="0"/>
    <n v="0"/>
  </r>
  <r>
    <x v="219"/>
    <x v="214"/>
    <m/>
    <x v="6"/>
    <m/>
    <x v="0"/>
    <m/>
    <m/>
    <m/>
    <m/>
    <m/>
    <m/>
    <x v="0"/>
    <m/>
    <m/>
    <m/>
    <n v="2.75"/>
    <n v="0.85"/>
    <n v="2.3374999999999999"/>
    <n v="2193"/>
    <x v="12"/>
    <s v="Sam"/>
    <x v="6"/>
    <n v="23641"/>
    <n v="28786"/>
    <n v="132300.02499999999"/>
    <n v="5800"/>
    <n v="15950"/>
    <n v="148250.02499999999"/>
    <n v="0"/>
    <n v="0"/>
    <n v="0"/>
    <n v="1"/>
    <n v="0"/>
    <n v="0"/>
    <n v="0"/>
    <n v="0"/>
    <n v="0"/>
    <n v="0"/>
    <n v="0"/>
    <n v="0"/>
    <s v="Enl uttag från Ladok - Erik Å"/>
    <m/>
    <n v="0"/>
    <n v="0"/>
    <n v="0"/>
    <n v="0"/>
    <n v="0"/>
    <n v="0"/>
    <n v="2.75"/>
    <n v="2.3374999999999999"/>
    <n v="0"/>
    <n v="0"/>
    <n v="0"/>
    <n v="0"/>
    <n v="0"/>
    <n v="0"/>
    <n v="0"/>
    <n v="0"/>
    <n v="0"/>
    <n v="0"/>
    <n v="0"/>
    <n v="0"/>
    <n v="0"/>
    <n v="0"/>
    <n v="0"/>
  </r>
  <r>
    <x v="220"/>
    <x v="215"/>
    <m/>
    <x v="14"/>
    <m/>
    <x v="0"/>
    <m/>
    <m/>
    <m/>
    <m/>
    <m/>
    <m/>
    <x v="0"/>
    <m/>
    <m/>
    <m/>
    <n v="1.75"/>
    <n v="0.85"/>
    <n v="1.4875"/>
    <n v="2193"/>
    <x v="12"/>
    <s v="Sam"/>
    <x v="14"/>
    <n v="23641"/>
    <n v="28786"/>
    <n v="84190.925000000003"/>
    <n v="5800"/>
    <n v="10150"/>
    <n v="94340.925000000003"/>
    <n v="0"/>
    <n v="0"/>
    <n v="0"/>
    <n v="1"/>
    <n v="0"/>
    <n v="0"/>
    <n v="0"/>
    <n v="0"/>
    <n v="0"/>
    <n v="0"/>
    <n v="0"/>
    <n v="0"/>
    <s v="Enl uttag från Ladok - Erik Å"/>
    <m/>
    <n v="0"/>
    <n v="0"/>
    <n v="0"/>
    <n v="0"/>
    <n v="0"/>
    <n v="0"/>
    <n v="1.75"/>
    <n v="1.4875"/>
    <n v="0"/>
    <n v="0"/>
    <n v="0"/>
    <n v="0"/>
    <n v="0"/>
    <n v="0"/>
    <n v="0"/>
    <n v="0"/>
    <n v="0"/>
    <n v="0"/>
    <n v="0"/>
    <n v="0"/>
    <n v="0"/>
    <n v="0"/>
    <n v="0"/>
  </r>
  <r>
    <x v="220"/>
    <x v="215"/>
    <m/>
    <x v="5"/>
    <m/>
    <x v="0"/>
    <m/>
    <m/>
    <m/>
    <m/>
    <m/>
    <m/>
    <x v="0"/>
    <m/>
    <m/>
    <m/>
    <n v="1.875"/>
    <n v="0.85"/>
    <n v="1.59375"/>
    <n v="2193"/>
    <x v="12"/>
    <s v="Sam"/>
    <x v="5"/>
    <n v="23641"/>
    <n v="28786"/>
    <n v="90204.5625"/>
    <n v="5800"/>
    <n v="10875"/>
    <n v="101079.5625"/>
    <n v="0"/>
    <n v="0"/>
    <n v="0"/>
    <n v="1"/>
    <n v="0"/>
    <n v="0"/>
    <n v="0"/>
    <n v="0"/>
    <n v="0"/>
    <n v="0"/>
    <n v="0"/>
    <n v="0"/>
    <s v="Enl uttag från Ladok - Erik Å"/>
    <m/>
    <n v="0"/>
    <n v="0"/>
    <n v="0"/>
    <n v="0"/>
    <n v="0"/>
    <n v="0"/>
    <n v="1.875"/>
    <n v="1.59375"/>
    <n v="0"/>
    <n v="0"/>
    <n v="0"/>
    <n v="0"/>
    <n v="0"/>
    <n v="0"/>
    <n v="0"/>
    <n v="0"/>
    <n v="0"/>
    <n v="0"/>
    <n v="0"/>
    <n v="0"/>
    <n v="0"/>
    <n v="0"/>
    <n v="0"/>
  </r>
  <r>
    <x v="220"/>
    <x v="215"/>
    <m/>
    <x v="6"/>
    <m/>
    <x v="0"/>
    <m/>
    <m/>
    <m/>
    <m/>
    <m/>
    <m/>
    <x v="0"/>
    <m/>
    <m/>
    <m/>
    <n v="2.125"/>
    <n v="0.85"/>
    <n v="1.8062499999999999"/>
    <n v="2193"/>
    <x v="12"/>
    <s v="Sam"/>
    <x v="6"/>
    <n v="23641"/>
    <n v="28786"/>
    <n v="102231.83749999999"/>
    <n v="5800"/>
    <n v="12325"/>
    <n v="114556.83749999999"/>
    <n v="0"/>
    <n v="0"/>
    <n v="0"/>
    <n v="1"/>
    <n v="0"/>
    <n v="0"/>
    <n v="0"/>
    <n v="0"/>
    <n v="0"/>
    <n v="0"/>
    <n v="0"/>
    <n v="0"/>
    <s v="Enl uttag från Ladok - Erik Å"/>
    <m/>
    <n v="0"/>
    <n v="0"/>
    <n v="0"/>
    <n v="0"/>
    <n v="0"/>
    <n v="0"/>
    <n v="2.125"/>
    <n v="1.8062499999999999"/>
    <n v="0"/>
    <n v="0"/>
    <n v="0"/>
    <n v="0"/>
    <n v="0"/>
    <n v="0"/>
    <n v="0"/>
    <n v="0"/>
    <n v="0"/>
    <n v="0"/>
    <n v="0"/>
    <n v="0"/>
    <n v="0"/>
    <n v="0"/>
    <n v="0"/>
  </r>
  <r>
    <x v="221"/>
    <x v="216"/>
    <m/>
    <x v="7"/>
    <m/>
    <x v="0"/>
    <m/>
    <m/>
    <m/>
    <m/>
    <m/>
    <m/>
    <x v="0"/>
    <m/>
    <m/>
    <m/>
    <n v="10"/>
    <n v="0.85"/>
    <n v="8.5"/>
    <n v="2193"/>
    <x v="12"/>
    <s v="Sam"/>
    <x v="7"/>
    <n v="23641"/>
    <n v="28786"/>
    <n v="481091"/>
    <n v="5800"/>
    <n v="58000"/>
    <n v="539091"/>
    <n v="0"/>
    <n v="0"/>
    <n v="0"/>
    <n v="1"/>
    <n v="0"/>
    <n v="0"/>
    <n v="0"/>
    <n v="0"/>
    <n v="0"/>
    <n v="0"/>
    <n v="0"/>
    <n v="0"/>
    <s v="Enl uttag från Ladok - Erik Å"/>
    <m/>
    <n v="0"/>
    <n v="0"/>
    <n v="0"/>
    <n v="0"/>
    <n v="0"/>
    <n v="0"/>
    <n v="10"/>
    <n v="8.5"/>
    <n v="0"/>
    <n v="0"/>
    <n v="0"/>
    <n v="0"/>
    <n v="0"/>
    <n v="0"/>
    <n v="0"/>
    <n v="0"/>
    <n v="0"/>
    <n v="0"/>
    <n v="0"/>
    <n v="0"/>
    <n v="0"/>
    <n v="0"/>
    <n v="0"/>
  </r>
  <r>
    <x v="222"/>
    <x v="217"/>
    <m/>
    <x v="7"/>
    <m/>
    <x v="0"/>
    <m/>
    <m/>
    <m/>
    <m/>
    <m/>
    <m/>
    <x v="0"/>
    <m/>
    <m/>
    <m/>
    <n v="7.3"/>
    <n v="0.85"/>
    <n v="6.2050000000000001"/>
    <n v="2193"/>
    <x v="12"/>
    <s v="Sam"/>
    <x v="7"/>
    <n v="23641"/>
    <n v="28786"/>
    <n v="351196.43"/>
    <n v="5800"/>
    <n v="42340"/>
    <n v="393536.43"/>
    <n v="0"/>
    <n v="0"/>
    <n v="0"/>
    <n v="1"/>
    <n v="0"/>
    <n v="0"/>
    <n v="0"/>
    <n v="0"/>
    <n v="0"/>
    <n v="0"/>
    <n v="0"/>
    <n v="0"/>
    <s v="Enl uttag från Ladok - Erik Å"/>
    <m/>
    <n v="0"/>
    <n v="0"/>
    <n v="0"/>
    <n v="0"/>
    <n v="0"/>
    <n v="0"/>
    <n v="7.3"/>
    <n v="6.2050000000000001"/>
    <n v="0"/>
    <n v="0"/>
    <n v="0"/>
    <n v="0"/>
    <n v="0"/>
    <n v="0"/>
    <n v="0"/>
    <n v="0"/>
    <n v="0"/>
    <n v="0"/>
    <n v="0"/>
    <n v="0"/>
    <n v="0"/>
    <n v="0"/>
    <n v="0"/>
  </r>
  <r>
    <x v="223"/>
    <x v="218"/>
    <m/>
    <x v="8"/>
    <m/>
    <x v="0"/>
    <m/>
    <m/>
    <m/>
    <m/>
    <m/>
    <m/>
    <x v="0"/>
    <m/>
    <m/>
    <m/>
    <n v="1.25"/>
    <n v="0.85"/>
    <n v="1.0625"/>
    <n v="2180"/>
    <x v="11"/>
    <s v="Sam"/>
    <x v="8"/>
    <n v="23641"/>
    <n v="28786"/>
    <n v="60136.375"/>
    <n v="5800"/>
    <n v="7250"/>
    <n v="67386.375"/>
    <n v="0"/>
    <n v="0"/>
    <n v="0"/>
    <n v="1"/>
    <n v="0"/>
    <n v="0"/>
    <n v="0"/>
    <n v="0"/>
    <n v="0"/>
    <n v="0"/>
    <n v="0"/>
    <n v="0"/>
    <s v="Enl uttag från Ladok - Erik Å"/>
    <m/>
    <n v="0"/>
    <n v="0"/>
    <n v="0"/>
    <n v="0"/>
    <n v="0"/>
    <n v="0"/>
    <n v="1.25"/>
    <n v="1.0625"/>
    <n v="0"/>
    <n v="0"/>
    <n v="0"/>
    <n v="0"/>
    <n v="0"/>
    <n v="0"/>
    <n v="0"/>
    <n v="0"/>
    <n v="0"/>
    <n v="0"/>
    <n v="0"/>
    <n v="0"/>
    <n v="0"/>
    <n v="0"/>
    <n v="0"/>
  </r>
  <r>
    <x v="223"/>
    <x v="218"/>
    <m/>
    <x v="2"/>
    <m/>
    <x v="0"/>
    <m/>
    <m/>
    <m/>
    <m/>
    <m/>
    <m/>
    <x v="0"/>
    <m/>
    <m/>
    <m/>
    <n v="2.8333300000000001"/>
    <n v="0.85"/>
    <n v="2.4083304999999999"/>
    <n v="2180"/>
    <x v="11"/>
    <s v="Sam"/>
    <x v="2"/>
    <n v="23641"/>
    <n v="28786"/>
    <n v="136308.95630299998"/>
    <n v="5800"/>
    <n v="16433.314000000002"/>
    <n v="152742.270303"/>
    <n v="0"/>
    <n v="0"/>
    <n v="0"/>
    <n v="1"/>
    <n v="0"/>
    <n v="0"/>
    <n v="0"/>
    <n v="0"/>
    <n v="0"/>
    <n v="0"/>
    <n v="0"/>
    <n v="0"/>
    <s v="Enl uttag från Ladok - Erik Å"/>
    <m/>
    <n v="0"/>
    <n v="0"/>
    <n v="0"/>
    <n v="0"/>
    <n v="0"/>
    <n v="0"/>
    <n v="2.8333300000000001"/>
    <n v="2.4083304999999999"/>
    <n v="0"/>
    <n v="0"/>
    <n v="0"/>
    <n v="0"/>
    <n v="0"/>
    <n v="0"/>
    <n v="0"/>
    <n v="0"/>
    <n v="0"/>
    <n v="0"/>
    <n v="0"/>
    <n v="0"/>
    <n v="0"/>
    <n v="0"/>
    <n v="0"/>
  </r>
  <r>
    <x v="223"/>
    <x v="218"/>
    <m/>
    <x v="3"/>
    <m/>
    <x v="0"/>
    <m/>
    <m/>
    <m/>
    <m/>
    <m/>
    <m/>
    <x v="0"/>
    <m/>
    <m/>
    <m/>
    <n v="2.8333300000000001"/>
    <n v="0.85"/>
    <n v="2.4083304999999999"/>
    <n v="2180"/>
    <x v="11"/>
    <s v="Sam"/>
    <x v="3"/>
    <n v="23641"/>
    <n v="28786"/>
    <n v="136308.95630299998"/>
    <n v="5800"/>
    <n v="16433.314000000002"/>
    <n v="152742.270303"/>
    <n v="0"/>
    <n v="0"/>
    <n v="0"/>
    <n v="1"/>
    <n v="0"/>
    <n v="0"/>
    <n v="0"/>
    <n v="0"/>
    <n v="0"/>
    <n v="0"/>
    <n v="0"/>
    <n v="0"/>
    <s v="Enl uttag från Ladok - Erik Å"/>
    <m/>
    <n v="0"/>
    <n v="0"/>
    <n v="0"/>
    <n v="0"/>
    <n v="0"/>
    <n v="0"/>
    <n v="2.8333300000000001"/>
    <n v="2.4083304999999999"/>
    <n v="0"/>
    <n v="0"/>
    <n v="0"/>
    <n v="0"/>
    <n v="0"/>
    <n v="0"/>
    <n v="0"/>
    <n v="0"/>
    <n v="0"/>
    <n v="0"/>
    <n v="0"/>
    <n v="0"/>
    <n v="0"/>
    <n v="0"/>
    <n v="0"/>
  </r>
  <r>
    <x v="223"/>
    <x v="218"/>
    <m/>
    <x v="1"/>
    <m/>
    <x v="0"/>
    <m/>
    <m/>
    <m/>
    <m/>
    <m/>
    <m/>
    <x v="0"/>
    <m/>
    <m/>
    <m/>
    <n v="0.25"/>
    <n v="0.8"/>
    <n v="0.2"/>
    <n v="2180"/>
    <x v="11"/>
    <s v="Sam"/>
    <x v="1"/>
    <n v="23641"/>
    <n v="28786"/>
    <n v="11667.45"/>
    <n v="5800"/>
    <n v="1450"/>
    <n v="13117.45"/>
    <n v="0"/>
    <n v="0"/>
    <n v="0"/>
    <n v="1"/>
    <n v="0"/>
    <n v="0"/>
    <n v="0"/>
    <n v="0"/>
    <n v="0"/>
    <n v="0"/>
    <n v="0"/>
    <n v="0"/>
    <s v="Enl uttag från Ladok - Erik Å"/>
    <m/>
    <n v="0"/>
    <n v="0"/>
    <n v="0"/>
    <n v="0"/>
    <n v="0"/>
    <n v="0"/>
    <n v="0.25"/>
    <n v="0.2"/>
    <n v="0"/>
    <n v="0"/>
    <n v="0"/>
    <n v="0"/>
    <n v="0"/>
    <n v="0"/>
    <n v="0"/>
    <n v="0"/>
    <n v="0"/>
    <n v="0"/>
    <n v="0"/>
    <n v="0"/>
    <n v="0"/>
    <n v="0"/>
    <n v="0"/>
  </r>
  <r>
    <x v="224"/>
    <x v="219"/>
    <m/>
    <x v="4"/>
    <m/>
    <x v="0"/>
    <s v="H1917-20"/>
    <m/>
    <m/>
    <m/>
    <m/>
    <m/>
    <x v="1"/>
    <m/>
    <m/>
    <n v="4"/>
    <n v="0.33333333333333331"/>
    <n v="0.85"/>
    <n v="0.28333333333333333"/>
    <n v="2180"/>
    <x v="11"/>
    <s v="Sam"/>
    <x v="4"/>
    <n v="23641"/>
    <n v="28786"/>
    <n v="16036.366666666665"/>
    <n v="5800"/>
    <n v="1933.3333333333333"/>
    <n v="17969.699999999997"/>
    <n v="0"/>
    <n v="0"/>
    <n v="0"/>
    <n v="1"/>
    <n v="0"/>
    <n v="0"/>
    <n v="0"/>
    <n v="0"/>
    <n v="0"/>
    <n v="0"/>
    <n v="0"/>
    <n v="0"/>
    <s v="Enl uttag från SP 191210"/>
    <m/>
    <n v="0"/>
    <n v="0"/>
    <n v="0"/>
    <n v="0"/>
    <n v="0"/>
    <n v="0"/>
    <n v="0.33333333333333331"/>
    <n v="0.28333333333333333"/>
    <n v="0"/>
    <n v="0"/>
    <n v="0"/>
    <n v="0"/>
    <n v="0"/>
    <n v="0"/>
    <n v="0"/>
    <n v="0"/>
    <n v="0"/>
    <n v="0"/>
    <n v="0"/>
    <n v="0"/>
    <n v="0"/>
    <n v="0"/>
    <n v="0"/>
  </r>
  <r>
    <x v="224"/>
    <x v="219"/>
    <m/>
    <x v="0"/>
    <m/>
    <x v="0"/>
    <s v="H1917-20"/>
    <m/>
    <m/>
    <m/>
    <m/>
    <m/>
    <x v="1"/>
    <m/>
    <m/>
    <n v="102"/>
    <n v="8.5"/>
    <n v="0.85"/>
    <n v="7.2249999999999996"/>
    <n v="2180"/>
    <x v="11"/>
    <s v="Sam"/>
    <x v="0"/>
    <n v="23641"/>
    <n v="28786"/>
    <n v="408927.35"/>
    <n v="5800"/>
    <n v="49300"/>
    <n v="458227.35"/>
    <n v="0"/>
    <n v="0"/>
    <n v="0"/>
    <n v="1"/>
    <n v="0"/>
    <n v="0"/>
    <n v="0"/>
    <n v="0"/>
    <n v="0"/>
    <n v="0"/>
    <n v="0"/>
    <n v="0"/>
    <s v="Enl uttag från SP 191210"/>
    <m/>
    <n v="0"/>
    <n v="0"/>
    <n v="0"/>
    <n v="0"/>
    <n v="0"/>
    <n v="0"/>
    <n v="8.5"/>
    <n v="7.2249999999999996"/>
    <n v="0"/>
    <n v="0"/>
    <n v="0"/>
    <n v="0"/>
    <n v="0"/>
    <n v="0"/>
    <n v="0"/>
    <n v="0"/>
    <n v="0"/>
    <n v="0"/>
    <n v="0"/>
    <n v="0"/>
    <n v="0"/>
    <n v="0"/>
    <n v="0"/>
  </r>
  <r>
    <x v="225"/>
    <x v="220"/>
    <m/>
    <x v="8"/>
    <m/>
    <x v="0"/>
    <m/>
    <m/>
    <m/>
    <m/>
    <m/>
    <m/>
    <x v="0"/>
    <m/>
    <m/>
    <m/>
    <n v="2"/>
    <n v="0.85"/>
    <n v="1.7"/>
    <n v="2180"/>
    <x v="11"/>
    <s v="Sam"/>
    <x v="8"/>
    <n v="23641"/>
    <n v="28786"/>
    <n v="96218.2"/>
    <n v="5800"/>
    <n v="11600"/>
    <n v="107818.2"/>
    <n v="0"/>
    <n v="0"/>
    <n v="0"/>
    <n v="1"/>
    <n v="0"/>
    <n v="0"/>
    <n v="0"/>
    <n v="0"/>
    <n v="0"/>
    <n v="0"/>
    <n v="0"/>
    <n v="0"/>
    <s v="Enl uttag från Ladok - Erik Å"/>
    <m/>
    <n v="0"/>
    <n v="0"/>
    <n v="0"/>
    <n v="0"/>
    <n v="0"/>
    <n v="0"/>
    <n v="2"/>
    <n v="1.7"/>
    <n v="0"/>
    <n v="0"/>
    <n v="0"/>
    <n v="0"/>
    <n v="0"/>
    <n v="0"/>
    <n v="0"/>
    <n v="0"/>
    <n v="0"/>
    <n v="0"/>
    <n v="0"/>
    <n v="0"/>
    <n v="0"/>
    <n v="0"/>
    <n v="0"/>
  </r>
  <r>
    <x v="226"/>
    <x v="221"/>
    <m/>
    <x v="2"/>
    <m/>
    <x v="0"/>
    <m/>
    <m/>
    <m/>
    <m/>
    <m/>
    <m/>
    <x v="0"/>
    <m/>
    <m/>
    <m/>
    <n v="4.9333299999999998"/>
    <n v="0.85"/>
    <n v="4.1933305000000001"/>
    <n v="2180"/>
    <x v="11"/>
    <s v="Sam"/>
    <x v="2"/>
    <n v="23641"/>
    <n v="28786"/>
    <n v="237338.066303"/>
    <n v="5800"/>
    <n v="28613.313999999998"/>
    <n v="265951.38030299998"/>
    <n v="0"/>
    <n v="0"/>
    <n v="0"/>
    <n v="1"/>
    <n v="0"/>
    <n v="0"/>
    <n v="0"/>
    <n v="0"/>
    <n v="0"/>
    <n v="0"/>
    <n v="0"/>
    <n v="0"/>
    <s v="Enl uttag från Ladok - Erik Å"/>
    <m/>
    <n v="0"/>
    <n v="0"/>
    <n v="0"/>
    <n v="0"/>
    <n v="0"/>
    <n v="0"/>
    <n v="4.9333299999999998"/>
    <n v="4.1933305000000001"/>
    <n v="0"/>
    <n v="0"/>
    <n v="0"/>
    <n v="0"/>
    <n v="0"/>
    <n v="0"/>
    <n v="0"/>
    <n v="0"/>
    <n v="0"/>
    <n v="0"/>
    <n v="0"/>
    <n v="0"/>
    <n v="0"/>
    <n v="0"/>
    <n v="0"/>
  </r>
  <r>
    <x v="226"/>
    <x v="221"/>
    <m/>
    <x v="3"/>
    <m/>
    <x v="0"/>
    <m/>
    <m/>
    <m/>
    <m/>
    <m/>
    <m/>
    <x v="0"/>
    <m/>
    <m/>
    <m/>
    <n v="4.6666699999999999"/>
    <n v="0.85"/>
    <n v="3.9666694999999996"/>
    <n v="2180"/>
    <x v="11"/>
    <s v="Sam"/>
    <x v="3"/>
    <n v="23641"/>
    <n v="28786"/>
    <n v="224509.29369699999"/>
    <n v="5800"/>
    <n v="27066.685999999998"/>
    <n v="251575.97969699997"/>
    <n v="0"/>
    <n v="0"/>
    <n v="0"/>
    <n v="1"/>
    <n v="0"/>
    <n v="0"/>
    <n v="0"/>
    <n v="0"/>
    <n v="0"/>
    <n v="0"/>
    <n v="0"/>
    <n v="0"/>
    <s v="Enl uttag från Ladok - Erik Å"/>
    <m/>
    <n v="0"/>
    <n v="0"/>
    <n v="0"/>
    <n v="0"/>
    <n v="0"/>
    <n v="0"/>
    <n v="4.6666699999999999"/>
    <n v="3.9666694999999996"/>
    <n v="0"/>
    <n v="0"/>
    <n v="0"/>
    <n v="0"/>
    <n v="0"/>
    <n v="0"/>
    <n v="0"/>
    <n v="0"/>
    <n v="0"/>
    <n v="0"/>
    <n v="0"/>
    <n v="0"/>
    <n v="0"/>
    <n v="0"/>
    <n v="0"/>
  </r>
  <r>
    <x v="227"/>
    <x v="222"/>
    <m/>
    <x v="4"/>
    <m/>
    <x v="0"/>
    <m/>
    <m/>
    <m/>
    <m/>
    <m/>
    <m/>
    <x v="0"/>
    <m/>
    <m/>
    <m/>
    <n v="0.53332999999999997"/>
    <n v="0.85"/>
    <n v="0.45333049999999997"/>
    <n v="2180"/>
    <x v="11"/>
    <s v="Sam"/>
    <x v="4"/>
    <n v="23641"/>
    <n v="28786"/>
    <n v="25658.026302999999"/>
    <n v="5800"/>
    <n v="3093.3139999999999"/>
    <n v="28751.340302999997"/>
    <n v="0"/>
    <n v="0"/>
    <n v="0"/>
    <n v="1"/>
    <n v="0"/>
    <n v="0"/>
    <n v="0"/>
    <n v="0"/>
    <n v="0"/>
    <n v="0"/>
    <n v="0"/>
    <n v="0"/>
    <s v="Enl uttag från Ladok - Erik Å"/>
    <m/>
    <n v="0"/>
    <n v="0"/>
    <n v="0"/>
    <n v="0"/>
    <n v="0"/>
    <n v="0"/>
    <n v="0.53332999999999997"/>
    <n v="0.45333049999999997"/>
    <n v="0"/>
    <n v="0"/>
    <n v="0"/>
    <n v="0"/>
    <n v="0"/>
    <n v="0"/>
    <n v="0"/>
    <n v="0"/>
    <n v="0"/>
    <n v="0"/>
    <n v="0"/>
    <n v="0"/>
    <n v="0"/>
    <n v="0"/>
    <n v="0"/>
  </r>
  <r>
    <x v="227"/>
    <x v="222"/>
    <m/>
    <x v="0"/>
    <m/>
    <x v="0"/>
    <m/>
    <m/>
    <m/>
    <m/>
    <m/>
    <m/>
    <x v="0"/>
    <m/>
    <m/>
    <m/>
    <n v="12.93333"/>
    <n v="0.85"/>
    <n v="10.993330499999999"/>
    <n v="2180"/>
    <x v="11"/>
    <s v="Sam"/>
    <x v="0"/>
    <n v="23641"/>
    <n v="28786"/>
    <n v="622210.8663029999"/>
    <n v="5800"/>
    <n v="75013.313999999998"/>
    <n v="697224.18030299991"/>
    <n v="0"/>
    <n v="0"/>
    <n v="0"/>
    <n v="1"/>
    <n v="0"/>
    <n v="0"/>
    <n v="0"/>
    <n v="0"/>
    <n v="0"/>
    <n v="0"/>
    <n v="0"/>
    <n v="0"/>
    <s v="Enl uttag från Ladok - Erik Å"/>
    <m/>
    <n v="0"/>
    <n v="0"/>
    <n v="0"/>
    <n v="0"/>
    <n v="0"/>
    <n v="0"/>
    <n v="12.93333"/>
    <n v="10.993330499999999"/>
    <n v="0"/>
    <n v="0"/>
    <n v="0"/>
    <n v="0"/>
    <n v="0"/>
    <n v="0"/>
    <n v="0"/>
    <n v="0"/>
    <n v="0"/>
    <n v="0"/>
    <n v="0"/>
    <n v="0"/>
    <n v="0"/>
    <n v="0"/>
    <n v="0"/>
  </r>
  <r>
    <x v="228"/>
    <x v="223"/>
    <m/>
    <x v="14"/>
    <m/>
    <x v="0"/>
    <m/>
    <m/>
    <m/>
    <m/>
    <m/>
    <m/>
    <x v="0"/>
    <m/>
    <m/>
    <m/>
    <n v="1.75"/>
    <n v="0.85"/>
    <n v="1.4875"/>
    <n v="2180"/>
    <x v="11"/>
    <s v="Sam"/>
    <x v="14"/>
    <n v="23641"/>
    <n v="28786"/>
    <n v="84190.925000000003"/>
    <n v="5800"/>
    <n v="10150"/>
    <n v="94340.925000000003"/>
    <n v="0"/>
    <n v="0"/>
    <n v="0"/>
    <n v="1"/>
    <n v="0"/>
    <n v="0"/>
    <n v="0"/>
    <n v="0"/>
    <n v="0"/>
    <n v="0"/>
    <n v="0"/>
    <n v="0"/>
    <s v="Enl uttag från Ladok - Erik Å"/>
    <m/>
    <n v="0"/>
    <n v="0"/>
    <n v="0"/>
    <n v="0"/>
    <n v="0"/>
    <n v="0"/>
    <n v="1.75"/>
    <n v="1.4875"/>
    <n v="0"/>
    <n v="0"/>
    <n v="0"/>
    <n v="0"/>
    <n v="0"/>
    <n v="0"/>
    <n v="0"/>
    <n v="0"/>
    <n v="0"/>
    <n v="0"/>
    <n v="0"/>
    <n v="0"/>
    <n v="0"/>
    <n v="0"/>
    <n v="0"/>
  </r>
  <r>
    <x v="228"/>
    <x v="223"/>
    <m/>
    <x v="5"/>
    <m/>
    <x v="0"/>
    <m/>
    <m/>
    <m/>
    <m/>
    <m/>
    <m/>
    <x v="0"/>
    <m/>
    <m/>
    <m/>
    <n v="2.125"/>
    <n v="0.85"/>
    <n v="1.8062499999999999"/>
    <n v="2180"/>
    <x v="11"/>
    <s v="Sam"/>
    <x v="5"/>
    <n v="23641"/>
    <n v="28786"/>
    <n v="102231.83749999999"/>
    <n v="5800"/>
    <n v="12325"/>
    <n v="114556.83749999999"/>
    <n v="0"/>
    <n v="0"/>
    <n v="0"/>
    <n v="1"/>
    <n v="0"/>
    <n v="0"/>
    <n v="0"/>
    <n v="0"/>
    <n v="0"/>
    <n v="0"/>
    <n v="0"/>
    <n v="0"/>
    <s v="Enl uttag från Ladok - Erik Å"/>
    <m/>
    <n v="0"/>
    <n v="0"/>
    <n v="0"/>
    <n v="0"/>
    <n v="0"/>
    <n v="0"/>
    <n v="2.125"/>
    <n v="1.8062499999999999"/>
    <n v="0"/>
    <n v="0"/>
    <n v="0"/>
    <n v="0"/>
    <n v="0"/>
    <n v="0"/>
    <n v="0"/>
    <n v="0"/>
    <n v="0"/>
    <n v="0"/>
    <n v="0"/>
    <n v="0"/>
    <n v="0"/>
    <n v="0"/>
    <n v="0"/>
  </r>
  <r>
    <x v="228"/>
    <x v="223"/>
    <m/>
    <x v="6"/>
    <m/>
    <x v="0"/>
    <m/>
    <m/>
    <m/>
    <m/>
    <m/>
    <m/>
    <x v="0"/>
    <m/>
    <m/>
    <m/>
    <n v="2.125"/>
    <n v="0.85"/>
    <n v="1.8062499999999999"/>
    <n v="2180"/>
    <x v="11"/>
    <s v="Sam"/>
    <x v="6"/>
    <n v="23641"/>
    <n v="28786"/>
    <n v="102231.83749999999"/>
    <n v="5800"/>
    <n v="12325"/>
    <n v="114556.83749999999"/>
    <n v="0"/>
    <n v="0"/>
    <n v="0"/>
    <n v="1"/>
    <n v="0"/>
    <n v="0"/>
    <n v="0"/>
    <n v="0"/>
    <n v="0"/>
    <n v="0"/>
    <n v="0"/>
    <n v="0"/>
    <s v="Enl uttag från Ladok - Erik Å"/>
    <m/>
    <n v="0"/>
    <n v="0"/>
    <n v="0"/>
    <n v="0"/>
    <n v="0"/>
    <n v="0"/>
    <n v="2.125"/>
    <n v="1.8062499999999999"/>
    <n v="0"/>
    <n v="0"/>
    <n v="0"/>
    <n v="0"/>
    <n v="0"/>
    <n v="0"/>
    <n v="0"/>
    <n v="0"/>
    <n v="0"/>
    <n v="0"/>
    <n v="0"/>
    <n v="0"/>
    <n v="0"/>
    <n v="0"/>
    <n v="0"/>
  </r>
  <r>
    <x v="229"/>
    <x v="224"/>
    <m/>
    <x v="8"/>
    <m/>
    <x v="0"/>
    <m/>
    <m/>
    <m/>
    <m/>
    <m/>
    <m/>
    <x v="0"/>
    <m/>
    <m/>
    <m/>
    <n v="6.5"/>
    <n v="0.85"/>
    <n v="5.5249999999999995"/>
    <n v="2193"/>
    <x v="12"/>
    <s v="Sam"/>
    <x v="8"/>
    <n v="18405"/>
    <n v="15773"/>
    <n v="206778.32500000001"/>
    <n v="5800"/>
    <n v="37700"/>
    <n v="244478.32500000001"/>
    <n v="0"/>
    <n v="0"/>
    <n v="0"/>
    <n v="0"/>
    <n v="0"/>
    <n v="0"/>
    <n v="1"/>
    <n v="0"/>
    <n v="0"/>
    <n v="0"/>
    <n v="0"/>
    <n v="0"/>
    <s v="Enl uttag från Ladok - Erik Å"/>
    <m/>
    <n v="0"/>
    <n v="0"/>
    <n v="0"/>
    <n v="0"/>
    <n v="0"/>
    <n v="0"/>
    <n v="0"/>
    <n v="0"/>
    <n v="0"/>
    <n v="0"/>
    <n v="0"/>
    <n v="0"/>
    <n v="6.5"/>
    <n v="5.5249999999999995"/>
    <n v="0"/>
    <n v="0"/>
    <n v="0"/>
    <n v="0"/>
    <n v="0"/>
    <n v="0"/>
    <n v="0"/>
    <n v="0"/>
    <n v="0"/>
  </r>
  <r>
    <x v="230"/>
    <x v="225"/>
    <m/>
    <x v="8"/>
    <m/>
    <x v="0"/>
    <m/>
    <m/>
    <m/>
    <m/>
    <m/>
    <m/>
    <x v="0"/>
    <m/>
    <m/>
    <m/>
    <n v="2.75"/>
    <n v="0.85"/>
    <n v="2.3374999999999999"/>
    <n v="2193"/>
    <x v="12"/>
    <s v="Sam"/>
    <x v="8"/>
    <n v="21634"/>
    <n v="26986"/>
    <n v="122573.27499999999"/>
    <n v="3400"/>
    <n v="9350"/>
    <n v="131923.27499999999"/>
    <n v="0"/>
    <n v="0"/>
    <n v="0"/>
    <n v="0"/>
    <n v="0"/>
    <n v="0"/>
    <n v="0"/>
    <n v="0"/>
    <n v="1"/>
    <n v="0"/>
    <n v="0"/>
    <n v="0"/>
    <s v="Enl uttag från Ladok - Erik Å"/>
    <m/>
    <n v="0"/>
    <n v="0"/>
    <n v="0"/>
    <n v="0"/>
    <n v="0"/>
    <n v="0"/>
    <n v="0"/>
    <n v="0"/>
    <n v="0"/>
    <n v="0"/>
    <n v="0"/>
    <n v="0"/>
    <n v="0"/>
    <n v="0"/>
    <n v="0"/>
    <n v="0"/>
    <n v="2.75"/>
    <n v="2.3374999999999999"/>
    <n v="0"/>
    <n v="0"/>
    <n v="0"/>
    <n v="0"/>
    <n v="0"/>
  </r>
  <r>
    <x v="231"/>
    <x v="226"/>
    <m/>
    <x v="14"/>
    <m/>
    <x v="0"/>
    <m/>
    <m/>
    <m/>
    <m/>
    <m/>
    <m/>
    <x v="0"/>
    <m/>
    <m/>
    <m/>
    <n v="6.65"/>
    <n v="0.85"/>
    <n v="5.6524999999999999"/>
    <n v="5740"/>
    <x v="6"/>
    <s v="TekNat"/>
    <x v="14"/>
    <n v="21634"/>
    <n v="26986"/>
    <n v="296404.46499999997"/>
    <n v="3400"/>
    <n v="22610"/>
    <n v="319014.46499999997"/>
    <n v="0"/>
    <n v="0"/>
    <n v="0"/>
    <n v="0"/>
    <n v="0"/>
    <n v="0"/>
    <n v="0"/>
    <n v="0"/>
    <n v="1"/>
    <n v="0"/>
    <n v="0"/>
    <n v="0"/>
    <s v="Enl uttag från Ladok - Erik Å"/>
    <m/>
    <n v="0"/>
    <n v="0"/>
    <n v="0"/>
    <n v="0"/>
    <n v="0"/>
    <n v="0"/>
    <n v="0"/>
    <n v="0"/>
    <n v="0"/>
    <n v="0"/>
    <n v="0"/>
    <n v="0"/>
    <n v="0"/>
    <n v="0"/>
    <n v="0"/>
    <n v="0"/>
    <n v="6.65"/>
    <n v="5.6524999999999999"/>
    <n v="0"/>
    <n v="0"/>
    <n v="0"/>
    <n v="0"/>
    <n v="0"/>
  </r>
  <r>
    <x v="231"/>
    <x v="226"/>
    <m/>
    <x v="5"/>
    <m/>
    <x v="0"/>
    <m/>
    <m/>
    <m/>
    <m/>
    <m/>
    <m/>
    <x v="0"/>
    <m/>
    <m/>
    <m/>
    <n v="5.2249999999999996"/>
    <n v="0.85"/>
    <n v="4.4412499999999993"/>
    <n v="5740"/>
    <x v="6"/>
    <s v="TekNat"/>
    <x v="5"/>
    <n v="21634"/>
    <n v="26986"/>
    <n v="232889.22249999997"/>
    <n v="3400"/>
    <n v="17765"/>
    <n v="250654.22249999997"/>
    <n v="0"/>
    <n v="0"/>
    <n v="0"/>
    <n v="0"/>
    <n v="0"/>
    <n v="0"/>
    <n v="0"/>
    <n v="0"/>
    <n v="1"/>
    <n v="0"/>
    <n v="0"/>
    <n v="0"/>
    <s v="Enl uttag från Ladok - Erik Å"/>
    <m/>
    <n v="0"/>
    <n v="0"/>
    <n v="0"/>
    <n v="0"/>
    <n v="0"/>
    <n v="0"/>
    <n v="0"/>
    <n v="0"/>
    <n v="0"/>
    <n v="0"/>
    <n v="0"/>
    <n v="0"/>
    <n v="0"/>
    <n v="0"/>
    <n v="0"/>
    <n v="0"/>
    <n v="5.2249999999999996"/>
    <n v="4.4412499999999993"/>
    <n v="0"/>
    <n v="0"/>
    <n v="0"/>
    <n v="0"/>
    <n v="0"/>
  </r>
  <r>
    <x v="231"/>
    <x v="226"/>
    <m/>
    <x v="6"/>
    <m/>
    <x v="0"/>
    <m/>
    <m/>
    <m/>
    <m/>
    <m/>
    <m/>
    <x v="0"/>
    <m/>
    <m/>
    <m/>
    <n v="6.65"/>
    <n v="0.85"/>
    <n v="5.6524999999999999"/>
    <n v="5740"/>
    <x v="6"/>
    <s v="TekNat"/>
    <x v="6"/>
    <n v="21634"/>
    <n v="26986"/>
    <n v="296404.46499999997"/>
    <n v="3400"/>
    <n v="22610"/>
    <n v="319014.46499999997"/>
    <n v="0"/>
    <n v="0"/>
    <n v="0"/>
    <n v="0"/>
    <n v="0"/>
    <n v="0"/>
    <n v="0"/>
    <n v="0"/>
    <n v="1"/>
    <n v="0"/>
    <n v="0"/>
    <n v="0"/>
    <s v="Enl uttag från Ladok - Erik Å"/>
    <m/>
    <n v="0"/>
    <n v="0"/>
    <n v="0"/>
    <n v="0"/>
    <n v="0"/>
    <n v="0"/>
    <n v="0"/>
    <n v="0"/>
    <n v="0"/>
    <n v="0"/>
    <n v="0"/>
    <n v="0"/>
    <n v="0"/>
    <n v="0"/>
    <n v="0"/>
    <n v="0"/>
    <n v="6.65"/>
    <n v="5.6524999999999999"/>
    <n v="0"/>
    <n v="0"/>
    <n v="0"/>
    <n v="0"/>
    <n v="0"/>
  </r>
  <r>
    <x v="232"/>
    <x v="227"/>
    <m/>
    <x v="14"/>
    <m/>
    <x v="0"/>
    <m/>
    <m/>
    <m/>
    <m/>
    <m/>
    <m/>
    <x v="0"/>
    <m/>
    <m/>
    <m/>
    <n v="3.25"/>
    <n v="0.85"/>
    <n v="2.7624999999999997"/>
    <n v="5740"/>
    <x v="6"/>
    <s v="TekNat"/>
    <x v="14"/>
    <n v="23641"/>
    <n v="28786"/>
    <n v="156354.57500000001"/>
    <n v="5800"/>
    <n v="18850"/>
    <n v="175204.57500000001"/>
    <n v="0"/>
    <n v="0"/>
    <n v="0"/>
    <n v="1"/>
    <n v="0"/>
    <n v="0"/>
    <n v="0"/>
    <n v="0"/>
    <n v="0"/>
    <n v="0"/>
    <n v="0"/>
    <n v="0"/>
    <s v="Enl uttag från Ladok - Erik Å"/>
    <m/>
    <n v="0"/>
    <n v="0"/>
    <n v="0"/>
    <n v="0"/>
    <n v="0"/>
    <n v="0"/>
    <n v="3.25"/>
    <n v="2.7624999999999997"/>
    <n v="0"/>
    <n v="0"/>
    <n v="0"/>
    <n v="0"/>
    <n v="0"/>
    <n v="0"/>
    <n v="0"/>
    <n v="0"/>
    <n v="0"/>
    <n v="0"/>
    <n v="0"/>
    <n v="0"/>
    <n v="0"/>
    <n v="0"/>
    <n v="0"/>
  </r>
  <r>
    <x v="232"/>
    <x v="227"/>
    <m/>
    <x v="5"/>
    <m/>
    <x v="0"/>
    <m/>
    <m/>
    <m/>
    <m/>
    <m/>
    <m/>
    <x v="0"/>
    <m/>
    <m/>
    <m/>
    <n v="3.5"/>
    <n v="0.85"/>
    <n v="2.9750000000000001"/>
    <n v="5740"/>
    <x v="6"/>
    <s v="TekNat"/>
    <x v="5"/>
    <n v="23641"/>
    <n v="28786"/>
    <n v="168381.85"/>
    <n v="5800"/>
    <n v="20300"/>
    <n v="188681.85"/>
    <n v="0"/>
    <n v="0"/>
    <n v="0"/>
    <n v="1"/>
    <n v="0"/>
    <n v="0"/>
    <n v="0"/>
    <n v="0"/>
    <n v="0"/>
    <n v="0"/>
    <n v="0"/>
    <n v="0"/>
    <s v="Enl uttag från Ladok - Erik Å"/>
    <m/>
    <n v="0"/>
    <n v="0"/>
    <n v="0"/>
    <n v="0"/>
    <n v="0"/>
    <n v="0"/>
    <n v="3.5"/>
    <n v="2.9750000000000001"/>
    <n v="0"/>
    <n v="0"/>
    <n v="0"/>
    <n v="0"/>
    <n v="0"/>
    <n v="0"/>
    <n v="0"/>
    <n v="0"/>
    <n v="0"/>
    <n v="0"/>
    <n v="0"/>
    <n v="0"/>
    <n v="0"/>
    <n v="0"/>
    <n v="0"/>
  </r>
  <r>
    <x v="232"/>
    <x v="227"/>
    <m/>
    <x v="6"/>
    <m/>
    <x v="0"/>
    <m/>
    <m/>
    <m/>
    <m/>
    <m/>
    <m/>
    <x v="0"/>
    <m/>
    <m/>
    <m/>
    <n v="3.5"/>
    <n v="0.85"/>
    <n v="2.9750000000000001"/>
    <n v="5740"/>
    <x v="6"/>
    <s v="TekNat"/>
    <x v="6"/>
    <n v="23641"/>
    <n v="28786"/>
    <n v="168381.85"/>
    <n v="5800"/>
    <n v="20300"/>
    <n v="188681.85"/>
    <n v="0"/>
    <n v="0"/>
    <n v="0"/>
    <n v="1"/>
    <n v="0"/>
    <n v="0"/>
    <n v="0"/>
    <n v="0"/>
    <n v="0"/>
    <n v="0"/>
    <n v="0"/>
    <n v="0"/>
    <s v="Enl uttag från Ladok - Erik Å"/>
    <m/>
    <n v="0"/>
    <n v="0"/>
    <n v="0"/>
    <n v="0"/>
    <n v="0"/>
    <n v="0"/>
    <n v="3.5"/>
    <n v="2.9750000000000001"/>
    <n v="0"/>
    <n v="0"/>
    <n v="0"/>
    <n v="0"/>
    <n v="0"/>
    <n v="0"/>
    <n v="0"/>
    <n v="0"/>
    <n v="0"/>
    <n v="0"/>
    <n v="0"/>
    <n v="0"/>
    <n v="0"/>
    <n v="0"/>
    <n v="0"/>
  </r>
  <r>
    <x v="233"/>
    <x v="228"/>
    <m/>
    <x v="8"/>
    <m/>
    <x v="0"/>
    <m/>
    <m/>
    <m/>
    <m/>
    <m/>
    <m/>
    <x v="0"/>
    <m/>
    <m/>
    <m/>
    <n v="2.5666699999999998"/>
    <n v="0.85"/>
    <n v="2.1816694999999999"/>
    <n v="5740"/>
    <x v="6"/>
    <s v="TekNat"/>
    <x v="8"/>
    <n v="23641"/>
    <n v="28786"/>
    <n v="123480.183697"/>
    <n v="5800"/>
    <n v="14886.685999999998"/>
    <n v="138366.86969699999"/>
    <n v="0"/>
    <n v="0"/>
    <n v="0"/>
    <n v="1"/>
    <n v="0"/>
    <n v="0"/>
    <n v="0"/>
    <n v="0"/>
    <n v="0"/>
    <n v="0"/>
    <n v="0"/>
    <n v="0"/>
    <s v="Enl uttag från Ladok - Erik Å"/>
    <m/>
    <n v="0"/>
    <n v="0"/>
    <n v="0"/>
    <n v="0"/>
    <n v="0"/>
    <n v="0"/>
    <n v="2.5666699999999998"/>
    <n v="2.1816694999999999"/>
    <n v="0"/>
    <n v="0"/>
    <n v="0"/>
    <n v="0"/>
    <n v="0"/>
    <n v="0"/>
    <n v="0"/>
    <n v="0"/>
    <n v="0"/>
    <n v="0"/>
    <n v="0"/>
    <n v="0"/>
    <n v="0"/>
    <n v="0"/>
    <n v="0"/>
  </r>
  <r>
    <x v="233"/>
    <x v="228"/>
    <m/>
    <x v="2"/>
    <m/>
    <x v="0"/>
    <m/>
    <m/>
    <m/>
    <m/>
    <m/>
    <m/>
    <x v="0"/>
    <m/>
    <m/>
    <m/>
    <n v="6.4166699999999999"/>
    <n v="0.85"/>
    <n v="5.4541694999999999"/>
    <n v="5740"/>
    <x v="6"/>
    <s v="TekNat"/>
    <x v="2"/>
    <n v="23641"/>
    <n v="28786"/>
    <n v="308700.218697"/>
    <n v="5800"/>
    <n v="37216.686000000002"/>
    <n v="345916.90469699999"/>
    <n v="0"/>
    <n v="0"/>
    <n v="0"/>
    <n v="1"/>
    <n v="0"/>
    <n v="0"/>
    <n v="0"/>
    <n v="0"/>
    <n v="0"/>
    <n v="0"/>
    <n v="0"/>
    <n v="0"/>
    <s v="Enl uttag från Ladok - Erik Å"/>
    <m/>
    <n v="0"/>
    <n v="0"/>
    <n v="0"/>
    <n v="0"/>
    <n v="0"/>
    <n v="0"/>
    <n v="6.4166699999999999"/>
    <n v="5.4541694999999999"/>
    <n v="0"/>
    <n v="0"/>
    <n v="0"/>
    <n v="0"/>
    <n v="0"/>
    <n v="0"/>
    <n v="0"/>
    <n v="0"/>
    <n v="0"/>
    <n v="0"/>
    <n v="0"/>
    <n v="0"/>
    <n v="0"/>
    <n v="0"/>
    <n v="0"/>
  </r>
  <r>
    <x v="233"/>
    <x v="228"/>
    <m/>
    <x v="3"/>
    <m/>
    <x v="0"/>
    <m/>
    <m/>
    <m/>
    <m/>
    <m/>
    <m/>
    <x v="0"/>
    <m/>
    <m/>
    <m/>
    <n v="6.05"/>
    <n v="0.85"/>
    <n v="5.1425000000000001"/>
    <n v="5740"/>
    <x v="6"/>
    <s v="TekNat"/>
    <x v="3"/>
    <n v="23641"/>
    <n v="28786"/>
    <n v="291060.05499999999"/>
    <n v="5800"/>
    <n v="35090"/>
    <n v="326150.05499999999"/>
    <n v="0"/>
    <n v="0"/>
    <n v="0"/>
    <n v="1"/>
    <n v="0"/>
    <n v="0"/>
    <n v="0"/>
    <n v="0"/>
    <n v="0"/>
    <n v="0"/>
    <n v="0"/>
    <n v="0"/>
    <s v="Enl uttag från Ladok - Erik Å"/>
    <m/>
    <n v="0"/>
    <n v="0"/>
    <n v="0"/>
    <n v="0"/>
    <n v="0"/>
    <n v="0"/>
    <n v="6.05"/>
    <n v="5.1425000000000001"/>
    <n v="0"/>
    <n v="0"/>
    <n v="0"/>
    <n v="0"/>
    <n v="0"/>
    <n v="0"/>
    <n v="0"/>
    <n v="0"/>
    <n v="0"/>
    <n v="0"/>
    <n v="0"/>
    <n v="0"/>
    <n v="0"/>
    <n v="0"/>
    <n v="0"/>
  </r>
  <r>
    <x v="234"/>
    <x v="229"/>
    <m/>
    <x v="7"/>
    <m/>
    <x v="0"/>
    <m/>
    <m/>
    <m/>
    <m/>
    <m/>
    <m/>
    <x v="0"/>
    <m/>
    <m/>
    <m/>
    <n v="10.1"/>
    <n v="0.85"/>
    <n v="8.5849999999999991"/>
    <n v="5740"/>
    <x v="6"/>
    <s v="TekNat"/>
    <x v="7"/>
    <n v="23641"/>
    <n v="28786"/>
    <n v="485901.91"/>
    <n v="5800"/>
    <n v="58580"/>
    <n v="544481.90999999992"/>
    <n v="0"/>
    <n v="0"/>
    <n v="0"/>
    <n v="1"/>
    <n v="0"/>
    <n v="0"/>
    <n v="0"/>
    <n v="0"/>
    <n v="0"/>
    <n v="0"/>
    <n v="0"/>
    <n v="0"/>
    <s v="Enl uttag från Ladok - Erik Å"/>
    <m/>
    <n v="0"/>
    <n v="0"/>
    <n v="0"/>
    <n v="0"/>
    <n v="0"/>
    <n v="0"/>
    <n v="10.1"/>
    <n v="8.5849999999999991"/>
    <n v="0"/>
    <n v="0"/>
    <n v="0"/>
    <n v="0"/>
    <n v="0"/>
    <n v="0"/>
    <n v="0"/>
    <n v="0"/>
    <n v="0"/>
    <n v="0"/>
    <n v="0"/>
    <n v="0"/>
    <n v="0"/>
    <n v="0"/>
    <n v="0"/>
  </r>
  <r>
    <x v="235"/>
    <x v="230"/>
    <m/>
    <x v="4"/>
    <m/>
    <x v="0"/>
    <m/>
    <m/>
    <m/>
    <m/>
    <m/>
    <m/>
    <x v="0"/>
    <m/>
    <m/>
    <m/>
    <n v="0.73333000000000004"/>
    <n v="0.85"/>
    <n v="0.62333050000000001"/>
    <n v="5740"/>
    <x v="6"/>
    <s v="TekNat"/>
    <x v="4"/>
    <n v="23641"/>
    <n v="28786"/>
    <n v="35279.846302999998"/>
    <n v="5800"/>
    <n v="4253.3140000000003"/>
    <n v="39533.160302999997"/>
    <n v="0"/>
    <n v="0"/>
    <n v="0"/>
    <n v="1"/>
    <n v="0"/>
    <n v="0"/>
    <n v="0"/>
    <n v="0"/>
    <n v="0"/>
    <n v="0"/>
    <n v="0"/>
    <n v="0"/>
    <s v="Enl uttag från Ladok - Erik Å"/>
    <m/>
    <n v="0"/>
    <n v="0"/>
    <n v="0"/>
    <n v="0"/>
    <n v="0"/>
    <n v="0"/>
    <n v="0.73333000000000004"/>
    <n v="0.62333050000000001"/>
    <n v="0"/>
    <n v="0"/>
    <n v="0"/>
    <n v="0"/>
    <n v="0"/>
    <n v="0"/>
    <n v="0"/>
    <n v="0"/>
    <n v="0"/>
    <n v="0"/>
    <n v="0"/>
    <n v="0"/>
    <n v="0"/>
    <n v="0"/>
    <n v="0"/>
  </r>
  <r>
    <x v="235"/>
    <x v="230"/>
    <m/>
    <x v="0"/>
    <m/>
    <x v="0"/>
    <m/>
    <m/>
    <m/>
    <m/>
    <m/>
    <m/>
    <x v="0"/>
    <m/>
    <m/>
    <m/>
    <n v="17.41667"/>
    <n v="0.85"/>
    <n v="14.804169499999999"/>
    <n v="5740"/>
    <x v="6"/>
    <s v="TekNat"/>
    <x v="0"/>
    <n v="23641"/>
    <n v="28786"/>
    <n v="837900.31869699992"/>
    <n v="5800"/>
    <n v="101016.686"/>
    <n v="938917.00469699991"/>
    <n v="0"/>
    <n v="0"/>
    <n v="0"/>
    <n v="1"/>
    <n v="0"/>
    <n v="0"/>
    <n v="0"/>
    <n v="0"/>
    <n v="0"/>
    <n v="0"/>
    <n v="0"/>
    <n v="0"/>
    <s v="Enl uttag från Ladok - Erik Å"/>
    <m/>
    <n v="0"/>
    <n v="0"/>
    <n v="0"/>
    <n v="0"/>
    <n v="0"/>
    <n v="0"/>
    <n v="17.41667"/>
    <n v="14.804169499999999"/>
    <n v="0"/>
    <n v="0"/>
    <n v="0"/>
    <n v="0"/>
    <n v="0"/>
    <n v="0"/>
    <n v="0"/>
    <n v="0"/>
    <n v="0"/>
    <n v="0"/>
    <n v="0"/>
    <n v="0"/>
    <n v="0"/>
    <n v="0"/>
    <n v="0"/>
  </r>
  <r>
    <x v="236"/>
    <x v="67"/>
    <m/>
    <x v="1"/>
    <m/>
    <x v="0"/>
    <m/>
    <m/>
    <m/>
    <m/>
    <m/>
    <m/>
    <x v="0"/>
    <m/>
    <m/>
    <m/>
    <n v="0.25"/>
    <n v="0.8"/>
    <n v="0.2"/>
    <n v="2193"/>
    <x v="12"/>
    <s v="Sam"/>
    <x v="1"/>
    <n v="18405"/>
    <n v="15773"/>
    <n v="7755.85"/>
    <n v="5800"/>
    <n v="1450"/>
    <n v="9205.85"/>
    <n v="0"/>
    <n v="0"/>
    <n v="0"/>
    <n v="0"/>
    <n v="0"/>
    <n v="0"/>
    <n v="1"/>
    <n v="0"/>
    <n v="0"/>
    <n v="0"/>
    <n v="0"/>
    <n v="0"/>
    <s v="Enl uttag från Ladok - Erik Å"/>
    <m/>
    <n v="0"/>
    <n v="0"/>
    <n v="0"/>
    <n v="0"/>
    <n v="0"/>
    <n v="0"/>
    <n v="0"/>
    <n v="0"/>
    <n v="0"/>
    <n v="0"/>
    <n v="0"/>
    <n v="0"/>
    <n v="0.25"/>
    <n v="0.2"/>
    <n v="0"/>
    <n v="0"/>
    <n v="0"/>
    <n v="0"/>
    <n v="0"/>
    <n v="0"/>
    <n v="0"/>
    <n v="0"/>
    <n v="0"/>
  </r>
  <r>
    <x v="237"/>
    <x v="67"/>
    <m/>
    <x v="1"/>
    <m/>
    <x v="0"/>
    <m/>
    <m/>
    <m/>
    <m/>
    <m/>
    <m/>
    <x v="0"/>
    <m/>
    <m/>
    <m/>
    <n v="1"/>
    <n v="0.8"/>
    <n v="0.8"/>
    <n v="2193"/>
    <x v="12"/>
    <s v="Sam"/>
    <x v="1"/>
    <n v="18405"/>
    <n v="15773"/>
    <n v="31023.4"/>
    <n v="5800"/>
    <n v="5800"/>
    <n v="36823.4"/>
    <n v="0"/>
    <n v="0"/>
    <n v="0"/>
    <n v="0"/>
    <n v="0"/>
    <n v="0"/>
    <n v="1"/>
    <n v="0"/>
    <n v="0"/>
    <n v="0"/>
    <n v="0"/>
    <n v="0"/>
    <s v="Enl uttag från Ladok - Erik Å"/>
    <m/>
    <n v="0"/>
    <n v="0"/>
    <n v="0"/>
    <n v="0"/>
    <n v="0"/>
    <n v="0"/>
    <n v="0"/>
    <n v="0"/>
    <n v="0"/>
    <n v="0"/>
    <n v="0"/>
    <n v="0"/>
    <n v="1"/>
    <n v="0.8"/>
    <n v="0"/>
    <n v="0"/>
    <n v="0"/>
    <n v="0"/>
    <n v="0"/>
    <n v="0"/>
    <n v="0"/>
    <n v="0"/>
    <n v="0"/>
  </r>
  <r>
    <x v="238"/>
    <x v="231"/>
    <m/>
    <x v="1"/>
    <m/>
    <x v="0"/>
    <m/>
    <m/>
    <m/>
    <m/>
    <m/>
    <m/>
    <x v="0"/>
    <m/>
    <m/>
    <m/>
    <n v="3.25"/>
    <n v="0.8"/>
    <n v="2.6"/>
    <n v="2193"/>
    <x v="12"/>
    <s v="Sam"/>
    <x v="1"/>
    <n v="18405"/>
    <n v="15773"/>
    <n v="100826.05"/>
    <n v="5800"/>
    <n v="18850"/>
    <n v="119676.05"/>
    <n v="0"/>
    <n v="0"/>
    <n v="0"/>
    <n v="0"/>
    <n v="0"/>
    <n v="0"/>
    <n v="1"/>
    <n v="0"/>
    <n v="0"/>
    <n v="0"/>
    <n v="0"/>
    <n v="0"/>
    <s v="Enl uttag från Ladok - Erik Å"/>
    <m/>
    <n v="0"/>
    <n v="0"/>
    <n v="0"/>
    <n v="0"/>
    <n v="0"/>
    <n v="0"/>
    <n v="0"/>
    <n v="0"/>
    <n v="0"/>
    <n v="0"/>
    <n v="0"/>
    <n v="0"/>
    <n v="3.25"/>
    <n v="2.6"/>
    <n v="0"/>
    <n v="0"/>
    <n v="0"/>
    <n v="0"/>
    <n v="0"/>
    <n v="0"/>
    <n v="0"/>
    <n v="0"/>
    <n v="0"/>
  </r>
  <r>
    <x v="239"/>
    <x v="232"/>
    <m/>
    <x v="1"/>
    <m/>
    <x v="0"/>
    <m/>
    <m/>
    <m/>
    <m/>
    <m/>
    <m/>
    <x v="0"/>
    <m/>
    <m/>
    <m/>
    <n v="6"/>
    <n v="0.8"/>
    <n v="4.8000000000000007"/>
    <n v="2193"/>
    <x v="12"/>
    <s v="Sam"/>
    <x v="1"/>
    <n v="18405"/>
    <n v="15773"/>
    <n v="186140.40000000002"/>
    <n v="5800"/>
    <n v="34800"/>
    <n v="220940.40000000002"/>
    <n v="0"/>
    <n v="0"/>
    <n v="0"/>
    <n v="0"/>
    <n v="0"/>
    <n v="0"/>
    <n v="1"/>
    <n v="0"/>
    <n v="0"/>
    <n v="0"/>
    <n v="0"/>
    <n v="0"/>
    <s v="Enl uttag från Ladok - Erik Å"/>
    <m/>
    <n v="0"/>
    <n v="0"/>
    <n v="0"/>
    <n v="0"/>
    <n v="0"/>
    <n v="0"/>
    <n v="0"/>
    <n v="0"/>
    <n v="0"/>
    <n v="0"/>
    <n v="0"/>
    <n v="0"/>
    <n v="6"/>
    <n v="4.8000000000000007"/>
    <n v="0"/>
    <n v="0"/>
    <n v="0"/>
    <n v="0"/>
    <n v="0"/>
    <n v="0"/>
    <n v="0"/>
    <n v="0"/>
    <n v="0"/>
  </r>
  <r>
    <x v="240"/>
    <x v="233"/>
    <m/>
    <x v="1"/>
    <m/>
    <x v="0"/>
    <m/>
    <m/>
    <m/>
    <m/>
    <m/>
    <m/>
    <x v="0"/>
    <m/>
    <m/>
    <m/>
    <n v="1.125"/>
    <n v="0.8"/>
    <n v="0.9"/>
    <n v="2193"/>
    <x v="12"/>
    <s v="Sam"/>
    <x v="1"/>
    <n v="18405"/>
    <n v="15773"/>
    <n v="34901.324999999997"/>
    <n v="5800"/>
    <n v="6525"/>
    <n v="41426.324999999997"/>
    <n v="0"/>
    <n v="0"/>
    <n v="0"/>
    <n v="0"/>
    <n v="0"/>
    <n v="0"/>
    <n v="1"/>
    <n v="0"/>
    <n v="0"/>
    <n v="0"/>
    <n v="0"/>
    <n v="0"/>
    <s v="Enl uttag från Ladok - Erik Å"/>
    <m/>
    <n v="0"/>
    <n v="0"/>
    <n v="0"/>
    <n v="0"/>
    <n v="0"/>
    <n v="0"/>
    <n v="0"/>
    <n v="0"/>
    <n v="0"/>
    <n v="0"/>
    <n v="0"/>
    <n v="0"/>
    <n v="1.125"/>
    <n v="0.9"/>
    <n v="0"/>
    <n v="0"/>
    <n v="0"/>
    <n v="0"/>
    <n v="0"/>
    <n v="0"/>
    <n v="0"/>
    <n v="0"/>
    <n v="0"/>
  </r>
  <r>
    <x v="241"/>
    <x v="234"/>
    <m/>
    <x v="1"/>
    <m/>
    <x v="0"/>
    <m/>
    <m/>
    <m/>
    <m/>
    <m/>
    <m/>
    <x v="0"/>
    <m/>
    <m/>
    <m/>
    <n v="1.625"/>
    <n v="0.8"/>
    <n v="1.3"/>
    <n v="2193"/>
    <x v="12"/>
    <s v="Sam"/>
    <x v="1"/>
    <n v="18405"/>
    <n v="15773"/>
    <n v="50413.025000000001"/>
    <n v="5800"/>
    <n v="9425"/>
    <n v="59838.025000000001"/>
    <n v="0"/>
    <n v="0"/>
    <n v="0"/>
    <n v="0"/>
    <n v="0"/>
    <n v="0"/>
    <n v="1"/>
    <n v="0"/>
    <n v="0"/>
    <n v="0"/>
    <n v="0"/>
    <n v="0"/>
    <s v="Enl uttag från Ladok - Erik Å"/>
    <m/>
    <n v="0"/>
    <n v="0"/>
    <n v="0"/>
    <n v="0"/>
    <n v="0"/>
    <n v="0"/>
    <n v="0"/>
    <n v="0"/>
    <n v="0"/>
    <n v="0"/>
    <n v="0"/>
    <n v="0"/>
    <n v="1.625"/>
    <n v="1.3"/>
    <n v="0"/>
    <n v="0"/>
    <n v="0"/>
    <n v="0"/>
    <n v="0"/>
    <n v="0"/>
    <n v="0"/>
    <n v="0"/>
    <n v="0"/>
  </r>
  <r>
    <x v="242"/>
    <x v="55"/>
    <m/>
    <x v="8"/>
    <m/>
    <x v="0"/>
    <m/>
    <m/>
    <m/>
    <m/>
    <m/>
    <m/>
    <x v="0"/>
    <m/>
    <m/>
    <m/>
    <n v="0.41666999999999998"/>
    <n v="0.85"/>
    <n v="0.35416949999999997"/>
    <n v="2180"/>
    <x v="11"/>
    <s v="Sam"/>
    <x v="8"/>
    <n v="21634"/>
    <n v="26986"/>
    <n v="18571.856907000001"/>
    <n v="3400"/>
    <n v="1416.6779999999999"/>
    <n v="19988.534907000001"/>
    <n v="0"/>
    <n v="0"/>
    <n v="0"/>
    <n v="0"/>
    <n v="0"/>
    <n v="0"/>
    <n v="0"/>
    <n v="0"/>
    <n v="1"/>
    <n v="0"/>
    <n v="0"/>
    <n v="0"/>
    <s v="Enl uttag från Ladok - Erik Å"/>
    <m/>
    <n v="0"/>
    <n v="0"/>
    <n v="0"/>
    <n v="0"/>
    <n v="0"/>
    <n v="0"/>
    <n v="0"/>
    <n v="0"/>
    <n v="0"/>
    <n v="0"/>
    <n v="0"/>
    <n v="0"/>
    <n v="0"/>
    <n v="0"/>
    <n v="0"/>
    <n v="0"/>
    <n v="0.41666999999999998"/>
    <n v="0.35416949999999997"/>
    <n v="0"/>
    <n v="0"/>
    <n v="0"/>
    <n v="0"/>
    <n v="0"/>
  </r>
  <r>
    <x v="243"/>
    <x v="235"/>
    <m/>
    <x v="8"/>
    <m/>
    <x v="0"/>
    <m/>
    <m/>
    <m/>
    <m/>
    <m/>
    <m/>
    <x v="0"/>
    <m/>
    <m/>
    <m/>
    <n v="2"/>
    <n v="0.85"/>
    <n v="1.7"/>
    <n v="2193"/>
    <x v="12"/>
    <s v="Sam"/>
    <x v="8"/>
    <n v="18405"/>
    <n v="15773"/>
    <n v="63624.1"/>
    <n v="5800"/>
    <n v="11600"/>
    <n v="75224.100000000006"/>
    <n v="0"/>
    <n v="0"/>
    <n v="0"/>
    <n v="0"/>
    <n v="0"/>
    <n v="0"/>
    <n v="1"/>
    <n v="0"/>
    <n v="0"/>
    <n v="0"/>
    <n v="0"/>
    <n v="0"/>
    <s v="Enl uttag från Ladok - Erik Å"/>
    <m/>
    <n v="0"/>
    <n v="0"/>
    <n v="0"/>
    <n v="0"/>
    <n v="0"/>
    <n v="0"/>
    <n v="0"/>
    <n v="0"/>
    <n v="0"/>
    <n v="0"/>
    <n v="0"/>
    <n v="0"/>
    <n v="2"/>
    <n v="1.7"/>
    <n v="0"/>
    <n v="0"/>
    <n v="0"/>
    <n v="0"/>
    <n v="0"/>
    <n v="0"/>
    <n v="0"/>
    <n v="0"/>
    <n v="0"/>
  </r>
  <r>
    <x v="244"/>
    <x v="236"/>
    <m/>
    <x v="7"/>
    <m/>
    <x v="0"/>
    <m/>
    <m/>
    <m/>
    <m/>
    <m/>
    <m/>
    <x v="0"/>
    <m/>
    <m/>
    <m/>
    <n v="10.5"/>
    <n v="0.85"/>
    <n v="8.9249999999999989"/>
    <n v="2193"/>
    <x v="12"/>
    <s v="Sam"/>
    <x v="7"/>
    <n v="21634"/>
    <n v="26986"/>
    <n v="468007.04999999993"/>
    <n v="3400"/>
    <n v="35700"/>
    <n v="503707.04999999993"/>
    <n v="0"/>
    <n v="0"/>
    <n v="0"/>
    <n v="0"/>
    <n v="0"/>
    <n v="0"/>
    <n v="0"/>
    <n v="0"/>
    <n v="1"/>
    <n v="0"/>
    <n v="0"/>
    <n v="0"/>
    <s v="Enl uttag från Ladok - Erik Å"/>
    <m/>
    <n v="0"/>
    <n v="0"/>
    <n v="0"/>
    <n v="0"/>
    <n v="0"/>
    <n v="0"/>
    <n v="0"/>
    <n v="0"/>
    <n v="0"/>
    <n v="0"/>
    <n v="0"/>
    <n v="0"/>
    <n v="0"/>
    <n v="0"/>
    <n v="0"/>
    <n v="0"/>
    <n v="10.5"/>
    <n v="8.9249999999999989"/>
    <n v="0"/>
    <n v="0"/>
    <n v="0"/>
    <n v="0"/>
    <n v="0"/>
  </r>
  <r>
    <x v="245"/>
    <x v="237"/>
    <m/>
    <x v="7"/>
    <m/>
    <x v="0"/>
    <m/>
    <m/>
    <m/>
    <m/>
    <m/>
    <m/>
    <x v="0"/>
    <m/>
    <m/>
    <m/>
    <n v="12.16667"/>
    <n v="0.85"/>
    <n v="10.3416695"/>
    <n v="2193"/>
    <x v="12"/>
    <s v="Sam"/>
    <x v="7"/>
    <n v="18405"/>
    <n v="15773"/>
    <n v="387046.71437349997"/>
    <n v="5800"/>
    <n v="70566.686000000002"/>
    <n v="457613.40037349996"/>
    <n v="0"/>
    <n v="0"/>
    <n v="0"/>
    <n v="0"/>
    <n v="0"/>
    <n v="0"/>
    <n v="1"/>
    <n v="0"/>
    <n v="0"/>
    <n v="0"/>
    <n v="0"/>
    <n v="0"/>
    <s v="Enl uttag från Ladok - Erik Å"/>
    <m/>
    <n v="0"/>
    <n v="0"/>
    <n v="0"/>
    <n v="0"/>
    <n v="0"/>
    <n v="0"/>
    <n v="0"/>
    <n v="0"/>
    <n v="0"/>
    <n v="0"/>
    <n v="0"/>
    <n v="0"/>
    <n v="12.16667"/>
    <n v="10.3416695"/>
    <n v="0"/>
    <n v="0"/>
    <n v="0"/>
    <n v="0"/>
    <n v="0"/>
    <n v="0"/>
    <n v="0"/>
    <n v="0"/>
    <n v="0"/>
  </r>
  <r>
    <x v="246"/>
    <x v="238"/>
    <m/>
    <x v="7"/>
    <m/>
    <x v="0"/>
    <m/>
    <m/>
    <m/>
    <m/>
    <m/>
    <m/>
    <x v="0"/>
    <m/>
    <m/>
    <m/>
    <n v="9.35"/>
    <n v="0.85"/>
    <n v="7.9474999999999998"/>
    <n v="2193"/>
    <x v="12"/>
    <s v="Sam"/>
    <x v="7"/>
    <n v="21634"/>
    <n v="26986"/>
    <n v="416749.13500000001"/>
    <n v="3400"/>
    <n v="31790"/>
    <n v="448539.13500000001"/>
    <n v="0"/>
    <n v="0"/>
    <n v="0"/>
    <n v="0"/>
    <n v="0"/>
    <n v="0"/>
    <n v="0"/>
    <n v="0"/>
    <n v="1"/>
    <n v="0"/>
    <n v="0"/>
    <n v="0"/>
    <s v="Enl uttag från Ladok - Erik Å"/>
    <m/>
    <n v="0"/>
    <n v="0"/>
    <n v="0"/>
    <n v="0"/>
    <n v="0"/>
    <n v="0"/>
    <n v="0"/>
    <n v="0"/>
    <n v="0"/>
    <n v="0"/>
    <n v="0"/>
    <n v="0"/>
    <n v="0"/>
    <n v="0"/>
    <n v="0"/>
    <n v="0"/>
    <n v="9.35"/>
    <n v="7.9474999999999998"/>
    <n v="0"/>
    <n v="0"/>
    <n v="0"/>
    <n v="0"/>
    <n v="0"/>
  </r>
  <r>
    <x v="247"/>
    <x v="239"/>
    <m/>
    <x v="7"/>
    <m/>
    <x v="0"/>
    <m/>
    <m/>
    <m/>
    <m/>
    <m/>
    <m/>
    <x v="0"/>
    <m/>
    <m/>
    <m/>
    <n v="10.625"/>
    <n v="0.85"/>
    <n v="9.03125"/>
    <n v="2193"/>
    <x v="12"/>
    <s v="Sam"/>
    <x v="7"/>
    <n v="21634"/>
    <n v="26986"/>
    <n v="473578.5625"/>
    <n v="3400"/>
    <n v="36125"/>
    <n v="509703.5625"/>
    <n v="0"/>
    <n v="0"/>
    <n v="0"/>
    <n v="0"/>
    <n v="0"/>
    <n v="0"/>
    <n v="0"/>
    <n v="0"/>
    <n v="1"/>
    <n v="0"/>
    <n v="0"/>
    <n v="0"/>
    <s v="Enl uttag från Ladok - Erik Å"/>
    <m/>
    <n v="0"/>
    <n v="0"/>
    <n v="0"/>
    <n v="0"/>
    <n v="0"/>
    <n v="0"/>
    <n v="0"/>
    <n v="0"/>
    <n v="0"/>
    <n v="0"/>
    <n v="0"/>
    <n v="0"/>
    <n v="0"/>
    <n v="0"/>
    <n v="0"/>
    <n v="0"/>
    <n v="10.625"/>
    <n v="9.03125"/>
    <n v="0"/>
    <n v="0"/>
    <n v="0"/>
    <n v="0"/>
    <n v="0"/>
  </r>
  <r>
    <x v="248"/>
    <x v="240"/>
    <m/>
    <x v="7"/>
    <m/>
    <x v="0"/>
    <m/>
    <m/>
    <m/>
    <m/>
    <m/>
    <m/>
    <x v="0"/>
    <m/>
    <m/>
    <m/>
    <n v="21"/>
    <n v="0.85"/>
    <n v="17.849999999999998"/>
    <n v="2193"/>
    <x v="12"/>
    <s v="Sam"/>
    <x v="7"/>
    <n v="18405"/>
    <n v="15773"/>
    <n v="668053.05000000005"/>
    <n v="5800"/>
    <n v="121800"/>
    <n v="789853.05"/>
    <n v="0"/>
    <n v="0"/>
    <n v="0"/>
    <n v="0"/>
    <n v="0"/>
    <n v="0"/>
    <n v="1"/>
    <n v="0"/>
    <n v="0"/>
    <n v="0"/>
    <n v="0"/>
    <n v="0"/>
    <s v="Enl uttag från Ladok - Erik Å"/>
    <m/>
    <n v="0"/>
    <n v="0"/>
    <n v="0"/>
    <n v="0"/>
    <n v="0"/>
    <n v="0"/>
    <n v="0"/>
    <n v="0"/>
    <n v="0"/>
    <n v="0"/>
    <n v="0"/>
    <n v="0"/>
    <n v="21"/>
    <n v="17.849999999999998"/>
    <n v="0"/>
    <n v="0"/>
    <n v="0"/>
    <n v="0"/>
    <n v="0"/>
    <n v="0"/>
    <n v="0"/>
    <n v="0"/>
    <n v="0"/>
  </r>
  <r>
    <x v="249"/>
    <x v="241"/>
    <m/>
    <x v="5"/>
    <m/>
    <x v="0"/>
    <m/>
    <m/>
    <m/>
    <m/>
    <m/>
    <m/>
    <x v="0"/>
    <m/>
    <m/>
    <m/>
    <n v="3.5"/>
    <n v="0.85"/>
    <n v="2.9750000000000001"/>
    <n v="5740"/>
    <x v="6"/>
    <s v="TekNat"/>
    <x v="5"/>
    <n v="23641"/>
    <n v="28786"/>
    <n v="168381.85"/>
    <n v="5800"/>
    <n v="20300"/>
    <n v="188681.85"/>
    <n v="0"/>
    <n v="0"/>
    <n v="0"/>
    <n v="1"/>
    <n v="0"/>
    <n v="0"/>
    <n v="0"/>
    <n v="0"/>
    <n v="0"/>
    <n v="0"/>
    <n v="0"/>
    <n v="0"/>
    <s v="Enl uttag från Ladok - Erik Å"/>
    <m/>
    <n v="0"/>
    <n v="0"/>
    <n v="0"/>
    <n v="0"/>
    <n v="0"/>
    <n v="0"/>
    <n v="3.5"/>
    <n v="2.9750000000000001"/>
    <n v="0"/>
    <n v="0"/>
    <n v="0"/>
    <n v="0"/>
    <n v="0"/>
    <n v="0"/>
    <n v="0"/>
    <n v="0"/>
    <n v="0"/>
    <n v="0"/>
    <n v="0"/>
    <n v="0"/>
    <n v="0"/>
    <n v="0"/>
    <n v="0"/>
  </r>
  <r>
    <x v="249"/>
    <x v="241"/>
    <m/>
    <x v="6"/>
    <m/>
    <x v="0"/>
    <m/>
    <m/>
    <m/>
    <m/>
    <m/>
    <m/>
    <x v="0"/>
    <m/>
    <m/>
    <m/>
    <n v="2.25"/>
    <n v="0.85"/>
    <n v="1.9124999999999999"/>
    <n v="5740"/>
    <x v="6"/>
    <s v="TekNat"/>
    <x v="6"/>
    <n v="23641"/>
    <n v="28786"/>
    <n v="108245.47500000001"/>
    <n v="5800"/>
    <n v="13050"/>
    <n v="121295.47500000001"/>
    <n v="0"/>
    <n v="0"/>
    <n v="0"/>
    <n v="1"/>
    <n v="0"/>
    <n v="0"/>
    <n v="0"/>
    <n v="0"/>
    <n v="0"/>
    <n v="0"/>
    <n v="0"/>
    <n v="0"/>
    <s v="Enl uttag från Ladok - Erik Å"/>
    <m/>
    <n v="0"/>
    <n v="0"/>
    <n v="0"/>
    <n v="0"/>
    <n v="0"/>
    <n v="0"/>
    <n v="2.25"/>
    <n v="1.9124999999999999"/>
    <n v="0"/>
    <n v="0"/>
    <n v="0"/>
    <n v="0"/>
    <n v="0"/>
    <n v="0"/>
    <n v="0"/>
    <n v="0"/>
    <n v="0"/>
    <n v="0"/>
    <n v="0"/>
    <n v="0"/>
    <n v="0"/>
    <n v="0"/>
    <n v="0"/>
  </r>
  <r>
    <x v="250"/>
    <x v="242"/>
    <m/>
    <x v="2"/>
    <m/>
    <x v="0"/>
    <m/>
    <m/>
    <m/>
    <m/>
    <m/>
    <m/>
    <x v="0"/>
    <m/>
    <m/>
    <m/>
    <n v="15"/>
    <n v="0.85"/>
    <n v="12.75"/>
    <n v="5740"/>
    <x v="6"/>
    <s v="TekNat"/>
    <x v="2"/>
    <n v="21634"/>
    <n v="26986"/>
    <n v="668581.5"/>
    <n v="3400"/>
    <n v="51000"/>
    <n v="719581.5"/>
    <n v="0"/>
    <n v="0"/>
    <n v="0"/>
    <n v="0"/>
    <n v="0"/>
    <n v="0"/>
    <n v="0"/>
    <n v="0"/>
    <n v="1"/>
    <n v="0"/>
    <n v="0"/>
    <n v="0"/>
    <s v="Enl uttag från Ladok - Erik Å"/>
    <m/>
    <n v="0"/>
    <n v="0"/>
    <n v="0"/>
    <n v="0"/>
    <n v="0"/>
    <n v="0"/>
    <n v="0"/>
    <n v="0"/>
    <n v="0"/>
    <n v="0"/>
    <n v="0"/>
    <n v="0"/>
    <n v="0"/>
    <n v="0"/>
    <n v="0"/>
    <n v="0"/>
    <n v="15"/>
    <n v="12.75"/>
    <n v="0"/>
    <n v="0"/>
    <n v="0"/>
    <n v="0"/>
    <n v="0"/>
  </r>
  <r>
    <x v="251"/>
    <x v="243"/>
    <m/>
    <x v="3"/>
    <m/>
    <x v="0"/>
    <m/>
    <m/>
    <m/>
    <m/>
    <m/>
    <m/>
    <x v="0"/>
    <m/>
    <m/>
    <m/>
    <n v="9.375"/>
    <n v="0.85"/>
    <n v="7.96875"/>
    <n v="5740"/>
    <x v="6"/>
    <s v="TekNat"/>
    <x v="3"/>
    <n v="21634"/>
    <n v="26986"/>
    <n v="417863.4375"/>
    <n v="3400"/>
    <n v="31875"/>
    <n v="449738.4375"/>
    <n v="0"/>
    <n v="0"/>
    <n v="0"/>
    <n v="0"/>
    <n v="0"/>
    <n v="0"/>
    <n v="0"/>
    <n v="0"/>
    <n v="1"/>
    <n v="0"/>
    <n v="0"/>
    <n v="0"/>
    <s v="Enl uttag från Ladok - Erik Å"/>
    <m/>
    <n v="0"/>
    <n v="0"/>
    <n v="0"/>
    <n v="0"/>
    <n v="0"/>
    <n v="0"/>
    <n v="0"/>
    <n v="0"/>
    <n v="0"/>
    <n v="0"/>
    <n v="0"/>
    <n v="0"/>
    <n v="0"/>
    <n v="0"/>
    <n v="0"/>
    <n v="0"/>
    <n v="9.375"/>
    <n v="7.96875"/>
    <n v="0"/>
    <n v="0"/>
    <n v="0"/>
    <n v="0"/>
    <n v="0"/>
  </r>
  <r>
    <x v="252"/>
    <x v="244"/>
    <m/>
    <x v="8"/>
    <m/>
    <x v="0"/>
    <m/>
    <m/>
    <m/>
    <m/>
    <m/>
    <m/>
    <x v="0"/>
    <m/>
    <m/>
    <m/>
    <n v="2.625"/>
    <n v="0.85"/>
    <n v="2.2312499999999997"/>
    <n v="2193"/>
    <x v="12"/>
    <s v="Sam"/>
    <x v="8"/>
    <n v="21634"/>
    <n v="26986"/>
    <n v="117001.76249999998"/>
    <n v="3400"/>
    <n v="8925"/>
    <n v="125926.76249999998"/>
    <n v="0"/>
    <n v="0"/>
    <n v="0"/>
    <n v="0"/>
    <n v="0"/>
    <n v="0"/>
    <n v="0"/>
    <n v="0"/>
    <n v="1"/>
    <n v="0"/>
    <n v="0"/>
    <n v="0"/>
    <s v="Enl uttag från Ladok - Erik Å"/>
    <m/>
    <n v="0"/>
    <n v="0"/>
    <n v="0"/>
    <n v="0"/>
    <n v="0"/>
    <n v="0"/>
    <n v="0"/>
    <n v="0"/>
    <n v="0"/>
    <n v="0"/>
    <n v="0"/>
    <n v="0"/>
    <n v="0"/>
    <n v="0"/>
    <n v="0"/>
    <n v="0"/>
    <n v="2.625"/>
    <n v="2.2312499999999997"/>
    <n v="0"/>
    <n v="0"/>
    <n v="0"/>
    <n v="0"/>
    <n v="0"/>
  </r>
  <r>
    <x v="253"/>
    <x v="245"/>
    <m/>
    <x v="7"/>
    <m/>
    <x v="0"/>
    <m/>
    <m/>
    <m/>
    <m/>
    <m/>
    <m/>
    <x v="0"/>
    <m/>
    <m/>
    <m/>
    <n v="21.25"/>
    <n v="0.85"/>
    <n v="18.0625"/>
    <n v="2193"/>
    <x v="12"/>
    <s v="Sam"/>
    <x v="7"/>
    <n v="18405"/>
    <n v="15773"/>
    <n v="676006.0625"/>
    <n v="5800"/>
    <n v="123250"/>
    <n v="799256.0625"/>
    <n v="0"/>
    <n v="0"/>
    <n v="0"/>
    <n v="0"/>
    <n v="0"/>
    <n v="0"/>
    <n v="1"/>
    <n v="0"/>
    <n v="0"/>
    <n v="0"/>
    <n v="0"/>
    <n v="0"/>
    <s v="Enl uttag från Ladok - Erik Å"/>
    <m/>
    <n v="0"/>
    <n v="0"/>
    <n v="0"/>
    <n v="0"/>
    <n v="0"/>
    <n v="0"/>
    <n v="0"/>
    <n v="0"/>
    <n v="0"/>
    <n v="0"/>
    <n v="0"/>
    <n v="0"/>
    <n v="21.25"/>
    <n v="18.0625"/>
    <n v="0"/>
    <n v="0"/>
    <n v="0"/>
    <n v="0"/>
    <n v="0"/>
    <n v="0"/>
    <n v="0"/>
    <n v="0"/>
    <n v="0"/>
  </r>
  <r>
    <x v="254"/>
    <x v="246"/>
    <m/>
    <x v="7"/>
    <m/>
    <x v="0"/>
    <m/>
    <m/>
    <m/>
    <m/>
    <m/>
    <m/>
    <x v="0"/>
    <m/>
    <m/>
    <m/>
    <n v="10.625"/>
    <n v="0.85"/>
    <n v="9.03125"/>
    <n v="2193"/>
    <x v="12"/>
    <s v="Sam"/>
    <x v="7"/>
    <n v="23641"/>
    <n v="28786"/>
    <n v="511159.1875"/>
    <n v="5800"/>
    <n v="61625"/>
    <n v="572784.1875"/>
    <n v="0"/>
    <n v="0"/>
    <n v="0"/>
    <n v="1"/>
    <n v="0"/>
    <n v="0"/>
    <n v="0"/>
    <n v="0"/>
    <n v="0"/>
    <n v="0"/>
    <n v="0"/>
    <n v="0"/>
    <s v="Enl uttag från Ladok - Erik Å"/>
    <m/>
    <n v="0"/>
    <n v="0"/>
    <n v="0"/>
    <n v="0"/>
    <n v="0"/>
    <n v="0"/>
    <n v="10.625"/>
    <n v="9.03125"/>
    <n v="0"/>
    <n v="0"/>
    <n v="0"/>
    <n v="0"/>
    <n v="0"/>
    <n v="0"/>
    <n v="0"/>
    <n v="0"/>
    <n v="0"/>
    <n v="0"/>
    <n v="0"/>
    <n v="0"/>
    <n v="0"/>
    <n v="0"/>
    <n v="0"/>
  </r>
  <r>
    <x v="255"/>
    <x v="247"/>
    <m/>
    <x v="8"/>
    <m/>
    <x v="0"/>
    <m/>
    <m/>
    <m/>
    <m/>
    <m/>
    <m/>
    <x v="0"/>
    <m/>
    <m/>
    <m/>
    <n v="2.75"/>
    <n v="0.85"/>
    <n v="2.3374999999999999"/>
    <n v="2193"/>
    <x v="12"/>
    <s v="Sam"/>
    <x v="8"/>
    <n v="23641"/>
    <n v="28786"/>
    <n v="132300.02499999999"/>
    <n v="5800"/>
    <n v="15950"/>
    <n v="148250.02499999999"/>
    <n v="0"/>
    <n v="0"/>
    <n v="0"/>
    <n v="1"/>
    <n v="0"/>
    <n v="0"/>
    <n v="0"/>
    <n v="0"/>
    <n v="0"/>
    <n v="0"/>
    <n v="0"/>
    <n v="0"/>
    <s v="Enl uttag från Ladok - Erik Å"/>
    <m/>
    <n v="0"/>
    <n v="0"/>
    <n v="0"/>
    <n v="0"/>
    <n v="0"/>
    <n v="0"/>
    <n v="2.75"/>
    <n v="2.3374999999999999"/>
    <n v="0"/>
    <n v="0"/>
    <n v="0"/>
    <n v="0"/>
    <n v="0"/>
    <n v="0"/>
    <n v="0"/>
    <n v="0"/>
    <n v="0"/>
    <n v="0"/>
    <n v="0"/>
    <n v="0"/>
    <n v="0"/>
    <n v="0"/>
    <n v="0"/>
  </r>
  <r>
    <x v="256"/>
    <x v="248"/>
    <m/>
    <x v="8"/>
    <m/>
    <x v="0"/>
    <m/>
    <m/>
    <m/>
    <m/>
    <m/>
    <m/>
    <x v="0"/>
    <m/>
    <m/>
    <m/>
    <n v="2.2000000000000002"/>
    <n v="0.85"/>
    <n v="1.87"/>
    <n v="5740"/>
    <x v="6"/>
    <s v="TekNat"/>
    <x v="8"/>
    <n v="23641"/>
    <n v="28786"/>
    <n v="105840.02"/>
    <n v="5800"/>
    <n v="12760.000000000002"/>
    <n v="118600.02"/>
    <n v="0"/>
    <n v="0"/>
    <n v="0"/>
    <n v="1"/>
    <n v="0"/>
    <n v="0"/>
    <n v="0"/>
    <n v="0"/>
    <n v="0"/>
    <n v="0"/>
    <n v="0"/>
    <n v="0"/>
    <s v="Enl uttag från Ladok - Erik Å"/>
    <m/>
    <n v="0"/>
    <n v="0"/>
    <n v="0"/>
    <n v="0"/>
    <n v="0"/>
    <n v="0"/>
    <n v="2.2000000000000002"/>
    <n v="1.87"/>
    <n v="0"/>
    <n v="0"/>
    <n v="0"/>
    <n v="0"/>
    <n v="0"/>
    <n v="0"/>
    <n v="0"/>
    <n v="0"/>
    <n v="0"/>
    <n v="0"/>
    <n v="0"/>
    <n v="0"/>
    <n v="0"/>
    <n v="0"/>
    <n v="0"/>
  </r>
  <r>
    <x v="256"/>
    <x v="248"/>
    <m/>
    <x v="2"/>
    <m/>
    <x v="0"/>
    <m/>
    <m/>
    <m/>
    <m/>
    <m/>
    <m/>
    <x v="0"/>
    <m/>
    <m/>
    <m/>
    <n v="5.6"/>
    <n v="0.85"/>
    <n v="4.76"/>
    <n v="5740"/>
    <x v="6"/>
    <s v="TekNat"/>
    <x v="2"/>
    <n v="23641"/>
    <n v="28786"/>
    <n v="269410.95999999996"/>
    <n v="5800"/>
    <n v="32479.999999999996"/>
    <n v="301890.95999999996"/>
    <n v="0"/>
    <n v="0"/>
    <n v="0"/>
    <n v="1"/>
    <n v="0"/>
    <n v="0"/>
    <n v="0"/>
    <n v="0"/>
    <n v="0"/>
    <n v="0"/>
    <n v="0"/>
    <n v="0"/>
    <s v="Enl uttag från Ladok - Erik Å"/>
    <m/>
    <n v="0"/>
    <n v="0"/>
    <n v="0"/>
    <n v="0"/>
    <n v="0"/>
    <n v="0"/>
    <n v="5.6"/>
    <n v="4.76"/>
    <n v="0"/>
    <n v="0"/>
    <n v="0"/>
    <n v="0"/>
    <n v="0"/>
    <n v="0"/>
    <n v="0"/>
    <n v="0"/>
    <n v="0"/>
    <n v="0"/>
    <n v="0"/>
    <n v="0"/>
    <n v="0"/>
    <n v="0"/>
    <n v="0"/>
  </r>
  <r>
    <x v="256"/>
    <x v="248"/>
    <m/>
    <x v="3"/>
    <m/>
    <x v="0"/>
    <m/>
    <m/>
    <m/>
    <m/>
    <m/>
    <m/>
    <x v="0"/>
    <m/>
    <m/>
    <m/>
    <n v="3.5"/>
    <n v="0.85"/>
    <n v="2.9750000000000001"/>
    <n v="5740"/>
    <x v="6"/>
    <s v="TekNat"/>
    <x v="3"/>
    <n v="23641"/>
    <n v="28786"/>
    <n v="168381.85"/>
    <n v="5800"/>
    <n v="20300"/>
    <n v="188681.85"/>
    <n v="0"/>
    <n v="0"/>
    <n v="0"/>
    <n v="1"/>
    <n v="0"/>
    <n v="0"/>
    <n v="0"/>
    <n v="0"/>
    <n v="0"/>
    <n v="0"/>
    <n v="0"/>
    <n v="0"/>
    <s v="Enl uttag från Ladok - Erik Å"/>
    <m/>
    <n v="0"/>
    <n v="0"/>
    <n v="0"/>
    <n v="0"/>
    <n v="0"/>
    <n v="0"/>
    <n v="3.5"/>
    <n v="2.9750000000000001"/>
    <n v="0"/>
    <n v="0"/>
    <n v="0"/>
    <n v="0"/>
    <n v="0"/>
    <n v="0"/>
    <n v="0"/>
    <n v="0"/>
    <n v="0"/>
    <n v="0"/>
    <n v="0"/>
    <n v="0"/>
    <n v="0"/>
    <n v="0"/>
    <n v="0"/>
  </r>
  <r>
    <x v="257"/>
    <x v="249"/>
    <m/>
    <x v="3"/>
    <m/>
    <x v="0"/>
    <m/>
    <m/>
    <m/>
    <m/>
    <m/>
    <m/>
    <x v="0"/>
    <m/>
    <m/>
    <m/>
    <n v="3.375"/>
    <n v="0.85"/>
    <n v="2.8687499999999999"/>
    <n v="5740"/>
    <x v="6"/>
    <s v="TekNat"/>
    <x v="3"/>
    <n v="23641"/>
    <n v="28786"/>
    <n v="162368.21249999999"/>
    <n v="5800"/>
    <n v="19575"/>
    <n v="181943.21249999999"/>
    <n v="0"/>
    <n v="0"/>
    <n v="0"/>
    <n v="1"/>
    <n v="0"/>
    <n v="0"/>
    <n v="0"/>
    <n v="0"/>
    <n v="0"/>
    <n v="0"/>
    <n v="0"/>
    <n v="0"/>
    <s v="Enl uttag från Ladok - Erik Å"/>
    <m/>
    <n v="0"/>
    <n v="0"/>
    <n v="0"/>
    <n v="0"/>
    <n v="0"/>
    <n v="0"/>
    <n v="3.375"/>
    <n v="2.8687499999999999"/>
    <n v="0"/>
    <n v="0"/>
    <n v="0"/>
    <n v="0"/>
    <n v="0"/>
    <n v="0"/>
    <n v="0"/>
    <n v="0"/>
    <n v="0"/>
    <n v="0"/>
    <n v="0"/>
    <n v="0"/>
    <n v="0"/>
    <n v="0"/>
    <n v="0"/>
  </r>
  <r>
    <x v="258"/>
    <x v="250"/>
    <m/>
    <x v="2"/>
    <m/>
    <x v="0"/>
    <m/>
    <m/>
    <m/>
    <m/>
    <m/>
    <m/>
    <x v="0"/>
    <m/>
    <m/>
    <m/>
    <n v="6"/>
    <n v="0.85"/>
    <n v="5.0999999999999996"/>
    <n v="5740"/>
    <x v="6"/>
    <s v="TekNat"/>
    <x v="2"/>
    <n v="23641"/>
    <n v="28786"/>
    <n v="288654.59999999998"/>
    <n v="5800"/>
    <n v="34800"/>
    <n v="323454.59999999998"/>
    <n v="0"/>
    <n v="0"/>
    <n v="0"/>
    <n v="1"/>
    <n v="0"/>
    <n v="0"/>
    <n v="0"/>
    <n v="0"/>
    <n v="0"/>
    <n v="0"/>
    <n v="0"/>
    <n v="0"/>
    <s v="Enl uttag från Ladok - Erik Å"/>
    <m/>
    <n v="0"/>
    <n v="0"/>
    <n v="0"/>
    <n v="0"/>
    <n v="0"/>
    <n v="0"/>
    <n v="6"/>
    <n v="5.0999999999999996"/>
    <n v="0"/>
    <n v="0"/>
    <n v="0"/>
    <n v="0"/>
    <n v="0"/>
    <n v="0"/>
    <n v="0"/>
    <n v="0"/>
    <n v="0"/>
    <n v="0"/>
    <n v="0"/>
    <n v="0"/>
    <n v="0"/>
    <n v="0"/>
    <n v="0"/>
  </r>
  <r>
    <x v="259"/>
    <x v="251"/>
    <m/>
    <x v="14"/>
    <m/>
    <x v="0"/>
    <m/>
    <m/>
    <m/>
    <m/>
    <m/>
    <m/>
    <x v="0"/>
    <m/>
    <m/>
    <m/>
    <n v="1.875"/>
    <n v="0.85"/>
    <n v="1.59375"/>
    <n v="5740"/>
    <x v="6"/>
    <s v="TekNat"/>
    <x v="14"/>
    <n v="23641"/>
    <n v="28786"/>
    <n v="90204.5625"/>
    <n v="5800"/>
    <n v="10875"/>
    <n v="101079.5625"/>
    <n v="0"/>
    <n v="0"/>
    <n v="0"/>
    <n v="1"/>
    <n v="0"/>
    <n v="0"/>
    <n v="0"/>
    <n v="0"/>
    <n v="0"/>
    <n v="0"/>
    <n v="0"/>
    <n v="0"/>
    <s v="Enl uttag från Ladok - Erik Å"/>
    <m/>
    <n v="0"/>
    <n v="0"/>
    <n v="0"/>
    <n v="0"/>
    <n v="0"/>
    <n v="0"/>
    <n v="1.875"/>
    <n v="1.59375"/>
    <n v="0"/>
    <n v="0"/>
    <n v="0"/>
    <n v="0"/>
    <n v="0"/>
    <n v="0"/>
    <n v="0"/>
    <n v="0"/>
    <n v="0"/>
    <n v="0"/>
    <n v="0"/>
    <n v="0"/>
    <n v="0"/>
    <n v="0"/>
    <n v="0"/>
  </r>
  <r>
    <x v="259"/>
    <x v="251"/>
    <m/>
    <x v="5"/>
    <m/>
    <x v="0"/>
    <s v="H1918-20"/>
    <m/>
    <m/>
    <m/>
    <m/>
    <n v="150"/>
    <x v="2"/>
    <m/>
    <m/>
    <n v="18"/>
    <n v="2.25"/>
    <n v="0.85"/>
    <n v="1.9124999999999999"/>
    <n v="5740"/>
    <x v="6"/>
    <s v="TekNat"/>
    <x v="5"/>
    <n v="23641"/>
    <n v="28786"/>
    <n v="108245.47500000001"/>
    <n v="5800"/>
    <n v="13050"/>
    <n v="121295.47500000001"/>
    <n v="0"/>
    <n v="0"/>
    <n v="0"/>
    <n v="1"/>
    <n v="0"/>
    <n v="0"/>
    <n v="0"/>
    <n v="0"/>
    <n v="0"/>
    <n v="0"/>
    <n v="0"/>
    <n v="0"/>
    <s v="Enl uttag från SP 191210"/>
    <m/>
    <n v="0"/>
    <n v="0"/>
    <n v="0"/>
    <n v="0"/>
    <n v="0"/>
    <n v="0"/>
    <n v="2.25"/>
    <n v="1.9124999999999999"/>
    <n v="0"/>
    <n v="0"/>
    <n v="0"/>
    <n v="0"/>
    <n v="0"/>
    <n v="0"/>
    <n v="0"/>
    <n v="0"/>
    <n v="0"/>
    <n v="0"/>
    <n v="0"/>
    <n v="0"/>
    <n v="0"/>
    <n v="0"/>
    <n v="0"/>
  </r>
  <r>
    <x v="259"/>
    <x v="251"/>
    <m/>
    <x v="6"/>
    <m/>
    <x v="0"/>
    <s v="H1918-20"/>
    <m/>
    <m/>
    <m/>
    <m/>
    <n v="150"/>
    <x v="2"/>
    <m/>
    <m/>
    <n v="20"/>
    <n v="2.5"/>
    <n v="0.85"/>
    <n v="2.125"/>
    <n v="5740"/>
    <x v="6"/>
    <s v="TekNat"/>
    <x v="6"/>
    <n v="23641"/>
    <n v="28786"/>
    <n v="120272.75"/>
    <n v="5800"/>
    <n v="14500"/>
    <n v="134772.75"/>
    <n v="0"/>
    <n v="0"/>
    <n v="0"/>
    <n v="1"/>
    <n v="0"/>
    <n v="0"/>
    <n v="0"/>
    <n v="0"/>
    <n v="0"/>
    <n v="0"/>
    <n v="0"/>
    <n v="0"/>
    <s v="Enl uttag från SP 191210"/>
    <m/>
    <n v="0"/>
    <n v="0"/>
    <n v="0"/>
    <n v="0"/>
    <n v="0"/>
    <n v="0"/>
    <n v="2.5"/>
    <n v="2.125"/>
    <n v="0"/>
    <n v="0"/>
    <n v="0"/>
    <n v="0"/>
    <n v="0"/>
    <n v="0"/>
    <n v="0"/>
    <n v="0"/>
    <n v="0"/>
    <n v="0"/>
    <n v="0"/>
    <n v="0"/>
    <n v="0"/>
    <n v="0"/>
    <n v="0"/>
  </r>
  <r>
    <x v="260"/>
    <x v="252"/>
    <m/>
    <x v="8"/>
    <m/>
    <x v="0"/>
    <m/>
    <m/>
    <m/>
    <m/>
    <m/>
    <m/>
    <x v="0"/>
    <m/>
    <m/>
    <m/>
    <n v="0.52500000000000002"/>
    <n v="0.85"/>
    <n v="0.44624999999999998"/>
    <n v="5740"/>
    <x v="6"/>
    <s v="TekNat"/>
    <x v="8"/>
    <n v="21634"/>
    <n v="26986"/>
    <n v="23400.352500000001"/>
    <n v="3400"/>
    <n v="1785"/>
    <n v="25185.352500000001"/>
    <n v="0"/>
    <n v="0"/>
    <n v="0"/>
    <n v="0"/>
    <n v="0"/>
    <n v="0"/>
    <n v="0"/>
    <n v="0"/>
    <n v="1"/>
    <n v="0"/>
    <n v="0"/>
    <n v="0"/>
    <s v="Enl uttag från Ladok - Erik Å"/>
    <m/>
    <n v="0"/>
    <n v="0"/>
    <n v="0"/>
    <n v="0"/>
    <n v="0"/>
    <n v="0"/>
    <n v="0"/>
    <n v="0"/>
    <n v="0"/>
    <n v="0"/>
    <n v="0"/>
    <n v="0"/>
    <n v="0"/>
    <n v="0"/>
    <n v="0"/>
    <n v="0"/>
    <n v="0.52500000000000002"/>
    <n v="0.44624999999999998"/>
    <n v="0"/>
    <n v="0"/>
    <n v="0"/>
    <n v="0"/>
    <n v="0"/>
  </r>
  <r>
    <x v="260"/>
    <x v="252"/>
    <m/>
    <x v="2"/>
    <m/>
    <x v="0"/>
    <m/>
    <m/>
    <m/>
    <m/>
    <m/>
    <m/>
    <x v="0"/>
    <m/>
    <m/>
    <m/>
    <n v="1.3"/>
    <n v="0.85"/>
    <n v="1.105"/>
    <n v="5740"/>
    <x v="6"/>
    <s v="TekNat"/>
    <x v="2"/>
    <n v="21634"/>
    <n v="26986"/>
    <n v="57943.729999999996"/>
    <n v="3400"/>
    <n v="4420"/>
    <n v="62363.729999999996"/>
    <n v="0"/>
    <n v="0"/>
    <n v="0"/>
    <n v="0"/>
    <n v="0"/>
    <n v="0"/>
    <n v="0"/>
    <n v="0"/>
    <n v="1"/>
    <n v="0"/>
    <n v="0"/>
    <n v="0"/>
    <s v="Enl uttag från Ladok - Erik Å"/>
    <m/>
    <n v="0"/>
    <n v="0"/>
    <n v="0"/>
    <n v="0"/>
    <n v="0"/>
    <n v="0"/>
    <n v="0"/>
    <n v="0"/>
    <n v="0"/>
    <n v="0"/>
    <n v="0"/>
    <n v="0"/>
    <n v="0"/>
    <n v="0"/>
    <n v="0"/>
    <n v="0"/>
    <n v="1.3"/>
    <n v="1.105"/>
    <n v="0"/>
    <n v="0"/>
    <n v="0"/>
    <n v="0"/>
    <n v="0"/>
  </r>
  <r>
    <x v="260"/>
    <x v="252"/>
    <m/>
    <x v="3"/>
    <m/>
    <x v="0"/>
    <m/>
    <m/>
    <m/>
    <m/>
    <m/>
    <m/>
    <x v="0"/>
    <m/>
    <m/>
    <m/>
    <n v="0.75"/>
    <n v="0.85"/>
    <n v="0.63749999999999996"/>
    <n v="5740"/>
    <x v="6"/>
    <s v="TekNat"/>
    <x v="3"/>
    <n v="21634"/>
    <n v="26986"/>
    <n v="33429.074999999997"/>
    <n v="3400"/>
    <n v="2550"/>
    <n v="35979.074999999997"/>
    <n v="0"/>
    <n v="0"/>
    <n v="0"/>
    <n v="0"/>
    <n v="0"/>
    <n v="0"/>
    <n v="0"/>
    <n v="0"/>
    <n v="1"/>
    <n v="0"/>
    <n v="0"/>
    <n v="0"/>
    <s v="Enl uttag från Ladok - Erik Å"/>
    <m/>
    <n v="0"/>
    <n v="0"/>
    <n v="0"/>
    <n v="0"/>
    <n v="0"/>
    <n v="0"/>
    <n v="0"/>
    <n v="0"/>
    <n v="0"/>
    <n v="0"/>
    <n v="0"/>
    <n v="0"/>
    <n v="0"/>
    <n v="0"/>
    <n v="0"/>
    <n v="0"/>
    <n v="0.75"/>
    <n v="0.63749999999999996"/>
    <n v="0"/>
    <n v="0"/>
    <n v="0"/>
    <n v="0"/>
    <n v="0"/>
  </r>
  <r>
    <x v="261"/>
    <x v="253"/>
    <m/>
    <x v="0"/>
    <m/>
    <x v="0"/>
    <m/>
    <m/>
    <m/>
    <m/>
    <m/>
    <m/>
    <x v="0"/>
    <m/>
    <m/>
    <m/>
    <n v="0.4"/>
    <n v="0.85"/>
    <n v="0.34"/>
    <n v="5740"/>
    <x v="6"/>
    <s v="TekNat"/>
    <x v="0"/>
    <n v="21634"/>
    <n v="26986"/>
    <n v="17828.84"/>
    <n v="3400"/>
    <n v="1360"/>
    <n v="19188.84"/>
    <n v="0"/>
    <n v="0"/>
    <n v="0"/>
    <n v="0"/>
    <n v="0"/>
    <n v="0"/>
    <n v="0"/>
    <n v="0"/>
    <n v="1"/>
    <n v="0"/>
    <n v="0"/>
    <n v="0"/>
    <s v="Enl uttag från Ladok - Erik Å"/>
    <m/>
    <n v="0"/>
    <n v="0"/>
    <n v="0"/>
    <n v="0"/>
    <n v="0"/>
    <n v="0"/>
    <n v="0"/>
    <n v="0"/>
    <n v="0"/>
    <n v="0"/>
    <n v="0"/>
    <n v="0"/>
    <n v="0"/>
    <n v="0"/>
    <n v="0"/>
    <n v="0"/>
    <n v="0.4"/>
    <n v="0.34"/>
    <n v="0"/>
    <n v="0"/>
    <n v="0"/>
    <n v="0"/>
    <n v="0"/>
  </r>
  <r>
    <x v="262"/>
    <x v="254"/>
    <m/>
    <x v="0"/>
    <m/>
    <x v="0"/>
    <m/>
    <m/>
    <m/>
    <m/>
    <m/>
    <m/>
    <x v="0"/>
    <m/>
    <m/>
    <m/>
    <n v="1.5"/>
    <n v="0.85"/>
    <n v="1.2749999999999999"/>
    <n v="2180"/>
    <x v="11"/>
    <s v="Sam"/>
    <x v="0"/>
    <n v="21634"/>
    <n v="26986"/>
    <n v="66858.149999999994"/>
    <n v="3400"/>
    <n v="5100"/>
    <n v="71958.149999999994"/>
    <n v="0"/>
    <n v="0"/>
    <n v="0"/>
    <n v="0"/>
    <n v="0"/>
    <n v="0"/>
    <n v="0"/>
    <n v="0"/>
    <n v="1"/>
    <n v="0"/>
    <n v="0"/>
    <n v="0"/>
    <s v="Enl uttag från Ladok - Erik Å"/>
    <m/>
    <n v="0"/>
    <n v="0"/>
    <n v="0"/>
    <n v="0"/>
    <n v="0"/>
    <n v="0"/>
    <n v="0"/>
    <n v="0"/>
    <n v="0"/>
    <n v="0"/>
    <n v="0"/>
    <n v="0"/>
    <n v="0"/>
    <n v="0"/>
    <n v="0"/>
    <n v="0"/>
    <n v="1.5"/>
    <n v="1.2749999999999999"/>
    <n v="0"/>
    <n v="0"/>
    <n v="0"/>
    <n v="0"/>
    <n v="0"/>
  </r>
  <r>
    <x v="263"/>
    <x v="255"/>
    <m/>
    <x v="0"/>
    <m/>
    <x v="0"/>
    <m/>
    <m/>
    <m/>
    <m/>
    <m/>
    <m/>
    <x v="0"/>
    <m/>
    <m/>
    <m/>
    <n v="0.7"/>
    <n v="0.85"/>
    <n v="0.59499999999999997"/>
    <n v="2180"/>
    <x v="11"/>
    <s v="Sam"/>
    <x v="0"/>
    <n v="21634"/>
    <n v="26986"/>
    <n v="31200.47"/>
    <n v="3400"/>
    <n v="2380"/>
    <n v="33580.47"/>
    <n v="0"/>
    <n v="0"/>
    <n v="0"/>
    <n v="0"/>
    <n v="0"/>
    <n v="0"/>
    <n v="0"/>
    <n v="0"/>
    <n v="1"/>
    <n v="0"/>
    <n v="0"/>
    <n v="0"/>
    <s v="Enl uttag från Ladok - Erik Å"/>
    <m/>
    <n v="0"/>
    <n v="0"/>
    <n v="0"/>
    <n v="0"/>
    <n v="0"/>
    <n v="0"/>
    <n v="0"/>
    <n v="0"/>
    <n v="0"/>
    <n v="0"/>
    <n v="0"/>
    <n v="0"/>
    <n v="0"/>
    <n v="0"/>
    <n v="0"/>
    <n v="0"/>
    <n v="0.7"/>
    <n v="0.59499999999999997"/>
    <n v="0"/>
    <n v="0"/>
    <n v="0"/>
    <n v="0"/>
    <n v="0"/>
  </r>
  <r>
    <x v="264"/>
    <x v="256"/>
    <m/>
    <x v="1"/>
    <m/>
    <x v="0"/>
    <m/>
    <m/>
    <m/>
    <m/>
    <m/>
    <m/>
    <x v="0"/>
    <m/>
    <m/>
    <m/>
    <n v="2.75"/>
    <n v="0.8"/>
    <n v="2.2000000000000002"/>
    <n v="2180"/>
    <x v="11"/>
    <s v="Sam"/>
    <x v="1"/>
    <n v="18405"/>
    <n v="15773"/>
    <n v="85314.35"/>
    <n v="5800"/>
    <n v="15950"/>
    <n v="101264.35"/>
    <n v="0"/>
    <n v="0"/>
    <n v="0"/>
    <n v="0"/>
    <n v="0"/>
    <n v="0"/>
    <n v="1"/>
    <n v="0"/>
    <n v="0"/>
    <n v="0"/>
    <n v="0"/>
    <n v="0"/>
    <s v="Enl uttag från Ladok - Erik Å"/>
    <m/>
    <n v="0"/>
    <n v="0"/>
    <n v="0"/>
    <n v="0"/>
    <n v="0"/>
    <n v="0"/>
    <n v="0"/>
    <n v="0"/>
    <n v="0"/>
    <n v="0"/>
    <n v="0"/>
    <n v="0"/>
    <n v="2.75"/>
    <n v="2.2000000000000002"/>
    <n v="0"/>
    <n v="0"/>
    <n v="0"/>
    <n v="0"/>
    <n v="0"/>
    <n v="0"/>
    <n v="0"/>
    <n v="0"/>
    <n v="0"/>
  </r>
  <r>
    <x v="265"/>
    <x v="257"/>
    <m/>
    <x v="1"/>
    <m/>
    <x v="0"/>
    <m/>
    <m/>
    <m/>
    <m/>
    <m/>
    <m/>
    <x v="0"/>
    <m/>
    <m/>
    <m/>
    <n v="0.125"/>
    <n v="0.8"/>
    <n v="0.1"/>
    <n v="2180"/>
    <x v="11"/>
    <s v="Sam"/>
    <x v="1"/>
    <n v="18405"/>
    <n v="15773"/>
    <n v="3877.9250000000002"/>
    <n v="5800"/>
    <n v="725"/>
    <n v="4602.9250000000002"/>
    <n v="0"/>
    <n v="0"/>
    <n v="0"/>
    <n v="0"/>
    <n v="0"/>
    <n v="0"/>
    <n v="1"/>
    <n v="0"/>
    <n v="0"/>
    <n v="0"/>
    <n v="0"/>
    <n v="0"/>
    <s v="Enl uttag från Ladok - Erik Å"/>
    <m/>
    <n v="0"/>
    <n v="0"/>
    <n v="0"/>
    <n v="0"/>
    <n v="0"/>
    <n v="0"/>
    <n v="0"/>
    <n v="0"/>
    <n v="0"/>
    <n v="0"/>
    <n v="0"/>
    <n v="0"/>
    <n v="0.125"/>
    <n v="0.1"/>
    <n v="0"/>
    <n v="0"/>
    <n v="0"/>
    <n v="0"/>
    <n v="0"/>
    <n v="0"/>
    <n v="0"/>
    <n v="0"/>
    <n v="0"/>
  </r>
  <r>
    <x v="266"/>
    <x v="258"/>
    <m/>
    <x v="1"/>
    <m/>
    <x v="0"/>
    <m/>
    <m/>
    <m/>
    <m/>
    <m/>
    <m/>
    <x v="0"/>
    <m/>
    <m/>
    <m/>
    <n v="25.5"/>
    <n v="0.8"/>
    <n v="20.400000000000002"/>
    <n v="2193"/>
    <x v="12"/>
    <s v="Sam"/>
    <x v="1"/>
    <n v="18405"/>
    <n v="15773"/>
    <n v="791096.7"/>
    <n v="5800"/>
    <n v="147900"/>
    <n v="938996.7"/>
    <n v="0"/>
    <n v="0"/>
    <n v="0"/>
    <n v="0"/>
    <n v="0"/>
    <n v="0"/>
    <n v="1"/>
    <n v="0"/>
    <n v="0"/>
    <n v="0"/>
    <n v="0"/>
    <n v="0"/>
    <s v="Enl uttag från Ladok - Erik Å"/>
    <m/>
    <n v="0"/>
    <n v="0"/>
    <n v="0"/>
    <n v="0"/>
    <n v="0"/>
    <n v="0"/>
    <n v="0"/>
    <n v="0"/>
    <n v="0"/>
    <n v="0"/>
    <n v="0"/>
    <n v="0"/>
    <n v="25.5"/>
    <n v="20.400000000000002"/>
    <n v="0"/>
    <n v="0"/>
    <n v="0"/>
    <n v="0"/>
    <n v="0"/>
    <n v="0"/>
    <n v="0"/>
    <n v="0"/>
    <n v="0"/>
  </r>
  <r>
    <x v="267"/>
    <x v="259"/>
    <m/>
    <x v="1"/>
    <m/>
    <x v="0"/>
    <m/>
    <m/>
    <m/>
    <m/>
    <m/>
    <m/>
    <x v="0"/>
    <m/>
    <m/>
    <m/>
    <n v="9.75"/>
    <n v="0.8"/>
    <n v="7.8000000000000007"/>
    <n v="2193"/>
    <x v="12"/>
    <s v="Sam"/>
    <x v="1"/>
    <n v="18405"/>
    <n v="15773"/>
    <n v="302478.15000000002"/>
    <n v="5800"/>
    <n v="56550"/>
    <n v="359028.15"/>
    <n v="0"/>
    <n v="0"/>
    <n v="0"/>
    <n v="0"/>
    <n v="0"/>
    <n v="0"/>
    <n v="1"/>
    <n v="0"/>
    <n v="0"/>
    <n v="0"/>
    <n v="0"/>
    <n v="0"/>
    <s v="Enl uttag från Ladok - Erik Å"/>
    <m/>
    <n v="0"/>
    <n v="0"/>
    <n v="0"/>
    <n v="0"/>
    <n v="0"/>
    <n v="0"/>
    <n v="0"/>
    <n v="0"/>
    <n v="0"/>
    <n v="0"/>
    <n v="0"/>
    <n v="0"/>
    <n v="9.75"/>
    <n v="7.8000000000000007"/>
    <n v="0"/>
    <n v="0"/>
    <n v="0"/>
    <n v="0"/>
    <n v="0"/>
    <n v="0"/>
    <n v="0"/>
    <n v="0"/>
    <n v="0"/>
  </r>
  <r>
    <x v="268"/>
    <x v="260"/>
    <m/>
    <x v="13"/>
    <m/>
    <x v="0"/>
    <m/>
    <m/>
    <m/>
    <m/>
    <m/>
    <m/>
    <x v="0"/>
    <m/>
    <m/>
    <m/>
    <n v="2.25"/>
    <n v="0.85"/>
    <n v="1.9124999999999999"/>
    <n v="5740"/>
    <x v="6"/>
    <s v="TekNat"/>
    <x v="13"/>
    <n v="19473"/>
    <n v="34806"/>
    <n v="110380.72499999999"/>
    <n v="21800"/>
    <n v="49050"/>
    <n v="159430.72499999998"/>
    <n v="0"/>
    <n v="0"/>
    <n v="0"/>
    <n v="0"/>
    <n v="0"/>
    <n v="1"/>
    <n v="0"/>
    <n v="0"/>
    <n v="0"/>
    <n v="0"/>
    <n v="0"/>
    <n v="0"/>
    <s v="Enl uttag från Ladok - Erik Å"/>
    <m/>
    <n v="0"/>
    <n v="0"/>
    <n v="0"/>
    <n v="0"/>
    <n v="0"/>
    <n v="0"/>
    <n v="0"/>
    <n v="0"/>
    <n v="0"/>
    <n v="0"/>
    <n v="2.25"/>
    <n v="1.9124999999999999"/>
    <n v="0"/>
    <n v="0"/>
    <n v="0"/>
    <n v="0"/>
    <n v="0"/>
    <n v="0"/>
    <n v="0"/>
    <n v="0"/>
    <n v="0"/>
    <n v="0"/>
    <n v="0"/>
  </r>
  <r>
    <x v="269"/>
    <x v="261"/>
    <m/>
    <x v="15"/>
    <m/>
    <x v="0"/>
    <m/>
    <m/>
    <m/>
    <m/>
    <m/>
    <m/>
    <x v="0"/>
    <m/>
    <m/>
    <m/>
    <n v="4.5"/>
    <n v="0.85"/>
    <n v="3.8249999999999997"/>
    <n v="5740"/>
    <x v="6"/>
    <s v="TekNat"/>
    <x v="15"/>
    <n v="19473"/>
    <n v="34806"/>
    <n v="220761.44999999998"/>
    <n v="21800"/>
    <n v="98100"/>
    <n v="318861.44999999995"/>
    <n v="0"/>
    <n v="0"/>
    <n v="0"/>
    <n v="0"/>
    <n v="0"/>
    <n v="1"/>
    <n v="0"/>
    <n v="0"/>
    <n v="0"/>
    <n v="0"/>
    <n v="0"/>
    <n v="0"/>
    <s v="Enl uttag från Ladok - Erik Å"/>
    <m/>
    <n v="0"/>
    <n v="0"/>
    <n v="0"/>
    <n v="0"/>
    <n v="0"/>
    <n v="0"/>
    <n v="0"/>
    <n v="0"/>
    <n v="0"/>
    <n v="0"/>
    <n v="4.5"/>
    <n v="3.8249999999999997"/>
    <n v="0"/>
    <n v="0"/>
    <n v="0"/>
    <n v="0"/>
    <n v="0"/>
    <n v="0"/>
    <n v="0"/>
    <n v="0"/>
    <n v="0"/>
    <n v="0"/>
    <n v="0"/>
  </r>
  <r>
    <x v="269"/>
    <x v="261"/>
    <m/>
    <x v="13"/>
    <m/>
    <x v="0"/>
    <m/>
    <m/>
    <m/>
    <m/>
    <m/>
    <m/>
    <x v="0"/>
    <m/>
    <m/>
    <m/>
    <n v="0.25"/>
    <n v="0.85"/>
    <n v="0.21249999999999999"/>
    <n v="5740"/>
    <x v="6"/>
    <s v="TekNat"/>
    <x v="13"/>
    <n v="19473"/>
    <n v="34806"/>
    <n v="12264.525"/>
    <n v="21800"/>
    <n v="5450"/>
    <n v="17714.525000000001"/>
    <n v="0"/>
    <n v="0"/>
    <n v="0"/>
    <n v="0"/>
    <n v="0"/>
    <n v="1"/>
    <n v="0"/>
    <n v="0"/>
    <n v="0"/>
    <n v="0"/>
    <n v="0"/>
    <n v="0"/>
    <s v="Enl uttag från Ladok - Erik Å"/>
    <m/>
    <n v="0"/>
    <n v="0"/>
    <n v="0"/>
    <n v="0"/>
    <n v="0"/>
    <n v="0"/>
    <n v="0"/>
    <n v="0"/>
    <n v="0"/>
    <n v="0"/>
    <n v="0.25"/>
    <n v="0.21249999999999999"/>
    <n v="0"/>
    <n v="0"/>
    <n v="0"/>
    <n v="0"/>
    <n v="0"/>
    <n v="0"/>
    <n v="0"/>
    <n v="0"/>
    <n v="0"/>
    <n v="0"/>
    <n v="0"/>
  </r>
  <r>
    <x v="270"/>
    <x v="262"/>
    <m/>
    <x v="13"/>
    <m/>
    <x v="0"/>
    <m/>
    <m/>
    <m/>
    <m/>
    <m/>
    <m/>
    <x v="0"/>
    <m/>
    <m/>
    <m/>
    <n v="2"/>
    <n v="0.85"/>
    <n v="1.7"/>
    <n v="5740"/>
    <x v="6"/>
    <s v="TekNat"/>
    <x v="13"/>
    <n v="19473"/>
    <n v="34806"/>
    <n v="98116.2"/>
    <n v="21800"/>
    <n v="43600"/>
    <n v="141716.20000000001"/>
    <n v="0"/>
    <n v="0"/>
    <n v="0"/>
    <n v="0"/>
    <n v="0"/>
    <n v="1"/>
    <n v="0"/>
    <n v="0"/>
    <n v="0"/>
    <n v="0"/>
    <n v="0"/>
    <n v="0"/>
    <s v="Enl uttag från Ladok - Erik Å"/>
    <m/>
    <n v="0"/>
    <n v="0"/>
    <n v="0"/>
    <n v="0"/>
    <n v="0"/>
    <n v="0"/>
    <n v="0"/>
    <n v="0"/>
    <n v="0"/>
    <n v="0"/>
    <n v="2"/>
    <n v="1.7"/>
    <n v="0"/>
    <n v="0"/>
    <n v="0"/>
    <n v="0"/>
    <n v="0"/>
    <n v="0"/>
    <n v="0"/>
    <n v="0"/>
    <n v="0"/>
    <n v="0"/>
    <n v="0"/>
  </r>
  <r>
    <x v="271"/>
    <x v="263"/>
    <m/>
    <x v="5"/>
    <m/>
    <x v="0"/>
    <m/>
    <m/>
    <m/>
    <m/>
    <m/>
    <m/>
    <x v="0"/>
    <m/>
    <m/>
    <m/>
    <n v="2.5"/>
    <n v="0.85"/>
    <n v="2.125"/>
    <n v="2180"/>
    <x v="11"/>
    <s v="Sam"/>
    <x v="5"/>
    <n v="23641"/>
    <n v="28786"/>
    <n v="120272.75"/>
    <n v="5800"/>
    <n v="14500"/>
    <n v="134772.75"/>
    <n v="0"/>
    <n v="0"/>
    <n v="0"/>
    <n v="1"/>
    <n v="0"/>
    <n v="0"/>
    <n v="0"/>
    <n v="0"/>
    <n v="0"/>
    <n v="0"/>
    <n v="0"/>
    <n v="0"/>
    <s v="Enl uttag från Ladok - Erik Å"/>
    <m/>
    <n v="0"/>
    <n v="0"/>
    <n v="0"/>
    <n v="0"/>
    <n v="0"/>
    <n v="0"/>
    <n v="2.5"/>
    <n v="2.125"/>
    <n v="0"/>
    <n v="0"/>
    <n v="0"/>
    <n v="0"/>
    <n v="0"/>
    <n v="0"/>
    <n v="0"/>
    <n v="0"/>
    <n v="0"/>
    <n v="0"/>
    <n v="0"/>
    <n v="0"/>
    <n v="0"/>
    <n v="0"/>
    <n v="0"/>
  </r>
  <r>
    <x v="271"/>
    <x v="263"/>
    <m/>
    <x v="6"/>
    <m/>
    <x v="0"/>
    <m/>
    <m/>
    <m/>
    <m/>
    <m/>
    <m/>
    <x v="0"/>
    <m/>
    <m/>
    <m/>
    <n v="1.1666700000000001"/>
    <n v="0.85"/>
    <n v="0.99166950000000009"/>
    <n v="2180"/>
    <x v="11"/>
    <s v="Sam"/>
    <x v="6"/>
    <n v="23641"/>
    <n v="28786"/>
    <n v="56127.44369700001"/>
    <n v="5800"/>
    <n v="6766.6860000000006"/>
    <n v="62894.129697000011"/>
    <n v="0"/>
    <n v="0"/>
    <n v="0"/>
    <n v="1"/>
    <n v="0"/>
    <n v="0"/>
    <n v="0"/>
    <n v="0"/>
    <n v="0"/>
    <n v="0"/>
    <n v="0"/>
    <n v="0"/>
    <s v="Enl uttag från Ladok - Erik Å"/>
    <m/>
    <n v="0"/>
    <n v="0"/>
    <n v="0"/>
    <n v="0"/>
    <n v="0"/>
    <n v="0"/>
    <n v="1.1666700000000001"/>
    <n v="0.99166950000000009"/>
    <n v="0"/>
    <n v="0"/>
    <n v="0"/>
    <n v="0"/>
    <n v="0"/>
    <n v="0"/>
    <n v="0"/>
    <n v="0"/>
    <n v="0"/>
    <n v="0"/>
    <n v="0"/>
    <n v="0"/>
    <n v="0"/>
    <n v="0"/>
    <n v="0"/>
  </r>
  <r>
    <x v="271"/>
    <x v="263"/>
    <m/>
    <x v="9"/>
    <m/>
    <x v="0"/>
    <m/>
    <m/>
    <m/>
    <m/>
    <m/>
    <m/>
    <x v="0"/>
    <m/>
    <m/>
    <m/>
    <n v="7.3333300000000001"/>
    <n v="0.85"/>
    <n v="6.2333305000000001"/>
    <n v="2180"/>
    <x v="11"/>
    <s v="Sam"/>
    <x v="9"/>
    <n v="23641"/>
    <n v="28786"/>
    <n v="352799.906303"/>
    <n v="5800"/>
    <n v="42533.313999999998"/>
    <n v="395333.22030300001"/>
    <n v="0"/>
    <n v="0"/>
    <n v="0"/>
    <n v="1"/>
    <n v="0"/>
    <n v="0"/>
    <n v="0"/>
    <n v="0"/>
    <n v="0"/>
    <n v="0"/>
    <n v="0"/>
    <n v="0"/>
    <s v="Enl uttag från Ladok - Erik Å"/>
    <m/>
    <n v="0"/>
    <n v="0"/>
    <n v="0"/>
    <n v="0"/>
    <n v="0"/>
    <n v="0"/>
    <n v="7.3333300000000001"/>
    <n v="6.2333305000000001"/>
    <n v="0"/>
    <n v="0"/>
    <n v="0"/>
    <n v="0"/>
    <n v="0"/>
    <n v="0"/>
    <n v="0"/>
    <n v="0"/>
    <n v="0"/>
    <n v="0"/>
    <n v="0"/>
    <n v="0"/>
    <n v="0"/>
    <n v="0"/>
    <n v="0"/>
  </r>
  <r>
    <x v="272"/>
    <x v="264"/>
    <m/>
    <x v="0"/>
    <m/>
    <x v="0"/>
    <m/>
    <m/>
    <m/>
    <m/>
    <m/>
    <m/>
    <x v="0"/>
    <m/>
    <m/>
    <m/>
    <n v="1.5"/>
    <n v="0.85"/>
    <n v="1.2749999999999999"/>
    <n v="1630"/>
    <x v="10"/>
    <s v="Hum"/>
    <x v="0"/>
    <n v="18405"/>
    <n v="15773"/>
    <n v="47718.074999999997"/>
    <n v="5800"/>
    <n v="8700"/>
    <n v="56418.074999999997"/>
    <n v="0"/>
    <n v="1"/>
    <n v="0"/>
    <n v="0"/>
    <n v="0"/>
    <n v="0"/>
    <n v="0"/>
    <n v="0"/>
    <n v="0"/>
    <n v="0"/>
    <n v="0"/>
    <n v="0"/>
    <s v="Enl uttag från Ladok - Erik Å"/>
    <m/>
    <n v="0"/>
    <n v="0"/>
    <n v="1.5"/>
    <n v="1.2749999999999999"/>
    <n v="0"/>
    <n v="0"/>
    <n v="0"/>
    <n v="0"/>
    <n v="0"/>
    <n v="0"/>
    <n v="0"/>
    <n v="0"/>
    <n v="0"/>
    <n v="0"/>
    <n v="0"/>
    <n v="0"/>
    <n v="0"/>
    <n v="0"/>
    <n v="0"/>
    <n v="0"/>
    <n v="0"/>
    <n v="0"/>
    <n v="0"/>
  </r>
  <r>
    <x v="273"/>
    <x v="265"/>
    <m/>
    <x v="0"/>
    <m/>
    <x v="0"/>
    <m/>
    <m/>
    <m/>
    <m/>
    <m/>
    <m/>
    <x v="0"/>
    <m/>
    <m/>
    <m/>
    <n v="0.75"/>
    <n v="0.85"/>
    <n v="0.63749999999999996"/>
    <n v="1630"/>
    <x v="10"/>
    <s v="Hum"/>
    <x v="0"/>
    <n v="21634"/>
    <n v="26986"/>
    <n v="33429.074999999997"/>
    <n v="3400"/>
    <n v="2550"/>
    <n v="35979.074999999997"/>
    <n v="0"/>
    <n v="0"/>
    <n v="0"/>
    <n v="0"/>
    <n v="0"/>
    <n v="0"/>
    <n v="0"/>
    <n v="0"/>
    <n v="1"/>
    <n v="0"/>
    <n v="0"/>
    <n v="0"/>
    <s v="Enl uttag från Ladok - Erik Å"/>
    <m/>
    <n v="0"/>
    <n v="0"/>
    <n v="0"/>
    <n v="0"/>
    <n v="0"/>
    <n v="0"/>
    <n v="0"/>
    <n v="0"/>
    <n v="0"/>
    <n v="0"/>
    <n v="0"/>
    <n v="0"/>
    <n v="0"/>
    <n v="0"/>
    <n v="0"/>
    <n v="0"/>
    <n v="0.75"/>
    <n v="0.63749999999999996"/>
    <n v="0"/>
    <n v="0"/>
    <n v="0"/>
    <n v="0"/>
    <n v="0"/>
  </r>
  <r>
    <x v="274"/>
    <x v="266"/>
    <m/>
    <x v="0"/>
    <m/>
    <x v="0"/>
    <m/>
    <m/>
    <m/>
    <m/>
    <m/>
    <m/>
    <x v="0"/>
    <m/>
    <m/>
    <m/>
    <n v="0.3"/>
    <n v="0.85"/>
    <n v="0.255"/>
    <n v="1630"/>
    <x v="10"/>
    <s v="Hum"/>
    <x v="0"/>
    <n v="21634"/>
    <n v="26986"/>
    <n v="13371.630000000001"/>
    <n v="3400"/>
    <n v="1020"/>
    <n v="14391.630000000001"/>
    <n v="0"/>
    <n v="0"/>
    <n v="0"/>
    <n v="0"/>
    <n v="0"/>
    <n v="0"/>
    <n v="0"/>
    <n v="0"/>
    <n v="1"/>
    <n v="0"/>
    <n v="0"/>
    <n v="0"/>
    <s v="Enl uttag från Ladok - Erik Å"/>
    <m/>
    <n v="0"/>
    <n v="0"/>
    <n v="0"/>
    <n v="0"/>
    <n v="0"/>
    <n v="0"/>
    <n v="0"/>
    <n v="0"/>
    <n v="0"/>
    <n v="0"/>
    <n v="0"/>
    <n v="0"/>
    <n v="0"/>
    <n v="0"/>
    <n v="0"/>
    <n v="0"/>
    <n v="0.3"/>
    <n v="0.255"/>
    <n v="0"/>
    <n v="0"/>
    <n v="0"/>
    <n v="0"/>
    <n v="0"/>
  </r>
  <r>
    <x v="275"/>
    <x v="267"/>
    <m/>
    <x v="0"/>
    <m/>
    <x v="0"/>
    <m/>
    <m/>
    <m/>
    <m/>
    <m/>
    <m/>
    <x v="0"/>
    <m/>
    <m/>
    <m/>
    <n v="6.5"/>
    <n v="0.85"/>
    <n v="5.5249999999999995"/>
    <n v="1630"/>
    <x v="10"/>
    <s v="Hum"/>
    <x v="0"/>
    <n v="18405"/>
    <n v="15773"/>
    <n v="206778.32500000001"/>
    <n v="5800"/>
    <n v="37700"/>
    <n v="244478.32500000001"/>
    <n v="0"/>
    <n v="1"/>
    <n v="0"/>
    <n v="0"/>
    <n v="0"/>
    <n v="0"/>
    <n v="0"/>
    <n v="0"/>
    <n v="0"/>
    <n v="0"/>
    <n v="0"/>
    <n v="0"/>
    <s v="Enl uttag från Ladok - Erik Å"/>
    <m/>
    <n v="0"/>
    <n v="0"/>
    <n v="6.5"/>
    <n v="5.5249999999999995"/>
    <n v="0"/>
    <n v="0"/>
    <n v="0"/>
    <n v="0"/>
    <n v="0"/>
    <n v="0"/>
    <n v="0"/>
    <n v="0"/>
    <n v="0"/>
    <n v="0"/>
    <n v="0"/>
    <n v="0"/>
    <n v="0"/>
    <n v="0"/>
    <n v="0"/>
    <n v="0"/>
    <n v="0"/>
    <n v="0"/>
    <n v="0"/>
  </r>
  <r>
    <x v="275"/>
    <x v="267"/>
    <m/>
    <x v="11"/>
    <m/>
    <x v="0"/>
    <m/>
    <m/>
    <m/>
    <m/>
    <m/>
    <m/>
    <x v="0"/>
    <m/>
    <m/>
    <m/>
    <n v="0.5"/>
    <n v="0.85"/>
    <n v="0.42499999999999999"/>
    <n v="1630"/>
    <x v="10"/>
    <s v="Hum"/>
    <x v="11"/>
    <n v="18405"/>
    <n v="15773"/>
    <n v="15906.025"/>
    <n v="5800"/>
    <n v="2900"/>
    <n v="18806.025000000001"/>
    <n v="0"/>
    <n v="1"/>
    <n v="0"/>
    <n v="0"/>
    <n v="0"/>
    <n v="0"/>
    <n v="0"/>
    <n v="0"/>
    <n v="0"/>
    <n v="0"/>
    <n v="0"/>
    <n v="0"/>
    <s v="Enl uttag från Ladok - Erik Å"/>
    <m/>
    <n v="0"/>
    <n v="0"/>
    <n v="0.5"/>
    <n v="0.42499999999999999"/>
    <n v="0"/>
    <n v="0"/>
    <n v="0"/>
    <n v="0"/>
    <n v="0"/>
    <n v="0"/>
    <n v="0"/>
    <n v="0"/>
    <n v="0"/>
    <n v="0"/>
    <n v="0"/>
    <n v="0"/>
    <n v="0"/>
    <n v="0"/>
    <n v="0"/>
    <n v="0"/>
    <n v="0"/>
    <n v="0"/>
    <n v="0"/>
  </r>
  <r>
    <x v="276"/>
    <x v="268"/>
    <m/>
    <x v="0"/>
    <m/>
    <x v="0"/>
    <m/>
    <m/>
    <m/>
    <m/>
    <m/>
    <m/>
    <x v="0"/>
    <m/>
    <m/>
    <m/>
    <n v="7.5"/>
    <n v="0.85"/>
    <n v="6.375"/>
    <n v="1630"/>
    <x v="10"/>
    <s v="Hum"/>
    <x v="0"/>
    <n v="18405"/>
    <n v="15773"/>
    <n v="238590.375"/>
    <n v="5800"/>
    <n v="43500"/>
    <n v="282090.375"/>
    <n v="0"/>
    <n v="1"/>
    <n v="0"/>
    <n v="0"/>
    <n v="0"/>
    <n v="0"/>
    <n v="0"/>
    <n v="0"/>
    <n v="0"/>
    <n v="0"/>
    <n v="0"/>
    <n v="0"/>
    <s v="Enl uttag från Ladok - Erik Å"/>
    <m/>
    <n v="0"/>
    <n v="0"/>
    <n v="7.5"/>
    <n v="6.375"/>
    <n v="0"/>
    <n v="0"/>
    <n v="0"/>
    <n v="0"/>
    <n v="0"/>
    <n v="0"/>
    <n v="0"/>
    <n v="0"/>
    <n v="0"/>
    <n v="0"/>
    <n v="0"/>
    <n v="0"/>
    <n v="0"/>
    <n v="0"/>
    <n v="0"/>
    <n v="0"/>
    <n v="0"/>
    <n v="0"/>
    <n v="0"/>
  </r>
  <r>
    <x v="277"/>
    <x v="269"/>
    <m/>
    <x v="0"/>
    <m/>
    <x v="0"/>
    <m/>
    <m/>
    <m/>
    <m/>
    <m/>
    <m/>
    <x v="0"/>
    <m/>
    <m/>
    <m/>
    <n v="6.5"/>
    <n v="0.85"/>
    <n v="5.5249999999999995"/>
    <n v="1630"/>
    <x v="10"/>
    <s v="Hum"/>
    <x v="0"/>
    <n v="18405"/>
    <n v="15773"/>
    <n v="206778.32500000001"/>
    <n v="5800"/>
    <n v="37700"/>
    <n v="244478.32500000001"/>
    <n v="0"/>
    <n v="1"/>
    <n v="0"/>
    <n v="0"/>
    <n v="0"/>
    <n v="0"/>
    <n v="0"/>
    <n v="0"/>
    <n v="0"/>
    <n v="0"/>
    <n v="0"/>
    <n v="0"/>
    <s v="Enl uttag från Ladok - Erik Å"/>
    <m/>
    <n v="0"/>
    <n v="0"/>
    <n v="6.5"/>
    <n v="5.5249999999999995"/>
    <n v="0"/>
    <n v="0"/>
    <n v="0"/>
    <n v="0"/>
    <n v="0"/>
    <n v="0"/>
    <n v="0"/>
    <n v="0"/>
    <n v="0"/>
    <n v="0"/>
    <n v="0"/>
    <n v="0"/>
    <n v="0"/>
    <n v="0"/>
    <n v="0"/>
    <n v="0"/>
    <n v="0"/>
    <n v="0"/>
    <n v="0"/>
  </r>
  <r>
    <x v="278"/>
    <x v="270"/>
    <m/>
    <x v="0"/>
    <m/>
    <x v="0"/>
    <m/>
    <m/>
    <m/>
    <m/>
    <m/>
    <m/>
    <x v="0"/>
    <m/>
    <m/>
    <m/>
    <n v="5"/>
    <n v="0.85"/>
    <n v="4.25"/>
    <n v="1630"/>
    <x v="10"/>
    <s v="Hum"/>
    <x v="0"/>
    <n v="18405"/>
    <n v="15773"/>
    <n v="159060.25"/>
    <n v="5800"/>
    <n v="29000"/>
    <n v="188060.25"/>
    <n v="0"/>
    <n v="1"/>
    <n v="0"/>
    <n v="0"/>
    <n v="0"/>
    <n v="0"/>
    <n v="0"/>
    <n v="0"/>
    <n v="0"/>
    <n v="0"/>
    <n v="0"/>
    <n v="0"/>
    <s v="Enl uttag från Ladok - Erik Å"/>
    <m/>
    <n v="0"/>
    <n v="0"/>
    <n v="5"/>
    <n v="4.25"/>
    <n v="0"/>
    <n v="0"/>
    <n v="0"/>
    <n v="0"/>
    <n v="0"/>
    <n v="0"/>
    <n v="0"/>
    <n v="0"/>
    <n v="0"/>
    <n v="0"/>
    <n v="0"/>
    <n v="0"/>
    <n v="0"/>
    <n v="0"/>
    <n v="0"/>
    <n v="0"/>
    <n v="0"/>
    <n v="0"/>
    <n v="0"/>
  </r>
  <r>
    <x v="279"/>
    <x v="271"/>
    <m/>
    <x v="0"/>
    <m/>
    <x v="0"/>
    <m/>
    <m/>
    <m/>
    <m/>
    <m/>
    <m/>
    <x v="0"/>
    <m/>
    <m/>
    <m/>
    <n v="2"/>
    <n v="0.85"/>
    <n v="1.7"/>
    <n v="1620"/>
    <x v="8"/>
    <s v="Hum"/>
    <x v="0"/>
    <n v="18405"/>
    <n v="15773"/>
    <n v="63624.1"/>
    <n v="5800"/>
    <n v="11600"/>
    <n v="75224.100000000006"/>
    <n v="0"/>
    <n v="1"/>
    <n v="0"/>
    <n v="0"/>
    <n v="0"/>
    <n v="0"/>
    <n v="0"/>
    <n v="0"/>
    <n v="0"/>
    <n v="0"/>
    <n v="0"/>
    <n v="0"/>
    <s v="Enl uttag från Ladok - Erik Å"/>
    <m/>
    <n v="0"/>
    <n v="0"/>
    <n v="2"/>
    <n v="1.7"/>
    <n v="0"/>
    <n v="0"/>
    <n v="0"/>
    <n v="0"/>
    <n v="0"/>
    <n v="0"/>
    <n v="0"/>
    <n v="0"/>
    <n v="0"/>
    <n v="0"/>
    <n v="0"/>
    <n v="0"/>
    <n v="0"/>
    <n v="0"/>
    <n v="0"/>
    <n v="0"/>
    <n v="0"/>
    <n v="0"/>
    <n v="0"/>
  </r>
  <r>
    <x v="279"/>
    <x v="271"/>
    <m/>
    <x v="1"/>
    <m/>
    <x v="0"/>
    <m/>
    <m/>
    <m/>
    <m/>
    <m/>
    <m/>
    <x v="0"/>
    <m/>
    <m/>
    <m/>
    <n v="0.5"/>
    <n v="0.8"/>
    <n v="0.4"/>
    <n v="1620"/>
    <x v="8"/>
    <s v="Hum"/>
    <x v="1"/>
    <n v="18405"/>
    <n v="15773"/>
    <n v="15511.7"/>
    <n v="5800"/>
    <n v="2900"/>
    <n v="18411.7"/>
    <n v="0"/>
    <n v="1"/>
    <n v="0"/>
    <n v="0"/>
    <n v="0"/>
    <n v="0"/>
    <n v="0"/>
    <n v="0"/>
    <n v="0"/>
    <n v="0"/>
    <n v="0"/>
    <n v="0"/>
    <s v="Enl uttag från Ladok - Erik Å"/>
    <m/>
    <n v="0"/>
    <n v="0"/>
    <n v="0.5"/>
    <n v="0.4"/>
    <n v="0"/>
    <n v="0"/>
    <n v="0"/>
    <n v="0"/>
    <n v="0"/>
    <n v="0"/>
    <n v="0"/>
    <n v="0"/>
    <n v="0"/>
    <n v="0"/>
    <n v="0"/>
    <n v="0"/>
    <n v="0"/>
    <n v="0"/>
    <n v="0"/>
    <n v="0"/>
    <n v="0"/>
    <n v="0"/>
    <n v="0"/>
  </r>
  <r>
    <x v="280"/>
    <x v="272"/>
    <m/>
    <x v="0"/>
    <m/>
    <x v="0"/>
    <m/>
    <m/>
    <m/>
    <m/>
    <m/>
    <m/>
    <x v="0"/>
    <m/>
    <m/>
    <m/>
    <n v="1.5"/>
    <n v="0.85"/>
    <n v="1.2749999999999999"/>
    <n v="1620"/>
    <x v="8"/>
    <s v="Hum"/>
    <x v="0"/>
    <n v="18405"/>
    <n v="15773"/>
    <n v="47718.074999999997"/>
    <n v="5800"/>
    <n v="8700"/>
    <n v="56418.074999999997"/>
    <n v="0"/>
    <n v="1"/>
    <n v="0"/>
    <n v="0"/>
    <n v="0"/>
    <n v="0"/>
    <n v="0"/>
    <n v="0"/>
    <n v="0"/>
    <n v="0"/>
    <n v="0"/>
    <n v="0"/>
    <s v="Enl uttag från Ladok - Erik Å"/>
    <m/>
    <n v="0"/>
    <n v="0"/>
    <n v="1.5"/>
    <n v="1.2749999999999999"/>
    <n v="0"/>
    <n v="0"/>
    <n v="0"/>
    <n v="0"/>
    <n v="0"/>
    <n v="0"/>
    <n v="0"/>
    <n v="0"/>
    <n v="0"/>
    <n v="0"/>
    <n v="0"/>
    <n v="0"/>
    <n v="0"/>
    <n v="0"/>
    <n v="0"/>
    <n v="0"/>
    <n v="0"/>
    <n v="0"/>
    <n v="0"/>
  </r>
  <r>
    <x v="281"/>
    <x v="273"/>
    <m/>
    <x v="0"/>
    <m/>
    <x v="0"/>
    <m/>
    <m/>
    <m/>
    <m/>
    <m/>
    <m/>
    <x v="0"/>
    <m/>
    <m/>
    <m/>
    <n v="0.1"/>
    <n v="0.85"/>
    <n v="8.5000000000000006E-2"/>
    <n v="1620"/>
    <x v="8"/>
    <s v="Hum"/>
    <x v="0"/>
    <n v="21634"/>
    <n v="26986"/>
    <n v="4457.21"/>
    <n v="3400"/>
    <n v="340"/>
    <n v="4797.21"/>
    <n v="0"/>
    <n v="0"/>
    <n v="0"/>
    <n v="0"/>
    <n v="0"/>
    <n v="0"/>
    <n v="0"/>
    <n v="0"/>
    <n v="1"/>
    <n v="0"/>
    <n v="0"/>
    <n v="0"/>
    <s v="Enl uttag från Ladok - Erik Å"/>
    <m/>
    <n v="0"/>
    <n v="0"/>
    <n v="0"/>
    <n v="0"/>
    <n v="0"/>
    <n v="0"/>
    <n v="0"/>
    <n v="0"/>
    <n v="0"/>
    <n v="0"/>
    <n v="0"/>
    <n v="0"/>
    <n v="0"/>
    <n v="0"/>
    <n v="0"/>
    <n v="0"/>
    <n v="0.1"/>
    <n v="8.5000000000000006E-2"/>
    <n v="0"/>
    <n v="0"/>
    <n v="0"/>
    <n v="0"/>
    <n v="0"/>
  </r>
  <r>
    <x v="282"/>
    <x v="274"/>
    <m/>
    <x v="0"/>
    <m/>
    <x v="0"/>
    <m/>
    <m/>
    <m/>
    <m/>
    <m/>
    <m/>
    <x v="0"/>
    <m/>
    <m/>
    <m/>
    <n v="2"/>
    <n v="0.85"/>
    <n v="1.7"/>
    <n v="1620"/>
    <x v="8"/>
    <s v="Hum"/>
    <x v="0"/>
    <n v="18405"/>
    <n v="15773"/>
    <n v="63624.1"/>
    <n v="5800"/>
    <n v="11600"/>
    <n v="75224.100000000006"/>
    <n v="0"/>
    <n v="1"/>
    <n v="0"/>
    <n v="0"/>
    <n v="0"/>
    <n v="0"/>
    <n v="0"/>
    <n v="0"/>
    <n v="0"/>
    <n v="0"/>
    <n v="0"/>
    <n v="0"/>
    <s v="Enl uttag från Ladok - Erik Å"/>
    <m/>
    <n v="0"/>
    <n v="0"/>
    <n v="2"/>
    <n v="1.7"/>
    <n v="0"/>
    <n v="0"/>
    <n v="0"/>
    <n v="0"/>
    <n v="0"/>
    <n v="0"/>
    <n v="0"/>
    <n v="0"/>
    <n v="0"/>
    <n v="0"/>
    <n v="0"/>
    <n v="0"/>
    <n v="0"/>
    <n v="0"/>
    <n v="0"/>
    <n v="0"/>
    <n v="0"/>
    <n v="0"/>
    <n v="0"/>
  </r>
  <r>
    <x v="282"/>
    <x v="274"/>
    <m/>
    <x v="1"/>
    <m/>
    <x v="0"/>
    <m/>
    <m/>
    <m/>
    <m/>
    <m/>
    <m/>
    <x v="0"/>
    <m/>
    <m/>
    <m/>
    <n v="0.5"/>
    <n v="0.8"/>
    <n v="0.4"/>
    <n v="1620"/>
    <x v="8"/>
    <s v="Hum"/>
    <x v="1"/>
    <n v="18405"/>
    <n v="15773"/>
    <n v="15511.7"/>
    <n v="5800"/>
    <n v="2900"/>
    <n v="18411.7"/>
    <n v="0"/>
    <n v="1"/>
    <n v="0"/>
    <n v="0"/>
    <n v="0"/>
    <n v="0"/>
    <n v="0"/>
    <n v="0"/>
    <n v="0"/>
    <n v="0"/>
    <n v="0"/>
    <n v="0"/>
    <s v="Enl uttag från Ladok - Erik Å"/>
    <m/>
    <n v="0"/>
    <n v="0"/>
    <n v="0.5"/>
    <n v="0.4"/>
    <n v="0"/>
    <n v="0"/>
    <n v="0"/>
    <n v="0"/>
    <n v="0"/>
    <n v="0"/>
    <n v="0"/>
    <n v="0"/>
    <n v="0"/>
    <n v="0"/>
    <n v="0"/>
    <n v="0"/>
    <n v="0"/>
    <n v="0"/>
    <n v="0"/>
    <n v="0"/>
    <n v="0"/>
    <n v="0"/>
    <n v="0"/>
  </r>
  <r>
    <x v="283"/>
    <x v="275"/>
    <m/>
    <x v="0"/>
    <m/>
    <x v="0"/>
    <m/>
    <m/>
    <m/>
    <m/>
    <m/>
    <m/>
    <x v="0"/>
    <m/>
    <m/>
    <m/>
    <n v="6"/>
    <n v="0.85"/>
    <n v="5.0999999999999996"/>
    <n v="1620"/>
    <x v="8"/>
    <s v="Hum"/>
    <x v="0"/>
    <n v="18405"/>
    <n v="15773"/>
    <n v="190872.3"/>
    <n v="5800"/>
    <n v="34800"/>
    <n v="225672.3"/>
    <n v="0"/>
    <n v="1"/>
    <n v="0"/>
    <n v="0"/>
    <n v="0"/>
    <n v="0"/>
    <n v="0"/>
    <n v="0"/>
    <n v="0"/>
    <n v="0"/>
    <n v="0"/>
    <n v="0"/>
    <s v="Enl uttag från Ladok - Erik Å"/>
    <m/>
    <n v="0"/>
    <n v="0"/>
    <n v="6"/>
    <n v="5.0999999999999996"/>
    <n v="0"/>
    <n v="0"/>
    <n v="0"/>
    <n v="0"/>
    <n v="0"/>
    <n v="0"/>
    <n v="0"/>
    <n v="0"/>
    <n v="0"/>
    <n v="0"/>
    <n v="0"/>
    <n v="0"/>
    <n v="0"/>
    <n v="0"/>
    <n v="0"/>
    <n v="0"/>
    <n v="0"/>
    <n v="0"/>
    <n v="0"/>
  </r>
  <r>
    <x v="284"/>
    <x v="276"/>
    <m/>
    <x v="0"/>
    <m/>
    <x v="0"/>
    <m/>
    <m/>
    <m/>
    <m/>
    <m/>
    <m/>
    <x v="0"/>
    <m/>
    <m/>
    <m/>
    <n v="6.5"/>
    <n v="0.85"/>
    <n v="5.5249999999999995"/>
    <n v="1620"/>
    <x v="8"/>
    <s v="Hum"/>
    <x v="0"/>
    <n v="18405"/>
    <n v="15773"/>
    <n v="206778.32500000001"/>
    <n v="5800"/>
    <n v="37700"/>
    <n v="244478.32500000001"/>
    <n v="0"/>
    <n v="1"/>
    <n v="0"/>
    <n v="0"/>
    <n v="0"/>
    <n v="0"/>
    <n v="0"/>
    <n v="0"/>
    <n v="0"/>
    <n v="0"/>
    <n v="0"/>
    <n v="0"/>
    <s v="Enl uttag från Ladok - Erik Å"/>
    <m/>
    <n v="0"/>
    <n v="0"/>
    <n v="6.5"/>
    <n v="5.5249999999999995"/>
    <n v="0"/>
    <n v="0"/>
    <n v="0"/>
    <n v="0"/>
    <n v="0"/>
    <n v="0"/>
    <n v="0"/>
    <n v="0"/>
    <n v="0"/>
    <n v="0"/>
    <n v="0"/>
    <n v="0"/>
    <n v="0"/>
    <n v="0"/>
    <n v="0"/>
    <n v="0"/>
    <n v="0"/>
    <n v="0"/>
    <n v="0"/>
  </r>
  <r>
    <x v="285"/>
    <x v="277"/>
    <m/>
    <x v="1"/>
    <m/>
    <x v="0"/>
    <m/>
    <m/>
    <m/>
    <m/>
    <m/>
    <m/>
    <x v="0"/>
    <m/>
    <m/>
    <m/>
    <n v="0.5"/>
    <n v="0.8"/>
    <n v="0.4"/>
    <n v="1620"/>
    <x v="8"/>
    <s v="Hum"/>
    <x v="1"/>
    <n v="18405"/>
    <n v="15773"/>
    <n v="15511.7"/>
    <n v="5800"/>
    <n v="2900"/>
    <n v="18411.7"/>
    <n v="0"/>
    <n v="1"/>
    <n v="0"/>
    <n v="0"/>
    <n v="0"/>
    <n v="0"/>
    <n v="0"/>
    <n v="0"/>
    <n v="0"/>
    <n v="0"/>
    <n v="0"/>
    <n v="0"/>
    <s v="Enl uttag från Ladok - Erik Å"/>
    <m/>
    <n v="0"/>
    <n v="0"/>
    <n v="0.5"/>
    <n v="0.4"/>
    <n v="0"/>
    <n v="0"/>
    <n v="0"/>
    <n v="0"/>
    <n v="0"/>
    <n v="0"/>
    <n v="0"/>
    <n v="0"/>
    <n v="0"/>
    <n v="0"/>
    <n v="0"/>
    <n v="0"/>
    <n v="0"/>
    <n v="0"/>
    <n v="0"/>
    <n v="0"/>
    <n v="0"/>
    <n v="0"/>
    <n v="0"/>
  </r>
  <r>
    <x v="286"/>
    <x v="278"/>
    <m/>
    <x v="1"/>
    <m/>
    <x v="0"/>
    <m/>
    <m/>
    <m/>
    <m/>
    <m/>
    <m/>
    <x v="0"/>
    <m/>
    <m/>
    <m/>
    <n v="2.875"/>
    <n v="0.8"/>
    <n v="2.3000000000000003"/>
    <n v="1620"/>
    <x v="8"/>
    <s v="Hum"/>
    <x v="1"/>
    <n v="18405"/>
    <n v="15773"/>
    <n v="89192.274999999994"/>
    <n v="5800"/>
    <n v="16675"/>
    <n v="105867.27499999999"/>
    <n v="0"/>
    <n v="1"/>
    <n v="0"/>
    <n v="0"/>
    <n v="0"/>
    <n v="0"/>
    <n v="0"/>
    <n v="0"/>
    <n v="0"/>
    <n v="0"/>
    <n v="0"/>
    <n v="0"/>
    <s v="Enl uttag från Ladok - Erik Å"/>
    <m/>
    <n v="0"/>
    <n v="0"/>
    <n v="2.875"/>
    <n v="2.3000000000000003"/>
    <n v="0"/>
    <n v="0"/>
    <n v="0"/>
    <n v="0"/>
    <n v="0"/>
    <n v="0"/>
    <n v="0"/>
    <n v="0"/>
    <n v="0"/>
    <n v="0"/>
    <n v="0"/>
    <n v="0"/>
    <n v="0"/>
    <n v="0"/>
    <n v="0"/>
    <n v="0"/>
    <n v="0"/>
    <n v="0"/>
    <n v="0"/>
  </r>
  <r>
    <x v="287"/>
    <x v="279"/>
    <m/>
    <x v="1"/>
    <m/>
    <x v="0"/>
    <m/>
    <m/>
    <m/>
    <m/>
    <m/>
    <m/>
    <x v="0"/>
    <m/>
    <m/>
    <m/>
    <n v="0.25"/>
    <n v="0.8"/>
    <n v="0.2"/>
    <n v="1620"/>
    <x v="8"/>
    <s v="Hum"/>
    <x v="1"/>
    <n v="18405"/>
    <n v="15773"/>
    <n v="7755.85"/>
    <n v="5800"/>
    <n v="1450"/>
    <n v="9205.85"/>
    <n v="0"/>
    <n v="1"/>
    <n v="0"/>
    <n v="0"/>
    <n v="0"/>
    <n v="0"/>
    <n v="0"/>
    <n v="0"/>
    <n v="0"/>
    <n v="0"/>
    <n v="0"/>
    <n v="0"/>
    <s v="Enl uttag från Ladok - Erik Å"/>
    <m/>
    <n v="0"/>
    <n v="0"/>
    <n v="0.25"/>
    <n v="0.2"/>
    <n v="0"/>
    <n v="0"/>
    <n v="0"/>
    <n v="0"/>
    <n v="0"/>
    <n v="0"/>
    <n v="0"/>
    <n v="0"/>
    <n v="0"/>
    <n v="0"/>
    <n v="0"/>
    <n v="0"/>
    <n v="0"/>
    <n v="0"/>
    <n v="0"/>
    <n v="0"/>
    <n v="0"/>
    <n v="0"/>
    <n v="0"/>
  </r>
  <r>
    <x v="288"/>
    <x v="280"/>
    <m/>
    <x v="13"/>
    <m/>
    <x v="0"/>
    <m/>
    <m/>
    <m/>
    <m/>
    <m/>
    <m/>
    <x v="0"/>
    <m/>
    <m/>
    <m/>
    <n v="8.5"/>
    <n v="0.85"/>
    <n v="7.2249999999999996"/>
    <n v="1620"/>
    <x v="8"/>
    <s v="Hum"/>
    <x v="13"/>
    <n v="18405"/>
    <n v="15773"/>
    <n v="270402.42499999999"/>
    <n v="5800"/>
    <n v="49300"/>
    <n v="319702.42499999999"/>
    <n v="0"/>
    <n v="1"/>
    <n v="0"/>
    <n v="0"/>
    <n v="0"/>
    <n v="0"/>
    <n v="0"/>
    <n v="0"/>
    <n v="0"/>
    <n v="0"/>
    <n v="0"/>
    <n v="0"/>
    <s v="Enl uttag från Ladok - Erik Å"/>
    <m/>
    <n v="0"/>
    <n v="0"/>
    <n v="8.5"/>
    <n v="7.2249999999999996"/>
    <n v="0"/>
    <n v="0"/>
    <n v="0"/>
    <n v="0"/>
    <n v="0"/>
    <n v="0"/>
    <n v="0"/>
    <n v="0"/>
    <n v="0"/>
    <n v="0"/>
    <n v="0"/>
    <n v="0"/>
    <n v="0"/>
    <n v="0"/>
    <n v="0"/>
    <n v="0"/>
    <n v="0"/>
    <n v="0"/>
    <n v="0"/>
  </r>
  <r>
    <x v="289"/>
    <x v="281"/>
    <m/>
    <x v="13"/>
    <m/>
    <x v="0"/>
    <m/>
    <m/>
    <m/>
    <m/>
    <m/>
    <m/>
    <x v="0"/>
    <m/>
    <m/>
    <m/>
    <n v="4.25"/>
    <n v="0.85"/>
    <n v="3.6124999999999998"/>
    <n v="1620"/>
    <x v="8"/>
    <s v="Hum"/>
    <x v="13"/>
    <n v="18405"/>
    <n v="15773"/>
    <n v="135201.21249999999"/>
    <n v="5800"/>
    <n v="24650"/>
    <n v="159851.21249999999"/>
    <n v="0"/>
    <n v="0"/>
    <n v="0"/>
    <n v="0"/>
    <n v="0"/>
    <n v="0"/>
    <n v="1"/>
    <n v="0"/>
    <n v="0"/>
    <n v="0"/>
    <n v="0"/>
    <n v="0"/>
    <s v="Enl uttag från Ladok - Erik Å"/>
    <m/>
    <n v="0"/>
    <n v="0"/>
    <n v="0"/>
    <n v="0"/>
    <n v="0"/>
    <n v="0"/>
    <n v="0"/>
    <n v="0"/>
    <n v="0"/>
    <n v="0"/>
    <n v="0"/>
    <n v="0"/>
    <n v="4.25"/>
    <n v="3.6124999999999998"/>
    <n v="0"/>
    <n v="0"/>
    <n v="0"/>
    <n v="0"/>
    <n v="0"/>
    <n v="0"/>
    <n v="0"/>
    <n v="0"/>
    <n v="0"/>
  </r>
  <r>
    <x v="290"/>
    <x v="282"/>
    <m/>
    <x v="13"/>
    <m/>
    <x v="0"/>
    <m/>
    <m/>
    <m/>
    <m/>
    <m/>
    <m/>
    <x v="0"/>
    <m/>
    <m/>
    <m/>
    <n v="1"/>
    <n v="0.85"/>
    <n v="0.85"/>
    <n v="1620"/>
    <x v="8"/>
    <s v="Hum"/>
    <x v="13"/>
    <n v="18405"/>
    <n v="15773"/>
    <n v="31812.05"/>
    <n v="5800"/>
    <n v="5800"/>
    <n v="37612.050000000003"/>
    <n v="0"/>
    <n v="1"/>
    <n v="0"/>
    <n v="0"/>
    <n v="0"/>
    <n v="0"/>
    <n v="0"/>
    <n v="0"/>
    <n v="0"/>
    <n v="0"/>
    <n v="0"/>
    <n v="0"/>
    <s v="Enl uttag från Ladok - Erik Å"/>
    <m/>
    <n v="0"/>
    <n v="0"/>
    <n v="1"/>
    <n v="0.85"/>
    <n v="0"/>
    <n v="0"/>
    <n v="0"/>
    <n v="0"/>
    <n v="0"/>
    <n v="0"/>
    <n v="0"/>
    <n v="0"/>
    <n v="0"/>
    <n v="0"/>
    <n v="0"/>
    <n v="0"/>
    <n v="0"/>
    <n v="0"/>
    <n v="0"/>
    <n v="0"/>
    <n v="0"/>
    <n v="0"/>
    <n v="0"/>
  </r>
  <r>
    <x v="291"/>
    <x v="283"/>
    <m/>
    <x v="0"/>
    <m/>
    <x v="0"/>
    <m/>
    <m/>
    <m/>
    <m/>
    <m/>
    <m/>
    <x v="0"/>
    <m/>
    <m/>
    <m/>
    <n v="11"/>
    <n v="0.85"/>
    <n v="9.35"/>
    <n v="2340"/>
    <x v="16"/>
    <s v="Sam"/>
    <x v="0"/>
    <n v="18405"/>
    <n v="15773"/>
    <n v="349932.55"/>
    <n v="5800"/>
    <n v="63800"/>
    <n v="413732.55"/>
    <n v="0"/>
    <n v="1"/>
    <n v="0"/>
    <n v="0"/>
    <n v="0"/>
    <n v="0"/>
    <n v="0"/>
    <n v="0"/>
    <n v="0"/>
    <n v="0"/>
    <n v="0"/>
    <n v="0"/>
    <s v="Enl uttag från Ladok - Erik Å"/>
    <m/>
    <n v="0"/>
    <n v="0"/>
    <n v="11"/>
    <n v="9.35"/>
    <n v="0"/>
    <n v="0"/>
    <n v="0"/>
    <n v="0"/>
    <n v="0"/>
    <n v="0"/>
    <n v="0"/>
    <n v="0"/>
    <n v="0"/>
    <n v="0"/>
    <n v="0"/>
    <n v="0"/>
    <n v="0"/>
    <n v="0"/>
    <n v="0"/>
    <n v="0"/>
    <n v="0"/>
    <n v="0"/>
    <n v="0"/>
  </r>
  <r>
    <x v="292"/>
    <x v="284"/>
    <m/>
    <x v="0"/>
    <m/>
    <x v="0"/>
    <m/>
    <m/>
    <m/>
    <m/>
    <m/>
    <m/>
    <x v="0"/>
    <m/>
    <m/>
    <m/>
    <n v="9"/>
    <n v="0.85"/>
    <n v="7.6499999999999995"/>
    <n v="2340"/>
    <x v="16"/>
    <s v="Sam"/>
    <x v="0"/>
    <n v="18405"/>
    <n v="15773"/>
    <n v="286308.45"/>
    <n v="5800"/>
    <n v="52200"/>
    <n v="338508.45"/>
    <n v="0"/>
    <n v="0"/>
    <n v="0"/>
    <n v="0"/>
    <n v="0"/>
    <n v="0"/>
    <n v="1"/>
    <n v="0"/>
    <n v="0"/>
    <n v="0"/>
    <n v="0"/>
    <n v="0"/>
    <s v="Enl uttag från Ladok - Erik Å"/>
    <m/>
    <n v="0"/>
    <n v="0"/>
    <n v="0"/>
    <n v="0"/>
    <n v="0"/>
    <n v="0"/>
    <n v="0"/>
    <n v="0"/>
    <n v="0"/>
    <n v="0"/>
    <n v="0"/>
    <n v="0"/>
    <n v="9"/>
    <n v="7.6499999999999995"/>
    <n v="0"/>
    <n v="0"/>
    <n v="0"/>
    <n v="0"/>
    <n v="0"/>
    <n v="0"/>
    <n v="0"/>
    <n v="0"/>
    <n v="0"/>
  </r>
  <r>
    <x v="293"/>
    <x v="285"/>
    <m/>
    <x v="0"/>
    <m/>
    <x v="0"/>
    <m/>
    <m/>
    <m/>
    <m/>
    <m/>
    <m/>
    <x v="0"/>
    <m/>
    <m/>
    <m/>
    <n v="6.5"/>
    <n v="0.85"/>
    <n v="5.5249999999999995"/>
    <n v="2340"/>
    <x v="16"/>
    <s v="Sam"/>
    <x v="0"/>
    <n v="18405"/>
    <n v="15773"/>
    <n v="206778.32500000001"/>
    <n v="5800"/>
    <n v="37700"/>
    <n v="244478.32500000001"/>
    <n v="0"/>
    <n v="1"/>
    <n v="0"/>
    <n v="0"/>
    <n v="0"/>
    <n v="0"/>
    <n v="0"/>
    <n v="0"/>
    <n v="0"/>
    <n v="0"/>
    <n v="0"/>
    <n v="0"/>
    <s v="Enl uttag från Ladok - Erik Å"/>
    <m/>
    <n v="0"/>
    <n v="0"/>
    <n v="6.5"/>
    <n v="5.5249999999999995"/>
    <n v="0"/>
    <n v="0"/>
    <n v="0"/>
    <n v="0"/>
    <n v="0"/>
    <n v="0"/>
    <n v="0"/>
    <n v="0"/>
    <n v="0"/>
    <n v="0"/>
    <n v="0"/>
    <n v="0"/>
    <n v="0"/>
    <n v="0"/>
    <n v="0"/>
    <n v="0"/>
    <n v="0"/>
    <n v="0"/>
    <n v="0"/>
  </r>
  <r>
    <x v="294"/>
    <x v="286"/>
    <m/>
    <x v="4"/>
    <m/>
    <x v="0"/>
    <m/>
    <m/>
    <m/>
    <m/>
    <m/>
    <m/>
    <x v="0"/>
    <m/>
    <m/>
    <m/>
    <n v="0.125"/>
    <n v="0.85"/>
    <n v="0.10625"/>
    <n v="2340"/>
    <x v="16"/>
    <s v="Sam"/>
    <x v="4"/>
    <n v="18405"/>
    <n v="15773"/>
    <n v="3976.5062499999999"/>
    <n v="5800"/>
    <n v="725"/>
    <n v="4701.5062500000004"/>
    <n v="0"/>
    <n v="0"/>
    <n v="0"/>
    <n v="0"/>
    <n v="0"/>
    <n v="0"/>
    <n v="1"/>
    <n v="0"/>
    <n v="0"/>
    <n v="0"/>
    <n v="0"/>
    <n v="0"/>
    <s v="Enl uttag från Ladok - Erik Å"/>
    <m/>
    <n v="0"/>
    <n v="0"/>
    <n v="0"/>
    <n v="0"/>
    <n v="0"/>
    <n v="0"/>
    <n v="0"/>
    <n v="0"/>
    <n v="0"/>
    <n v="0"/>
    <n v="0"/>
    <n v="0"/>
    <n v="0.125"/>
    <n v="0.10625"/>
    <n v="0"/>
    <n v="0"/>
    <n v="0"/>
    <n v="0"/>
    <n v="0"/>
    <n v="0"/>
    <n v="0"/>
    <n v="0"/>
    <n v="0"/>
  </r>
  <r>
    <x v="294"/>
    <x v="286"/>
    <m/>
    <x v="0"/>
    <m/>
    <x v="0"/>
    <m/>
    <m/>
    <m/>
    <m/>
    <m/>
    <m/>
    <x v="0"/>
    <m/>
    <m/>
    <m/>
    <n v="7.125"/>
    <n v="0.85"/>
    <n v="6.0562499999999995"/>
    <n v="2340"/>
    <x v="16"/>
    <s v="Sam"/>
    <x v="0"/>
    <n v="18405"/>
    <n v="15773"/>
    <n v="226660.85625000001"/>
    <n v="5800"/>
    <n v="41325"/>
    <n v="267985.85625000001"/>
    <n v="0"/>
    <n v="0"/>
    <n v="0"/>
    <n v="0"/>
    <n v="0"/>
    <n v="0"/>
    <n v="1"/>
    <n v="0"/>
    <n v="0"/>
    <n v="0"/>
    <n v="0"/>
    <n v="0"/>
    <s v="Enl uttag från Ladok - Erik Å"/>
    <m/>
    <n v="0"/>
    <n v="0"/>
    <n v="0"/>
    <n v="0"/>
    <n v="0"/>
    <n v="0"/>
    <n v="0"/>
    <n v="0"/>
    <n v="0"/>
    <n v="0"/>
    <n v="0"/>
    <n v="0"/>
    <n v="7.125"/>
    <n v="6.0562499999999995"/>
    <n v="0"/>
    <n v="0"/>
    <n v="0"/>
    <n v="0"/>
    <n v="0"/>
    <n v="0"/>
    <n v="0"/>
    <n v="0"/>
    <n v="0"/>
  </r>
  <r>
    <x v="295"/>
    <x v="287"/>
    <m/>
    <x v="4"/>
    <m/>
    <x v="0"/>
    <m/>
    <m/>
    <m/>
    <m/>
    <m/>
    <m/>
    <x v="0"/>
    <m/>
    <m/>
    <m/>
    <n v="0.625"/>
    <n v="0.85"/>
    <n v="0.53125"/>
    <n v="2340"/>
    <x v="16"/>
    <s v="Sam"/>
    <x v="4"/>
    <n v="23641"/>
    <n v="28786"/>
    <n v="30068.1875"/>
    <n v="5800"/>
    <n v="3625"/>
    <n v="33693.1875"/>
    <n v="0"/>
    <n v="0"/>
    <n v="0"/>
    <n v="1"/>
    <n v="0"/>
    <n v="0"/>
    <n v="0"/>
    <n v="0"/>
    <n v="0"/>
    <n v="0"/>
    <n v="0"/>
    <n v="0"/>
    <s v="Enl uttag från Ladok - Erik Å"/>
    <m/>
    <n v="0"/>
    <n v="0"/>
    <n v="0"/>
    <n v="0"/>
    <n v="0"/>
    <n v="0"/>
    <n v="0.625"/>
    <n v="0.53125"/>
    <n v="0"/>
    <n v="0"/>
    <n v="0"/>
    <n v="0"/>
    <n v="0"/>
    <n v="0"/>
    <n v="0"/>
    <n v="0"/>
    <n v="0"/>
    <n v="0"/>
    <n v="0"/>
    <n v="0"/>
    <n v="0"/>
    <n v="0"/>
    <n v="0"/>
  </r>
  <r>
    <x v="295"/>
    <x v="287"/>
    <m/>
    <x v="0"/>
    <m/>
    <x v="0"/>
    <m/>
    <m/>
    <m/>
    <m/>
    <m/>
    <m/>
    <x v="0"/>
    <m/>
    <m/>
    <m/>
    <n v="7.875"/>
    <n v="0.85"/>
    <n v="6.6937499999999996"/>
    <n v="2340"/>
    <x v="16"/>
    <s v="Sam"/>
    <x v="0"/>
    <n v="23641"/>
    <n v="28786"/>
    <n v="378859.16249999998"/>
    <n v="5800"/>
    <n v="45675"/>
    <n v="424534.16249999998"/>
    <n v="0"/>
    <n v="0"/>
    <n v="0"/>
    <n v="1"/>
    <n v="0"/>
    <n v="0"/>
    <n v="0"/>
    <n v="0"/>
    <n v="0"/>
    <n v="0"/>
    <n v="0"/>
    <n v="0"/>
    <s v="Enl uttag från Ladok - Erik Å"/>
    <m/>
    <n v="0"/>
    <n v="0"/>
    <n v="0"/>
    <n v="0"/>
    <n v="0"/>
    <n v="0"/>
    <n v="7.875"/>
    <n v="6.6937499999999996"/>
    <n v="0"/>
    <n v="0"/>
    <n v="0"/>
    <n v="0"/>
    <n v="0"/>
    <n v="0"/>
    <n v="0"/>
    <n v="0"/>
    <n v="0"/>
    <n v="0"/>
    <n v="0"/>
    <n v="0"/>
    <n v="0"/>
    <n v="0"/>
    <n v="0"/>
  </r>
  <r>
    <x v="295"/>
    <x v="287"/>
    <m/>
    <x v="1"/>
    <m/>
    <x v="0"/>
    <m/>
    <m/>
    <m/>
    <m/>
    <m/>
    <m/>
    <x v="0"/>
    <m/>
    <m/>
    <m/>
    <n v="0.125"/>
    <n v="0.8"/>
    <n v="0.1"/>
    <n v="2340"/>
    <x v="16"/>
    <s v="Sam"/>
    <x v="1"/>
    <n v="23641"/>
    <n v="28786"/>
    <n v="5833.7250000000004"/>
    <n v="5800"/>
    <n v="725"/>
    <n v="6558.7250000000004"/>
    <n v="0"/>
    <n v="0"/>
    <n v="0"/>
    <n v="1"/>
    <n v="0"/>
    <n v="0"/>
    <n v="0"/>
    <n v="0"/>
    <n v="0"/>
    <n v="0"/>
    <n v="0"/>
    <n v="0"/>
    <s v="Enl uttag från Ladok - Erik Å"/>
    <m/>
    <n v="0"/>
    <n v="0"/>
    <n v="0"/>
    <n v="0"/>
    <n v="0"/>
    <n v="0"/>
    <n v="0.125"/>
    <n v="0.1"/>
    <n v="0"/>
    <n v="0"/>
    <n v="0"/>
    <n v="0"/>
    <n v="0"/>
    <n v="0"/>
    <n v="0"/>
    <n v="0"/>
    <n v="0"/>
    <n v="0"/>
    <n v="0"/>
    <n v="0"/>
    <n v="0"/>
    <n v="0"/>
    <n v="0"/>
  </r>
  <r>
    <x v="296"/>
    <x v="288"/>
    <m/>
    <x v="1"/>
    <m/>
    <x v="0"/>
    <m/>
    <m/>
    <m/>
    <m/>
    <m/>
    <m/>
    <x v="0"/>
    <m/>
    <m/>
    <m/>
    <n v="3.5"/>
    <n v="0.8"/>
    <n v="2.8000000000000003"/>
    <n v="1650"/>
    <x v="9"/>
    <s v="Hum"/>
    <x v="1"/>
    <n v="19473"/>
    <n v="34806"/>
    <n v="165612.29999999999"/>
    <n v="21800"/>
    <n v="76300"/>
    <n v="241912.3"/>
    <n v="0"/>
    <n v="0"/>
    <n v="0"/>
    <n v="0"/>
    <n v="0"/>
    <n v="0"/>
    <n v="0"/>
    <n v="1"/>
    <n v="0"/>
    <n v="0"/>
    <n v="0"/>
    <n v="0"/>
    <s v="Enl uttag från Ladok - Erik Å"/>
    <m/>
    <n v="0"/>
    <n v="0"/>
    <n v="0"/>
    <n v="0"/>
    <n v="0"/>
    <n v="0"/>
    <n v="0"/>
    <n v="0"/>
    <n v="0"/>
    <n v="0"/>
    <n v="0"/>
    <n v="0"/>
    <n v="0"/>
    <n v="0"/>
    <n v="3.5"/>
    <n v="2.8000000000000003"/>
    <n v="0"/>
    <n v="0"/>
    <n v="0"/>
    <n v="0"/>
    <n v="0"/>
    <n v="0"/>
    <n v="0"/>
  </r>
  <r>
    <x v="297"/>
    <x v="289"/>
    <m/>
    <x v="1"/>
    <m/>
    <x v="0"/>
    <m/>
    <m/>
    <m/>
    <m/>
    <m/>
    <m/>
    <x v="0"/>
    <m/>
    <m/>
    <m/>
    <n v="2.75"/>
    <n v="0.8"/>
    <n v="2.2000000000000002"/>
    <n v="1650"/>
    <x v="9"/>
    <s v="Hum"/>
    <x v="1"/>
    <n v="19473"/>
    <n v="34806"/>
    <n v="130123.95000000001"/>
    <n v="21800"/>
    <n v="59950"/>
    <n v="190073.95"/>
    <n v="0"/>
    <n v="0"/>
    <n v="0"/>
    <n v="0"/>
    <n v="0"/>
    <n v="0"/>
    <n v="0"/>
    <n v="1"/>
    <n v="0"/>
    <n v="0"/>
    <n v="0"/>
    <n v="0"/>
    <s v="Enl uttag från Ladok - Erik Å"/>
    <m/>
    <n v="0"/>
    <n v="0"/>
    <n v="0"/>
    <n v="0"/>
    <n v="0"/>
    <n v="0"/>
    <n v="0"/>
    <n v="0"/>
    <n v="0"/>
    <n v="0"/>
    <n v="0"/>
    <n v="0"/>
    <n v="0"/>
    <n v="0"/>
    <n v="2.75"/>
    <n v="2.2000000000000002"/>
    <n v="0"/>
    <n v="0"/>
    <n v="0"/>
    <n v="0"/>
    <n v="0"/>
    <n v="0"/>
    <n v="0"/>
  </r>
  <r>
    <x v="298"/>
    <x v="290"/>
    <m/>
    <x v="1"/>
    <m/>
    <x v="0"/>
    <m/>
    <m/>
    <m/>
    <m/>
    <m/>
    <m/>
    <x v="0"/>
    <m/>
    <m/>
    <m/>
    <n v="11.25"/>
    <n v="0.8"/>
    <n v="9"/>
    <n v="1650"/>
    <x v="9"/>
    <s v="Hum"/>
    <x v="1"/>
    <n v="19473"/>
    <n v="34806"/>
    <n v="532325.25"/>
    <n v="21800"/>
    <n v="245250"/>
    <n v="777575.25"/>
    <n v="0"/>
    <n v="0"/>
    <n v="0"/>
    <n v="0"/>
    <n v="0"/>
    <n v="0"/>
    <n v="0"/>
    <n v="1"/>
    <n v="0"/>
    <n v="0"/>
    <n v="0"/>
    <n v="0"/>
    <s v="Enl uttag från Ladok - Erik Å"/>
    <m/>
    <n v="0"/>
    <n v="0"/>
    <n v="0"/>
    <n v="0"/>
    <n v="0"/>
    <n v="0"/>
    <n v="0"/>
    <n v="0"/>
    <n v="0"/>
    <n v="0"/>
    <n v="0"/>
    <n v="0"/>
    <n v="0"/>
    <n v="0"/>
    <n v="11.25"/>
    <n v="9"/>
    <n v="0"/>
    <n v="0"/>
    <n v="0"/>
    <n v="0"/>
    <n v="0"/>
    <n v="0"/>
    <n v="0"/>
  </r>
  <r>
    <x v="299"/>
    <x v="291"/>
    <m/>
    <x v="11"/>
    <m/>
    <x v="0"/>
    <m/>
    <m/>
    <m/>
    <m/>
    <m/>
    <m/>
    <x v="0"/>
    <m/>
    <m/>
    <m/>
    <n v="0.75"/>
    <n v="0.85"/>
    <n v="0.63749999999999996"/>
    <n v="1650"/>
    <x v="9"/>
    <s v="Hum"/>
    <x v="11"/>
    <n v="19473"/>
    <n v="34806"/>
    <n v="36793.574999999997"/>
    <n v="21800"/>
    <n v="16350"/>
    <n v="53143.574999999997"/>
    <n v="0"/>
    <n v="0"/>
    <n v="0"/>
    <n v="0"/>
    <n v="0"/>
    <n v="0"/>
    <n v="0"/>
    <n v="1"/>
    <n v="0"/>
    <n v="0"/>
    <n v="0"/>
    <n v="0"/>
    <s v="Enl uttag från Ladok - Erik Å"/>
    <m/>
    <n v="0"/>
    <n v="0"/>
    <n v="0"/>
    <n v="0"/>
    <n v="0"/>
    <n v="0"/>
    <n v="0"/>
    <n v="0"/>
    <n v="0"/>
    <n v="0"/>
    <n v="0"/>
    <n v="0"/>
    <n v="0"/>
    <n v="0"/>
    <n v="0.75"/>
    <n v="0.63749999999999996"/>
    <n v="0"/>
    <n v="0"/>
    <n v="0"/>
    <n v="0"/>
    <n v="0"/>
    <n v="0"/>
    <n v="0"/>
  </r>
  <r>
    <x v="299"/>
    <x v="291"/>
    <m/>
    <x v="1"/>
    <m/>
    <x v="0"/>
    <m/>
    <m/>
    <m/>
    <m/>
    <m/>
    <m/>
    <x v="0"/>
    <m/>
    <m/>
    <m/>
    <n v="2"/>
    <n v="0.8"/>
    <n v="1.6"/>
    <n v="1650"/>
    <x v="9"/>
    <s v="Hum"/>
    <x v="1"/>
    <n v="19473"/>
    <n v="34806"/>
    <n v="94635.6"/>
    <n v="21800"/>
    <n v="43600"/>
    <n v="138235.6"/>
    <n v="0"/>
    <n v="0"/>
    <n v="0"/>
    <n v="0"/>
    <n v="0"/>
    <n v="0"/>
    <n v="0"/>
    <n v="1"/>
    <n v="0"/>
    <n v="0"/>
    <n v="0"/>
    <n v="0"/>
    <s v="Enl uttag från Ladok - Erik Å"/>
    <m/>
    <n v="0"/>
    <n v="0"/>
    <n v="0"/>
    <n v="0"/>
    <n v="0"/>
    <n v="0"/>
    <n v="0"/>
    <n v="0"/>
    <n v="0"/>
    <n v="0"/>
    <n v="0"/>
    <n v="0"/>
    <n v="0"/>
    <n v="0"/>
    <n v="2"/>
    <n v="1.6"/>
    <n v="0"/>
    <n v="0"/>
    <n v="0"/>
    <n v="0"/>
    <n v="0"/>
    <n v="0"/>
    <n v="0"/>
  </r>
  <r>
    <x v="300"/>
    <x v="292"/>
    <m/>
    <x v="1"/>
    <m/>
    <x v="0"/>
    <m/>
    <m/>
    <m/>
    <m/>
    <m/>
    <m/>
    <x v="0"/>
    <m/>
    <m/>
    <m/>
    <n v="1.75"/>
    <n v="0.8"/>
    <n v="1.4000000000000001"/>
    <n v="1650"/>
    <x v="9"/>
    <s v="Hum"/>
    <x v="1"/>
    <n v="19473"/>
    <n v="34806"/>
    <n v="82806.149999999994"/>
    <n v="21800"/>
    <n v="38150"/>
    <n v="120956.15"/>
    <n v="0"/>
    <n v="0"/>
    <n v="0"/>
    <n v="0"/>
    <n v="0"/>
    <n v="0"/>
    <n v="0"/>
    <n v="1"/>
    <n v="0"/>
    <n v="0"/>
    <n v="0"/>
    <n v="0"/>
    <s v="Enl uttag från Ladok - Erik Å"/>
    <m/>
    <n v="0"/>
    <n v="0"/>
    <n v="0"/>
    <n v="0"/>
    <n v="0"/>
    <n v="0"/>
    <n v="0"/>
    <n v="0"/>
    <n v="0"/>
    <n v="0"/>
    <n v="0"/>
    <n v="0"/>
    <n v="0"/>
    <n v="0"/>
    <n v="1.75"/>
    <n v="1.4000000000000001"/>
    <n v="0"/>
    <n v="0"/>
    <n v="0"/>
    <n v="0"/>
    <n v="0"/>
    <n v="0"/>
    <n v="0"/>
  </r>
  <r>
    <x v="301"/>
    <x v="293"/>
    <m/>
    <x v="15"/>
    <m/>
    <x v="0"/>
    <m/>
    <m/>
    <m/>
    <m/>
    <m/>
    <m/>
    <x v="0"/>
    <m/>
    <m/>
    <m/>
    <n v="4.625"/>
    <n v="0.85"/>
    <n v="3.9312499999999999"/>
    <n v="2180"/>
    <x v="11"/>
    <s v="Sam"/>
    <x v="15"/>
    <n v="18405"/>
    <n v="15773"/>
    <n v="147130.73125000001"/>
    <n v="5800"/>
    <n v="26825"/>
    <n v="173955.73125000001"/>
    <n v="0"/>
    <n v="0"/>
    <n v="0"/>
    <n v="0"/>
    <n v="0"/>
    <n v="0"/>
    <n v="1"/>
    <n v="0"/>
    <n v="0"/>
    <n v="0"/>
    <n v="0"/>
    <n v="0"/>
    <s v="Enl uttag från Ladok - Erik Å"/>
    <m/>
    <n v="0"/>
    <n v="0"/>
    <n v="0"/>
    <n v="0"/>
    <n v="0"/>
    <n v="0"/>
    <n v="0"/>
    <n v="0"/>
    <n v="0"/>
    <n v="0"/>
    <n v="0"/>
    <n v="0"/>
    <n v="4.625"/>
    <n v="3.9312499999999999"/>
    <n v="0"/>
    <n v="0"/>
    <n v="0"/>
    <n v="0"/>
    <n v="0"/>
    <n v="0"/>
    <n v="0"/>
    <n v="0"/>
    <n v="0"/>
  </r>
  <r>
    <x v="301"/>
    <x v="293"/>
    <m/>
    <x v="13"/>
    <m/>
    <x v="0"/>
    <m/>
    <m/>
    <m/>
    <m/>
    <m/>
    <m/>
    <x v="0"/>
    <m/>
    <m/>
    <m/>
    <n v="6.125"/>
    <n v="0.85"/>
    <n v="5.2062499999999998"/>
    <n v="2180"/>
    <x v="11"/>
    <s v="Sam"/>
    <x v="13"/>
    <n v="18405"/>
    <n v="15773"/>
    <n v="194848.80624999999"/>
    <n v="5800"/>
    <n v="35525"/>
    <n v="230373.80624999999"/>
    <n v="0"/>
    <n v="0"/>
    <n v="0"/>
    <n v="0"/>
    <n v="0"/>
    <n v="0"/>
    <n v="1"/>
    <n v="0"/>
    <n v="0"/>
    <n v="0"/>
    <n v="0"/>
    <n v="0"/>
    <s v="Enl uttag från Ladok - Erik Å"/>
    <m/>
    <n v="0"/>
    <n v="0"/>
    <n v="0"/>
    <n v="0"/>
    <n v="0"/>
    <n v="0"/>
    <n v="0"/>
    <n v="0"/>
    <n v="0"/>
    <n v="0"/>
    <n v="0"/>
    <n v="0"/>
    <n v="6.125"/>
    <n v="5.2062499999999998"/>
    <n v="0"/>
    <n v="0"/>
    <n v="0"/>
    <n v="0"/>
    <n v="0"/>
    <n v="0"/>
    <n v="0"/>
    <n v="0"/>
    <n v="0"/>
  </r>
  <r>
    <x v="302"/>
    <x v="294"/>
    <m/>
    <x v="15"/>
    <m/>
    <x v="0"/>
    <m/>
    <m/>
    <m/>
    <m/>
    <m/>
    <m/>
    <x v="0"/>
    <m/>
    <m/>
    <m/>
    <n v="4"/>
    <n v="0.85"/>
    <n v="3.4"/>
    <n v="2180"/>
    <x v="11"/>
    <s v="Sam"/>
    <x v="15"/>
    <n v="18405"/>
    <n v="15773"/>
    <n v="127248.2"/>
    <n v="5800"/>
    <n v="23200"/>
    <n v="150448.20000000001"/>
    <n v="0"/>
    <n v="0"/>
    <n v="0"/>
    <n v="0"/>
    <n v="0"/>
    <n v="0"/>
    <n v="1"/>
    <n v="0"/>
    <n v="0"/>
    <n v="0"/>
    <n v="0"/>
    <n v="0"/>
    <s v="Enl uttag från Ladok - Erik Å"/>
    <m/>
    <n v="0"/>
    <n v="0"/>
    <n v="0"/>
    <n v="0"/>
    <n v="0"/>
    <n v="0"/>
    <n v="0"/>
    <n v="0"/>
    <n v="0"/>
    <n v="0"/>
    <n v="0"/>
    <n v="0"/>
    <n v="4"/>
    <n v="3.4"/>
    <n v="0"/>
    <n v="0"/>
    <n v="0"/>
    <n v="0"/>
    <n v="0"/>
    <n v="0"/>
    <n v="0"/>
    <n v="0"/>
    <n v="0"/>
  </r>
  <r>
    <x v="302"/>
    <x v="294"/>
    <m/>
    <x v="13"/>
    <m/>
    <x v="0"/>
    <m/>
    <m/>
    <m/>
    <m/>
    <m/>
    <m/>
    <x v="0"/>
    <m/>
    <m/>
    <m/>
    <n v="5.125"/>
    <n v="0.85"/>
    <n v="4.3562500000000002"/>
    <n v="2180"/>
    <x v="11"/>
    <s v="Sam"/>
    <x v="13"/>
    <n v="18405"/>
    <n v="15773"/>
    <n v="163036.75625000001"/>
    <n v="5800"/>
    <n v="29725"/>
    <n v="192761.75625000001"/>
    <n v="0"/>
    <n v="0"/>
    <n v="0"/>
    <n v="0"/>
    <n v="0"/>
    <n v="0"/>
    <n v="1"/>
    <n v="0"/>
    <n v="0"/>
    <n v="0"/>
    <n v="0"/>
    <n v="0"/>
    <s v="Enl uttag från Ladok - Erik Å"/>
    <m/>
    <n v="0"/>
    <n v="0"/>
    <n v="0"/>
    <n v="0"/>
    <n v="0"/>
    <n v="0"/>
    <n v="0"/>
    <n v="0"/>
    <n v="0"/>
    <n v="0"/>
    <n v="0"/>
    <n v="0"/>
    <n v="5.125"/>
    <n v="4.3562500000000002"/>
    <n v="0"/>
    <n v="0"/>
    <n v="0"/>
    <n v="0"/>
    <n v="0"/>
    <n v="0"/>
    <n v="0"/>
    <n v="0"/>
    <n v="0"/>
  </r>
  <r>
    <x v="302"/>
    <x v="294"/>
    <m/>
    <x v="1"/>
    <m/>
    <x v="0"/>
    <m/>
    <m/>
    <m/>
    <m/>
    <m/>
    <m/>
    <x v="0"/>
    <m/>
    <m/>
    <m/>
    <n v="0.625"/>
    <n v="0.8"/>
    <n v="0.5"/>
    <n v="2180"/>
    <x v="11"/>
    <s v="Sam"/>
    <x v="1"/>
    <n v="18405"/>
    <n v="15773"/>
    <n v="19389.625"/>
    <n v="5800"/>
    <n v="3625"/>
    <n v="23014.625"/>
    <n v="0"/>
    <n v="0"/>
    <n v="0"/>
    <n v="0"/>
    <n v="0"/>
    <n v="0"/>
    <n v="1"/>
    <n v="0"/>
    <n v="0"/>
    <n v="0"/>
    <n v="0"/>
    <n v="0"/>
    <s v="Enl uttag från Ladok - Erik Å"/>
    <m/>
    <n v="0"/>
    <n v="0"/>
    <n v="0"/>
    <n v="0"/>
    <n v="0"/>
    <n v="0"/>
    <n v="0"/>
    <n v="0"/>
    <n v="0"/>
    <n v="0"/>
    <n v="0"/>
    <n v="0"/>
    <n v="0.625"/>
    <n v="0.5"/>
    <n v="0"/>
    <n v="0"/>
    <n v="0"/>
    <n v="0"/>
    <n v="0"/>
    <n v="0"/>
    <n v="0"/>
    <n v="0"/>
    <n v="0"/>
  </r>
  <r>
    <x v="303"/>
    <x v="295"/>
    <m/>
    <x v="15"/>
    <m/>
    <x v="0"/>
    <m/>
    <m/>
    <m/>
    <m/>
    <m/>
    <m/>
    <x v="0"/>
    <m/>
    <m/>
    <m/>
    <n v="8"/>
    <n v="0.85"/>
    <n v="6.8"/>
    <n v="2193"/>
    <x v="12"/>
    <s v="Sam"/>
    <x v="15"/>
    <n v="34144.199999999997"/>
    <n v="33557.800000000003"/>
    <n v="501346.64"/>
    <n v="5800"/>
    <n v="46400"/>
    <n v="547746.64"/>
    <n v="0"/>
    <n v="0"/>
    <n v="0"/>
    <n v="0"/>
    <n v="0"/>
    <n v="0"/>
    <n v="0.2"/>
    <n v="0"/>
    <n v="0"/>
    <n v="0"/>
    <n v="0"/>
    <n v="0.8"/>
    <s v="Enl uttag från Ladok - Erik Å"/>
    <m/>
    <n v="0"/>
    <n v="0"/>
    <n v="0"/>
    <n v="0"/>
    <n v="0"/>
    <n v="0"/>
    <n v="0"/>
    <n v="0"/>
    <n v="0"/>
    <n v="0"/>
    <n v="0"/>
    <n v="0"/>
    <n v="1.6"/>
    <n v="1.36"/>
    <n v="0"/>
    <n v="0"/>
    <n v="0"/>
    <n v="0"/>
    <n v="0"/>
    <n v="0"/>
    <n v="0"/>
    <n v="6.4"/>
    <n v="5.44"/>
  </r>
  <r>
    <x v="303"/>
    <x v="295"/>
    <m/>
    <x v="13"/>
    <m/>
    <x v="0"/>
    <m/>
    <m/>
    <m/>
    <m/>
    <m/>
    <m/>
    <x v="0"/>
    <m/>
    <m/>
    <m/>
    <n v="10.5"/>
    <n v="0.85"/>
    <n v="8.9249999999999989"/>
    <n v="2193"/>
    <x v="12"/>
    <s v="Sam"/>
    <x v="13"/>
    <n v="34144.199999999997"/>
    <n v="33557.800000000003"/>
    <n v="658017.46499999997"/>
    <n v="5800"/>
    <n v="60900"/>
    <n v="718917.46499999997"/>
    <n v="0"/>
    <n v="0"/>
    <n v="0"/>
    <n v="0"/>
    <n v="0"/>
    <n v="0"/>
    <n v="0.2"/>
    <n v="0"/>
    <n v="0"/>
    <n v="0"/>
    <n v="0"/>
    <n v="0.8"/>
    <s v="Enl uttag från Ladok - Erik Å"/>
    <m/>
    <n v="0"/>
    <n v="0"/>
    <n v="0"/>
    <n v="0"/>
    <n v="0"/>
    <n v="0"/>
    <n v="0"/>
    <n v="0"/>
    <n v="0"/>
    <n v="0"/>
    <n v="0"/>
    <n v="0"/>
    <n v="2.1"/>
    <n v="1.7849999999999999"/>
    <n v="0"/>
    <n v="0"/>
    <n v="0"/>
    <n v="0"/>
    <n v="0"/>
    <n v="0"/>
    <n v="0"/>
    <n v="8.4"/>
    <n v="7.14"/>
  </r>
  <r>
    <x v="304"/>
    <x v="296"/>
    <m/>
    <x v="15"/>
    <m/>
    <x v="0"/>
    <m/>
    <m/>
    <m/>
    <m/>
    <m/>
    <m/>
    <x v="0"/>
    <m/>
    <m/>
    <m/>
    <n v="14.625"/>
    <n v="0.85"/>
    <n v="12.43125"/>
    <n v="2180"/>
    <x v="11"/>
    <s v="Sam"/>
    <x v="15"/>
    <n v="18405"/>
    <n v="15773"/>
    <n v="465251.23125000001"/>
    <n v="5800"/>
    <n v="84825"/>
    <n v="550076.23124999995"/>
    <n v="0"/>
    <n v="0"/>
    <n v="0"/>
    <n v="0"/>
    <n v="0"/>
    <n v="0"/>
    <n v="1"/>
    <n v="0"/>
    <n v="0"/>
    <n v="0"/>
    <n v="0"/>
    <n v="0"/>
    <s v="Enl uttag från Ladok - Erik Å"/>
    <m/>
    <n v="0"/>
    <n v="0"/>
    <n v="0"/>
    <n v="0"/>
    <n v="0"/>
    <n v="0"/>
    <n v="0"/>
    <n v="0"/>
    <n v="0"/>
    <n v="0"/>
    <n v="0"/>
    <n v="0"/>
    <n v="14.625"/>
    <n v="12.43125"/>
    <n v="0"/>
    <n v="0"/>
    <n v="0"/>
    <n v="0"/>
    <n v="0"/>
    <n v="0"/>
    <n v="0"/>
    <n v="0"/>
    <n v="0"/>
  </r>
  <r>
    <x v="304"/>
    <x v="296"/>
    <m/>
    <x v="1"/>
    <m/>
    <x v="0"/>
    <m/>
    <m/>
    <m/>
    <m/>
    <m/>
    <m/>
    <x v="0"/>
    <m/>
    <m/>
    <m/>
    <n v="0.375"/>
    <n v="0.8"/>
    <n v="0.30000000000000004"/>
    <n v="2180"/>
    <x v="11"/>
    <s v="Sam"/>
    <x v="1"/>
    <n v="18405"/>
    <n v="15773"/>
    <n v="11633.775000000001"/>
    <n v="5800"/>
    <n v="2175"/>
    <n v="13808.775000000001"/>
    <n v="0"/>
    <n v="0"/>
    <n v="0"/>
    <n v="0"/>
    <n v="0"/>
    <n v="0"/>
    <n v="1"/>
    <n v="0"/>
    <n v="0"/>
    <n v="0"/>
    <n v="0"/>
    <n v="0"/>
    <s v="Enl uttag från Ladok - Erik Å"/>
    <m/>
    <n v="0"/>
    <n v="0"/>
    <n v="0"/>
    <n v="0"/>
    <n v="0"/>
    <n v="0"/>
    <n v="0"/>
    <n v="0"/>
    <n v="0"/>
    <n v="0"/>
    <n v="0"/>
    <n v="0"/>
    <n v="0.375"/>
    <n v="0.30000000000000004"/>
    <n v="0"/>
    <n v="0"/>
    <n v="0"/>
    <n v="0"/>
    <n v="0"/>
    <n v="0"/>
    <n v="0"/>
    <n v="0"/>
    <n v="0"/>
  </r>
  <r>
    <x v="305"/>
    <x v="297"/>
    <m/>
    <x v="13"/>
    <m/>
    <x v="0"/>
    <m/>
    <m/>
    <m/>
    <m/>
    <m/>
    <m/>
    <x v="0"/>
    <m/>
    <m/>
    <m/>
    <n v="0.75"/>
    <n v="0.85"/>
    <n v="0.63749999999999996"/>
    <n v="2180"/>
    <x v="11"/>
    <s v="Sam"/>
    <x v="13"/>
    <n v="18405"/>
    <n v="15773"/>
    <n v="23859.037499999999"/>
    <n v="5800"/>
    <n v="4350"/>
    <n v="28209.037499999999"/>
    <n v="0"/>
    <n v="0"/>
    <n v="0"/>
    <n v="0"/>
    <n v="0"/>
    <n v="0"/>
    <n v="1"/>
    <n v="0"/>
    <n v="0"/>
    <n v="0"/>
    <n v="0"/>
    <n v="0"/>
    <s v="Enl uttag från Ladok - Erik Å"/>
    <m/>
    <n v="0"/>
    <n v="0"/>
    <n v="0"/>
    <n v="0"/>
    <n v="0"/>
    <n v="0"/>
    <n v="0"/>
    <n v="0"/>
    <n v="0"/>
    <n v="0"/>
    <n v="0"/>
    <n v="0"/>
    <n v="0.75"/>
    <n v="0.63749999999999996"/>
    <n v="0"/>
    <n v="0"/>
    <n v="0"/>
    <n v="0"/>
    <n v="0"/>
    <n v="0"/>
    <n v="0"/>
    <n v="0"/>
    <n v="0"/>
  </r>
  <r>
    <x v="306"/>
    <x v="298"/>
    <m/>
    <x v="13"/>
    <m/>
    <x v="0"/>
    <m/>
    <m/>
    <m/>
    <m/>
    <m/>
    <m/>
    <x v="0"/>
    <m/>
    <m/>
    <m/>
    <n v="0.75"/>
    <n v="0.85"/>
    <n v="0.63749999999999996"/>
    <n v="2180"/>
    <x v="11"/>
    <s v="Sam"/>
    <x v="13"/>
    <n v="18405"/>
    <n v="15773"/>
    <n v="23859.037499999999"/>
    <n v="5800"/>
    <n v="4350"/>
    <n v="28209.037499999999"/>
    <n v="0"/>
    <n v="0"/>
    <n v="0"/>
    <n v="0"/>
    <n v="0"/>
    <n v="0"/>
    <n v="1"/>
    <n v="0"/>
    <n v="0"/>
    <n v="0"/>
    <n v="0"/>
    <n v="0"/>
    <s v="Enl uttag från Ladok - Erik Å"/>
    <m/>
    <n v="0"/>
    <n v="0"/>
    <n v="0"/>
    <n v="0"/>
    <n v="0"/>
    <n v="0"/>
    <n v="0"/>
    <n v="0"/>
    <n v="0"/>
    <n v="0"/>
    <n v="0"/>
    <n v="0"/>
    <n v="0.75"/>
    <n v="0.63749999999999996"/>
    <n v="0"/>
    <n v="0"/>
    <n v="0"/>
    <n v="0"/>
    <n v="0"/>
    <n v="0"/>
    <n v="0"/>
    <n v="0"/>
    <n v="0"/>
  </r>
  <r>
    <x v="307"/>
    <x v="299"/>
    <m/>
    <x v="1"/>
    <m/>
    <x v="0"/>
    <m/>
    <m/>
    <m/>
    <m/>
    <m/>
    <m/>
    <x v="0"/>
    <m/>
    <m/>
    <m/>
    <n v="14.25"/>
    <n v="0.8"/>
    <n v="11.4"/>
    <n v="2193"/>
    <x v="12"/>
    <s v="Sam"/>
    <x v="1"/>
    <n v="18405"/>
    <n v="15773"/>
    <n v="442083.45"/>
    <n v="5800"/>
    <n v="82650"/>
    <n v="524733.44999999995"/>
    <n v="0"/>
    <n v="0"/>
    <n v="0"/>
    <n v="0"/>
    <n v="0"/>
    <n v="0"/>
    <n v="1"/>
    <n v="0"/>
    <n v="0"/>
    <n v="0"/>
    <n v="0"/>
    <n v="0"/>
    <s v="Enl uttag från Ladok - Erik Å"/>
    <m/>
    <n v="0"/>
    <n v="0"/>
    <n v="0"/>
    <n v="0"/>
    <n v="0"/>
    <n v="0"/>
    <n v="0"/>
    <n v="0"/>
    <n v="0"/>
    <n v="0"/>
    <n v="0"/>
    <n v="0"/>
    <n v="14.25"/>
    <n v="11.4"/>
    <n v="0"/>
    <n v="0"/>
    <n v="0"/>
    <n v="0"/>
    <n v="0"/>
    <n v="0"/>
    <n v="0"/>
    <n v="0"/>
    <n v="0"/>
  </r>
  <r>
    <x v="308"/>
    <x v="300"/>
    <m/>
    <x v="15"/>
    <m/>
    <x v="0"/>
    <m/>
    <m/>
    <m/>
    <m/>
    <m/>
    <m/>
    <x v="0"/>
    <m/>
    <m/>
    <m/>
    <n v="4.875"/>
    <n v="0.85"/>
    <n v="4.1437499999999998"/>
    <n v="2193"/>
    <x v="12"/>
    <s v="Sam"/>
    <x v="15"/>
    <n v="18405"/>
    <n v="15773"/>
    <n v="155083.74374999999"/>
    <n v="5800"/>
    <n v="28275"/>
    <n v="183358.74374999999"/>
    <n v="0"/>
    <n v="0"/>
    <n v="0"/>
    <n v="0"/>
    <n v="0"/>
    <n v="0"/>
    <n v="1"/>
    <n v="0"/>
    <n v="0"/>
    <n v="0"/>
    <n v="0"/>
    <n v="0"/>
    <s v="Enl uttag från Ladok - Erik Å"/>
    <m/>
    <n v="0"/>
    <n v="0"/>
    <n v="0"/>
    <n v="0"/>
    <n v="0"/>
    <n v="0"/>
    <n v="0"/>
    <n v="0"/>
    <n v="0"/>
    <n v="0"/>
    <n v="0"/>
    <n v="0"/>
    <n v="4.875"/>
    <n v="4.1437499999999998"/>
    <n v="0"/>
    <n v="0"/>
    <n v="0"/>
    <n v="0"/>
    <n v="0"/>
    <n v="0"/>
    <n v="0"/>
    <n v="0"/>
    <n v="0"/>
  </r>
  <r>
    <x v="309"/>
    <x v="301"/>
    <m/>
    <x v="15"/>
    <m/>
    <x v="0"/>
    <m/>
    <m/>
    <m/>
    <m/>
    <m/>
    <m/>
    <x v="0"/>
    <m/>
    <m/>
    <m/>
    <n v="4.25"/>
    <n v="0.85"/>
    <n v="3.6124999999999998"/>
    <n v="2180"/>
    <x v="11"/>
    <s v="Sam"/>
    <x v="15"/>
    <n v="18405"/>
    <n v="15773"/>
    <n v="135201.21249999999"/>
    <n v="5800"/>
    <n v="24650"/>
    <n v="159851.21249999999"/>
    <n v="0"/>
    <n v="0"/>
    <n v="0"/>
    <n v="0"/>
    <n v="0"/>
    <n v="0"/>
    <n v="1"/>
    <n v="0"/>
    <n v="0"/>
    <n v="0"/>
    <n v="0"/>
    <n v="0"/>
    <s v="Enl uttag från Ladok - Erik Å"/>
    <m/>
    <n v="0"/>
    <n v="0"/>
    <n v="0"/>
    <n v="0"/>
    <n v="0"/>
    <n v="0"/>
    <n v="0"/>
    <n v="0"/>
    <n v="0"/>
    <n v="0"/>
    <n v="0"/>
    <n v="0"/>
    <n v="4.25"/>
    <n v="3.6124999999999998"/>
    <n v="0"/>
    <n v="0"/>
    <n v="0"/>
    <n v="0"/>
    <n v="0"/>
    <n v="0"/>
    <n v="0"/>
    <n v="0"/>
    <n v="0"/>
  </r>
  <r>
    <x v="309"/>
    <x v="301"/>
    <m/>
    <x v="13"/>
    <m/>
    <x v="0"/>
    <m/>
    <m/>
    <m/>
    <m/>
    <m/>
    <m/>
    <x v="0"/>
    <m/>
    <m/>
    <m/>
    <n v="3.625"/>
    <n v="0.85"/>
    <n v="3.0812499999999998"/>
    <n v="2180"/>
    <x v="11"/>
    <s v="Sam"/>
    <x v="13"/>
    <n v="18405"/>
    <n v="15773"/>
    <n v="115318.68124999999"/>
    <n v="5800"/>
    <n v="21025"/>
    <n v="136343.68124999999"/>
    <n v="0"/>
    <n v="0"/>
    <n v="0"/>
    <n v="0"/>
    <n v="0"/>
    <n v="0"/>
    <n v="1"/>
    <n v="0"/>
    <n v="0"/>
    <n v="0"/>
    <n v="0"/>
    <n v="0"/>
    <s v="Enl uttag från Ladok - Erik Å"/>
    <m/>
    <n v="0"/>
    <n v="0"/>
    <n v="0"/>
    <n v="0"/>
    <n v="0"/>
    <n v="0"/>
    <n v="0"/>
    <n v="0"/>
    <n v="0"/>
    <n v="0"/>
    <n v="0"/>
    <n v="0"/>
    <n v="3.625"/>
    <n v="3.0812499999999998"/>
    <n v="0"/>
    <n v="0"/>
    <n v="0"/>
    <n v="0"/>
    <n v="0"/>
    <n v="0"/>
    <n v="0"/>
    <n v="0"/>
    <n v="0"/>
  </r>
  <r>
    <x v="310"/>
    <x v="302"/>
    <m/>
    <x v="13"/>
    <m/>
    <x v="0"/>
    <m/>
    <m/>
    <m/>
    <m/>
    <m/>
    <m/>
    <x v="0"/>
    <m/>
    <m/>
    <m/>
    <n v="0.75"/>
    <n v="0.85"/>
    <n v="0.63749999999999996"/>
    <n v="2180"/>
    <x v="11"/>
    <s v="Sam"/>
    <x v="13"/>
    <n v="18405"/>
    <n v="15773"/>
    <n v="23859.037499999999"/>
    <n v="5800"/>
    <n v="4350"/>
    <n v="28209.037499999999"/>
    <n v="0"/>
    <n v="0"/>
    <n v="0"/>
    <n v="0"/>
    <n v="0"/>
    <n v="0"/>
    <n v="1"/>
    <n v="0"/>
    <n v="0"/>
    <n v="0"/>
    <n v="0"/>
    <n v="0"/>
    <s v="Enl uttag från Ladok - Erik Å"/>
    <m/>
    <n v="0"/>
    <n v="0"/>
    <n v="0"/>
    <n v="0"/>
    <n v="0"/>
    <n v="0"/>
    <n v="0"/>
    <n v="0"/>
    <n v="0"/>
    <n v="0"/>
    <n v="0"/>
    <n v="0"/>
    <n v="0.75"/>
    <n v="0.63749999999999996"/>
    <n v="0"/>
    <n v="0"/>
    <n v="0"/>
    <n v="0"/>
    <n v="0"/>
    <n v="0"/>
    <n v="0"/>
    <n v="0"/>
    <n v="0"/>
  </r>
  <r>
    <x v="311"/>
    <x v="303"/>
    <m/>
    <x v="15"/>
    <m/>
    <x v="0"/>
    <m/>
    <m/>
    <m/>
    <m/>
    <m/>
    <m/>
    <x v="0"/>
    <m/>
    <m/>
    <m/>
    <n v="9.25"/>
    <n v="0.85"/>
    <n v="7.8624999999999998"/>
    <n v="2180"/>
    <x v="11"/>
    <s v="Sam"/>
    <x v="15"/>
    <n v="18405"/>
    <n v="15773"/>
    <n v="294261.46250000002"/>
    <n v="5800"/>
    <n v="53650"/>
    <n v="347911.46250000002"/>
    <n v="0"/>
    <n v="0"/>
    <n v="0"/>
    <n v="0"/>
    <n v="0"/>
    <n v="0"/>
    <n v="1"/>
    <n v="0"/>
    <n v="0"/>
    <n v="0"/>
    <n v="0"/>
    <n v="0"/>
    <s v="Enl uttag från Ladok - Erik Å"/>
    <m/>
    <n v="0"/>
    <n v="0"/>
    <n v="0"/>
    <n v="0"/>
    <n v="0"/>
    <n v="0"/>
    <n v="0"/>
    <n v="0"/>
    <n v="0"/>
    <n v="0"/>
    <n v="0"/>
    <n v="0"/>
    <n v="9.25"/>
    <n v="7.8624999999999998"/>
    <n v="0"/>
    <n v="0"/>
    <n v="0"/>
    <n v="0"/>
    <n v="0"/>
    <n v="0"/>
    <n v="0"/>
    <n v="0"/>
    <n v="0"/>
  </r>
  <r>
    <x v="312"/>
    <x v="304"/>
    <m/>
    <x v="12"/>
    <m/>
    <x v="0"/>
    <m/>
    <m/>
    <m/>
    <m/>
    <m/>
    <m/>
    <x v="0"/>
    <m/>
    <m/>
    <m/>
    <n v="11.25"/>
    <n v="0.85"/>
    <n v="9.5625"/>
    <n v="2340"/>
    <x v="16"/>
    <s v="Sam"/>
    <x v="12"/>
    <n v="18405"/>
    <n v="15773"/>
    <n v="357885.5625"/>
    <n v="5800"/>
    <n v="65250"/>
    <n v="423135.5625"/>
    <n v="0"/>
    <n v="0"/>
    <n v="0"/>
    <n v="0"/>
    <n v="0"/>
    <n v="0"/>
    <n v="1"/>
    <n v="0"/>
    <n v="0"/>
    <n v="0"/>
    <n v="0"/>
    <n v="0"/>
    <s v="Enl uttag från Ladok - Erik Å"/>
    <m/>
    <n v="0"/>
    <n v="0"/>
    <n v="0"/>
    <n v="0"/>
    <n v="0"/>
    <n v="0"/>
    <n v="0"/>
    <n v="0"/>
    <n v="0"/>
    <n v="0"/>
    <n v="0"/>
    <n v="0"/>
    <n v="11.25"/>
    <n v="9.5625"/>
    <n v="0"/>
    <n v="0"/>
    <n v="0"/>
    <n v="0"/>
    <n v="0"/>
    <n v="0"/>
    <n v="0"/>
    <n v="0"/>
    <n v="0"/>
  </r>
  <r>
    <x v="313"/>
    <x v="305"/>
    <m/>
    <x v="12"/>
    <m/>
    <x v="0"/>
    <m/>
    <m/>
    <m/>
    <m/>
    <m/>
    <m/>
    <x v="0"/>
    <m/>
    <m/>
    <m/>
    <n v="5.5"/>
    <n v="0.85"/>
    <n v="4.6749999999999998"/>
    <n v="2340"/>
    <x v="16"/>
    <s v="Sam"/>
    <x v="12"/>
    <n v="18405"/>
    <n v="15773"/>
    <n v="174966.27499999999"/>
    <n v="5800"/>
    <n v="31900"/>
    <n v="206866.27499999999"/>
    <n v="0"/>
    <n v="0"/>
    <n v="0"/>
    <n v="0"/>
    <n v="0"/>
    <n v="0"/>
    <n v="1"/>
    <n v="0"/>
    <n v="0"/>
    <n v="0"/>
    <n v="0"/>
    <n v="0"/>
    <s v="Enl uttag från Ladok - Erik Å"/>
    <m/>
    <n v="0"/>
    <n v="0"/>
    <n v="0"/>
    <n v="0"/>
    <n v="0"/>
    <n v="0"/>
    <n v="0"/>
    <n v="0"/>
    <n v="0"/>
    <n v="0"/>
    <n v="0"/>
    <n v="0"/>
    <n v="5.5"/>
    <n v="4.6749999999999998"/>
    <n v="0"/>
    <n v="0"/>
    <n v="0"/>
    <n v="0"/>
    <n v="0"/>
    <n v="0"/>
    <n v="0"/>
    <n v="0"/>
    <n v="0"/>
  </r>
  <r>
    <x v="314"/>
    <x v="306"/>
    <m/>
    <x v="1"/>
    <m/>
    <x v="0"/>
    <m/>
    <m/>
    <m/>
    <m/>
    <m/>
    <m/>
    <x v="0"/>
    <m/>
    <m/>
    <m/>
    <n v="0.625"/>
    <n v="0.8"/>
    <n v="0.5"/>
    <n v="2340"/>
    <x v="16"/>
    <s v="Sam"/>
    <x v="1"/>
    <n v="18405"/>
    <n v="15773"/>
    <n v="19389.625"/>
    <n v="5800"/>
    <n v="3625"/>
    <n v="23014.625"/>
    <n v="0"/>
    <n v="0"/>
    <n v="0"/>
    <n v="0"/>
    <n v="0"/>
    <n v="0"/>
    <n v="1"/>
    <n v="0"/>
    <n v="0"/>
    <n v="0"/>
    <n v="0"/>
    <n v="0"/>
    <s v="Enl uttag från Ladok - Erik Å"/>
    <m/>
    <n v="0"/>
    <n v="0"/>
    <n v="0"/>
    <n v="0"/>
    <n v="0"/>
    <n v="0"/>
    <n v="0"/>
    <n v="0"/>
    <n v="0"/>
    <n v="0"/>
    <n v="0"/>
    <n v="0"/>
    <n v="0.625"/>
    <n v="0.5"/>
    <n v="0"/>
    <n v="0"/>
    <n v="0"/>
    <n v="0"/>
    <n v="0"/>
    <n v="0"/>
    <n v="0"/>
    <n v="0"/>
    <n v="0"/>
  </r>
  <r>
    <x v="315"/>
    <x v="307"/>
    <m/>
    <x v="1"/>
    <m/>
    <x v="0"/>
    <m/>
    <m/>
    <m/>
    <m/>
    <m/>
    <m/>
    <x v="0"/>
    <m/>
    <m/>
    <m/>
    <n v="0.375"/>
    <n v="0.8"/>
    <n v="0.30000000000000004"/>
    <n v="2340"/>
    <x v="16"/>
    <s v="Sam"/>
    <x v="1"/>
    <n v="18405"/>
    <n v="15773"/>
    <n v="11633.775000000001"/>
    <n v="5800"/>
    <n v="2175"/>
    <n v="13808.775000000001"/>
    <n v="0"/>
    <n v="0"/>
    <n v="0"/>
    <n v="0"/>
    <n v="0"/>
    <n v="0"/>
    <n v="1"/>
    <n v="0"/>
    <n v="0"/>
    <n v="0"/>
    <n v="0"/>
    <n v="0"/>
    <s v="Enl uttag från Ladok - Erik Å"/>
    <m/>
    <n v="0"/>
    <n v="0"/>
    <n v="0"/>
    <n v="0"/>
    <n v="0"/>
    <n v="0"/>
    <n v="0"/>
    <n v="0"/>
    <n v="0"/>
    <n v="0"/>
    <n v="0"/>
    <n v="0"/>
    <n v="0.375"/>
    <n v="0.30000000000000004"/>
    <n v="0"/>
    <n v="0"/>
    <n v="0"/>
    <n v="0"/>
    <n v="0"/>
    <n v="0"/>
    <n v="0"/>
    <n v="0"/>
    <n v="0"/>
  </r>
  <r>
    <x v="316"/>
    <x v="308"/>
    <m/>
    <x v="0"/>
    <m/>
    <x v="0"/>
    <m/>
    <m/>
    <m/>
    <m/>
    <m/>
    <m/>
    <x v="0"/>
    <m/>
    <m/>
    <m/>
    <n v="13.5"/>
    <n v="0.85"/>
    <n v="11.475"/>
    <n v="1620"/>
    <x v="8"/>
    <s v="Hum"/>
    <x v="0"/>
    <n v="18405"/>
    <n v="15773"/>
    <n v="429462.67499999999"/>
    <n v="5800"/>
    <n v="78300"/>
    <n v="507762.67499999999"/>
    <n v="0"/>
    <n v="1"/>
    <n v="0"/>
    <n v="0"/>
    <n v="0"/>
    <n v="0"/>
    <n v="0"/>
    <n v="0"/>
    <n v="0"/>
    <n v="0"/>
    <n v="0"/>
    <n v="0"/>
    <s v="Enl uttag från Ladok - Erik Å"/>
    <m/>
    <n v="0"/>
    <n v="0"/>
    <n v="13.5"/>
    <n v="11.475"/>
    <n v="0"/>
    <n v="0"/>
    <n v="0"/>
    <n v="0"/>
    <n v="0"/>
    <n v="0"/>
    <n v="0"/>
    <n v="0"/>
    <n v="0"/>
    <n v="0"/>
    <n v="0"/>
    <n v="0"/>
    <n v="0"/>
    <n v="0"/>
    <n v="0"/>
    <n v="0"/>
    <n v="0"/>
    <n v="0"/>
    <n v="0"/>
  </r>
  <r>
    <x v="317"/>
    <x v="309"/>
    <m/>
    <x v="2"/>
    <m/>
    <x v="0"/>
    <m/>
    <m/>
    <m/>
    <m/>
    <m/>
    <m/>
    <x v="0"/>
    <m/>
    <m/>
    <m/>
    <n v="11.75"/>
    <n v="0.85"/>
    <n v="9.9874999999999989"/>
    <n v="1620"/>
    <x v="8"/>
    <s v="Hum"/>
    <x v="2"/>
    <n v="18405"/>
    <n v="15773"/>
    <n v="373791.58750000002"/>
    <n v="5800"/>
    <n v="68150"/>
    <n v="441941.58750000002"/>
    <n v="0"/>
    <n v="1"/>
    <n v="0"/>
    <n v="0"/>
    <n v="0"/>
    <n v="0"/>
    <n v="0"/>
    <n v="0"/>
    <n v="0"/>
    <n v="0"/>
    <n v="0"/>
    <n v="0"/>
    <s v="Enl uttag från Ladok - Erik Å"/>
    <m/>
    <n v="0"/>
    <n v="0"/>
    <n v="11.75"/>
    <n v="9.9874999999999989"/>
    <n v="0"/>
    <n v="0"/>
    <n v="0"/>
    <n v="0"/>
    <n v="0"/>
    <n v="0"/>
    <n v="0"/>
    <n v="0"/>
    <n v="0"/>
    <n v="0"/>
    <n v="0"/>
    <n v="0"/>
    <n v="0"/>
    <n v="0"/>
    <n v="0"/>
    <n v="0"/>
    <n v="0"/>
    <n v="0"/>
    <n v="0"/>
  </r>
  <r>
    <x v="318"/>
    <x v="310"/>
    <m/>
    <x v="2"/>
    <m/>
    <x v="0"/>
    <m/>
    <m/>
    <m/>
    <m/>
    <m/>
    <m/>
    <x v="0"/>
    <m/>
    <m/>
    <m/>
    <n v="4.75"/>
    <n v="0.85"/>
    <n v="4.0374999999999996"/>
    <n v="1620"/>
    <x v="8"/>
    <s v="Hum"/>
    <x v="2"/>
    <n v="18405"/>
    <n v="15773"/>
    <n v="151107.23749999999"/>
    <n v="5800"/>
    <n v="27550"/>
    <n v="178657.23749999999"/>
    <n v="0"/>
    <n v="1"/>
    <n v="0"/>
    <n v="0"/>
    <n v="0"/>
    <n v="0"/>
    <n v="0"/>
    <n v="0"/>
    <n v="0"/>
    <n v="0"/>
    <n v="0"/>
    <n v="0"/>
    <s v="Enl uttag från Ladok - Erik Å"/>
    <m/>
    <n v="0"/>
    <n v="0"/>
    <n v="4.75"/>
    <n v="4.0374999999999996"/>
    <n v="0"/>
    <n v="0"/>
    <n v="0"/>
    <n v="0"/>
    <n v="0"/>
    <n v="0"/>
    <n v="0"/>
    <n v="0"/>
    <n v="0"/>
    <n v="0"/>
    <n v="0"/>
    <n v="0"/>
    <n v="0"/>
    <n v="0"/>
    <n v="0"/>
    <n v="0"/>
    <n v="0"/>
    <n v="0"/>
    <n v="0"/>
  </r>
  <r>
    <x v="319"/>
    <x v="311"/>
    <m/>
    <x v="2"/>
    <m/>
    <x v="0"/>
    <m/>
    <m/>
    <m/>
    <m/>
    <m/>
    <m/>
    <x v="0"/>
    <m/>
    <m/>
    <m/>
    <n v="4"/>
    <n v="0.85"/>
    <n v="3.4"/>
    <n v="1620"/>
    <x v="8"/>
    <s v="Hum"/>
    <x v="2"/>
    <n v="18405"/>
    <n v="15773"/>
    <n v="127248.2"/>
    <n v="5800"/>
    <n v="23200"/>
    <n v="150448.20000000001"/>
    <n v="0"/>
    <n v="1"/>
    <n v="0"/>
    <n v="0"/>
    <n v="0"/>
    <n v="0"/>
    <n v="0"/>
    <n v="0"/>
    <n v="0"/>
    <n v="0"/>
    <n v="0"/>
    <n v="0"/>
    <s v="Enl uttag från Ladok - Erik Å"/>
    <m/>
    <n v="0"/>
    <n v="0"/>
    <n v="4"/>
    <n v="3.4"/>
    <n v="0"/>
    <n v="0"/>
    <n v="0"/>
    <n v="0"/>
    <n v="0"/>
    <n v="0"/>
    <n v="0"/>
    <n v="0"/>
    <n v="0"/>
    <n v="0"/>
    <n v="0"/>
    <n v="0"/>
    <n v="0"/>
    <n v="0"/>
    <n v="0"/>
    <n v="0"/>
    <n v="0"/>
    <n v="0"/>
    <n v="0"/>
  </r>
  <r>
    <x v="320"/>
    <x v="312"/>
    <m/>
    <x v="3"/>
    <m/>
    <x v="0"/>
    <m/>
    <m/>
    <m/>
    <m/>
    <m/>
    <m/>
    <x v="0"/>
    <m/>
    <m/>
    <m/>
    <n v="6.75"/>
    <n v="0.85"/>
    <n v="5.7374999999999998"/>
    <n v="1620"/>
    <x v="8"/>
    <s v="Hum"/>
    <x v="3"/>
    <n v="18405"/>
    <n v="15773"/>
    <n v="214731.33749999999"/>
    <n v="5800"/>
    <n v="39150"/>
    <n v="253881.33749999999"/>
    <n v="0"/>
    <n v="1"/>
    <n v="0"/>
    <n v="0"/>
    <n v="0"/>
    <n v="0"/>
    <n v="0"/>
    <n v="0"/>
    <n v="0"/>
    <n v="0"/>
    <n v="0"/>
    <n v="0"/>
    <s v="Enl uttag från Ladok - Erik Å"/>
    <m/>
    <n v="0"/>
    <n v="0"/>
    <n v="6.75"/>
    <n v="5.7374999999999998"/>
    <n v="0"/>
    <n v="0"/>
    <n v="0"/>
    <n v="0"/>
    <n v="0"/>
    <n v="0"/>
    <n v="0"/>
    <n v="0"/>
    <n v="0"/>
    <n v="0"/>
    <n v="0"/>
    <n v="0"/>
    <n v="0"/>
    <n v="0"/>
    <n v="0"/>
    <n v="0"/>
    <n v="0"/>
    <n v="0"/>
    <n v="0"/>
  </r>
  <r>
    <x v="321"/>
    <x v="313"/>
    <m/>
    <x v="3"/>
    <m/>
    <x v="0"/>
    <m/>
    <m/>
    <m/>
    <m/>
    <m/>
    <m/>
    <x v="0"/>
    <m/>
    <m/>
    <m/>
    <n v="2.75"/>
    <n v="0.85"/>
    <n v="2.3374999999999999"/>
    <n v="1620"/>
    <x v="8"/>
    <s v="Hum"/>
    <x v="3"/>
    <n v="18405"/>
    <n v="15773"/>
    <n v="87483.137499999997"/>
    <n v="5800"/>
    <n v="15950"/>
    <n v="103433.1375"/>
    <n v="0"/>
    <n v="1"/>
    <n v="0"/>
    <n v="0"/>
    <n v="0"/>
    <n v="0"/>
    <n v="0"/>
    <n v="0"/>
    <n v="0"/>
    <n v="0"/>
    <n v="0"/>
    <n v="0"/>
    <s v="Enl uttag från Ladok - Erik Å"/>
    <m/>
    <n v="0"/>
    <n v="0"/>
    <n v="2.75"/>
    <n v="2.3374999999999999"/>
    <n v="0"/>
    <n v="0"/>
    <n v="0"/>
    <n v="0"/>
    <n v="0"/>
    <n v="0"/>
    <n v="0"/>
    <n v="0"/>
    <n v="0"/>
    <n v="0"/>
    <n v="0"/>
    <n v="0"/>
    <n v="0"/>
    <n v="0"/>
    <n v="0"/>
    <n v="0"/>
    <n v="0"/>
    <n v="0"/>
    <n v="0"/>
  </r>
  <r>
    <x v="322"/>
    <x v="314"/>
    <m/>
    <x v="3"/>
    <m/>
    <x v="0"/>
    <m/>
    <m/>
    <m/>
    <m/>
    <m/>
    <m/>
    <x v="0"/>
    <m/>
    <m/>
    <m/>
    <n v="3.5"/>
    <n v="0.85"/>
    <n v="2.9750000000000001"/>
    <n v="1620"/>
    <x v="8"/>
    <s v="Hum"/>
    <x v="3"/>
    <n v="18405"/>
    <n v="15773"/>
    <n v="111342.175"/>
    <n v="5800"/>
    <n v="20300"/>
    <n v="131642.17499999999"/>
    <n v="0"/>
    <n v="1"/>
    <n v="0"/>
    <n v="0"/>
    <n v="0"/>
    <n v="0"/>
    <n v="0"/>
    <n v="0"/>
    <n v="0"/>
    <n v="0"/>
    <n v="0"/>
    <n v="0"/>
    <s v="Enl uttag från Ladok - Erik Å"/>
    <m/>
    <n v="0"/>
    <n v="0"/>
    <n v="3.5"/>
    <n v="2.9750000000000001"/>
    <n v="0"/>
    <n v="0"/>
    <n v="0"/>
    <n v="0"/>
    <n v="0"/>
    <n v="0"/>
    <n v="0"/>
    <n v="0"/>
    <n v="0"/>
    <n v="0"/>
    <n v="0"/>
    <n v="0"/>
    <n v="0"/>
    <n v="0"/>
    <n v="0"/>
    <n v="0"/>
    <n v="0"/>
    <n v="0"/>
    <n v="0"/>
  </r>
  <r>
    <x v="323"/>
    <x v="315"/>
    <m/>
    <x v="0"/>
    <m/>
    <x v="0"/>
    <m/>
    <m/>
    <m/>
    <m/>
    <m/>
    <m/>
    <x v="0"/>
    <m/>
    <m/>
    <m/>
    <n v="13"/>
    <n v="0.85"/>
    <n v="11.049999999999999"/>
    <n v="1620"/>
    <x v="8"/>
    <s v="Hum"/>
    <x v="0"/>
    <n v="18405"/>
    <n v="15773"/>
    <n v="413556.65"/>
    <n v="5800"/>
    <n v="75400"/>
    <n v="488956.65"/>
    <n v="0"/>
    <n v="1"/>
    <n v="0"/>
    <n v="0"/>
    <n v="0"/>
    <n v="0"/>
    <n v="0"/>
    <n v="0"/>
    <n v="0"/>
    <n v="0"/>
    <n v="0"/>
    <n v="0"/>
    <s v="Enl uttag från Ladok - Erik Å"/>
    <m/>
    <n v="0"/>
    <n v="0"/>
    <n v="13"/>
    <n v="11.049999999999999"/>
    <n v="0"/>
    <n v="0"/>
    <n v="0"/>
    <n v="0"/>
    <n v="0"/>
    <n v="0"/>
    <n v="0"/>
    <n v="0"/>
    <n v="0"/>
    <n v="0"/>
    <n v="0"/>
    <n v="0"/>
    <n v="0"/>
    <n v="0"/>
    <n v="0"/>
    <n v="0"/>
    <n v="0"/>
    <n v="0"/>
    <n v="0"/>
  </r>
  <r>
    <x v="324"/>
    <x v="316"/>
    <m/>
    <x v="0"/>
    <m/>
    <x v="0"/>
    <m/>
    <m/>
    <m/>
    <m/>
    <m/>
    <m/>
    <x v="0"/>
    <m/>
    <m/>
    <m/>
    <n v="7"/>
    <n v="0.85"/>
    <n v="5.95"/>
    <n v="1620"/>
    <x v="8"/>
    <s v="Hum"/>
    <x v="0"/>
    <n v="18405"/>
    <n v="15773"/>
    <n v="222684.35"/>
    <n v="5800"/>
    <n v="40600"/>
    <n v="263284.34999999998"/>
    <n v="0"/>
    <n v="1"/>
    <n v="0"/>
    <n v="0"/>
    <n v="0"/>
    <n v="0"/>
    <n v="0"/>
    <n v="0"/>
    <n v="0"/>
    <n v="0"/>
    <n v="0"/>
    <n v="0"/>
    <s v="Enl uttag från Ladok - Erik Å"/>
    <m/>
    <n v="0"/>
    <n v="0"/>
    <n v="7"/>
    <n v="5.95"/>
    <n v="0"/>
    <n v="0"/>
    <n v="0"/>
    <n v="0"/>
    <n v="0"/>
    <n v="0"/>
    <n v="0"/>
    <n v="0"/>
    <n v="0"/>
    <n v="0"/>
    <n v="0"/>
    <n v="0"/>
    <n v="0"/>
    <n v="0"/>
    <n v="0"/>
    <n v="0"/>
    <n v="0"/>
    <n v="0"/>
    <n v="0"/>
  </r>
  <r>
    <x v="325"/>
    <x v="317"/>
    <m/>
    <x v="0"/>
    <m/>
    <x v="0"/>
    <m/>
    <m/>
    <m/>
    <m/>
    <m/>
    <m/>
    <x v="0"/>
    <m/>
    <m/>
    <m/>
    <n v="0.8"/>
    <n v="0.85"/>
    <n v="0.68"/>
    <n v="1620"/>
    <x v="8"/>
    <s v="Hum"/>
    <x v="0"/>
    <n v="21634"/>
    <n v="26986"/>
    <n v="35657.68"/>
    <n v="3400"/>
    <n v="2720"/>
    <n v="38377.68"/>
    <n v="0"/>
    <n v="0"/>
    <n v="0"/>
    <n v="0"/>
    <n v="0"/>
    <n v="0"/>
    <n v="0"/>
    <n v="0"/>
    <n v="1"/>
    <n v="0"/>
    <n v="0"/>
    <n v="0"/>
    <s v="Enl uttag från Ladok - Erik Å"/>
    <m/>
    <n v="0"/>
    <n v="0"/>
    <n v="0"/>
    <n v="0"/>
    <n v="0"/>
    <n v="0"/>
    <n v="0"/>
    <n v="0"/>
    <n v="0"/>
    <n v="0"/>
    <n v="0"/>
    <n v="0"/>
    <n v="0"/>
    <n v="0"/>
    <n v="0"/>
    <n v="0"/>
    <n v="0.8"/>
    <n v="0.68"/>
    <n v="0"/>
    <n v="0"/>
    <n v="0"/>
    <n v="0"/>
    <n v="0"/>
  </r>
  <r>
    <x v="326"/>
    <x v="318"/>
    <m/>
    <x v="1"/>
    <m/>
    <x v="0"/>
    <m/>
    <m/>
    <m/>
    <m/>
    <m/>
    <m/>
    <x v="0"/>
    <m/>
    <m/>
    <m/>
    <n v="3"/>
    <n v="0.8"/>
    <n v="2.4000000000000004"/>
    <n v="1620"/>
    <x v="8"/>
    <s v="Hum"/>
    <x v="1"/>
    <n v="18405"/>
    <n v="15773"/>
    <n v="93070.200000000012"/>
    <n v="5800"/>
    <n v="17400"/>
    <n v="110470.20000000001"/>
    <n v="0"/>
    <n v="1"/>
    <n v="0"/>
    <n v="0"/>
    <n v="0"/>
    <n v="0"/>
    <n v="0"/>
    <n v="0"/>
    <n v="0"/>
    <n v="0"/>
    <n v="0"/>
    <n v="0"/>
    <s v="Enl uttag från Ladok - Erik Å"/>
    <m/>
    <n v="0"/>
    <n v="0"/>
    <n v="3"/>
    <n v="2.4000000000000004"/>
    <n v="0"/>
    <n v="0"/>
    <n v="0"/>
    <n v="0"/>
    <n v="0"/>
    <n v="0"/>
    <n v="0"/>
    <n v="0"/>
    <n v="0"/>
    <n v="0"/>
    <n v="0"/>
    <n v="0"/>
    <n v="0"/>
    <n v="0"/>
    <n v="0"/>
    <n v="0"/>
    <n v="0"/>
    <n v="0"/>
    <n v="0"/>
  </r>
  <r>
    <x v="327"/>
    <x v="319"/>
    <m/>
    <x v="1"/>
    <m/>
    <x v="0"/>
    <m/>
    <m/>
    <m/>
    <m/>
    <m/>
    <m/>
    <x v="0"/>
    <m/>
    <m/>
    <m/>
    <n v="1"/>
    <n v="0.8"/>
    <n v="0.8"/>
    <n v="1620"/>
    <x v="8"/>
    <s v="Hum"/>
    <x v="1"/>
    <n v="18405"/>
    <n v="15773"/>
    <n v="31023.4"/>
    <n v="5800"/>
    <n v="5800"/>
    <n v="36823.4"/>
    <n v="0"/>
    <n v="1"/>
    <n v="0"/>
    <n v="0"/>
    <n v="0"/>
    <n v="0"/>
    <n v="0"/>
    <n v="0"/>
    <n v="0"/>
    <n v="0"/>
    <n v="0"/>
    <n v="0"/>
    <s v="Enl uttag från Ladok - Erik Å"/>
    <m/>
    <n v="0"/>
    <n v="0"/>
    <n v="1"/>
    <n v="0.8"/>
    <n v="0"/>
    <n v="0"/>
    <n v="0"/>
    <n v="0"/>
    <n v="0"/>
    <n v="0"/>
    <n v="0"/>
    <n v="0"/>
    <n v="0"/>
    <n v="0"/>
    <n v="0"/>
    <n v="0"/>
    <n v="0"/>
    <n v="0"/>
    <n v="0"/>
    <n v="0"/>
    <n v="0"/>
    <n v="0"/>
    <n v="0"/>
  </r>
  <r>
    <x v="328"/>
    <x v="320"/>
    <m/>
    <x v="1"/>
    <m/>
    <x v="0"/>
    <m/>
    <m/>
    <m/>
    <m/>
    <m/>
    <m/>
    <x v="0"/>
    <m/>
    <m/>
    <m/>
    <n v="1.75"/>
    <n v="0.8"/>
    <n v="1.4000000000000001"/>
    <n v="1620"/>
    <x v="8"/>
    <s v="Hum"/>
    <x v="1"/>
    <n v="18405"/>
    <n v="15773"/>
    <n v="54290.95"/>
    <n v="5800"/>
    <n v="10150"/>
    <n v="64440.95"/>
    <n v="0"/>
    <n v="1"/>
    <n v="0"/>
    <n v="0"/>
    <n v="0"/>
    <n v="0"/>
    <n v="0"/>
    <n v="0"/>
    <n v="0"/>
    <n v="0"/>
    <n v="0"/>
    <n v="0"/>
    <s v="Enl uttag från Ladok - Erik Å"/>
    <m/>
    <n v="0"/>
    <n v="0"/>
    <n v="1.75"/>
    <n v="1.4000000000000001"/>
    <n v="0"/>
    <n v="0"/>
    <n v="0"/>
    <n v="0"/>
    <n v="0"/>
    <n v="0"/>
    <n v="0"/>
    <n v="0"/>
    <n v="0"/>
    <n v="0"/>
    <n v="0"/>
    <n v="0"/>
    <n v="0"/>
    <n v="0"/>
    <n v="0"/>
    <n v="0"/>
    <n v="0"/>
    <n v="0"/>
    <n v="0"/>
  </r>
  <r>
    <x v="329"/>
    <x v="321"/>
    <m/>
    <x v="1"/>
    <m/>
    <x v="0"/>
    <m/>
    <m/>
    <m/>
    <m/>
    <m/>
    <m/>
    <x v="0"/>
    <m/>
    <m/>
    <m/>
    <n v="1.5"/>
    <n v="0.8"/>
    <n v="1.2000000000000002"/>
    <n v="1620"/>
    <x v="8"/>
    <s v="Hum"/>
    <x v="1"/>
    <n v="18405"/>
    <n v="15773"/>
    <n v="46535.100000000006"/>
    <n v="5800"/>
    <n v="8700"/>
    <n v="55235.100000000006"/>
    <n v="0"/>
    <n v="1"/>
    <n v="0"/>
    <n v="0"/>
    <n v="0"/>
    <n v="0"/>
    <n v="0"/>
    <n v="0"/>
    <n v="0"/>
    <n v="0"/>
    <n v="0"/>
    <n v="0"/>
    <s v="Enl uttag från Ladok - Erik Å"/>
    <m/>
    <n v="0"/>
    <n v="0"/>
    <n v="1.5"/>
    <n v="1.2000000000000002"/>
    <n v="0"/>
    <n v="0"/>
    <n v="0"/>
    <n v="0"/>
    <n v="0"/>
    <n v="0"/>
    <n v="0"/>
    <n v="0"/>
    <n v="0"/>
    <n v="0"/>
    <n v="0"/>
    <n v="0"/>
    <n v="0"/>
    <n v="0"/>
    <n v="0"/>
    <n v="0"/>
    <n v="0"/>
    <n v="0"/>
    <n v="0"/>
  </r>
  <r>
    <x v="330"/>
    <x v="322"/>
    <m/>
    <x v="1"/>
    <m/>
    <x v="0"/>
    <m/>
    <m/>
    <m/>
    <m/>
    <m/>
    <m/>
    <x v="0"/>
    <m/>
    <m/>
    <m/>
    <n v="0.375"/>
    <n v="0.8"/>
    <n v="0.30000000000000004"/>
    <n v="1620"/>
    <x v="8"/>
    <s v="Hum"/>
    <x v="1"/>
    <n v="18405"/>
    <n v="15773"/>
    <n v="11633.775000000001"/>
    <n v="5800"/>
    <n v="2175"/>
    <n v="13808.775000000001"/>
    <n v="0"/>
    <n v="1"/>
    <n v="0"/>
    <n v="0"/>
    <n v="0"/>
    <n v="0"/>
    <n v="0"/>
    <n v="0"/>
    <n v="0"/>
    <n v="0"/>
    <n v="0"/>
    <n v="0"/>
    <s v="Enl uttag från Ladok - Erik Å"/>
    <m/>
    <n v="0"/>
    <n v="0"/>
    <n v="0.375"/>
    <n v="0.30000000000000004"/>
    <n v="0"/>
    <n v="0"/>
    <n v="0"/>
    <n v="0"/>
    <n v="0"/>
    <n v="0"/>
    <n v="0"/>
    <n v="0"/>
    <n v="0"/>
    <n v="0"/>
    <n v="0"/>
    <n v="0"/>
    <n v="0"/>
    <n v="0"/>
    <n v="0"/>
    <n v="0"/>
    <n v="0"/>
    <n v="0"/>
    <n v="0"/>
  </r>
  <r>
    <x v="331"/>
    <x v="323"/>
    <m/>
    <x v="1"/>
    <m/>
    <x v="0"/>
    <m/>
    <m/>
    <m/>
    <m/>
    <m/>
    <m/>
    <x v="0"/>
    <m/>
    <m/>
    <m/>
    <n v="0.25"/>
    <n v="0.8"/>
    <n v="0.2"/>
    <n v="1620"/>
    <x v="8"/>
    <s v="Hum"/>
    <x v="1"/>
    <n v="18405"/>
    <n v="15773"/>
    <n v="7755.85"/>
    <n v="5800"/>
    <n v="1450"/>
    <n v="9205.85"/>
    <n v="0"/>
    <n v="1"/>
    <n v="0"/>
    <n v="0"/>
    <n v="0"/>
    <n v="0"/>
    <n v="0"/>
    <n v="0"/>
    <n v="0"/>
    <n v="0"/>
    <n v="0"/>
    <n v="0"/>
    <s v="Enl uttag från Ladok - Erik Å"/>
    <m/>
    <n v="0"/>
    <n v="0"/>
    <n v="0.25"/>
    <n v="0.2"/>
    <n v="0"/>
    <n v="0"/>
    <n v="0"/>
    <n v="0"/>
    <n v="0"/>
    <n v="0"/>
    <n v="0"/>
    <n v="0"/>
    <n v="0"/>
    <n v="0"/>
    <n v="0"/>
    <n v="0"/>
    <n v="0"/>
    <n v="0"/>
    <n v="0"/>
    <n v="0"/>
    <n v="0"/>
    <n v="0"/>
    <n v="0"/>
  </r>
  <r>
    <x v="332"/>
    <x v="324"/>
    <m/>
    <x v="1"/>
    <m/>
    <x v="0"/>
    <m/>
    <m/>
    <m/>
    <m/>
    <m/>
    <m/>
    <x v="0"/>
    <m/>
    <m/>
    <m/>
    <n v="0.75"/>
    <n v="0.8"/>
    <n v="0.60000000000000009"/>
    <n v="1620"/>
    <x v="8"/>
    <s v="Hum"/>
    <x v="1"/>
    <n v="18405"/>
    <n v="15773"/>
    <n v="23267.550000000003"/>
    <n v="5800"/>
    <n v="4350"/>
    <n v="27617.550000000003"/>
    <n v="0"/>
    <n v="1"/>
    <n v="0"/>
    <n v="0"/>
    <n v="0"/>
    <n v="0"/>
    <n v="0"/>
    <n v="0"/>
    <n v="0"/>
    <n v="0"/>
    <n v="0"/>
    <n v="0"/>
    <s v="Enl uttag från Ladok - Erik Å"/>
    <m/>
    <n v="0"/>
    <n v="0"/>
    <n v="0.75"/>
    <n v="0.60000000000000009"/>
    <n v="0"/>
    <n v="0"/>
    <n v="0"/>
    <n v="0"/>
    <n v="0"/>
    <n v="0"/>
    <n v="0"/>
    <n v="0"/>
    <n v="0"/>
    <n v="0"/>
    <n v="0"/>
    <n v="0"/>
    <n v="0"/>
    <n v="0"/>
    <n v="0"/>
    <n v="0"/>
    <n v="0"/>
    <n v="0"/>
    <n v="0"/>
  </r>
  <r>
    <x v="333"/>
    <x v="325"/>
    <m/>
    <x v="1"/>
    <m/>
    <x v="0"/>
    <m/>
    <m/>
    <m/>
    <m/>
    <m/>
    <m/>
    <x v="0"/>
    <m/>
    <m/>
    <m/>
    <n v="1.5"/>
    <n v="0.8"/>
    <n v="1.2000000000000002"/>
    <n v="1620"/>
    <x v="8"/>
    <s v="Hum"/>
    <x v="1"/>
    <n v="18405"/>
    <n v="15773"/>
    <n v="46535.100000000006"/>
    <n v="5800"/>
    <n v="8700"/>
    <n v="55235.100000000006"/>
    <n v="0"/>
    <n v="1"/>
    <n v="0"/>
    <n v="0"/>
    <n v="0"/>
    <n v="0"/>
    <n v="0"/>
    <n v="0"/>
    <n v="0"/>
    <n v="0"/>
    <n v="0"/>
    <n v="0"/>
    <s v="Enl uttag från Ladok - Erik Å"/>
    <m/>
    <n v="0"/>
    <n v="0"/>
    <n v="1.5"/>
    <n v="1.2000000000000002"/>
    <n v="0"/>
    <n v="0"/>
    <n v="0"/>
    <n v="0"/>
    <n v="0"/>
    <n v="0"/>
    <n v="0"/>
    <n v="0"/>
    <n v="0"/>
    <n v="0"/>
    <n v="0"/>
    <n v="0"/>
    <n v="0"/>
    <n v="0"/>
    <n v="0"/>
    <n v="0"/>
    <n v="0"/>
    <n v="0"/>
    <n v="0"/>
  </r>
  <r>
    <x v="334"/>
    <x v="326"/>
    <m/>
    <x v="0"/>
    <m/>
    <x v="0"/>
    <m/>
    <m/>
    <m/>
    <m/>
    <m/>
    <m/>
    <x v="0"/>
    <m/>
    <m/>
    <m/>
    <n v="13.5"/>
    <n v="0.85"/>
    <n v="11.475"/>
    <n v="1620"/>
    <x v="8"/>
    <s v="Hum"/>
    <x v="0"/>
    <n v="18405"/>
    <n v="15773"/>
    <n v="429462.67499999999"/>
    <n v="5800"/>
    <n v="78300"/>
    <n v="507762.67499999999"/>
    <n v="0"/>
    <n v="1"/>
    <n v="0"/>
    <n v="0"/>
    <n v="0"/>
    <n v="0"/>
    <n v="0"/>
    <n v="0"/>
    <n v="0"/>
    <n v="0"/>
    <n v="0"/>
    <n v="0"/>
    <s v="Enl uttag från Ladok - Erik Å"/>
    <m/>
    <n v="0"/>
    <n v="0"/>
    <n v="13.5"/>
    <n v="11.475"/>
    <n v="0"/>
    <n v="0"/>
    <n v="0"/>
    <n v="0"/>
    <n v="0"/>
    <n v="0"/>
    <n v="0"/>
    <n v="0"/>
    <n v="0"/>
    <n v="0"/>
    <n v="0"/>
    <n v="0"/>
    <n v="0"/>
    <n v="0"/>
    <n v="0"/>
    <n v="0"/>
    <n v="0"/>
    <n v="0"/>
    <n v="0"/>
  </r>
  <r>
    <x v="335"/>
    <x v="327"/>
    <m/>
    <x v="0"/>
    <m/>
    <x v="0"/>
    <m/>
    <m/>
    <m/>
    <m/>
    <m/>
    <m/>
    <x v="0"/>
    <m/>
    <m/>
    <m/>
    <n v="8.5"/>
    <n v="0.85"/>
    <n v="7.2249999999999996"/>
    <n v="1620"/>
    <x v="8"/>
    <s v="Hum"/>
    <x v="0"/>
    <n v="18405"/>
    <n v="15773"/>
    <n v="270402.42499999999"/>
    <n v="5800"/>
    <n v="49300"/>
    <n v="319702.42499999999"/>
    <n v="0"/>
    <n v="1"/>
    <n v="0"/>
    <n v="0"/>
    <n v="0"/>
    <n v="0"/>
    <n v="0"/>
    <n v="0"/>
    <n v="0"/>
    <n v="0"/>
    <n v="0"/>
    <n v="0"/>
    <s v="Enl uttag från Ladok - Erik Å"/>
    <m/>
    <n v="0"/>
    <n v="0"/>
    <n v="8.5"/>
    <n v="7.2249999999999996"/>
    <n v="0"/>
    <n v="0"/>
    <n v="0"/>
    <n v="0"/>
    <n v="0"/>
    <n v="0"/>
    <n v="0"/>
    <n v="0"/>
    <n v="0"/>
    <n v="0"/>
    <n v="0"/>
    <n v="0"/>
    <n v="0"/>
    <n v="0"/>
    <n v="0"/>
    <n v="0"/>
    <n v="0"/>
    <n v="0"/>
    <n v="0"/>
  </r>
  <r>
    <x v="336"/>
    <x v="328"/>
    <m/>
    <x v="0"/>
    <m/>
    <x v="0"/>
    <m/>
    <m/>
    <m/>
    <m/>
    <m/>
    <m/>
    <x v="0"/>
    <m/>
    <m/>
    <m/>
    <n v="3.5"/>
    <n v="0.85"/>
    <n v="2.9750000000000001"/>
    <n v="1620"/>
    <x v="8"/>
    <s v="Hum"/>
    <x v="0"/>
    <n v="18405"/>
    <n v="15773"/>
    <n v="111342.175"/>
    <n v="5800"/>
    <n v="20300"/>
    <n v="131642.17499999999"/>
    <n v="0"/>
    <n v="1"/>
    <n v="0"/>
    <n v="0"/>
    <n v="0"/>
    <n v="0"/>
    <n v="0"/>
    <n v="0"/>
    <n v="0"/>
    <n v="0"/>
    <n v="0"/>
    <n v="0"/>
    <s v="Enl uttag från Ladok - Erik Å"/>
    <m/>
    <n v="0"/>
    <n v="0"/>
    <n v="3.5"/>
    <n v="2.9750000000000001"/>
    <n v="0"/>
    <n v="0"/>
    <n v="0"/>
    <n v="0"/>
    <n v="0"/>
    <n v="0"/>
    <n v="0"/>
    <n v="0"/>
    <n v="0"/>
    <n v="0"/>
    <n v="0"/>
    <n v="0"/>
    <n v="0"/>
    <n v="0"/>
    <n v="0"/>
    <n v="0"/>
    <n v="0"/>
    <n v="0"/>
    <n v="0"/>
  </r>
  <r>
    <x v="337"/>
    <x v="329"/>
    <m/>
    <x v="1"/>
    <m/>
    <x v="0"/>
    <m/>
    <m/>
    <m/>
    <m/>
    <m/>
    <m/>
    <x v="0"/>
    <m/>
    <m/>
    <m/>
    <n v="3.75"/>
    <n v="0.8"/>
    <n v="3"/>
    <n v="1620"/>
    <x v="8"/>
    <s v="Hum"/>
    <x v="1"/>
    <n v="18405"/>
    <n v="15773"/>
    <n v="116337.75"/>
    <n v="5800"/>
    <n v="21750"/>
    <n v="138087.75"/>
    <n v="0"/>
    <n v="1"/>
    <n v="0"/>
    <n v="0"/>
    <n v="0"/>
    <n v="0"/>
    <n v="0"/>
    <n v="0"/>
    <n v="0"/>
    <n v="0"/>
    <n v="0"/>
    <n v="0"/>
    <s v="Enl uttag från Ladok - Erik Å"/>
    <m/>
    <n v="0"/>
    <n v="0"/>
    <n v="3.75"/>
    <n v="3"/>
    <n v="0"/>
    <n v="0"/>
    <n v="0"/>
    <n v="0"/>
    <n v="0"/>
    <n v="0"/>
    <n v="0"/>
    <n v="0"/>
    <n v="0"/>
    <n v="0"/>
    <n v="0"/>
    <n v="0"/>
    <n v="0"/>
    <n v="0"/>
    <n v="0"/>
    <n v="0"/>
    <n v="0"/>
    <n v="0"/>
    <n v="0"/>
  </r>
  <r>
    <x v="338"/>
    <x v="330"/>
    <m/>
    <x v="1"/>
    <m/>
    <x v="0"/>
    <m/>
    <m/>
    <m/>
    <m/>
    <m/>
    <m/>
    <x v="0"/>
    <m/>
    <m/>
    <m/>
    <n v="4"/>
    <n v="0.8"/>
    <n v="3.2"/>
    <n v="1620"/>
    <x v="8"/>
    <s v="Hum"/>
    <x v="1"/>
    <n v="18405"/>
    <n v="15773"/>
    <n v="124093.6"/>
    <n v="5800"/>
    <n v="23200"/>
    <n v="147293.6"/>
    <n v="0"/>
    <n v="1"/>
    <n v="0"/>
    <n v="0"/>
    <n v="0"/>
    <n v="0"/>
    <n v="0"/>
    <n v="0"/>
    <n v="0"/>
    <n v="0"/>
    <n v="0"/>
    <n v="0"/>
    <s v="Enl uttag från Ladok - Erik Å"/>
    <m/>
    <n v="0"/>
    <n v="0"/>
    <n v="4"/>
    <n v="3.2"/>
    <n v="0"/>
    <n v="0"/>
    <n v="0"/>
    <n v="0"/>
    <n v="0"/>
    <n v="0"/>
    <n v="0"/>
    <n v="0"/>
    <n v="0"/>
    <n v="0"/>
    <n v="0"/>
    <n v="0"/>
    <n v="0"/>
    <n v="0"/>
    <n v="0"/>
    <n v="0"/>
    <n v="0"/>
    <n v="0"/>
    <n v="0"/>
  </r>
  <r>
    <x v="339"/>
    <x v="331"/>
    <m/>
    <x v="1"/>
    <m/>
    <x v="0"/>
    <m/>
    <m/>
    <m/>
    <m/>
    <m/>
    <m/>
    <x v="0"/>
    <m/>
    <m/>
    <m/>
    <n v="3"/>
    <n v="0.8"/>
    <n v="2.4000000000000004"/>
    <n v="1620"/>
    <x v="8"/>
    <s v="Hum"/>
    <x v="1"/>
    <n v="18405"/>
    <n v="15773"/>
    <n v="93070.200000000012"/>
    <n v="5800"/>
    <n v="17400"/>
    <n v="110470.20000000001"/>
    <n v="0"/>
    <n v="1"/>
    <n v="0"/>
    <n v="0"/>
    <n v="0"/>
    <n v="0"/>
    <n v="0"/>
    <n v="0"/>
    <n v="0"/>
    <n v="0"/>
    <n v="0"/>
    <n v="0"/>
    <s v="Enl uttag från Ladok - Erik Å"/>
    <m/>
    <n v="0"/>
    <n v="0"/>
    <n v="3"/>
    <n v="2.4000000000000004"/>
    <n v="0"/>
    <n v="0"/>
    <n v="0"/>
    <n v="0"/>
    <n v="0"/>
    <n v="0"/>
    <n v="0"/>
    <n v="0"/>
    <n v="0"/>
    <n v="0"/>
    <n v="0"/>
    <n v="0"/>
    <n v="0"/>
    <n v="0"/>
    <n v="0"/>
    <n v="0"/>
    <n v="0"/>
    <n v="0"/>
    <n v="0"/>
  </r>
  <r>
    <x v="340"/>
    <x v="332"/>
    <m/>
    <x v="12"/>
    <m/>
    <x v="0"/>
    <m/>
    <m/>
    <m/>
    <m/>
    <m/>
    <m/>
    <x v="0"/>
    <m/>
    <m/>
    <m/>
    <n v="14.75"/>
    <n v="0.85"/>
    <n v="12.5375"/>
    <n v="2193"/>
    <x v="12"/>
    <s v="Sam"/>
    <x v="12"/>
    <n v="22339.8"/>
    <n v="20219.2"/>
    <n v="583010.27"/>
    <n v="5800"/>
    <n v="85550"/>
    <n v="668560.27"/>
    <n v="0"/>
    <n v="0"/>
    <n v="0"/>
    <n v="0"/>
    <n v="0"/>
    <n v="0"/>
    <n v="0.8"/>
    <n v="0"/>
    <n v="0"/>
    <n v="0"/>
    <n v="0"/>
    <n v="0.2"/>
    <s v="Enl uttag från Ladok - Erik Å"/>
    <m/>
    <n v="0"/>
    <n v="0"/>
    <n v="0"/>
    <n v="0"/>
    <n v="0"/>
    <n v="0"/>
    <n v="0"/>
    <n v="0"/>
    <n v="0"/>
    <n v="0"/>
    <n v="0"/>
    <n v="0"/>
    <n v="11.8"/>
    <n v="10.030000000000001"/>
    <n v="0"/>
    <n v="0"/>
    <n v="0"/>
    <n v="0"/>
    <n v="0"/>
    <n v="0"/>
    <n v="0"/>
    <n v="2.95"/>
    <n v="2.5075000000000003"/>
  </r>
  <r>
    <x v="341"/>
    <x v="333"/>
    <m/>
    <x v="12"/>
    <m/>
    <x v="0"/>
    <m/>
    <m/>
    <m/>
    <m/>
    <m/>
    <m/>
    <x v="0"/>
    <m/>
    <m/>
    <m/>
    <n v="6.25"/>
    <n v="0.85"/>
    <n v="5.3125"/>
    <n v="2193"/>
    <x v="12"/>
    <s v="Sam"/>
    <x v="12"/>
    <n v="18405"/>
    <n v="15773"/>
    <n v="198825.3125"/>
    <n v="5800"/>
    <n v="36250"/>
    <n v="235075.3125"/>
    <n v="0"/>
    <n v="0"/>
    <n v="0"/>
    <n v="0"/>
    <n v="0"/>
    <n v="0"/>
    <n v="1"/>
    <n v="0"/>
    <n v="0"/>
    <n v="0"/>
    <n v="0"/>
    <n v="0"/>
    <s v="Enl uttag från Ladok - Erik Å"/>
    <m/>
    <n v="0"/>
    <n v="0"/>
    <n v="0"/>
    <n v="0"/>
    <n v="0"/>
    <n v="0"/>
    <n v="0"/>
    <n v="0"/>
    <n v="0"/>
    <n v="0"/>
    <n v="0"/>
    <n v="0"/>
    <n v="6.25"/>
    <n v="5.3125"/>
    <n v="0"/>
    <n v="0"/>
    <n v="0"/>
    <n v="0"/>
    <n v="0"/>
    <n v="0"/>
    <n v="0"/>
    <n v="0"/>
    <n v="0"/>
  </r>
  <r>
    <x v="342"/>
    <x v="334"/>
    <m/>
    <x v="12"/>
    <m/>
    <x v="0"/>
    <m/>
    <m/>
    <m/>
    <m/>
    <m/>
    <m/>
    <x v="0"/>
    <m/>
    <m/>
    <m/>
    <n v="6.8333300000000001"/>
    <n v="0.85"/>
    <n v="5.8083305000000003"/>
    <n v="2193"/>
    <x v="12"/>
    <s v="Sam"/>
    <x v="12"/>
    <n v="18405"/>
    <n v="15773"/>
    <n v="217382.23562649998"/>
    <n v="5800"/>
    <n v="39633.313999999998"/>
    <n v="257015.5496265"/>
    <n v="0"/>
    <n v="0"/>
    <n v="0"/>
    <n v="0"/>
    <n v="0"/>
    <n v="0"/>
    <n v="1"/>
    <n v="0"/>
    <n v="0"/>
    <n v="0"/>
    <n v="0"/>
    <n v="0"/>
    <s v="Enl uttag från Ladok - Erik Å"/>
    <m/>
    <n v="0"/>
    <n v="0"/>
    <n v="0"/>
    <n v="0"/>
    <n v="0"/>
    <n v="0"/>
    <n v="0"/>
    <n v="0"/>
    <n v="0"/>
    <n v="0"/>
    <n v="0"/>
    <n v="0"/>
    <n v="6.8333300000000001"/>
    <n v="5.8083305000000003"/>
    <n v="0"/>
    <n v="0"/>
    <n v="0"/>
    <n v="0"/>
    <n v="0"/>
    <n v="0"/>
    <n v="0"/>
    <n v="0"/>
    <n v="0"/>
  </r>
  <r>
    <x v="343"/>
    <x v="335"/>
    <m/>
    <x v="12"/>
    <m/>
    <x v="0"/>
    <m/>
    <m/>
    <m/>
    <m/>
    <m/>
    <m/>
    <x v="0"/>
    <m/>
    <m/>
    <m/>
    <n v="18.25"/>
    <n v="0.85"/>
    <n v="15.512499999999999"/>
    <n v="2193"/>
    <x v="12"/>
    <s v="Sam"/>
    <x v="12"/>
    <n v="24307.199999999997"/>
    <n v="22442.299999999996"/>
    <n v="791742.57874999987"/>
    <n v="5800"/>
    <n v="105850"/>
    <n v="897592.57874999987"/>
    <n v="0"/>
    <n v="0"/>
    <n v="0"/>
    <n v="0"/>
    <n v="0"/>
    <n v="0"/>
    <n v="0.7"/>
    <n v="0"/>
    <n v="0"/>
    <n v="0"/>
    <n v="0"/>
    <n v="0.3"/>
    <s v="Enl uttag från Ladok - Erik Å"/>
    <m/>
    <n v="0"/>
    <n v="0"/>
    <n v="0"/>
    <n v="0"/>
    <n v="0"/>
    <n v="0"/>
    <n v="0"/>
    <n v="0"/>
    <n v="0"/>
    <n v="0"/>
    <n v="0"/>
    <n v="0"/>
    <n v="12.774999999999999"/>
    <n v="10.858749999999999"/>
    <n v="0"/>
    <n v="0"/>
    <n v="0"/>
    <n v="0"/>
    <n v="0"/>
    <n v="0"/>
    <n v="0"/>
    <n v="5.4749999999999996"/>
    <n v="4.6537499999999996"/>
  </r>
  <r>
    <x v="344"/>
    <x v="336"/>
    <m/>
    <x v="12"/>
    <m/>
    <x v="0"/>
    <m/>
    <m/>
    <m/>
    <m/>
    <m/>
    <m/>
    <x v="0"/>
    <m/>
    <m/>
    <m/>
    <n v="8.25"/>
    <n v="0.85"/>
    <n v="7.0125000000000002"/>
    <n v="2193"/>
    <x v="12"/>
    <s v="Sam"/>
    <x v="12"/>
    <n v="18405"/>
    <n v="15773"/>
    <n v="262449.41249999998"/>
    <n v="5800"/>
    <n v="47850"/>
    <n v="310299.41249999998"/>
    <n v="0"/>
    <n v="0"/>
    <n v="0"/>
    <n v="0"/>
    <n v="0"/>
    <n v="0"/>
    <n v="1"/>
    <n v="0"/>
    <n v="0"/>
    <n v="0"/>
    <n v="0"/>
    <n v="0"/>
    <s v="Enl uttag från Ladok - Erik Å"/>
    <m/>
    <n v="0"/>
    <n v="0"/>
    <n v="0"/>
    <n v="0"/>
    <n v="0"/>
    <n v="0"/>
    <n v="0"/>
    <n v="0"/>
    <n v="0"/>
    <n v="0"/>
    <n v="0"/>
    <n v="0"/>
    <n v="8.25"/>
    <n v="7.0125000000000002"/>
    <n v="0"/>
    <n v="0"/>
    <n v="0"/>
    <n v="0"/>
    <n v="0"/>
    <n v="0"/>
    <n v="0"/>
    <n v="0"/>
    <n v="0"/>
  </r>
  <r>
    <x v="345"/>
    <x v="337"/>
    <m/>
    <x v="12"/>
    <m/>
    <x v="0"/>
    <m/>
    <m/>
    <m/>
    <m/>
    <m/>
    <m/>
    <x v="0"/>
    <m/>
    <m/>
    <m/>
    <n v="9.8333399999999997"/>
    <n v="0.85"/>
    <n v="8.3583389999999991"/>
    <n v="2193"/>
    <x v="12"/>
    <s v="Sam"/>
    <x v="12"/>
    <n v="22339.8"/>
    <n v="20219.2"/>
    <n v="388673.77684079995"/>
    <n v="5800"/>
    <n v="57033.371999999996"/>
    <n v="445707.14884079993"/>
    <n v="0"/>
    <n v="0"/>
    <n v="0"/>
    <n v="0"/>
    <n v="0"/>
    <n v="0"/>
    <n v="0.8"/>
    <n v="0"/>
    <n v="0"/>
    <n v="0"/>
    <n v="0"/>
    <n v="0.2"/>
    <s v="Enl uttag från Ladok - Erik Å"/>
    <m/>
    <n v="0"/>
    <n v="0"/>
    <n v="0"/>
    <n v="0"/>
    <n v="0"/>
    <n v="0"/>
    <n v="0"/>
    <n v="0"/>
    <n v="0"/>
    <n v="0"/>
    <n v="0"/>
    <n v="0"/>
    <n v="7.8666720000000003"/>
    <n v="6.6866711999999993"/>
    <n v="0"/>
    <n v="0"/>
    <n v="0"/>
    <n v="0"/>
    <n v="0"/>
    <n v="0"/>
    <n v="0"/>
    <n v="1.9666680000000001"/>
    <n v="1.6716677999999998"/>
  </r>
  <r>
    <x v="346"/>
    <x v="338"/>
    <m/>
    <x v="12"/>
    <m/>
    <x v="0"/>
    <m/>
    <m/>
    <m/>
    <m/>
    <m/>
    <m/>
    <x v="0"/>
    <m/>
    <m/>
    <m/>
    <n v="12.29167"/>
    <n v="0.85"/>
    <n v="10.447919499999999"/>
    <n v="2193"/>
    <x v="12"/>
    <s v="Sam"/>
    <x v="12"/>
    <n v="18405"/>
    <n v="15773"/>
    <n v="391023.2206235"/>
    <n v="5800"/>
    <n v="71291.686000000002"/>
    <n v="462314.90662349999"/>
    <n v="0"/>
    <n v="0"/>
    <n v="0"/>
    <n v="0"/>
    <n v="0"/>
    <n v="0"/>
    <n v="1"/>
    <n v="0"/>
    <n v="0"/>
    <n v="0"/>
    <n v="0"/>
    <n v="0"/>
    <s v="Enl uttag från Ladok - Erik Å"/>
    <m/>
    <n v="0"/>
    <n v="0"/>
    <n v="0"/>
    <n v="0"/>
    <n v="0"/>
    <n v="0"/>
    <n v="0"/>
    <n v="0"/>
    <n v="0"/>
    <n v="0"/>
    <n v="0"/>
    <n v="0"/>
    <n v="12.29167"/>
    <n v="10.447919499999999"/>
    <n v="0"/>
    <n v="0"/>
    <n v="0"/>
    <n v="0"/>
    <n v="0"/>
    <n v="0"/>
    <n v="0"/>
    <n v="0"/>
    <n v="0"/>
  </r>
  <r>
    <x v="347"/>
    <x v="339"/>
    <m/>
    <x v="12"/>
    <m/>
    <x v="0"/>
    <m/>
    <m/>
    <m/>
    <m/>
    <m/>
    <m/>
    <x v="0"/>
    <m/>
    <m/>
    <m/>
    <n v="7.5"/>
    <n v="0.85"/>
    <n v="6.375"/>
    <n v="2193"/>
    <x v="12"/>
    <s v="Sam"/>
    <x v="12"/>
    <n v="34144.199999999997"/>
    <n v="33557.800000000003"/>
    <n v="470012.47499999998"/>
    <n v="5800"/>
    <n v="43500"/>
    <n v="513512.47499999998"/>
    <n v="0"/>
    <n v="0"/>
    <n v="0"/>
    <n v="0"/>
    <n v="0"/>
    <n v="0"/>
    <n v="0.2"/>
    <n v="0"/>
    <n v="0"/>
    <n v="0"/>
    <n v="0"/>
    <n v="0.8"/>
    <s v="Enl uttag från Ladok - Erik Å"/>
    <m/>
    <n v="0"/>
    <n v="0"/>
    <n v="0"/>
    <n v="0"/>
    <n v="0"/>
    <n v="0"/>
    <n v="0"/>
    <n v="0"/>
    <n v="0"/>
    <n v="0"/>
    <n v="0"/>
    <n v="0"/>
    <n v="1.5"/>
    <n v="1.2750000000000001"/>
    <n v="0"/>
    <n v="0"/>
    <n v="0"/>
    <n v="0"/>
    <n v="0"/>
    <n v="0"/>
    <n v="0"/>
    <n v="6"/>
    <n v="5.1000000000000005"/>
  </r>
  <r>
    <x v="348"/>
    <x v="340"/>
    <m/>
    <x v="12"/>
    <m/>
    <x v="0"/>
    <m/>
    <m/>
    <m/>
    <m/>
    <m/>
    <m/>
    <x v="0"/>
    <m/>
    <m/>
    <m/>
    <n v="5.5"/>
    <n v="0.85"/>
    <n v="4.6749999999999998"/>
    <n v="2180"/>
    <x v="11"/>
    <s v="Sam"/>
    <x v="12"/>
    <n v="18405"/>
    <n v="15773"/>
    <n v="174966.27499999999"/>
    <n v="5800"/>
    <n v="31900"/>
    <n v="206866.27499999999"/>
    <n v="0"/>
    <n v="0"/>
    <n v="0"/>
    <n v="0"/>
    <n v="0"/>
    <n v="0"/>
    <n v="1"/>
    <n v="0"/>
    <n v="0"/>
    <n v="0"/>
    <n v="0"/>
    <n v="0"/>
    <s v="Enl uttag från Ladok - Erik Å"/>
    <m/>
    <n v="0"/>
    <n v="0"/>
    <n v="0"/>
    <n v="0"/>
    <n v="0"/>
    <n v="0"/>
    <n v="0"/>
    <n v="0"/>
    <n v="0"/>
    <n v="0"/>
    <n v="0"/>
    <n v="0"/>
    <n v="5.5"/>
    <n v="4.6749999999999998"/>
    <n v="0"/>
    <n v="0"/>
    <n v="0"/>
    <n v="0"/>
    <n v="0"/>
    <n v="0"/>
    <n v="0"/>
    <n v="0"/>
    <n v="0"/>
  </r>
  <r>
    <x v="349"/>
    <x v="341"/>
    <m/>
    <x v="1"/>
    <m/>
    <x v="0"/>
    <m/>
    <m/>
    <m/>
    <m/>
    <m/>
    <m/>
    <x v="0"/>
    <m/>
    <m/>
    <m/>
    <n v="6.875"/>
    <n v="0.8"/>
    <n v="5.5"/>
    <n v="2193"/>
    <x v="12"/>
    <s v="Sam"/>
    <x v="1"/>
    <n v="18405"/>
    <n v="15773"/>
    <n v="213285.875"/>
    <n v="5800"/>
    <n v="39875"/>
    <n v="253160.875"/>
    <n v="0"/>
    <n v="0"/>
    <n v="0"/>
    <n v="0"/>
    <n v="0"/>
    <n v="0"/>
    <n v="1"/>
    <n v="0"/>
    <n v="0"/>
    <n v="0"/>
    <n v="0"/>
    <n v="0"/>
    <s v="Enl uttag från Ladok - Erik Å"/>
    <m/>
    <n v="0"/>
    <n v="0"/>
    <n v="0"/>
    <n v="0"/>
    <n v="0"/>
    <n v="0"/>
    <n v="0"/>
    <n v="0"/>
    <n v="0"/>
    <n v="0"/>
    <n v="0"/>
    <n v="0"/>
    <n v="6.875"/>
    <n v="5.5"/>
    <n v="0"/>
    <n v="0"/>
    <n v="0"/>
    <n v="0"/>
    <n v="0"/>
    <n v="0"/>
    <n v="0"/>
    <n v="0"/>
    <n v="0"/>
  </r>
  <r>
    <x v="350"/>
    <x v="342"/>
    <m/>
    <x v="1"/>
    <m/>
    <x v="0"/>
    <m/>
    <m/>
    <m/>
    <m/>
    <m/>
    <m/>
    <x v="0"/>
    <m/>
    <m/>
    <m/>
    <n v="4"/>
    <n v="0.8"/>
    <n v="3.2"/>
    <n v="2193"/>
    <x v="12"/>
    <s v="Sam"/>
    <x v="1"/>
    <n v="18405"/>
    <n v="15773"/>
    <n v="124093.6"/>
    <n v="5800"/>
    <n v="23200"/>
    <n v="147293.6"/>
    <n v="0"/>
    <n v="0"/>
    <n v="0"/>
    <n v="0"/>
    <n v="0"/>
    <n v="0"/>
    <n v="1"/>
    <n v="0"/>
    <n v="0"/>
    <n v="0"/>
    <n v="0"/>
    <n v="0"/>
    <s v="Enl uttag från Ladok - Erik Å"/>
    <m/>
    <n v="0"/>
    <n v="0"/>
    <n v="0"/>
    <n v="0"/>
    <n v="0"/>
    <n v="0"/>
    <n v="0"/>
    <n v="0"/>
    <n v="0"/>
    <n v="0"/>
    <n v="0"/>
    <n v="0"/>
    <n v="4"/>
    <n v="3.2"/>
    <n v="0"/>
    <n v="0"/>
    <n v="0"/>
    <n v="0"/>
    <n v="0"/>
    <n v="0"/>
    <n v="0"/>
    <n v="0"/>
    <n v="0"/>
  </r>
  <r>
    <x v="351"/>
    <x v="343"/>
    <m/>
    <x v="1"/>
    <m/>
    <x v="0"/>
    <m/>
    <m/>
    <m/>
    <m/>
    <m/>
    <m/>
    <x v="0"/>
    <m/>
    <m/>
    <m/>
    <n v="4.8333300000000001"/>
    <n v="0.8"/>
    <n v="3.8666640000000001"/>
    <n v="2193"/>
    <x v="12"/>
    <s v="Sam"/>
    <x v="1"/>
    <n v="18405"/>
    <n v="15773"/>
    <n v="149946.329922"/>
    <n v="5800"/>
    <n v="28033.314000000002"/>
    <n v="177979.64392200002"/>
    <n v="0"/>
    <n v="0"/>
    <n v="0"/>
    <n v="0"/>
    <n v="0"/>
    <n v="0"/>
    <n v="1"/>
    <n v="0"/>
    <n v="0"/>
    <n v="0"/>
    <n v="0"/>
    <n v="0"/>
    <s v="Enl uttag från Ladok - Erik Å"/>
    <m/>
    <n v="0"/>
    <n v="0"/>
    <n v="0"/>
    <n v="0"/>
    <n v="0"/>
    <n v="0"/>
    <n v="0"/>
    <n v="0"/>
    <n v="0"/>
    <n v="0"/>
    <n v="0"/>
    <n v="0"/>
    <n v="4.8333300000000001"/>
    <n v="3.8666640000000001"/>
    <n v="0"/>
    <n v="0"/>
    <n v="0"/>
    <n v="0"/>
    <n v="0"/>
    <n v="0"/>
    <n v="0"/>
    <n v="0"/>
    <n v="0"/>
  </r>
  <r>
    <x v="352"/>
    <x v="344"/>
    <m/>
    <x v="12"/>
    <m/>
    <x v="0"/>
    <m/>
    <m/>
    <m/>
    <m/>
    <m/>
    <m/>
    <x v="0"/>
    <m/>
    <m/>
    <m/>
    <n v="3.875"/>
    <n v="0.85"/>
    <n v="3.2937499999999997"/>
    <n v="2180"/>
    <x v="11"/>
    <s v="Sam"/>
    <x v="12"/>
    <n v="18405"/>
    <n v="15773"/>
    <n v="123271.69375000001"/>
    <n v="5800"/>
    <n v="22475"/>
    <n v="145746.69375000001"/>
    <n v="0"/>
    <n v="0"/>
    <n v="0"/>
    <n v="0"/>
    <n v="0"/>
    <n v="0"/>
    <n v="1"/>
    <n v="0"/>
    <n v="0"/>
    <n v="0"/>
    <n v="0"/>
    <n v="0"/>
    <s v="Enl uttag från Ladok - Erik Å"/>
    <m/>
    <n v="0"/>
    <n v="0"/>
    <n v="0"/>
    <n v="0"/>
    <n v="0"/>
    <n v="0"/>
    <n v="0"/>
    <n v="0"/>
    <n v="0"/>
    <n v="0"/>
    <n v="0"/>
    <n v="0"/>
    <n v="3.875"/>
    <n v="3.2937499999999997"/>
    <n v="0"/>
    <n v="0"/>
    <n v="0"/>
    <n v="0"/>
    <n v="0"/>
    <n v="0"/>
    <n v="0"/>
    <n v="0"/>
    <n v="0"/>
  </r>
  <r>
    <x v="353"/>
    <x v="345"/>
    <m/>
    <x v="12"/>
    <m/>
    <x v="0"/>
    <m/>
    <m/>
    <m/>
    <m/>
    <m/>
    <m/>
    <x v="0"/>
    <m/>
    <m/>
    <m/>
    <n v="13"/>
    <n v="0.85"/>
    <n v="11.049999999999999"/>
    <n v="2193"/>
    <x v="12"/>
    <s v="Sam"/>
    <x v="12"/>
    <n v="27258.3"/>
    <n v="25776.95"/>
    <n v="639193.19750000001"/>
    <n v="5800"/>
    <n v="75400"/>
    <n v="714593.19750000001"/>
    <n v="0"/>
    <n v="0"/>
    <n v="0"/>
    <n v="0"/>
    <n v="0"/>
    <n v="0"/>
    <n v="0.55000000000000004"/>
    <n v="0"/>
    <n v="0"/>
    <n v="0"/>
    <n v="0"/>
    <n v="0.45"/>
    <s v="Enl uttag från Ladok - Erik Å"/>
    <m/>
    <n v="0"/>
    <n v="0"/>
    <n v="0"/>
    <n v="0"/>
    <n v="0"/>
    <n v="0"/>
    <n v="0"/>
    <n v="0"/>
    <n v="0"/>
    <n v="0"/>
    <n v="0"/>
    <n v="0"/>
    <n v="7.15"/>
    <n v="6.0774999999999997"/>
    <n v="0"/>
    <n v="0"/>
    <n v="0"/>
    <n v="0"/>
    <n v="0"/>
    <n v="0"/>
    <n v="0"/>
    <n v="5.8500000000000005"/>
    <n v="4.9724999999999993"/>
  </r>
  <r>
    <x v="354"/>
    <x v="346"/>
    <m/>
    <x v="12"/>
    <m/>
    <x v="0"/>
    <m/>
    <m/>
    <m/>
    <m/>
    <m/>
    <m/>
    <x v="0"/>
    <m/>
    <m/>
    <m/>
    <n v="6.75"/>
    <n v="0.85"/>
    <n v="5.7374999999999998"/>
    <n v="2193"/>
    <x v="12"/>
    <s v="Sam"/>
    <x v="12"/>
    <n v="18405"/>
    <n v="15773"/>
    <n v="214731.33749999999"/>
    <n v="5800"/>
    <n v="39150"/>
    <n v="253881.33749999999"/>
    <n v="0"/>
    <n v="0"/>
    <n v="0"/>
    <n v="0"/>
    <n v="0"/>
    <n v="0"/>
    <n v="1"/>
    <n v="0"/>
    <n v="0"/>
    <n v="0"/>
    <n v="0"/>
    <n v="0"/>
    <s v="Enl uttag från Ladok - Erik Å"/>
    <m/>
    <n v="0"/>
    <n v="0"/>
    <n v="0"/>
    <n v="0"/>
    <n v="0"/>
    <n v="0"/>
    <n v="0"/>
    <n v="0"/>
    <n v="0"/>
    <n v="0"/>
    <n v="0"/>
    <n v="0"/>
    <n v="6.75"/>
    <n v="5.7374999999999998"/>
    <n v="0"/>
    <n v="0"/>
    <n v="0"/>
    <n v="0"/>
    <n v="0"/>
    <n v="0"/>
    <n v="0"/>
    <n v="0"/>
    <n v="0"/>
  </r>
  <r>
    <x v="355"/>
    <x v="347"/>
    <m/>
    <x v="1"/>
    <m/>
    <x v="0"/>
    <m/>
    <m/>
    <m/>
    <m/>
    <m/>
    <m/>
    <x v="0"/>
    <m/>
    <m/>
    <m/>
    <n v="5.5"/>
    <n v="0.8"/>
    <n v="4.4000000000000004"/>
    <n v="1650"/>
    <x v="9"/>
    <s v="Hum"/>
    <x v="1"/>
    <n v="19473"/>
    <n v="34806"/>
    <n v="260247.90000000002"/>
    <n v="21800"/>
    <n v="119900"/>
    <n v="380147.9"/>
    <n v="0"/>
    <n v="0"/>
    <n v="0"/>
    <n v="0"/>
    <n v="0"/>
    <n v="0"/>
    <n v="0"/>
    <n v="1"/>
    <n v="0"/>
    <n v="0"/>
    <n v="0"/>
    <n v="0"/>
    <s v="Enl uttag från Ladok - Erik Å"/>
    <m/>
    <n v="0"/>
    <n v="0"/>
    <n v="0"/>
    <n v="0"/>
    <n v="0"/>
    <n v="0"/>
    <n v="0"/>
    <n v="0"/>
    <n v="0"/>
    <n v="0"/>
    <n v="0"/>
    <n v="0"/>
    <n v="0"/>
    <n v="0"/>
    <n v="5.5"/>
    <n v="4.4000000000000004"/>
    <n v="0"/>
    <n v="0"/>
    <n v="0"/>
    <n v="0"/>
    <n v="0"/>
    <n v="0"/>
    <n v="0"/>
  </r>
  <r>
    <x v="356"/>
    <x v="348"/>
    <m/>
    <x v="4"/>
    <m/>
    <x v="0"/>
    <m/>
    <m/>
    <m/>
    <m/>
    <m/>
    <m/>
    <x v="0"/>
    <m/>
    <m/>
    <m/>
    <n v="1"/>
    <n v="0.85"/>
    <n v="0.85"/>
    <n v="1650"/>
    <x v="9"/>
    <s v="Hum"/>
    <x v="4"/>
    <n v="19473"/>
    <n v="34806"/>
    <n v="49058.1"/>
    <n v="21800"/>
    <n v="21800"/>
    <n v="70858.100000000006"/>
    <n v="0"/>
    <n v="0"/>
    <n v="0"/>
    <n v="0"/>
    <n v="0"/>
    <n v="0"/>
    <n v="0"/>
    <n v="1"/>
    <n v="0"/>
    <n v="0"/>
    <n v="0"/>
    <n v="0"/>
    <s v="Enl uttag från Ladok - Erik Å"/>
    <m/>
    <n v="0"/>
    <n v="0"/>
    <n v="0"/>
    <n v="0"/>
    <n v="0"/>
    <n v="0"/>
    <n v="0"/>
    <n v="0"/>
    <n v="0"/>
    <n v="0"/>
    <n v="0"/>
    <n v="0"/>
    <n v="0"/>
    <n v="0"/>
    <n v="1"/>
    <n v="0.85"/>
    <n v="0"/>
    <n v="0"/>
    <n v="0"/>
    <n v="0"/>
    <n v="0"/>
    <n v="0"/>
    <n v="0"/>
  </r>
  <r>
    <x v="357"/>
    <x v="349"/>
    <m/>
    <x v="1"/>
    <m/>
    <x v="0"/>
    <m/>
    <m/>
    <m/>
    <m/>
    <m/>
    <m/>
    <x v="0"/>
    <m/>
    <m/>
    <m/>
    <n v="2.75"/>
    <n v="0.8"/>
    <n v="2.2000000000000002"/>
    <n v="1650"/>
    <x v="9"/>
    <s v="Hum"/>
    <x v="1"/>
    <n v="19473"/>
    <n v="34806"/>
    <n v="130123.95000000001"/>
    <n v="21800"/>
    <n v="59950"/>
    <n v="190073.95"/>
    <n v="0"/>
    <n v="0"/>
    <n v="0"/>
    <n v="0"/>
    <n v="0"/>
    <n v="0"/>
    <n v="0"/>
    <n v="1"/>
    <n v="0"/>
    <n v="0"/>
    <n v="0"/>
    <n v="0"/>
    <s v="Enl uttag från Ladok - Erik Å"/>
    <m/>
    <n v="0"/>
    <n v="0"/>
    <n v="0"/>
    <n v="0"/>
    <n v="0"/>
    <n v="0"/>
    <n v="0"/>
    <n v="0"/>
    <n v="0"/>
    <n v="0"/>
    <n v="0"/>
    <n v="0"/>
    <n v="0"/>
    <n v="0"/>
    <n v="2.75"/>
    <n v="2.2000000000000002"/>
    <n v="0"/>
    <n v="0"/>
    <n v="0"/>
    <n v="0"/>
    <n v="0"/>
    <n v="0"/>
    <n v="0"/>
  </r>
  <r>
    <x v="358"/>
    <x v="350"/>
    <m/>
    <x v="1"/>
    <m/>
    <x v="0"/>
    <m/>
    <m/>
    <m/>
    <m/>
    <m/>
    <m/>
    <x v="0"/>
    <m/>
    <m/>
    <m/>
    <n v="1"/>
    <n v="0.8"/>
    <n v="0.8"/>
    <n v="1650"/>
    <x v="9"/>
    <s v="Hum"/>
    <x v="1"/>
    <n v="19473"/>
    <n v="34806"/>
    <n v="47317.8"/>
    <n v="21800"/>
    <n v="21800"/>
    <n v="69117.8"/>
    <n v="0"/>
    <n v="0"/>
    <n v="0"/>
    <n v="0"/>
    <n v="0"/>
    <n v="0"/>
    <n v="0"/>
    <n v="1"/>
    <n v="0"/>
    <n v="0"/>
    <n v="0"/>
    <n v="0"/>
    <s v="Enl uttag från Ladok - Erik Å"/>
    <m/>
    <n v="0"/>
    <n v="0"/>
    <n v="0"/>
    <n v="0"/>
    <n v="0"/>
    <n v="0"/>
    <n v="0"/>
    <n v="0"/>
    <n v="0"/>
    <n v="0"/>
    <n v="0"/>
    <n v="0"/>
    <n v="0"/>
    <n v="0"/>
    <n v="1"/>
    <n v="0.8"/>
    <n v="0"/>
    <n v="0"/>
    <n v="0"/>
    <n v="0"/>
    <n v="0"/>
    <n v="0"/>
    <n v="0"/>
  </r>
  <r>
    <x v="359"/>
    <x v="351"/>
    <m/>
    <x v="1"/>
    <m/>
    <x v="0"/>
    <m/>
    <m/>
    <m/>
    <m/>
    <m/>
    <m/>
    <x v="0"/>
    <m/>
    <m/>
    <m/>
    <n v="6.75"/>
    <n v="0.8"/>
    <n v="5.4"/>
    <n v="1650"/>
    <x v="9"/>
    <s v="Hum"/>
    <x v="1"/>
    <n v="19473"/>
    <n v="34806"/>
    <n v="319395.15000000002"/>
    <n v="21800"/>
    <n v="147150"/>
    <n v="466545.15"/>
    <n v="0"/>
    <n v="0"/>
    <n v="0"/>
    <n v="0"/>
    <n v="0"/>
    <n v="0"/>
    <n v="0"/>
    <n v="1"/>
    <n v="0"/>
    <n v="0"/>
    <n v="0"/>
    <n v="0"/>
    <s v="Enl uttag från Ladok - Erik Å"/>
    <m/>
    <n v="0"/>
    <n v="0"/>
    <n v="0"/>
    <n v="0"/>
    <n v="0"/>
    <n v="0"/>
    <n v="0"/>
    <n v="0"/>
    <n v="0"/>
    <n v="0"/>
    <n v="0"/>
    <n v="0"/>
    <n v="0"/>
    <n v="0"/>
    <n v="6.75"/>
    <n v="5.4"/>
    <n v="0"/>
    <n v="0"/>
    <n v="0"/>
    <n v="0"/>
    <n v="0"/>
    <n v="0"/>
    <n v="0"/>
  </r>
  <r>
    <x v="360"/>
    <x v="352"/>
    <m/>
    <x v="1"/>
    <m/>
    <x v="0"/>
    <m/>
    <m/>
    <m/>
    <m/>
    <m/>
    <m/>
    <x v="0"/>
    <m/>
    <m/>
    <m/>
    <n v="16.75"/>
    <n v="0.8"/>
    <n v="13.4"/>
    <n v="1650"/>
    <x v="9"/>
    <s v="Hum"/>
    <x v="1"/>
    <n v="19473"/>
    <n v="34806"/>
    <n v="792573.15"/>
    <n v="21800"/>
    <n v="365150"/>
    <n v="1157723.1499999999"/>
    <n v="0"/>
    <n v="0"/>
    <n v="0"/>
    <n v="0"/>
    <n v="0"/>
    <n v="0"/>
    <n v="0"/>
    <n v="1"/>
    <n v="0"/>
    <n v="0"/>
    <n v="0"/>
    <n v="0"/>
    <s v="Enl uttag från Ladok - Erik Å"/>
    <m/>
    <n v="0"/>
    <n v="0"/>
    <n v="0"/>
    <n v="0"/>
    <n v="0"/>
    <n v="0"/>
    <n v="0"/>
    <n v="0"/>
    <n v="0"/>
    <n v="0"/>
    <n v="0"/>
    <n v="0"/>
    <n v="0"/>
    <n v="0"/>
    <n v="16.75"/>
    <n v="13.4"/>
    <n v="0"/>
    <n v="0"/>
    <n v="0"/>
    <n v="0"/>
    <n v="0"/>
    <n v="0"/>
    <n v="0"/>
  </r>
  <r>
    <x v="361"/>
    <x v="353"/>
    <m/>
    <x v="1"/>
    <m/>
    <x v="0"/>
    <m/>
    <m/>
    <m/>
    <m/>
    <m/>
    <m/>
    <x v="0"/>
    <m/>
    <m/>
    <m/>
    <n v="1.5"/>
    <n v="0.8"/>
    <n v="1.2000000000000002"/>
    <n v="1650"/>
    <x v="9"/>
    <s v="Hum"/>
    <x v="1"/>
    <n v="19473"/>
    <n v="34806"/>
    <n v="70976.700000000012"/>
    <n v="21800"/>
    <n v="32700"/>
    <n v="103676.70000000001"/>
    <n v="0"/>
    <n v="0"/>
    <n v="0"/>
    <n v="0"/>
    <n v="0"/>
    <n v="0"/>
    <n v="0"/>
    <n v="1"/>
    <n v="0"/>
    <n v="0"/>
    <n v="0"/>
    <n v="0"/>
    <s v="Enl uttag från Ladok - Erik Å"/>
    <m/>
    <n v="0"/>
    <n v="0"/>
    <n v="0"/>
    <n v="0"/>
    <n v="0"/>
    <n v="0"/>
    <n v="0"/>
    <n v="0"/>
    <n v="0"/>
    <n v="0"/>
    <n v="0"/>
    <n v="0"/>
    <n v="0"/>
    <n v="0"/>
    <n v="1.5"/>
    <n v="1.2000000000000002"/>
    <n v="0"/>
    <n v="0"/>
    <n v="0"/>
    <n v="0"/>
    <n v="0"/>
    <n v="0"/>
    <n v="0"/>
  </r>
  <r>
    <x v="362"/>
    <x v="354"/>
    <m/>
    <x v="1"/>
    <m/>
    <x v="0"/>
    <m/>
    <m/>
    <m/>
    <m/>
    <m/>
    <m/>
    <x v="0"/>
    <m/>
    <m/>
    <m/>
    <n v="1.5"/>
    <n v="0.8"/>
    <n v="1.2000000000000002"/>
    <n v="1650"/>
    <x v="9"/>
    <s v="Hum"/>
    <x v="1"/>
    <n v="19473"/>
    <n v="34806"/>
    <n v="70976.700000000012"/>
    <n v="21800"/>
    <n v="32700"/>
    <n v="103676.70000000001"/>
    <n v="0"/>
    <n v="0"/>
    <n v="0"/>
    <n v="0"/>
    <n v="0"/>
    <n v="0"/>
    <n v="0"/>
    <n v="1"/>
    <n v="0"/>
    <n v="0"/>
    <n v="0"/>
    <n v="0"/>
    <s v="Enl uttag från Ladok - Erik Å"/>
    <m/>
    <n v="0"/>
    <n v="0"/>
    <n v="0"/>
    <n v="0"/>
    <n v="0"/>
    <n v="0"/>
    <n v="0"/>
    <n v="0"/>
    <n v="0"/>
    <n v="0"/>
    <n v="0"/>
    <n v="0"/>
    <n v="0"/>
    <n v="0"/>
    <n v="1.5"/>
    <n v="1.2000000000000002"/>
    <n v="0"/>
    <n v="0"/>
    <n v="0"/>
    <n v="0"/>
    <n v="0"/>
    <n v="0"/>
    <n v="0"/>
  </r>
  <r>
    <x v="363"/>
    <x v="355"/>
    <m/>
    <x v="1"/>
    <m/>
    <x v="0"/>
    <m/>
    <m/>
    <m/>
    <m/>
    <m/>
    <m/>
    <x v="0"/>
    <m/>
    <m/>
    <m/>
    <n v="1.375"/>
    <n v="0.8"/>
    <n v="1.1000000000000001"/>
    <n v="1650"/>
    <x v="9"/>
    <s v="Hum"/>
    <x v="1"/>
    <n v="19473"/>
    <n v="34806"/>
    <n v="65061.975000000006"/>
    <n v="21800"/>
    <n v="29975"/>
    <n v="95036.975000000006"/>
    <n v="0"/>
    <n v="0"/>
    <n v="0"/>
    <n v="0"/>
    <n v="0"/>
    <n v="0"/>
    <n v="0"/>
    <n v="1"/>
    <n v="0"/>
    <n v="0"/>
    <n v="0"/>
    <n v="0"/>
    <s v="Enl uttag från Ladok - Erik Å"/>
    <m/>
    <n v="0"/>
    <n v="0"/>
    <n v="0"/>
    <n v="0"/>
    <n v="0"/>
    <n v="0"/>
    <n v="0"/>
    <n v="0"/>
    <n v="0"/>
    <n v="0"/>
    <n v="0"/>
    <n v="0"/>
    <n v="0"/>
    <n v="0"/>
    <n v="1.375"/>
    <n v="1.1000000000000001"/>
    <n v="0"/>
    <n v="0"/>
    <n v="0"/>
    <n v="0"/>
    <n v="0"/>
    <n v="0"/>
    <n v="0"/>
  </r>
  <r>
    <x v="364"/>
    <x v="356"/>
    <m/>
    <x v="1"/>
    <m/>
    <x v="0"/>
    <m/>
    <m/>
    <m/>
    <m/>
    <m/>
    <m/>
    <x v="0"/>
    <m/>
    <m/>
    <m/>
    <n v="1.5"/>
    <n v="0.8"/>
    <n v="1.2000000000000002"/>
    <n v="1650"/>
    <x v="9"/>
    <s v="Hum"/>
    <x v="1"/>
    <n v="18405"/>
    <n v="15773"/>
    <n v="46535.100000000006"/>
    <n v="5800"/>
    <n v="8700"/>
    <n v="55235.100000000006"/>
    <n v="0"/>
    <n v="1"/>
    <n v="0"/>
    <n v="0"/>
    <n v="0"/>
    <n v="0"/>
    <n v="0"/>
    <n v="0"/>
    <n v="0"/>
    <n v="0"/>
    <n v="0"/>
    <n v="0"/>
    <s v="Enl uttag från Ladok - Erik Å"/>
    <m/>
    <n v="0"/>
    <n v="0"/>
    <n v="1.5"/>
    <n v="1.2000000000000002"/>
    <n v="0"/>
    <n v="0"/>
    <n v="0"/>
    <n v="0"/>
    <n v="0"/>
    <n v="0"/>
    <n v="0"/>
    <n v="0"/>
    <n v="0"/>
    <n v="0"/>
    <n v="0"/>
    <n v="0"/>
    <n v="0"/>
    <n v="0"/>
    <n v="0"/>
    <n v="0"/>
    <n v="0"/>
    <n v="0"/>
    <n v="0"/>
  </r>
  <r>
    <x v="365"/>
    <x v="357"/>
    <m/>
    <x v="4"/>
    <m/>
    <x v="0"/>
    <m/>
    <m/>
    <m/>
    <m/>
    <m/>
    <m/>
    <x v="0"/>
    <m/>
    <m/>
    <m/>
    <n v="2"/>
    <n v="0.85"/>
    <n v="1.7"/>
    <n v="1650"/>
    <x v="9"/>
    <s v="Hum"/>
    <x v="4"/>
    <n v="19473"/>
    <n v="34806"/>
    <n v="98116.2"/>
    <n v="21800"/>
    <n v="43600"/>
    <n v="141716.20000000001"/>
    <n v="0"/>
    <n v="0"/>
    <n v="0"/>
    <n v="0"/>
    <n v="0"/>
    <n v="0"/>
    <n v="0"/>
    <n v="1"/>
    <n v="0"/>
    <n v="0"/>
    <n v="0"/>
    <n v="0"/>
    <s v="Enl uttag från Ladok - Erik Å"/>
    <m/>
    <n v="0"/>
    <n v="0"/>
    <n v="0"/>
    <n v="0"/>
    <n v="0"/>
    <n v="0"/>
    <n v="0"/>
    <n v="0"/>
    <n v="0"/>
    <n v="0"/>
    <n v="0"/>
    <n v="0"/>
    <n v="0"/>
    <n v="0"/>
    <n v="2"/>
    <n v="1.7"/>
    <n v="0"/>
    <n v="0"/>
    <n v="0"/>
    <n v="0"/>
    <n v="0"/>
    <n v="0"/>
    <n v="0"/>
  </r>
  <r>
    <x v="366"/>
    <x v="358"/>
    <m/>
    <x v="4"/>
    <m/>
    <x v="0"/>
    <m/>
    <m/>
    <m/>
    <m/>
    <m/>
    <m/>
    <x v="0"/>
    <m/>
    <m/>
    <m/>
    <n v="1"/>
    <n v="0.85"/>
    <n v="0.85"/>
    <n v="1650"/>
    <x v="9"/>
    <s v="Hum"/>
    <x v="4"/>
    <n v="19473"/>
    <n v="34806"/>
    <n v="49058.1"/>
    <n v="21800"/>
    <n v="21800"/>
    <n v="70858.100000000006"/>
    <n v="0"/>
    <n v="0"/>
    <n v="0"/>
    <n v="0"/>
    <n v="0"/>
    <n v="0"/>
    <n v="0"/>
    <n v="1"/>
    <n v="0"/>
    <n v="0"/>
    <n v="0"/>
    <n v="0"/>
    <s v="Enl uttag från Ladok - Erik Å"/>
    <m/>
    <n v="0"/>
    <n v="0"/>
    <n v="0"/>
    <n v="0"/>
    <n v="0"/>
    <n v="0"/>
    <n v="0"/>
    <n v="0"/>
    <n v="0"/>
    <n v="0"/>
    <n v="0"/>
    <n v="0"/>
    <n v="0"/>
    <n v="0"/>
    <n v="1"/>
    <n v="0.85"/>
    <n v="0"/>
    <n v="0"/>
    <n v="0"/>
    <n v="0"/>
    <n v="0"/>
    <n v="0"/>
    <n v="0"/>
  </r>
  <r>
    <x v="367"/>
    <x v="359"/>
    <m/>
    <x v="1"/>
    <m/>
    <x v="0"/>
    <m/>
    <m/>
    <m/>
    <m/>
    <m/>
    <m/>
    <x v="0"/>
    <m/>
    <m/>
    <m/>
    <n v="1"/>
    <n v="0.8"/>
    <n v="0.8"/>
    <n v="1650"/>
    <x v="9"/>
    <s v="Hum"/>
    <x v="1"/>
    <n v="19473"/>
    <n v="34806"/>
    <n v="47317.8"/>
    <n v="21800"/>
    <n v="21800"/>
    <n v="69117.8"/>
    <n v="0"/>
    <n v="0"/>
    <n v="0"/>
    <n v="0"/>
    <n v="0"/>
    <n v="0"/>
    <n v="0"/>
    <n v="1"/>
    <n v="0"/>
    <n v="0"/>
    <n v="0"/>
    <n v="0"/>
    <s v="Enl uttag från Ladok - Erik Å"/>
    <m/>
    <n v="0"/>
    <n v="0"/>
    <n v="0"/>
    <n v="0"/>
    <n v="0"/>
    <n v="0"/>
    <n v="0"/>
    <n v="0"/>
    <n v="0"/>
    <n v="0"/>
    <n v="0"/>
    <n v="0"/>
    <n v="0"/>
    <n v="0"/>
    <n v="1"/>
    <n v="0.8"/>
    <n v="0"/>
    <n v="0"/>
    <n v="0"/>
    <n v="0"/>
    <n v="0"/>
    <n v="0"/>
    <n v="0"/>
  </r>
  <r>
    <x v="368"/>
    <x v="360"/>
    <m/>
    <x v="0"/>
    <m/>
    <x v="0"/>
    <m/>
    <m/>
    <m/>
    <m/>
    <m/>
    <m/>
    <x v="0"/>
    <m/>
    <m/>
    <m/>
    <n v="0.5"/>
    <n v="0.85"/>
    <n v="0.42499999999999999"/>
    <n v="1620"/>
    <x v="8"/>
    <s v="Hum"/>
    <x v="0"/>
    <n v="18405"/>
    <n v="15773"/>
    <n v="15906.025"/>
    <n v="5800"/>
    <n v="2900"/>
    <n v="18806.025000000001"/>
    <n v="0"/>
    <n v="1"/>
    <n v="0"/>
    <n v="0"/>
    <n v="0"/>
    <n v="0"/>
    <n v="0"/>
    <n v="0"/>
    <n v="0"/>
    <n v="0"/>
    <n v="0"/>
    <n v="0"/>
    <s v="Enl uttag från Ladok - Erik Å"/>
    <m/>
    <n v="0"/>
    <n v="0"/>
    <n v="0.5"/>
    <n v="0.42499999999999999"/>
    <n v="0"/>
    <n v="0"/>
    <n v="0"/>
    <n v="0"/>
    <n v="0"/>
    <n v="0"/>
    <n v="0"/>
    <n v="0"/>
    <n v="0"/>
    <n v="0"/>
    <n v="0"/>
    <n v="0"/>
    <n v="0"/>
    <n v="0"/>
    <n v="0"/>
    <n v="0"/>
    <n v="0"/>
    <n v="0"/>
    <n v="0"/>
  </r>
  <r>
    <x v="368"/>
    <x v="360"/>
    <m/>
    <x v="1"/>
    <m/>
    <x v="0"/>
    <m/>
    <m/>
    <m/>
    <m/>
    <m/>
    <m/>
    <x v="0"/>
    <m/>
    <m/>
    <m/>
    <n v="0.5"/>
    <n v="0.8"/>
    <n v="0.4"/>
    <n v="1620"/>
    <x v="8"/>
    <s v="Hum"/>
    <x v="1"/>
    <n v="18405"/>
    <n v="15773"/>
    <n v="15511.7"/>
    <n v="5800"/>
    <n v="2900"/>
    <n v="18411.7"/>
    <n v="0"/>
    <n v="1"/>
    <n v="0"/>
    <n v="0"/>
    <n v="0"/>
    <n v="0"/>
    <n v="0"/>
    <n v="0"/>
    <n v="0"/>
    <n v="0"/>
    <n v="0"/>
    <n v="0"/>
    <s v="Enl uttag från Ladok - Erik Å"/>
    <m/>
    <n v="0"/>
    <n v="0"/>
    <n v="0.5"/>
    <n v="0.4"/>
    <n v="0"/>
    <n v="0"/>
    <n v="0"/>
    <n v="0"/>
    <n v="0"/>
    <n v="0"/>
    <n v="0"/>
    <n v="0"/>
    <n v="0"/>
    <n v="0"/>
    <n v="0"/>
    <n v="0"/>
    <n v="0"/>
    <n v="0"/>
    <n v="0"/>
    <n v="0"/>
    <n v="0"/>
    <n v="0"/>
    <n v="0"/>
  </r>
  <r>
    <x v="369"/>
    <x v="361"/>
    <m/>
    <x v="1"/>
    <m/>
    <x v="0"/>
    <m/>
    <m/>
    <m/>
    <m/>
    <m/>
    <m/>
    <x v="0"/>
    <m/>
    <m/>
    <m/>
    <n v="0.125"/>
    <n v="0.8"/>
    <n v="0.1"/>
    <n v="1620"/>
    <x v="8"/>
    <s v="Hum"/>
    <x v="1"/>
    <n v="18405"/>
    <n v="15773"/>
    <n v="3877.9250000000002"/>
    <n v="5800"/>
    <n v="725"/>
    <n v="4602.9250000000002"/>
    <n v="0"/>
    <n v="1"/>
    <n v="0"/>
    <n v="0"/>
    <n v="0"/>
    <n v="0"/>
    <n v="0"/>
    <n v="0"/>
    <n v="0"/>
    <n v="0"/>
    <n v="0"/>
    <n v="0"/>
    <s v="Enl uttag från Ladok - Erik Å"/>
    <m/>
    <n v="0"/>
    <n v="0"/>
    <n v="0.125"/>
    <n v="0.1"/>
    <n v="0"/>
    <n v="0"/>
    <n v="0"/>
    <n v="0"/>
    <n v="0"/>
    <n v="0"/>
    <n v="0"/>
    <n v="0"/>
    <n v="0"/>
    <n v="0"/>
    <n v="0"/>
    <n v="0"/>
    <n v="0"/>
    <n v="0"/>
    <n v="0"/>
    <n v="0"/>
    <n v="0"/>
    <n v="0"/>
    <n v="0"/>
  </r>
  <r>
    <x v="370"/>
    <x v="362"/>
    <m/>
    <x v="0"/>
    <m/>
    <x v="0"/>
    <m/>
    <m/>
    <m/>
    <m/>
    <m/>
    <m/>
    <x v="0"/>
    <m/>
    <m/>
    <m/>
    <n v="0.1"/>
    <n v="0.85"/>
    <n v="8.5000000000000006E-2"/>
    <n v="1620"/>
    <x v="8"/>
    <s v="Hum"/>
    <x v="0"/>
    <n v="21634"/>
    <n v="26986"/>
    <n v="4457.21"/>
    <n v="3400"/>
    <n v="340"/>
    <n v="4797.21"/>
    <n v="0"/>
    <n v="0"/>
    <n v="0"/>
    <n v="0"/>
    <n v="0"/>
    <n v="0"/>
    <n v="0"/>
    <n v="0"/>
    <n v="1"/>
    <n v="0"/>
    <n v="0"/>
    <n v="0"/>
    <s v="Enl uttag från Ladok - Erik Å"/>
    <m/>
    <n v="0"/>
    <n v="0"/>
    <n v="0"/>
    <n v="0"/>
    <n v="0"/>
    <n v="0"/>
    <n v="0"/>
    <n v="0"/>
    <n v="0"/>
    <n v="0"/>
    <n v="0"/>
    <n v="0"/>
    <n v="0"/>
    <n v="0"/>
    <n v="0"/>
    <n v="0"/>
    <n v="0.1"/>
    <n v="8.5000000000000006E-2"/>
    <n v="0"/>
    <n v="0"/>
    <n v="0"/>
    <n v="0"/>
    <n v="0"/>
  </r>
  <r>
    <x v="371"/>
    <x v="286"/>
    <m/>
    <x v="16"/>
    <m/>
    <x v="0"/>
    <m/>
    <m/>
    <m/>
    <m/>
    <m/>
    <m/>
    <x v="0"/>
    <m/>
    <m/>
    <m/>
    <n v="0.25"/>
    <n v="0.85"/>
    <n v="0.21249999999999999"/>
    <n v="2193"/>
    <x v="12"/>
    <s v="Sam"/>
    <x v="10"/>
    <n v="23641"/>
    <n v="28786"/>
    <n v="12027.275"/>
    <n v="5800"/>
    <n v="1450"/>
    <n v="13477.275"/>
    <n v="0"/>
    <n v="0"/>
    <n v="0"/>
    <n v="1"/>
    <n v="0"/>
    <n v="0"/>
    <n v="0"/>
    <n v="0"/>
    <n v="0"/>
    <n v="0"/>
    <n v="0"/>
    <n v="0"/>
    <s v="Enl uttag från Ladok - Erik Å"/>
    <m/>
    <n v="0"/>
    <n v="0"/>
    <n v="0"/>
    <n v="0"/>
    <n v="0"/>
    <n v="0"/>
    <n v="0.25"/>
    <n v="0.21249999999999999"/>
    <n v="0"/>
    <n v="0"/>
    <n v="0"/>
    <n v="0"/>
    <n v="0"/>
    <n v="0"/>
    <n v="0"/>
    <n v="0"/>
    <n v="0"/>
    <n v="0"/>
    <n v="0"/>
    <n v="0"/>
    <n v="0"/>
    <n v="0"/>
    <n v="0"/>
  </r>
</pivotCacheRecords>
</file>

<file path=xl/pivotCache/pivotCacheRecords3.xml><?xml version="1.0" encoding="utf-8"?>
<pivotCacheRecords xmlns="http://schemas.openxmlformats.org/spreadsheetml/2006/main" xmlns:r="http://schemas.openxmlformats.org/officeDocument/2006/relationships" count="480">
  <r>
    <s v="5BI137"/>
    <s v="Fysiologi och cellbiologi"/>
    <m/>
    <s v="LYAGY"/>
    <m/>
    <n v="2019"/>
    <m/>
    <m/>
    <m/>
    <m/>
    <m/>
    <m/>
    <m/>
    <m/>
    <m/>
    <m/>
    <n v="2.25"/>
    <n v="0.85"/>
    <n v="1.9124999999999999"/>
    <x v="0"/>
    <s v="Inst för Fysiologisk botanik  "/>
    <s v="TekNat"/>
    <s v="Ämneslärarprogrammet - Gy"/>
    <n v="19473"/>
    <n v="34806"/>
    <n v="110380.72499999999"/>
    <n v="21800"/>
    <n v="49050"/>
    <n v="159430.72499999998"/>
    <n v="0"/>
    <n v="0"/>
    <n v="0"/>
    <n v="0"/>
    <n v="0"/>
    <n v="1"/>
    <n v="0"/>
    <n v="0"/>
    <n v="0"/>
    <n v="0"/>
    <n v="0"/>
    <n v="0"/>
  </r>
  <r>
    <s v="5BI184"/>
    <s v="Naturens mångfald"/>
    <m/>
    <s v="LYAGY"/>
    <m/>
    <n v="2019"/>
    <m/>
    <m/>
    <m/>
    <m/>
    <m/>
    <m/>
    <m/>
    <m/>
    <m/>
    <m/>
    <n v="0.25"/>
    <n v="0.85"/>
    <n v="0.21249999999999999"/>
    <x v="1"/>
    <s v="EMG"/>
    <s v="TekNat"/>
    <s v="Ämneslärarprogrammet - Gy"/>
    <n v="19473"/>
    <n v="34806"/>
    <n v="12264.525"/>
    <n v="21800"/>
    <n v="5450"/>
    <n v="17714.525000000001"/>
    <n v="0"/>
    <n v="0"/>
    <n v="0"/>
    <n v="0"/>
    <n v="0"/>
    <n v="1"/>
    <n v="0"/>
    <n v="0"/>
    <n v="0"/>
    <n v="0"/>
    <n v="0"/>
    <n v="0"/>
  </r>
  <r>
    <s v="5BI194"/>
    <s v="Genetik och evolution"/>
    <m/>
    <s v="LYAGY"/>
    <m/>
    <n v="2019"/>
    <m/>
    <m/>
    <m/>
    <m/>
    <m/>
    <m/>
    <m/>
    <m/>
    <m/>
    <m/>
    <n v="2"/>
    <n v="0.85"/>
    <n v="1.7"/>
    <x v="1"/>
    <s v="EMG"/>
    <s v="TekNat"/>
    <s v="Ämneslärarprogrammet - Gy"/>
    <n v="19473"/>
    <n v="34806"/>
    <n v="98116.2"/>
    <n v="21800"/>
    <n v="43600"/>
    <n v="141716.20000000001"/>
    <n v="0"/>
    <n v="0"/>
    <n v="0"/>
    <n v="0"/>
    <n v="0"/>
    <n v="0.5"/>
    <n v="0"/>
    <n v="0.5"/>
    <n v="0"/>
    <n v="0"/>
    <n v="0"/>
    <n v="0"/>
  </r>
  <r>
    <s v="5BI234"/>
    <s v="Ekologi"/>
    <m/>
    <s v="LYAGY"/>
    <m/>
    <n v="2019"/>
    <m/>
    <m/>
    <m/>
    <m/>
    <m/>
    <m/>
    <m/>
    <m/>
    <m/>
    <m/>
    <n v="2.5"/>
    <n v="0.85"/>
    <n v="2.125"/>
    <x v="1"/>
    <s v="EMG"/>
    <s v="TekNat"/>
    <s v="Ämneslärarprogrammet - Gy"/>
    <n v="19473"/>
    <n v="34806"/>
    <n v="122645.25"/>
    <n v="21800"/>
    <n v="54500"/>
    <n v="177145.25"/>
    <n v="0"/>
    <n v="0"/>
    <n v="0"/>
    <n v="0"/>
    <n v="0"/>
    <n v="1"/>
    <n v="0"/>
    <n v="0"/>
    <n v="0"/>
    <n v="0"/>
    <n v="0"/>
    <n v="0"/>
  </r>
  <r>
    <s v="5BI235"/>
    <s v="Ekologi A"/>
    <m/>
    <s v="LYAGY"/>
    <m/>
    <n v="2019"/>
    <m/>
    <m/>
    <m/>
    <m/>
    <m/>
    <m/>
    <m/>
    <m/>
    <m/>
    <m/>
    <n v="3"/>
    <n v="0.85"/>
    <n v="2.5499999999999998"/>
    <x v="1"/>
    <s v="EMG"/>
    <s v="TekNat"/>
    <s v="Ämneslärarprogrammet - Gy"/>
    <n v="19473"/>
    <n v="34806"/>
    <n v="147174.29999999999"/>
    <n v="21800"/>
    <n v="65400"/>
    <n v="212574.3"/>
    <n v="0"/>
    <n v="0"/>
    <n v="0"/>
    <n v="0"/>
    <n v="0"/>
    <n v="1"/>
    <n v="0"/>
    <n v="0"/>
    <n v="0"/>
    <n v="0"/>
    <n v="0"/>
    <n v="0"/>
  </r>
  <r>
    <s v="5EL204"/>
    <s v="Analog kretsteknik"/>
    <m/>
    <s v="LYAGY"/>
    <m/>
    <n v="2019"/>
    <m/>
    <m/>
    <m/>
    <m/>
    <m/>
    <m/>
    <m/>
    <m/>
    <m/>
    <m/>
    <n v="0.1"/>
    <n v="0.85"/>
    <n v="8.5000000000000006E-2"/>
    <x v="2"/>
    <s v="TFE"/>
    <s v="TekNat"/>
    <s v="Ämneslärarprogrammet - Gy"/>
    <n v="19473"/>
    <n v="34806"/>
    <n v="4905.8100000000004"/>
    <n v="21800"/>
    <n v="2180"/>
    <n v="7085.81"/>
    <n v="0"/>
    <n v="0"/>
    <n v="0"/>
    <n v="0"/>
    <n v="0"/>
    <n v="0"/>
    <n v="0"/>
    <n v="1"/>
    <n v="0"/>
    <n v="0"/>
    <n v="0"/>
    <n v="0"/>
  </r>
  <r>
    <s v="5FY001"/>
    <s v="Analytisk mekanik, 6 hp"/>
    <m/>
    <s v="LYAGY"/>
    <m/>
    <n v="2019"/>
    <m/>
    <m/>
    <m/>
    <m/>
    <m/>
    <m/>
    <m/>
    <m/>
    <m/>
    <m/>
    <n v="0.1"/>
    <n v="0.85"/>
    <n v="8.5000000000000006E-2"/>
    <x v="3"/>
    <s v="Inst för Fysik                "/>
    <s v="TekNat"/>
    <s v="Ämneslärarprogrammet - Gy"/>
    <n v="19473"/>
    <n v="34806"/>
    <n v="4905.8100000000004"/>
    <n v="21800"/>
    <n v="2180"/>
    <n v="7085.81"/>
    <n v="0"/>
    <n v="0"/>
    <n v="0"/>
    <n v="0"/>
    <n v="0"/>
    <n v="0"/>
    <n v="0"/>
    <n v="1"/>
    <n v="0"/>
    <n v="0"/>
    <n v="0"/>
    <n v="0"/>
  </r>
  <r>
    <s v="5FY020"/>
    <s v="Fasta tillståndets fysik C, 7,5 hp"/>
    <m/>
    <s v="LYAGY"/>
    <m/>
    <n v="2019"/>
    <m/>
    <m/>
    <m/>
    <m/>
    <m/>
    <m/>
    <m/>
    <m/>
    <m/>
    <m/>
    <n v="0.625"/>
    <n v="0.85"/>
    <n v="0.53125"/>
    <x v="3"/>
    <s v="Inst för Fysik                "/>
    <s v="TekNat"/>
    <s v="Ämneslärarprogrammet - Gy"/>
    <n v="19473"/>
    <n v="34806"/>
    <n v="30661.3125"/>
    <n v="21800"/>
    <n v="13625"/>
    <n v="44286.3125"/>
    <n v="0"/>
    <n v="0"/>
    <n v="0"/>
    <n v="0"/>
    <n v="0"/>
    <n v="0"/>
    <n v="0"/>
    <n v="1"/>
    <n v="0"/>
    <n v="0"/>
    <n v="0"/>
    <n v="0"/>
  </r>
  <r>
    <s v="5FY040"/>
    <s v="Klassisk mekanik A"/>
    <m/>
    <s v="LYAGY"/>
    <m/>
    <n v="2019"/>
    <m/>
    <m/>
    <m/>
    <m/>
    <m/>
    <m/>
    <m/>
    <m/>
    <m/>
    <m/>
    <n v="0.25"/>
    <n v="0.85"/>
    <n v="0.21249999999999999"/>
    <x v="3"/>
    <s v="Inst för Fysik                "/>
    <s v="TekNat"/>
    <s v="Ämneslärarprogrammet - Gy"/>
    <n v="19473"/>
    <n v="34806"/>
    <n v="12264.525"/>
    <n v="21800"/>
    <n v="5450"/>
    <n v="17714.525000000001"/>
    <n v="0"/>
    <n v="0"/>
    <n v="0"/>
    <n v="0"/>
    <n v="0"/>
    <n v="0"/>
    <n v="0"/>
    <n v="1"/>
    <n v="0"/>
    <n v="0"/>
    <n v="0"/>
    <n v="0"/>
  </r>
  <r>
    <s v="5FY041"/>
    <s v="Klassisk mekanik A"/>
    <m/>
    <s v="LYAGY"/>
    <m/>
    <n v="2019"/>
    <m/>
    <m/>
    <m/>
    <m/>
    <m/>
    <m/>
    <m/>
    <m/>
    <m/>
    <m/>
    <n v="0.15"/>
    <n v="0.85"/>
    <n v="0.1275"/>
    <x v="3"/>
    <s v="Inst för Fysik                "/>
    <s v="TekNat"/>
    <s v="Ämneslärarprogrammet - Gy"/>
    <n v="19473"/>
    <n v="34806"/>
    <n v="7358.7150000000001"/>
    <n v="21800"/>
    <n v="3270"/>
    <n v="10628.715"/>
    <n v="0"/>
    <n v="0"/>
    <n v="0"/>
    <n v="0"/>
    <n v="0"/>
    <n v="0"/>
    <n v="0"/>
    <n v="1"/>
    <n v="0"/>
    <n v="0"/>
    <n v="0"/>
    <n v="0"/>
  </r>
  <r>
    <s v="5FY083"/>
    <s v="Termodynamik B"/>
    <m/>
    <s v="LYAGY"/>
    <m/>
    <n v="2019"/>
    <m/>
    <m/>
    <m/>
    <m/>
    <m/>
    <m/>
    <m/>
    <m/>
    <m/>
    <m/>
    <n v="0.2"/>
    <n v="0.85"/>
    <n v="0.17"/>
    <x v="3"/>
    <s v="Inst för Fysik                "/>
    <s v="TekNat"/>
    <s v="Ämneslärarprogrammet - Gy"/>
    <n v="19473"/>
    <n v="34806"/>
    <n v="9811.6200000000008"/>
    <n v="21800"/>
    <n v="4360"/>
    <n v="14171.62"/>
    <n v="0"/>
    <n v="0"/>
    <n v="0"/>
    <n v="0"/>
    <n v="0"/>
    <n v="0"/>
    <n v="0"/>
    <n v="1"/>
    <n v="0"/>
    <n v="0"/>
    <n v="0"/>
    <n v="0"/>
  </r>
  <r>
    <s v="5FY091"/>
    <s v="Vågfysik och optik B"/>
    <m/>
    <s v="LYAGY"/>
    <m/>
    <n v="2019"/>
    <m/>
    <m/>
    <m/>
    <m/>
    <m/>
    <m/>
    <m/>
    <m/>
    <m/>
    <m/>
    <n v="0.1"/>
    <n v="0.85"/>
    <n v="8.5000000000000006E-2"/>
    <x v="3"/>
    <s v="Inst för Fysik                "/>
    <s v="TekNat"/>
    <s v="Ämneslärarprogrammet - Gy"/>
    <n v="19473"/>
    <n v="34806"/>
    <n v="4905.8100000000004"/>
    <n v="21800"/>
    <n v="2180"/>
    <n v="7085.81"/>
    <n v="0"/>
    <n v="0"/>
    <n v="0"/>
    <n v="0"/>
    <n v="0"/>
    <n v="0"/>
    <n v="0"/>
    <n v="1"/>
    <n v="0"/>
    <n v="0"/>
    <n v="0"/>
    <n v="0"/>
  </r>
  <r>
    <s v="5FY127"/>
    <s v="Elektromagnetismens grunder"/>
    <m/>
    <s v="LYAGY"/>
    <m/>
    <n v="2019"/>
    <m/>
    <m/>
    <m/>
    <m/>
    <m/>
    <m/>
    <m/>
    <m/>
    <m/>
    <m/>
    <n v="0.1"/>
    <n v="0.85"/>
    <n v="8.5000000000000006E-2"/>
    <x v="3"/>
    <s v="Inst för Fysik                "/>
    <s v="TekNat"/>
    <s v="Ämneslärarprogrammet - Gy"/>
    <n v="19473"/>
    <n v="34806"/>
    <n v="4905.8100000000004"/>
    <n v="21800"/>
    <n v="2180"/>
    <n v="7085.81"/>
    <n v="0"/>
    <n v="0"/>
    <n v="0"/>
    <n v="0"/>
    <n v="0"/>
    <n v="0.5"/>
    <n v="0"/>
    <n v="0.5"/>
    <n v="0"/>
    <n v="0"/>
    <n v="0"/>
    <n v="0"/>
  </r>
  <r>
    <s v="5FY154"/>
    <s v="Fördjupning i termodynamik"/>
    <m/>
    <s v="LYAGY"/>
    <m/>
    <n v="2019"/>
    <m/>
    <m/>
    <m/>
    <m/>
    <m/>
    <m/>
    <m/>
    <m/>
    <m/>
    <m/>
    <n v="0.05"/>
    <n v="0.85"/>
    <n v="4.2500000000000003E-2"/>
    <x v="3"/>
    <s v="Inst för Fysik                "/>
    <s v="TekNat"/>
    <s v="Ämneslärarprogrammet - Gy"/>
    <n v="19473"/>
    <n v="34806"/>
    <n v="2452.9050000000002"/>
    <n v="21800"/>
    <n v="1090"/>
    <n v="3542.9050000000002"/>
    <n v="0"/>
    <n v="0"/>
    <n v="0"/>
    <n v="0"/>
    <n v="0"/>
    <n v="0.5"/>
    <n v="0"/>
    <n v="0.5"/>
    <n v="0"/>
    <n v="0"/>
    <n v="0"/>
    <n v="0"/>
  </r>
  <r>
    <s v="5FY178"/>
    <s v="Avancerade material, 7,5 hp"/>
    <m/>
    <s v="LYAGY"/>
    <m/>
    <n v="2019"/>
    <m/>
    <m/>
    <m/>
    <m/>
    <m/>
    <m/>
    <m/>
    <m/>
    <m/>
    <m/>
    <n v="0.25"/>
    <n v="0.85"/>
    <n v="0.21249999999999999"/>
    <x v="3"/>
    <s v="Inst för Fysik                "/>
    <s v="TekNat"/>
    <s v="Ämneslärarprogrammet - Gy"/>
    <n v="19473"/>
    <n v="34806"/>
    <n v="12264.525"/>
    <n v="21800"/>
    <n v="5450"/>
    <n v="17714.525000000001"/>
    <n v="0"/>
    <n v="0"/>
    <n v="0"/>
    <n v="0"/>
    <n v="0"/>
    <n v="0.5"/>
    <n v="0"/>
    <n v="0.5"/>
    <n v="0"/>
    <n v="0"/>
    <n v="0"/>
    <n v="0"/>
  </r>
  <r>
    <s v="5FY185"/>
    <s v="Solceller, 7,5 hp"/>
    <m/>
    <s v="LYAGY"/>
    <m/>
    <n v="2019"/>
    <m/>
    <m/>
    <m/>
    <m/>
    <m/>
    <m/>
    <m/>
    <m/>
    <m/>
    <m/>
    <n v="0.25"/>
    <n v="0.85"/>
    <n v="0.21249999999999999"/>
    <x v="3"/>
    <s v="Inst för Fysik                "/>
    <s v="TekNat"/>
    <s v="Ämneslärarprogrammet - Gy"/>
    <n v="19473"/>
    <n v="34806"/>
    <n v="12264.525"/>
    <n v="21800"/>
    <n v="5450"/>
    <n v="17714.525000000001"/>
    <n v="0"/>
    <n v="0"/>
    <n v="0"/>
    <n v="0"/>
    <n v="0"/>
    <n v="0.5"/>
    <n v="0"/>
    <n v="0.5"/>
    <n v="0"/>
    <n v="0"/>
    <n v="0"/>
    <n v="0"/>
  </r>
  <r>
    <s v="5FY205"/>
    <s v="Modern fysik"/>
    <m/>
    <s v="LYAGY"/>
    <m/>
    <n v="2019"/>
    <m/>
    <m/>
    <m/>
    <m/>
    <m/>
    <m/>
    <m/>
    <m/>
    <m/>
    <m/>
    <n v="7.4999999999999997E-2"/>
    <n v="0.85"/>
    <n v="6.3750000000000001E-2"/>
    <x v="3"/>
    <s v="Inst för Fysik                "/>
    <s v="TekNat"/>
    <s v="Ämneslärarprogrammet - Gy"/>
    <n v="19473"/>
    <n v="34806"/>
    <n v="3679.3575000000001"/>
    <n v="21800"/>
    <n v="1635"/>
    <n v="5314.3575000000001"/>
    <n v="0"/>
    <n v="0"/>
    <n v="0"/>
    <n v="0"/>
    <n v="0"/>
    <n v="0.5"/>
    <n v="0"/>
    <n v="0.5"/>
    <n v="0"/>
    <n v="0"/>
    <n v="0"/>
    <n v="0"/>
  </r>
  <r>
    <s v="5KE002"/>
    <s v="Akvatisk kemi"/>
    <m/>
    <s v="LYAGY"/>
    <m/>
    <n v="2019"/>
    <m/>
    <m/>
    <m/>
    <m/>
    <m/>
    <m/>
    <m/>
    <m/>
    <m/>
    <m/>
    <n v="0.25"/>
    <n v="0.85"/>
    <n v="0.21249999999999999"/>
    <x v="4"/>
    <s v="Kemiska institutionen         "/>
    <s v="TekNat"/>
    <s v="Ämneslärarprogrammet - Gy"/>
    <n v="19473"/>
    <n v="34806"/>
    <n v="12264.525"/>
    <n v="21800"/>
    <n v="5450"/>
    <n v="17714.525000000001"/>
    <n v="0"/>
    <n v="0"/>
    <n v="0"/>
    <n v="0"/>
    <n v="0"/>
    <n v="0"/>
    <n v="0"/>
    <n v="1"/>
    <n v="0"/>
    <n v="0"/>
    <n v="0"/>
    <n v="0"/>
  </r>
  <r>
    <s v="5KE020"/>
    <s v="Biokemi 15 hp"/>
    <m/>
    <s v="LYAGY"/>
    <m/>
    <n v="2019"/>
    <m/>
    <m/>
    <m/>
    <m/>
    <m/>
    <m/>
    <m/>
    <m/>
    <m/>
    <m/>
    <n v="0.5"/>
    <n v="0.85"/>
    <n v="0.42499999999999999"/>
    <x v="4"/>
    <s v="Kemiska institutionen         "/>
    <s v="TekNat"/>
    <s v="Ämneslärarprogrammet - Gy"/>
    <n v="19473"/>
    <n v="34806"/>
    <n v="24529.05"/>
    <n v="21800"/>
    <n v="10900"/>
    <n v="35429.050000000003"/>
    <n v="0"/>
    <n v="0"/>
    <n v="0"/>
    <n v="0"/>
    <n v="0"/>
    <n v="0"/>
    <n v="0"/>
    <n v="1"/>
    <n v="0"/>
    <n v="0"/>
    <n v="0"/>
    <n v="0"/>
  </r>
  <r>
    <s v="5KE034"/>
    <s v="Biofysikalisk kemi: Termodynamik"/>
    <m/>
    <s v="LYAGY"/>
    <m/>
    <n v="2019"/>
    <m/>
    <m/>
    <m/>
    <m/>
    <m/>
    <m/>
    <m/>
    <m/>
    <m/>
    <m/>
    <n v="0.125"/>
    <n v="0.85"/>
    <n v="0.10625"/>
    <x v="4"/>
    <s v="Kemiska institutionen         "/>
    <s v="TekNat"/>
    <s v="Ämneslärarprogrammet - Gy"/>
    <n v="19473"/>
    <n v="34806"/>
    <n v="6132.2624999999998"/>
    <n v="21800"/>
    <n v="2725"/>
    <n v="8857.2625000000007"/>
    <n v="0"/>
    <n v="0"/>
    <n v="0"/>
    <n v="0"/>
    <n v="0"/>
    <n v="1"/>
    <n v="0"/>
    <n v="0"/>
    <n v="0"/>
    <n v="0"/>
    <n v="0"/>
    <n v="0"/>
  </r>
  <r>
    <s v="5KE038"/>
    <s v="Biofysikalisk kemi: Spektroskopi"/>
    <m/>
    <s v="LYAGY"/>
    <m/>
    <n v="2019"/>
    <m/>
    <m/>
    <m/>
    <m/>
    <m/>
    <m/>
    <m/>
    <m/>
    <m/>
    <m/>
    <n v="0.125"/>
    <n v="0.85"/>
    <n v="0.10625"/>
    <x v="4"/>
    <s v="Kemiska institutionen         "/>
    <s v="TekNat"/>
    <s v="Ämneslärarprogrammet - Gy"/>
    <n v="19473"/>
    <n v="34806"/>
    <n v="6132.2624999999998"/>
    <n v="21800"/>
    <n v="2725"/>
    <n v="8857.2625000000007"/>
    <n v="0"/>
    <n v="0"/>
    <n v="0"/>
    <n v="0"/>
    <n v="0"/>
    <n v="1"/>
    <n v="0"/>
    <n v="0"/>
    <n v="0"/>
    <n v="0"/>
    <n v="0"/>
    <n v="0"/>
  </r>
  <r>
    <s v="5KE081"/>
    <s v="Analytisk kemi"/>
    <m/>
    <s v="LYAGY"/>
    <m/>
    <n v="2019"/>
    <m/>
    <m/>
    <m/>
    <m/>
    <m/>
    <m/>
    <m/>
    <m/>
    <m/>
    <m/>
    <n v="0.5"/>
    <n v="0.85"/>
    <n v="0.42499999999999999"/>
    <x v="4"/>
    <s v="Kemiska institutionen         "/>
    <s v="TekNat"/>
    <s v="Ämneslärarprogrammet - Gy"/>
    <n v="19473"/>
    <n v="34806"/>
    <n v="24529.05"/>
    <n v="21800"/>
    <n v="10900"/>
    <n v="35429.050000000003"/>
    <n v="0"/>
    <n v="0"/>
    <n v="0"/>
    <n v="0"/>
    <n v="0"/>
    <n v="0"/>
    <n v="0"/>
    <n v="1"/>
    <n v="0"/>
    <n v="0"/>
    <n v="0"/>
    <n v="0"/>
  </r>
  <r>
    <s v="5KE111"/>
    <s v="Biologisk kemi"/>
    <m/>
    <s v="LYAGY"/>
    <m/>
    <n v="2019"/>
    <m/>
    <m/>
    <m/>
    <m/>
    <m/>
    <m/>
    <m/>
    <m/>
    <m/>
    <m/>
    <n v="1"/>
    <n v="0.85"/>
    <n v="0.85"/>
    <x v="4"/>
    <s v="Kemiska institutionen         "/>
    <s v="TekNat"/>
    <s v="Ämneslärarprogrammet - Gy"/>
    <n v="19473"/>
    <n v="34806"/>
    <n v="49058.1"/>
    <n v="21800"/>
    <n v="21800"/>
    <n v="70858.100000000006"/>
    <n v="0"/>
    <n v="0"/>
    <n v="0"/>
    <n v="0"/>
    <n v="0"/>
    <n v="1"/>
    <n v="0"/>
    <n v="0"/>
    <n v="0"/>
    <n v="0"/>
    <n v="0"/>
    <n v="0"/>
  </r>
  <r>
    <s v="5KE165"/>
    <s v="Kemins grunder"/>
    <m/>
    <s v="LYAGY"/>
    <m/>
    <n v="2019"/>
    <m/>
    <m/>
    <m/>
    <m/>
    <m/>
    <m/>
    <m/>
    <m/>
    <m/>
    <m/>
    <n v="1.25"/>
    <n v="0.85"/>
    <n v="1.0625"/>
    <x v="4"/>
    <s v="Kemiska institutionen         "/>
    <s v="TekNat"/>
    <s v="Ämneslärarprogrammet - Gy"/>
    <n v="19473"/>
    <n v="34806"/>
    <n v="61322.625"/>
    <n v="21800"/>
    <n v="27250"/>
    <n v="88572.625"/>
    <n v="0"/>
    <n v="0"/>
    <n v="0"/>
    <n v="0"/>
    <n v="0"/>
    <n v="0.5"/>
    <n v="0"/>
    <n v="0.5"/>
    <n v="0"/>
    <n v="0"/>
    <n v="0"/>
    <n v="0"/>
  </r>
  <r>
    <s v="5KE177"/>
    <s v="Avancerad miljökemi"/>
    <m/>
    <s v="LYAGY"/>
    <m/>
    <n v="2019"/>
    <m/>
    <m/>
    <m/>
    <m/>
    <m/>
    <m/>
    <m/>
    <m/>
    <m/>
    <m/>
    <n v="0.25"/>
    <n v="0.85"/>
    <n v="0.21249999999999999"/>
    <x v="4"/>
    <s v="Kemiska institutionen         "/>
    <s v="TekNat"/>
    <s v="Ämneslärarprogrammet - Gy"/>
    <n v="19473"/>
    <n v="34806"/>
    <n v="12264.525"/>
    <n v="21800"/>
    <n v="5450"/>
    <n v="17714.525000000001"/>
    <n v="0"/>
    <n v="0"/>
    <n v="0"/>
    <n v="0"/>
    <n v="0"/>
    <n v="0.5"/>
    <n v="0"/>
    <n v="0.5"/>
    <n v="0"/>
    <n v="0"/>
    <n v="0"/>
    <n v="0"/>
  </r>
  <r>
    <s v="5KE180"/>
    <s v="Organisk kemi"/>
    <m/>
    <s v="LYAGY"/>
    <m/>
    <n v="2019"/>
    <m/>
    <m/>
    <m/>
    <m/>
    <m/>
    <m/>
    <m/>
    <m/>
    <m/>
    <m/>
    <n v="0.5"/>
    <n v="0.85"/>
    <n v="0.42499999999999999"/>
    <x v="4"/>
    <s v="Kemiska institutionen         "/>
    <s v="TekNat"/>
    <s v="Ämneslärarprogrammet - Gy"/>
    <n v="19473"/>
    <n v="34806"/>
    <n v="24529.05"/>
    <n v="21800"/>
    <n v="10900"/>
    <n v="35429.050000000003"/>
    <n v="0"/>
    <n v="0"/>
    <n v="0"/>
    <n v="0"/>
    <n v="0"/>
    <n v="1"/>
    <n v="0"/>
    <n v="0"/>
    <n v="0"/>
    <n v="0"/>
    <n v="0"/>
    <n v="0"/>
  </r>
  <r>
    <s v="5MA143"/>
    <s v="Introduktion till diskret matematik"/>
    <m/>
    <s v="LYAGY"/>
    <m/>
    <n v="2019"/>
    <m/>
    <m/>
    <m/>
    <m/>
    <m/>
    <m/>
    <m/>
    <m/>
    <m/>
    <m/>
    <n v="0.25"/>
    <n v="0.85"/>
    <n v="0.21249999999999999"/>
    <x v="5"/>
    <s v="Inst för MA och MA statistik"/>
    <s v="TekNat"/>
    <s v="Ämneslärarprogrammet - Gy"/>
    <n v="19473"/>
    <n v="34806"/>
    <n v="12264.525"/>
    <n v="21800"/>
    <n v="5450"/>
    <n v="17714.525000000001"/>
    <n v="0"/>
    <n v="0"/>
    <n v="0"/>
    <n v="0"/>
    <n v="0"/>
    <n v="0.5"/>
    <n v="0"/>
    <n v="0.5"/>
    <n v="0"/>
    <n v="0"/>
    <n v="0"/>
    <n v="0"/>
  </r>
  <r>
    <s v="5MA198"/>
    <s v="Envariabelanalys 2"/>
    <m/>
    <s v="LYAGY"/>
    <m/>
    <n v="2019"/>
    <m/>
    <m/>
    <m/>
    <m/>
    <m/>
    <m/>
    <m/>
    <m/>
    <m/>
    <m/>
    <n v="0.125"/>
    <n v="0.85"/>
    <n v="0.10625"/>
    <x v="5"/>
    <s v="Inst för MA och MA statistik"/>
    <s v="TekNat"/>
    <s v="Ämneslärarprogrammet - Gy"/>
    <n v="19473"/>
    <n v="34806"/>
    <n v="6132.2624999999998"/>
    <n v="21800"/>
    <n v="2725"/>
    <n v="8857.2625000000007"/>
    <n v="0"/>
    <n v="0"/>
    <n v="0"/>
    <n v="0"/>
    <n v="0"/>
    <n v="0.5"/>
    <n v="0"/>
    <n v="0.5"/>
    <n v="0"/>
    <n v="0"/>
    <n v="0"/>
    <n v="0"/>
  </r>
  <r>
    <s v="6BI009"/>
    <s v="Examensarbete för ämneslärarexamen - Biologi"/>
    <m/>
    <s v="LYAGY"/>
    <m/>
    <n v="2019"/>
    <m/>
    <m/>
    <m/>
    <m/>
    <m/>
    <m/>
    <m/>
    <m/>
    <m/>
    <m/>
    <n v="1.125"/>
    <n v="0.85"/>
    <n v="0.95624999999999993"/>
    <x v="6"/>
    <s v="NMD"/>
    <s v="TekNat"/>
    <s v="Ämneslärarprogrammet - Gy"/>
    <n v="19473"/>
    <n v="34806"/>
    <n v="55190.362499999996"/>
    <n v="21800"/>
    <n v="24525"/>
    <n v="79715.362499999988"/>
    <n v="0"/>
    <n v="0"/>
    <n v="0"/>
    <n v="0"/>
    <n v="0"/>
    <n v="1"/>
    <n v="0"/>
    <n v="0"/>
    <n v="0"/>
    <n v="0"/>
    <n v="0"/>
    <n v="0"/>
  </r>
  <r>
    <s v="6BI020"/>
    <s v="Läraryrkets dimensioner - ingångsämne biologi (VFU)"/>
    <m/>
    <s v="LYAGY"/>
    <m/>
    <n v="2019"/>
    <m/>
    <m/>
    <m/>
    <m/>
    <m/>
    <m/>
    <m/>
    <m/>
    <m/>
    <m/>
    <n v="1.125"/>
    <n v="0.85"/>
    <n v="0.95624999999999993"/>
    <x v="6"/>
    <s v="NMD"/>
    <s v="TekNat"/>
    <s v="Ämneslärarprogrammet - Gy"/>
    <n v="21634"/>
    <n v="26986"/>
    <n v="50143.612500000003"/>
    <n v="3400"/>
    <n v="3825"/>
    <n v="53968.612500000003"/>
    <n v="0"/>
    <n v="0"/>
    <n v="0"/>
    <n v="0"/>
    <n v="0"/>
    <n v="0"/>
    <n v="0"/>
    <n v="0"/>
    <n v="1"/>
    <n v="0"/>
    <n v="0"/>
    <n v="0"/>
  </r>
  <r>
    <s v="6BI022"/>
    <s v="Naturens mångfald för naturkunskapslärare"/>
    <m/>
    <s v="LYAGY"/>
    <m/>
    <n v="2019"/>
    <m/>
    <m/>
    <m/>
    <m/>
    <m/>
    <m/>
    <m/>
    <m/>
    <m/>
    <m/>
    <n v="0.75"/>
    <n v="0.85"/>
    <n v="0.63749999999999996"/>
    <x v="1"/>
    <s v="EMG"/>
    <s v="TekNat"/>
    <s v="Ämneslärarprogrammet - Gy"/>
    <n v="19473"/>
    <n v="34806"/>
    <n v="36793.574999999997"/>
    <n v="21800"/>
    <n v="16350"/>
    <n v="53143.574999999997"/>
    <n v="0"/>
    <n v="0"/>
    <n v="0"/>
    <n v="0"/>
    <n v="0"/>
    <n v="1"/>
    <n v="0"/>
    <n v="0"/>
    <n v="0"/>
    <n v="0"/>
    <n v="0"/>
    <n v="0"/>
  </r>
  <r>
    <s v="6BI023"/>
    <s v="Artkunskap och systematik för biologilärare"/>
    <m/>
    <s v="LYAGY"/>
    <m/>
    <n v="2019"/>
    <m/>
    <m/>
    <m/>
    <m/>
    <m/>
    <m/>
    <m/>
    <m/>
    <m/>
    <m/>
    <n v="2.5"/>
    <n v="0.85"/>
    <n v="2.125"/>
    <x v="1"/>
    <s v="EMG"/>
    <s v="TekNat"/>
    <s v="Ämneslärarprogrammet - Gy"/>
    <n v="19473"/>
    <n v="34806"/>
    <n v="122645.25"/>
    <n v="21800"/>
    <n v="54500"/>
    <n v="177145.25"/>
    <n v="0"/>
    <n v="0"/>
    <n v="0"/>
    <n v="0"/>
    <n v="0"/>
    <n v="1"/>
    <n v="0"/>
    <n v="0"/>
    <n v="0"/>
    <n v="0"/>
    <n v="0"/>
    <n v="0"/>
  </r>
  <r>
    <s v="6BI101"/>
    <s v="Biologididaktik 1 för ämneslärare för gymnasium"/>
    <m/>
    <s v="LYAGY"/>
    <m/>
    <n v="2019"/>
    <m/>
    <m/>
    <m/>
    <m/>
    <m/>
    <m/>
    <m/>
    <m/>
    <m/>
    <m/>
    <n v="1"/>
    <n v="0.85"/>
    <n v="0.85"/>
    <x v="6"/>
    <s v="NMD"/>
    <s v="TekNat"/>
    <s v="Ämneslärarprogrammet - Gy"/>
    <n v="19473"/>
    <n v="34806"/>
    <n v="49058.1"/>
    <n v="21800"/>
    <n v="21800"/>
    <n v="70858.100000000006"/>
    <n v="0"/>
    <n v="0"/>
    <n v="0"/>
    <n v="0"/>
    <n v="0"/>
    <n v="1"/>
    <n v="0"/>
    <n v="0"/>
    <n v="0"/>
    <n v="0"/>
    <n v="0"/>
    <n v="0"/>
  </r>
  <r>
    <s v="6BI102"/>
    <s v="Biologididaktik 2 för ämneslärare för gymnasium"/>
    <m/>
    <s v="LYAGY"/>
    <m/>
    <n v="2019"/>
    <m/>
    <m/>
    <m/>
    <m/>
    <m/>
    <m/>
    <m/>
    <m/>
    <m/>
    <m/>
    <n v="1"/>
    <n v="0.85"/>
    <n v="0.85"/>
    <x v="6"/>
    <s v="NMD"/>
    <s v="TekNat"/>
    <s v="Ämneslärarprogrammet - Gy"/>
    <n v="19473"/>
    <n v="34806"/>
    <n v="49058.1"/>
    <n v="21800"/>
    <n v="21800"/>
    <n v="70858.100000000006"/>
    <n v="0"/>
    <n v="0"/>
    <n v="0"/>
    <n v="0"/>
    <n v="0"/>
    <n v="1"/>
    <n v="0"/>
    <n v="0"/>
    <n v="0"/>
    <n v="0"/>
    <n v="0"/>
    <n v="0"/>
  </r>
  <r>
    <s v="6DV000"/>
    <s v="Programmeringsteknik med C och Matlab"/>
    <m/>
    <s v="LYAGY"/>
    <m/>
    <n v="2019"/>
    <m/>
    <m/>
    <m/>
    <m/>
    <m/>
    <m/>
    <m/>
    <m/>
    <m/>
    <m/>
    <n v="0.125"/>
    <n v="0.85"/>
    <n v="0.10625"/>
    <x v="7"/>
    <s v="Inst för datavetenskap        "/>
    <s v="TekNat"/>
    <s v="Ämneslärarprogrammet - Gy"/>
    <n v="19473"/>
    <n v="34806"/>
    <n v="6132.2624999999998"/>
    <n v="21800"/>
    <n v="2725"/>
    <n v="8857.2625000000007"/>
    <n v="0"/>
    <n v="0"/>
    <n v="0"/>
    <n v="0"/>
    <n v="0"/>
    <n v="0.5"/>
    <n v="0"/>
    <n v="0.5"/>
    <n v="0"/>
    <n v="0"/>
    <n v="0"/>
    <n v="0"/>
  </r>
  <r>
    <s v="6EN019"/>
    <s v="Engelska I för ämneslärare med inriktning mot gymnasiet"/>
    <m/>
    <s v="LYAGY"/>
    <m/>
    <n v="2019"/>
    <m/>
    <m/>
    <m/>
    <m/>
    <m/>
    <m/>
    <m/>
    <m/>
    <m/>
    <m/>
    <n v="18"/>
    <n v="0.85"/>
    <n v="15.299999999999999"/>
    <x v="8"/>
    <s v="Inst för språkstudier"/>
    <s v="Hum"/>
    <s v="Ämneslärarprogrammet - Gy"/>
    <n v="18405"/>
    <n v="15773"/>
    <n v="572616.9"/>
    <n v="5800"/>
    <n v="104400"/>
    <n v="677016.9"/>
    <n v="0"/>
    <n v="1"/>
    <n v="0"/>
    <n v="0"/>
    <n v="0"/>
    <n v="0"/>
    <n v="0"/>
    <n v="0"/>
    <n v="0"/>
    <n v="0"/>
    <n v="0"/>
    <n v="0"/>
  </r>
  <r>
    <s v="6EN019"/>
    <s v="Engelska I för ämneslärare med inriktning mot gymnasiet"/>
    <m/>
    <s v="FRIST"/>
    <m/>
    <n v="2019"/>
    <m/>
    <m/>
    <m/>
    <m/>
    <m/>
    <m/>
    <m/>
    <m/>
    <m/>
    <m/>
    <n v="1"/>
    <n v="0.8"/>
    <n v="0.8"/>
    <x v="8"/>
    <s v="Inst för språkstudier"/>
    <s v="Hum"/>
    <s v="Fristående och övriga kurser"/>
    <n v="18405"/>
    <n v="15773"/>
    <n v="31023.4"/>
    <n v="5800"/>
    <n v="5800"/>
    <n v="36823.4"/>
    <n v="0"/>
    <n v="1"/>
    <n v="0"/>
    <n v="0"/>
    <n v="0"/>
    <n v="0"/>
    <n v="0"/>
    <n v="0"/>
    <n v="0"/>
    <n v="0"/>
    <n v="0"/>
    <n v="0"/>
  </r>
  <r>
    <s v="6EN035"/>
    <s v="Engelska 3 för ämneslärare med inriktning mot gymnasiet"/>
    <m/>
    <s v="LYAGY"/>
    <m/>
    <n v="2019"/>
    <m/>
    <m/>
    <m/>
    <m/>
    <m/>
    <m/>
    <m/>
    <m/>
    <m/>
    <m/>
    <n v="11.5"/>
    <n v="0.85"/>
    <n v="9.7750000000000004"/>
    <x v="8"/>
    <s v="Inst för språkstudier"/>
    <s v="Hum"/>
    <s v="Ämneslärarprogrammet - Gy"/>
    <n v="18405"/>
    <n v="15773"/>
    <n v="365838.57500000001"/>
    <n v="5800"/>
    <n v="66700"/>
    <n v="432538.57500000001"/>
    <n v="0"/>
    <n v="1"/>
    <n v="0"/>
    <n v="0"/>
    <n v="0"/>
    <n v="0"/>
    <n v="0"/>
    <n v="0"/>
    <n v="0"/>
    <n v="0"/>
    <n v="0"/>
    <n v="0"/>
  </r>
  <r>
    <s v="6EN035"/>
    <s v="Engelska 3 för ämneslärare med inriktning mot gymnasiet"/>
    <m/>
    <s v="FRIST"/>
    <m/>
    <n v="2019"/>
    <m/>
    <m/>
    <m/>
    <m/>
    <m/>
    <m/>
    <m/>
    <m/>
    <m/>
    <m/>
    <n v="1"/>
    <n v="0.8"/>
    <n v="0.8"/>
    <x v="8"/>
    <s v="Inst för språkstudier"/>
    <s v="Hum"/>
    <s v="Fristående och övriga kurser"/>
    <n v="18405"/>
    <n v="15773"/>
    <n v="31023.4"/>
    <n v="5800"/>
    <n v="5800"/>
    <n v="36823.4"/>
    <n v="0"/>
    <n v="1"/>
    <n v="0"/>
    <n v="0"/>
    <n v="0"/>
    <n v="0"/>
    <n v="0"/>
    <n v="0"/>
    <n v="0"/>
    <n v="0"/>
    <n v="0"/>
    <n v="0"/>
  </r>
  <r>
    <s v="6EN036"/>
    <s v="Engelska 2 för ämneslärare med inriktning mot gymnasiet"/>
    <m/>
    <s v="LYAGY"/>
    <m/>
    <n v="2019"/>
    <m/>
    <m/>
    <m/>
    <m/>
    <m/>
    <m/>
    <m/>
    <m/>
    <m/>
    <m/>
    <n v="16"/>
    <n v="0.85"/>
    <n v="13.6"/>
    <x v="8"/>
    <s v="Inst för språkstudier"/>
    <s v="Hum"/>
    <s v="Ämneslärarprogrammet - Gy"/>
    <n v="18405"/>
    <n v="15773"/>
    <n v="508992.8"/>
    <n v="5800"/>
    <n v="92800"/>
    <n v="601792.80000000005"/>
    <n v="0"/>
    <n v="1"/>
    <n v="0"/>
    <n v="0"/>
    <n v="0"/>
    <n v="0"/>
    <n v="0"/>
    <n v="0"/>
    <n v="0"/>
    <n v="0"/>
    <n v="0"/>
    <n v="0"/>
  </r>
  <r>
    <s v="6EN038"/>
    <s v="Att undervisa i engelska (VFU)"/>
    <m/>
    <s v="LYAGY"/>
    <m/>
    <n v="2019"/>
    <m/>
    <m/>
    <m/>
    <m/>
    <m/>
    <m/>
    <m/>
    <m/>
    <m/>
    <m/>
    <n v="1.2"/>
    <n v="0.85"/>
    <n v="1.02"/>
    <x v="8"/>
    <s v="Inst för språkstudier"/>
    <s v="Hum"/>
    <s v="Ämneslärarprogrammet - Gy"/>
    <n v="21634"/>
    <n v="26986"/>
    <n v="53486.520000000004"/>
    <n v="3400"/>
    <n v="4080"/>
    <n v="57566.520000000004"/>
    <n v="0"/>
    <n v="0"/>
    <n v="0"/>
    <n v="0"/>
    <n v="0"/>
    <n v="0"/>
    <n v="0"/>
    <n v="0"/>
    <n v="1"/>
    <n v="0"/>
    <n v="0"/>
    <n v="0"/>
  </r>
  <r>
    <s v="6EN039"/>
    <s v="Engelska för F-3, kurs 1"/>
    <m/>
    <s v="LYGFT"/>
    <m/>
    <n v="2019"/>
    <m/>
    <m/>
    <m/>
    <m/>
    <m/>
    <m/>
    <m/>
    <m/>
    <m/>
    <m/>
    <n v="5.875"/>
    <n v="0.85"/>
    <n v="4.9937499999999995"/>
    <x v="8"/>
    <s v="Inst för språkstudier"/>
    <s v="Hum"/>
    <s v="Grundlärarprogrammet - förskoleklass och åk 1-3"/>
    <n v="18405"/>
    <n v="15773"/>
    <n v="186895.79375000001"/>
    <n v="5800"/>
    <n v="34075"/>
    <n v="220970.79375000001"/>
    <n v="0"/>
    <n v="1"/>
    <n v="0"/>
    <n v="0"/>
    <n v="0"/>
    <n v="0"/>
    <n v="0"/>
    <n v="0"/>
    <n v="0"/>
    <n v="0"/>
    <n v="0"/>
    <n v="0"/>
  </r>
  <r>
    <s v="6EN040"/>
    <s v="Engelska för åk 4-6, kurs 1"/>
    <m/>
    <s v="LYGRM"/>
    <m/>
    <n v="2019"/>
    <m/>
    <m/>
    <m/>
    <m/>
    <m/>
    <m/>
    <m/>
    <m/>
    <m/>
    <m/>
    <n v="3.25"/>
    <n v="0.85"/>
    <n v="2.7624999999999997"/>
    <x v="8"/>
    <s v="Inst för språkstudier"/>
    <s v="Hum"/>
    <s v="Grundlärarprogrammet - grundskolans åk 4-6"/>
    <n v="18405"/>
    <n v="15773"/>
    <n v="103389.16250000001"/>
    <n v="5800"/>
    <n v="18850"/>
    <n v="122239.16250000001"/>
    <n v="0"/>
    <n v="1"/>
    <n v="0"/>
    <n v="0"/>
    <n v="0"/>
    <n v="0"/>
    <n v="0"/>
    <n v="0"/>
    <n v="0"/>
    <n v="0"/>
    <n v="0"/>
    <n v="0"/>
  </r>
  <r>
    <s v="6EN041"/>
    <s v="Engelska för F-3, kurs 2"/>
    <m/>
    <s v="LYGFT"/>
    <m/>
    <n v="2019"/>
    <m/>
    <m/>
    <m/>
    <m/>
    <m/>
    <m/>
    <m/>
    <m/>
    <m/>
    <m/>
    <n v="5.125"/>
    <n v="0.85"/>
    <n v="4.3562500000000002"/>
    <x v="8"/>
    <s v="Inst för språkstudier"/>
    <s v="Hum"/>
    <s v="Grundlärarprogrammet - förskoleklass och åk 1-3"/>
    <n v="18405"/>
    <n v="15773"/>
    <n v="163036.75625000001"/>
    <n v="5800"/>
    <n v="29725"/>
    <n v="192761.75625000001"/>
    <n v="0"/>
    <n v="1"/>
    <n v="0"/>
    <n v="0"/>
    <n v="0"/>
    <n v="0"/>
    <n v="0"/>
    <n v="0"/>
    <n v="0"/>
    <n v="0"/>
    <n v="0"/>
    <n v="0"/>
  </r>
  <r>
    <s v="6EN042"/>
    <s v="Engelska för åk 4-6, kurs 2"/>
    <m/>
    <s v="LYGRM"/>
    <m/>
    <n v="2019"/>
    <m/>
    <m/>
    <m/>
    <m/>
    <m/>
    <m/>
    <m/>
    <m/>
    <m/>
    <m/>
    <n v="2.625"/>
    <n v="0.85"/>
    <n v="2.2312499999999997"/>
    <x v="8"/>
    <s v="Inst för språkstudier"/>
    <s v="Hum"/>
    <s v="Grundlärarprogrammet - grundskolans åk 4-6"/>
    <n v="18405"/>
    <n v="15773"/>
    <n v="83506.631250000006"/>
    <n v="5800"/>
    <n v="15225"/>
    <n v="98731.631250000006"/>
    <n v="0"/>
    <n v="1"/>
    <n v="0"/>
    <n v="0"/>
    <n v="0"/>
    <n v="0"/>
    <n v="0"/>
    <n v="0"/>
    <n v="0"/>
    <n v="0"/>
    <n v="0"/>
    <n v="0"/>
  </r>
  <r>
    <s v="6EN043"/>
    <s v="Engelska för åk 4-6, kurs 3"/>
    <m/>
    <s v="LYGRM"/>
    <m/>
    <n v="2019"/>
    <m/>
    <m/>
    <m/>
    <m/>
    <m/>
    <m/>
    <m/>
    <m/>
    <m/>
    <m/>
    <n v="7"/>
    <n v="0.85"/>
    <n v="5.95"/>
    <x v="8"/>
    <s v="Inst för språkstudier"/>
    <s v="Hum"/>
    <s v="Grundlärarprogrammet - grundskolans åk 4-6"/>
    <n v="18405"/>
    <n v="15773"/>
    <n v="222684.35"/>
    <n v="5800"/>
    <n v="40600"/>
    <n v="263284.34999999998"/>
    <n v="0"/>
    <n v="1"/>
    <n v="0"/>
    <n v="0"/>
    <n v="0"/>
    <n v="0"/>
    <n v="0"/>
    <n v="0"/>
    <n v="0"/>
    <n v="0"/>
    <n v="0"/>
    <n v="0"/>
  </r>
  <r>
    <s v="6EN044"/>
    <s v="Kommunikativ kompetens i engelska för grundlärare"/>
    <m/>
    <s v="FRIST"/>
    <m/>
    <n v="2019"/>
    <m/>
    <m/>
    <m/>
    <m/>
    <m/>
    <m/>
    <m/>
    <m/>
    <m/>
    <m/>
    <n v="3.375"/>
    <n v="0.8"/>
    <n v="2.7"/>
    <x v="8"/>
    <s v="Inst för språkstudier"/>
    <s v="Hum"/>
    <s v="Fristående och övriga kurser"/>
    <n v="18405"/>
    <n v="15773"/>
    <n v="104703.97500000001"/>
    <n v="5800"/>
    <n v="19575"/>
    <n v="124278.97500000001"/>
    <n v="0"/>
    <n v="1"/>
    <n v="0"/>
    <n v="0"/>
    <n v="0"/>
    <n v="0"/>
    <n v="0"/>
    <n v="0"/>
    <n v="0"/>
    <n v="0"/>
    <n v="0"/>
    <n v="0"/>
  </r>
  <r>
    <s v="6ES016"/>
    <s v="Forskning och utvecklingsarbete"/>
    <m/>
    <s v="FRIST"/>
    <m/>
    <n v="2019"/>
    <m/>
    <m/>
    <m/>
    <m/>
    <m/>
    <m/>
    <m/>
    <m/>
    <m/>
    <m/>
    <n v="3.75"/>
    <n v="0.8"/>
    <n v="3"/>
    <x v="9"/>
    <s v="Estetiska ämnen               "/>
    <s v="Hum"/>
    <s v="Fristående och övriga kurser"/>
    <n v="18405"/>
    <n v="15773"/>
    <n v="116337.75"/>
    <n v="5800"/>
    <n v="21750"/>
    <n v="138087.75"/>
    <n v="0"/>
    <n v="0"/>
    <n v="0"/>
    <n v="0"/>
    <n v="0"/>
    <n v="0"/>
    <n v="1"/>
    <n v="0"/>
    <n v="0"/>
    <n v="0"/>
    <n v="0"/>
    <n v="0"/>
  </r>
  <r>
    <s v="6ES026"/>
    <s v="Skapande bild, distans"/>
    <m/>
    <s v="FRIST"/>
    <m/>
    <n v="2019"/>
    <m/>
    <m/>
    <m/>
    <m/>
    <m/>
    <m/>
    <m/>
    <m/>
    <m/>
    <m/>
    <n v="4.25"/>
    <n v="0.8"/>
    <n v="3.4000000000000004"/>
    <x v="9"/>
    <s v="Estetiska ämnen               "/>
    <s v="Hum"/>
    <s v="Fristående och övriga kurser"/>
    <n v="40569"/>
    <n v="46697.75"/>
    <n v="331190.59999999998"/>
    <n v="53200"/>
    <n v="226100"/>
    <n v="557290.6"/>
    <n v="0.75"/>
    <n v="0.25"/>
    <n v="0"/>
    <n v="0"/>
    <n v="0"/>
    <n v="0"/>
    <n v="0"/>
    <n v="0"/>
    <n v="0"/>
    <n v="0"/>
    <n v="0"/>
    <n v="0"/>
  </r>
  <r>
    <s v="6ES034"/>
    <s v="Bild 3"/>
    <m/>
    <s v="LYAGY"/>
    <m/>
    <n v="2019"/>
    <m/>
    <m/>
    <m/>
    <m/>
    <m/>
    <m/>
    <m/>
    <m/>
    <m/>
    <m/>
    <n v="1"/>
    <n v="0.85"/>
    <n v="0.85"/>
    <x v="9"/>
    <s v="Estetiska ämnen               "/>
    <s v="Hum"/>
    <s v="Ämneslärarprogrammet - Gy"/>
    <n v="47957"/>
    <n v="57006"/>
    <n v="96412.1"/>
    <n v="69000"/>
    <n v="69000"/>
    <n v="165412.1"/>
    <n v="1"/>
    <n v="0"/>
    <n v="0"/>
    <n v="0"/>
    <n v="0"/>
    <n v="0"/>
    <n v="0"/>
    <n v="0"/>
    <n v="0"/>
    <n v="0"/>
    <n v="0"/>
    <n v="0"/>
  </r>
  <r>
    <s v="6ES037"/>
    <s v="Läraryrkets dimensioner (Estetiska ämnen)"/>
    <m/>
    <s v="LYAGR"/>
    <m/>
    <n v="2019"/>
    <m/>
    <m/>
    <m/>
    <m/>
    <m/>
    <m/>
    <m/>
    <m/>
    <m/>
    <m/>
    <n v="0.375"/>
    <n v="0.85"/>
    <n v="0.31874999999999998"/>
    <x v="9"/>
    <s v="Estetiska ämnen               "/>
    <s v="Hum"/>
    <s v="Ämneslärarprogrammet - åk 7-9"/>
    <n v="21634"/>
    <n v="26986"/>
    <n v="16714.537499999999"/>
    <n v="3400"/>
    <n v="1275"/>
    <n v="17989.537499999999"/>
    <n v="0"/>
    <n v="0"/>
    <n v="0"/>
    <n v="0"/>
    <n v="0"/>
    <n v="0"/>
    <n v="0"/>
    <n v="0"/>
    <n v="1"/>
    <n v="0"/>
    <n v="0"/>
    <n v="0"/>
  </r>
  <r>
    <s v="6ES037"/>
    <s v="Läraryrkets dimensioner (Estetiska ämnen)"/>
    <m/>
    <s v="LYAGY"/>
    <m/>
    <n v="2019"/>
    <m/>
    <m/>
    <m/>
    <m/>
    <m/>
    <m/>
    <m/>
    <m/>
    <m/>
    <m/>
    <n v="3"/>
    <n v="0.85"/>
    <n v="2.5499999999999998"/>
    <x v="9"/>
    <s v="Estetiska ämnen               "/>
    <s v="Hum"/>
    <s v="Ämneslärarprogrammet - Gy"/>
    <n v="21634"/>
    <n v="26986"/>
    <n v="133716.29999999999"/>
    <n v="3400"/>
    <n v="10200"/>
    <n v="143916.29999999999"/>
    <n v="0"/>
    <n v="0"/>
    <n v="0"/>
    <n v="0"/>
    <n v="0"/>
    <n v="0"/>
    <n v="0"/>
    <n v="0"/>
    <n v="1"/>
    <n v="0"/>
    <n v="0"/>
    <n v="0"/>
  </r>
  <r>
    <s v="6ES038"/>
    <s v="Examensarbete - estetiska ämnen"/>
    <m/>
    <s v="LYAGR"/>
    <m/>
    <n v="2019"/>
    <m/>
    <m/>
    <m/>
    <m/>
    <m/>
    <m/>
    <m/>
    <m/>
    <m/>
    <m/>
    <n v="0.125"/>
    <n v="0.85"/>
    <n v="0.10625"/>
    <x v="9"/>
    <s v="Estetiska ämnen               "/>
    <s v="Hum"/>
    <s v="Ämneslärarprogrammet - åk 7-9"/>
    <n v="18405"/>
    <n v="15773"/>
    <n v="3976.5062499999999"/>
    <n v="5800"/>
    <n v="725"/>
    <n v="4701.5062500000004"/>
    <n v="0"/>
    <n v="1"/>
    <n v="0"/>
    <n v="0"/>
    <n v="0"/>
    <n v="0"/>
    <n v="0"/>
    <n v="0"/>
    <n v="0"/>
    <n v="0"/>
    <n v="0"/>
    <n v="0"/>
  </r>
  <r>
    <s v="6ES038"/>
    <s v="Examensarbete - estetiska ämnen"/>
    <m/>
    <s v="LYAGY"/>
    <m/>
    <n v="2019"/>
    <m/>
    <m/>
    <m/>
    <m/>
    <m/>
    <m/>
    <m/>
    <m/>
    <m/>
    <m/>
    <n v="1.625"/>
    <n v="0.85"/>
    <n v="1.3812499999999999"/>
    <x v="9"/>
    <s v="Estetiska ämnen               "/>
    <s v="Hum"/>
    <s v="Ämneslärarprogrammet - Gy"/>
    <n v="18405"/>
    <n v="15773"/>
    <n v="51694.581250000003"/>
    <n v="5800"/>
    <n v="9425"/>
    <n v="61119.581250000003"/>
    <n v="0"/>
    <n v="1"/>
    <n v="0"/>
    <n v="0"/>
    <n v="0"/>
    <n v="0"/>
    <n v="0"/>
    <n v="0"/>
    <n v="0"/>
    <n v="0"/>
    <n v="0"/>
    <n v="0"/>
  </r>
  <r>
    <s v="6ES038"/>
    <s v="Examensarbete - estetiska ämnen"/>
    <m/>
    <s v="FRIST"/>
    <m/>
    <n v="2019"/>
    <m/>
    <m/>
    <m/>
    <m/>
    <m/>
    <m/>
    <m/>
    <m/>
    <m/>
    <m/>
    <n v="0.375"/>
    <n v="0.8"/>
    <n v="0.30000000000000004"/>
    <x v="9"/>
    <s v="Estetiska ämnen               "/>
    <s v="Hum"/>
    <s v="Fristående och övriga kurser"/>
    <n v="18405"/>
    <n v="15773"/>
    <n v="11633.775000000001"/>
    <n v="5800"/>
    <n v="2175"/>
    <n v="13808.775000000001"/>
    <n v="0"/>
    <n v="1"/>
    <n v="0"/>
    <n v="0"/>
    <n v="0"/>
    <n v="0"/>
    <n v="0"/>
    <n v="0"/>
    <n v="0"/>
    <n v="0"/>
    <n v="0"/>
    <n v="0"/>
  </r>
  <r>
    <s v="6ES066"/>
    <s v="Ämnesdidaktik i skolpraktiken, del 1"/>
    <m/>
    <s v="LYKGR"/>
    <m/>
    <n v="2019"/>
    <m/>
    <m/>
    <m/>
    <m/>
    <m/>
    <m/>
    <m/>
    <m/>
    <m/>
    <m/>
    <n v="3.25"/>
    <n v="0.85"/>
    <n v="2.7624999999999997"/>
    <x v="9"/>
    <s v="Estetiska ämnen               "/>
    <s v="Hum"/>
    <s v="KPU - åk 7-9"/>
    <n v="21634"/>
    <n v="26986"/>
    <n v="144859.32500000001"/>
    <n v="3400"/>
    <n v="11050"/>
    <n v="155909.32500000001"/>
    <n v="0"/>
    <n v="0"/>
    <n v="0"/>
    <n v="0"/>
    <n v="0"/>
    <n v="0"/>
    <n v="0"/>
    <n v="0"/>
    <n v="1"/>
    <n v="0"/>
    <n v="0"/>
    <n v="0"/>
  </r>
  <r>
    <s v="6ES066"/>
    <s v="Ämnesdidaktik i skolpraktiken, del 1"/>
    <m/>
    <s v="LYKGY"/>
    <m/>
    <n v="2019"/>
    <m/>
    <m/>
    <m/>
    <m/>
    <m/>
    <m/>
    <m/>
    <m/>
    <m/>
    <m/>
    <n v="2.25"/>
    <n v="0.85"/>
    <n v="1.9124999999999999"/>
    <x v="9"/>
    <s v="Estetiska ämnen               "/>
    <s v="Hum"/>
    <s v="KPU - Gy"/>
    <n v="21634"/>
    <n v="26986"/>
    <n v="100287.22500000001"/>
    <n v="3400"/>
    <n v="7650"/>
    <n v="107937.22500000001"/>
    <n v="0"/>
    <n v="0"/>
    <n v="0"/>
    <n v="0"/>
    <n v="0"/>
    <n v="0"/>
    <n v="0"/>
    <n v="0"/>
    <n v="1"/>
    <n v="0"/>
    <n v="0"/>
    <n v="0"/>
  </r>
  <r>
    <s v="6ES067"/>
    <s v="Ämnesdidaktik i skolpraktiken, del 2"/>
    <m/>
    <s v="LYKGR"/>
    <m/>
    <n v="2019"/>
    <m/>
    <m/>
    <m/>
    <m/>
    <m/>
    <m/>
    <m/>
    <m/>
    <m/>
    <m/>
    <n v="3.5"/>
    <n v="0.85"/>
    <n v="2.9750000000000001"/>
    <x v="9"/>
    <s v="Estetiska ämnen               "/>
    <s v="Hum"/>
    <s v="KPU - åk 7-9"/>
    <n v="21634"/>
    <n v="26986"/>
    <n v="156002.35"/>
    <n v="3400"/>
    <n v="11900"/>
    <n v="167902.35"/>
    <n v="0"/>
    <n v="0"/>
    <n v="0"/>
    <n v="0"/>
    <n v="0"/>
    <n v="0"/>
    <n v="0"/>
    <n v="0"/>
    <n v="1"/>
    <n v="0"/>
    <n v="0"/>
    <n v="0"/>
  </r>
  <r>
    <s v="6ES067"/>
    <s v="Ämnesdidaktik i skolpraktiken, del 2"/>
    <m/>
    <s v="LYKGY"/>
    <m/>
    <n v="2019"/>
    <m/>
    <m/>
    <m/>
    <m/>
    <m/>
    <m/>
    <m/>
    <m/>
    <m/>
    <m/>
    <n v="2.25"/>
    <n v="0.85"/>
    <n v="1.9124999999999999"/>
    <x v="9"/>
    <s v="Estetiska ämnen               "/>
    <s v="Hum"/>
    <s v="KPU - Gy"/>
    <n v="21634"/>
    <n v="26986"/>
    <n v="100287.22500000001"/>
    <n v="3400"/>
    <n v="7650"/>
    <n v="107937.22500000001"/>
    <n v="0"/>
    <n v="0"/>
    <n v="0"/>
    <n v="0"/>
    <n v="0"/>
    <n v="0"/>
    <n v="0"/>
    <n v="0"/>
    <n v="1"/>
    <n v="0"/>
    <n v="0"/>
    <n v="0"/>
  </r>
  <r>
    <s v="6ES068"/>
    <s v="Examensarbete med ämnesdidaktisk inriktning"/>
    <m/>
    <s v="LYKGR"/>
    <m/>
    <n v="2019"/>
    <m/>
    <m/>
    <m/>
    <m/>
    <m/>
    <m/>
    <m/>
    <m/>
    <m/>
    <m/>
    <n v="1.75"/>
    <n v="0.85"/>
    <n v="1.4875"/>
    <x v="9"/>
    <s v="Estetiska ämnen               "/>
    <s v="Hum"/>
    <s v="KPU - åk 7-9"/>
    <n v="23641"/>
    <n v="28786"/>
    <n v="84190.925000000003"/>
    <n v="5800"/>
    <n v="10150"/>
    <n v="94340.925000000003"/>
    <n v="0"/>
    <n v="0"/>
    <n v="0"/>
    <n v="1"/>
    <n v="0"/>
    <n v="0"/>
    <n v="0"/>
    <n v="0"/>
    <n v="0"/>
    <n v="0"/>
    <n v="0"/>
    <n v="0"/>
  </r>
  <r>
    <s v="6ES068"/>
    <s v="Examensarbete med ämnesdidaktisk inriktning"/>
    <m/>
    <s v="LYKGY"/>
    <m/>
    <n v="2019"/>
    <m/>
    <m/>
    <m/>
    <m/>
    <m/>
    <m/>
    <m/>
    <m/>
    <m/>
    <m/>
    <n v="2.5"/>
    <n v="0.85"/>
    <n v="2.125"/>
    <x v="9"/>
    <s v="Estetiska ämnen               "/>
    <s v="Hum"/>
    <s v="KPU - Gy"/>
    <n v="23641"/>
    <n v="28786"/>
    <n v="120272.75"/>
    <n v="5800"/>
    <n v="14500"/>
    <n v="134772.75"/>
    <n v="0"/>
    <n v="0"/>
    <n v="0"/>
    <n v="1"/>
    <n v="0"/>
    <n v="0"/>
    <n v="0"/>
    <n v="0"/>
    <n v="0"/>
    <n v="0"/>
    <n v="0"/>
    <n v="0"/>
  </r>
  <r>
    <s v="6ES072"/>
    <s v="Skapande lek i förskolan 1"/>
    <m/>
    <s v="LYFSK"/>
    <m/>
    <n v="2019"/>
    <m/>
    <m/>
    <m/>
    <m/>
    <m/>
    <m/>
    <m/>
    <m/>
    <m/>
    <m/>
    <n v="10.125"/>
    <n v="0.85"/>
    <n v="8.6062499999999993"/>
    <x v="9"/>
    <s v="Estetiska ämnen               "/>
    <s v="Hum"/>
    <s v="Förskollärarprogrammet"/>
    <n v="15846"/>
    <n v="26926"/>
    <n v="392172.63749999995"/>
    <n v="17300"/>
    <n v="175162.5"/>
    <n v="567335.13749999995"/>
    <n v="0"/>
    <n v="0"/>
    <n v="0"/>
    <n v="0"/>
    <n v="0"/>
    <n v="0"/>
    <n v="0"/>
    <n v="0"/>
    <n v="0"/>
    <n v="0"/>
    <n v="1"/>
    <n v="0"/>
  </r>
  <r>
    <s v="6ES075"/>
    <s v="Praktiskt estetiskt ämne - Bild 1"/>
    <m/>
    <s v="LYGFR"/>
    <m/>
    <n v="2019"/>
    <m/>
    <m/>
    <m/>
    <m/>
    <m/>
    <m/>
    <m/>
    <m/>
    <m/>
    <m/>
    <n v="1.75"/>
    <n v="0.85"/>
    <n v="1.4875"/>
    <x v="9"/>
    <s v="Estetiska ämnen               "/>
    <s v="Hum"/>
    <s v="Grundlärarprogrammet - fritidshem"/>
    <n v="15846"/>
    <n v="26926"/>
    <n v="67782.925000000003"/>
    <n v="17300"/>
    <n v="30275"/>
    <n v="98057.925000000003"/>
    <n v="0"/>
    <n v="0"/>
    <n v="0"/>
    <n v="0"/>
    <n v="0"/>
    <n v="0"/>
    <n v="0"/>
    <n v="0"/>
    <n v="0"/>
    <n v="0"/>
    <n v="1"/>
    <n v="0"/>
  </r>
  <r>
    <s v="6ES077"/>
    <s v="Praktiskt estetiskt ämne - Bild 2"/>
    <m/>
    <s v="LYGFR"/>
    <m/>
    <n v="2019"/>
    <m/>
    <m/>
    <m/>
    <m/>
    <m/>
    <m/>
    <m/>
    <m/>
    <m/>
    <m/>
    <n v="1.5"/>
    <n v="0.85"/>
    <n v="1.2749999999999999"/>
    <x v="9"/>
    <s v="Estetiska ämnen               "/>
    <s v="Hum"/>
    <s v="Grundlärarprogrammet - fritidshem"/>
    <n v="15846"/>
    <n v="26926"/>
    <n v="58099.649999999994"/>
    <n v="17300"/>
    <n v="25950"/>
    <n v="84049.65"/>
    <n v="0"/>
    <n v="0"/>
    <n v="0"/>
    <n v="0"/>
    <n v="0"/>
    <n v="0"/>
    <n v="0"/>
    <n v="0"/>
    <n v="0"/>
    <n v="0"/>
    <n v="1"/>
    <n v="0"/>
  </r>
  <r>
    <s v="6ES080"/>
    <s v="Läraryrkets dimensioner för fritidshem 2 (VFU)"/>
    <m/>
    <s v="LYGFR"/>
    <m/>
    <n v="2019"/>
    <m/>
    <m/>
    <m/>
    <m/>
    <m/>
    <m/>
    <m/>
    <m/>
    <m/>
    <m/>
    <n v="0.25"/>
    <n v="0.85"/>
    <n v="0.21249999999999999"/>
    <x v="9"/>
    <s v="Estetiska ämnen               "/>
    <s v="Hum"/>
    <s v="Grundlärarprogrammet - fritidshem"/>
    <n v="21634"/>
    <n v="26986"/>
    <n v="11143.025"/>
    <n v="3400"/>
    <n v="850"/>
    <n v="11993.025"/>
    <n v="0"/>
    <n v="0"/>
    <n v="0"/>
    <n v="0"/>
    <n v="0"/>
    <n v="0"/>
    <n v="0"/>
    <n v="0"/>
    <n v="1"/>
    <n v="0"/>
    <n v="0"/>
    <n v="0"/>
  </r>
  <r>
    <s v="6ES082"/>
    <s v="Bild 1, distans"/>
    <m/>
    <s v="FRIST"/>
    <m/>
    <n v="2019"/>
    <m/>
    <m/>
    <m/>
    <m/>
    <m/>
    <m/>
    <m/>
    <m/>
    <m/>
    <m/>
    <n v="8.25"/>
    <n v="0.8"/>
    <n v="6.6000000000000005"/>
    <x v="9"/>
    <s v="Estetiska ämnen               "/>
    <s v="Hum"/>
    <s v="Fristående och övriga kurser"/>
    <n v="47957"/>
    <n v="57006"/>
    <n v="771884.85000000009"/>
    <n v="69000"/>
    <n v="569250"/>
    <n v="1341134.8500000001"/>
    <n v="1"/>
    <n v="0"/>
    <n v="0"/>
    <n v="0"/>
    <n v="0"/>
    <n v="0"/>
    <n v="0"/>
    <n v="0"/>
    <n v="0"/>
    <n v="0"/>
    <n v="0"/>
    <n v="0"/>
  </r>
  <r>
    <s v="6ES084"/>
    <s v="Undervisning och lärande 2"/>
    <m/>
    <s v="FRIST"/>
    <m/>
    <n v="2019"/>
    <m/>
    <m/>
    <m/>
    <m/>
    <m/>
    <m/>
    <m/>
    <m/>
    <m/>
    <m/>
    <n v="0.625"/>
    <n v="0.8"/>
    <n v="0.5"/>
    <x v="9"/>
    <s v="Estetiska ämnen               "/>
    <s v="Hum"/>
    <s v="Fristående och övriga kurser"/>
    <n v="18405"/>
    <n v="15773"/>
    <n v="19389.625"/>
    <n v="5800"/>
    <n v="3625"/>
    <n v="23014.625"/>
    <n v="0"/>
    <n v="1"/>
    <n v="0"/>
    <n v="0"/>
    <n v="0"/>
    <n v="0"/>
    <n v="0"/>
    <n v="0"/>
    <n v="0"/>
    <n v="0"/>
    <n v="0"/>
    <n v="0"/>
  </r>
  <r>
    <s v="6ES085"/>
    <s v="Bild 3, fristående"/>
    <m/>
    <s v="FRIST"/>
    <m/>
    <n v="2019"/>
    <m/>
    <m/>
    <m/>
    <m/>
    <m/>
    <m/>
    <m/>
    <m/>
    <m/>
    <m/>
    <n v="0.5"/>
    <n v="0.8"/>
    <n v="0.4"/>
    <x v="9"/>
    <s v="Estetiska ämnen               "/>
    <s v="Hum"/>
    <s v="Fristående och övriga kurser"/>
    <n v="47957"/>
    <n v="57006"/>
    <n v="46780.9"/>
    <n v="69000"/>
    <n v="34500"/>
    <n v="81280.899999999994"/>
    <n v="1"/>
    <n v="0"/>
    <n v="0"/>
    <n v="0"/>
    <n v="0"/>
    <n v="0"/>
    <n v="0"/>
    <n v="0"/>
    <n v="0"/>
    <n v="0"/>
    <n v="0"/>
    <n v="0"/>
  </r>
  <r>
    <s v="6ES087"/>
    <s v="Vetenskaplig teori och metod 1"/>
    <m/>
    <s v="FRIST"/>
    <m/>
    <n v="2019"/>
    <m/>
    <m/>
    <m/>
    <m/>
    <m/>
    <m/>
    <m/>
    <m/>
    <m/>
    <m/>
    <n v="0.625"/>
    <n v="0.8"/>
    <n v="0.5"/>
    <x v="9"/>
    <s v="Estetiska ämnen               "/>
    <s v="Hum"/>
    <s v="Fristående och övriga kurser"/>
    <n v="18405"/>
    <n v="15773"/>
    <n v="19389.625"/>
    <n v="5800"/>
    <n v="3625"/>
    <n v="23014.625"/>
    <n v="0"/>
    <n v="1"/>
    <n v="0"/>
    <n v="0"/>
    <n v="0"/>
    <n v="0"/>
    <n v="0"/>
    <n v="0"/>
    <n v="0"/>
    <n v="0"/>
    <n v="0"/>
    <n v="0"/>
  </r>
  <r>
    <s v="6ES090"/>
    <s v="Bild 2a, distans"/>
    <m/>
    <s v="FRIST"/>
    <m/>
    <n v="2019"/>
    <m/>
    <m/>
    <m/>
    <m/>
    <m/>
    <m/>
    <m/>
    <m/>
    <m/>
    <m/>
    <n v="2.5"/>
    <n v="0.8"/>
    <n v="2"/>
    <x v="9"/>
    <s v="Estetiska ämnen               "/>
    <s v="Hum"/>
    <s v="Fristående och övriga kurser"/>
    <n v="47957"/>
    <n v="57006"/>
    <n v="233904.5"/>
    <n v="69000"/>
    <n v="172500"/>
    <n v="406404.5"/>
    <n v="1"/>
    <n v="0"/>
    <n v="0"/>
    <n v="0"/>
    <n v="0"/>
    <n v="0"/>
    <n v="0"/>
    <n v="0"/>
    <n v="0"/>
    <n v="0"/>
    <n v="0"/>
    <n v="0"/>
  </r>
  <r>
    <s v="6ES091"/>
    <s v="Bild 2b, distans"/>
    <m/>
    <s v="FRIST"/>
    <m/>
    <n v="2019"/>
    <m/>
    <m/>
    <m/>
    <m/>
    <m/>
    <m/>
    <m/>
    <m/>
    <m/>
    <m/>
    <n v="2"/>
    <n v="0.8"/>
    <n v="1.6"/>
    <x v="9"/>
    <s v="Estetiska ämnen               "/>
    <s v="Hum"/>
    <s v="Fristående och övriga kurser"/>
    <n v="47957"/>
    <n v="57006"/>
    <n v="187123.6"/>
    <n v="69000"/>
    <n v="138000"/>
    <n v="325123.59999999998"/>
    <n v="1"/>
    <n v="0"/>
    <n v="0"/>
    <n v="0"/>
    <n v="0"/>
    <n v="0"/>
    <n v="0"/>
    <n v="0"/>
    <n v="0"/>
    <n v="0"/>
    <n v="0"/>
    <n v="0"/>
  </r>
  <r>
    <s v="6ES092"/>
    <s v="Bild 2a"/>
    <m/>
    <s v="LYAGR"/>
    <m/>
    <n v="2019"/>
    <m/>
    <m/>
    <m/>
    <m/>
    <m/>
    <m/>
    <m/>
    <m/>
    <m/>
    <m/>
    <n v="0.75"/>
    <n v="0.85"/>
    <n v="0.63749999999999996"/>
    <x v="9"/>
    <s v="Estetiska ämnen               "/>
    <s v="Hum"/>
    <s v="Ämneslärarprogrammet - åk 7-9"/>
    <n v="47957"/>
    <n v="57006"/>
    <n v="72309.074999999997"/>
    <n v="69000"/>
    <n v="51750"/>
    <n v="124059.075"/>
    <n v="1"/>
    <n v="0"/>
    <n v="0"/>
    <n v="0"/>
    <n v="0"/>
    <n v="0"/>
    <n v="0"/>
    <n v="0"/>
    <n v="0"/>
    <n v="0"/>
    <n v="0"/>
    <n v="0"/>
  </r>
  <r>
    <s v="6ES092"/>
    <s v="Bild 2a"/>
    <m/>
    <s v="LYAGY"/>
    <m/>
    <n v="2019"/>
    <m/>
    <m/>
    <m/>
    <m/>
    <m/>
    <m/>
    <m/>
    <m/>
    <m/>
    <m/>
    <n v="2.75"/>
    <n v="0.85"/>
    <n v="2.3374999999999999"/>
    <x v="9"/>
    <s v="Estetiska ämnen               "/>
    <s v="Hum"/>
    <s v="Ämneslärarprogrammet - Gy"/>
    <n v="47957"/>
    <n v="57006"/>
    <n v="265133.27500000002"/>
    <n v="69000"/>
    <n v="189750"/>
    <n v="454883.27500000002"/>
    <n v="1"/>
    <n v="0"/>
    <n v="0"/>
    <n v="0"/>
    <n v="0"/>
    <n v="0"/>
    <n v="0"/>
    <n v="0"/>
    <n v="0"/>
    <n v="0"/>
    <n v="0"/>
    <n v="0"/>
  </r>
  <r>
    <s v="6ES093"/>
    <s v="Bild 2b"/>
    <m/>
    <s v="LYAGR"/>
    <m/>
    <n v="2019"/>
    <m/>
    <m/>
    <m/>
    <m/>
    <m/>
    <m/>
    <m/>
    <m/>
    <m/>
    <m/>
    <n v="0.75"/>
    <n v="0.85"/>
    <n v="0.63749999999999996"/>
    <x v="9"/>
    <s v="Estetiska ämnen               "/>
    <s v="Hum"/>
    <s v="Ämneslärarprogrammet - åk 7-9"/>
    <n v="47957"/>
    <n v="57006"/>
    <n v="72309.074999999997"/>
    <n v="69000"/>
    <n v="51750"/>
    <n v="124059.075"/>
    <n v="1"/>
    <n v="0"/>
    <n v="0"/>
    <n v="0"/>
    <n v="0"/>
    <n v="0"/>
    <n v="0"/>
    <n v="0"/>
    <n v="0"/>
    <n v="0"/>
    <n v="0"/>
    <n v="0"/>
  </r>
  <r>
    <s v="6ES093"/>
    <s v="Bild 2b"/>
    <m/>
    <s v="LYAGY"/>
    <m/>
    <n v="2019"/>
    <m/>
    <m/>
    <m/>
    <m/>
    <m/>
    <m/>
    <m/>
    <m/>
    <m/>
    <m/>
    <n v="2.75"/>
    <n v="0.85"/>
    <n v="2.3374999999999999"/>
    <x v="9"/>
    <s v="Estetiska ämnen               "/>
    <s v="Hum"/>
    <s v="Ämneslärarprogrammet - Gy"/>
    <n v="47957"/>
    <n v="57006"/>
    <n v="265133.27500000002"/>
    <n v="69000"/>
    <n v="189750"/>
    <n v="454883.27500000002"/>
    <n v="1"/>
    <n v="0"/>
    <n v="0"/>
    <n v="0"/>
    <n v="0"/>
    <n v="0"/>
    <n v="0"/>
    <n v="0"/>
    <n v="0"/>
    <n v="0"/>
    <n v="0"/>
    <n v="0"/>
  </r>
  <r>
    <s v="6ES094"/>
    <s v="Skapande och lek för förskolan 2"/>
    <m/>
    <s v="LYFSK"/>
    <m/>
    <n v="2019"/>
    <m/>
    <m/>
    <m/>
    <m/>
    <m/>
    <m/>
    <m/>
    <m/>
    <m/>
    <m/>
    <n v="21"/>
    <n v="0.85"/>
    <n v="17.849999999999998"/>
    <x v="9"/>
    <s v="Estetiska ämnen               "/>
    <s v="Hum"/>
    <s v="Förskollärarprogrammet"/>
    <n v="15846"/>
    <n v="26926"/>
    <n v="813395.09999999986"/>
    <n v="17300"/>
    <n v="363300"/>
    <n v="1176695.0999999999"/>
    <n v="0"/>
    <n v="0"/>
    <n v="0"/>
    <n v="0"/>
    <n v="0"/>
    <n v="0"/>
    <n v="0"/>
    <n v="0"/>
    <n v="0"/>
    <n v="0"/>
    <n v="1"/>
    <n v="0"/>
  </r>
  <r>
    <s v="6ES095"/>
    <s v="Att undervisa i musik"/>
    <m/>
    <s v="LYAGY"/>
    <m/>
    <n v="2019"/>
    <m/>
    <m/>
    <m/>
    <m/>
    <m/>
    <m/>
    <m/>
    <m/>
    <m/>
    <m/>
    <n v="0.2"/>
    <n v="0.85"/>
    <n v="0.17"/>
    <x v="9"/>
    <s v="Estetiska ämnen               "/>
    <s v="Hum"/>
    <s v="Ämneslärarprogrammet - Gy"/>
    <n v="21634"/>
    <n v="26986"/>
    <n v="8914.42"/>
    <n v="3400"/>
    <n v="680"/>
    <n v="9594.42"/>
    <n v="0"/>
    <n v="0"/>
    <n v="0"/>
    <n v="0"/>
    <n v="0"/>
    <n v="0"/>
    <n v="0"/>
    <n v="0"/>
    <n v="1"/>
    <n v="0"/>
    <n v="0"/>
    <n v="0"/>
  </r>
  <r>
    <s v="6ES097"/>
    <s v="Att undervisa i slöjd - textil"/>
    <m/>
    <s v="LYAGR"/>
    <m/>
    <n v="2019"/>
    <m/>
    <m/>
    <m/>
    <m/>
    <m/>
    <m/>
    <m/>
    <m/>
    <m/>
    <m/>
    <n v="0.4"/>
    <n v="0.85"/>
    <n v="0.34"/>
    <x v="9"/>
    <s v="Estetiska ämnen               "/>
    <s v="Hum"/>
    <s v="Ämneslärarprogrammet - åk 7-9"/>
    <n v="21634"/>
    <n v="26986"/>
    <n v="17828.84"/>
    <n v="3400"/>
    <n v="1360"/>
    <n v="19188.84"/>
    <n v="0"/>
    <n v="0"/>
    <n v="0"/>
    <n v="0"/>
    <n v="0"/>
    <n v="0"/>
    <n v="0"/>
    <n v="0"/>
    <n v="1"/>
    <n v="0"/>
    <n v="0"/>
    <n v="0"/>
  </r>
  <r>
    <s v="6ES099"/>
    <s v="Magisteruppsats i pedagogisk yrkesverksamhet"/>
    <m/>
    <s v="FRIST"/>
    <m/>
    <n v="2019"/>
    <m/>
    <m/>
    <m/>
    <m/>
    <m/>
    <m/>
    <m/>
    <m/>
    <m/>
    <m/>
    <n v="1.875"/>
    <n v="0.8"/>
    <n v="1.5"/>
    <x v="9"/>
    <s v="Estetiska ämnen               "/>
    <s v="Hum"/>
    <s v="Fristående och övriga kurser"/>
    <n v="18405"/>
    <n v="15773"/>
    <n v="58168.875"/>
    <n v="5800"/>
    <n v="10875"/>
    <n v="69043.875"/>
    <n v="0"/>
    <n v="1"/>
    <n v="0"/>
    <n v="0"/>
    <n v="0"/>
    <n v="0"/>
    <n v="0"/>
    <n v="0"/>
    <n v="0"/>
    <n v="0"/>
    <n v="0"/>
    <n v="0"/>
  </r>
  <r>
    <s v="6ES100"/>
    <s v="Bild 1"/>
    <m/>
    <s v="LYAGR"/>
    <m/>
    <n v="2019"/>
    <m/>
    <m/>
    <m/>
    <m/>
    <m/>
    <m/>
    <m/>
    <m/>
    <m/>
    <m/>
    <n v="1.5"/>
    <n v="0.85"/>
    <n v="1.2749999999999999"/>
    <x v="9"/>
    <s v="Estetiska ämnen               "/>
    <s v="Hum"/>
    <s v="Ämneslärarprogrammet - åk 7-9"/>
    <n v="47957"/>
    <n v="57006"/>
    <n v="144618.15"/>
    <n v="69000"/>
    <n v="103500"/>
    <n v="248118.15"/>
    <n v="1"/>
    <n v="0"/>
    <n v="0"/>
    <n v="0"/>
    <n v="0"/>
    <n v="0"/>
    <n v="0"/>
    <n v="0"/>
    <n v="0"/>
    <n v="0"/>
    <n v="0"/>
    <n v="0"/>
  </r>
  <r>
    <s v="6ES100"/>
    <s v="Bild 1"/>
    <m/>
    <s v="LYAGY"/>
    <m/>
    <n v="2019"/>
    <m/>
    <m/>
    <m/>
    <m/>
    <m/>
    <m/>
    <m/>
    <m/>
    <m/>
    <m/>
    <n v="6.5"/>
    <n v="0.85"/>
    <n v="5.5249999999999995"/>
    <x v="9"/>
    <s v="Estetiska ämnen               "/>
    <s v="Hum"/>
    <s v="Ämneslärarprogrammet - Gy"/>
    <n v="47957"/>
    <n v="57006"/>
    <n v="626678.64999999991"/>
    <n v="69000"/>
    <n v="448500"/>
    <n v="1075178.6499999999"/>
    <n v="1"/>
    <n v="0"/>
    <n v="0"/>
    <n v="0"/>
    <n v="0"/>
    <n v="0"/>
    <n v="0"/>
    <n v="0"/>
    <n v="0"/>
    <n v="0"/>
    <n v="0"/>
    <n v="0"/>
  </r>
  <r>
    <s v="6ES101"/>
    <s v="Bild 1, fristående "/>
    <m/>
    <s v="FRIST"/>
    <m/>
    <n v="2019"/>
    <m/>
    <m/>
    <m/>
    <m/>
    <m/>
    <m/>
    <m/>
    <m/>
    <m/>
    <m/>
    <n v="0.5"/>
    <n v="0.8"/>
    <n v="0.4"/>
    <x v="9"/>
    <s v="Estetiska ämnen               "/>
    <s v="Hum"/>
    <s v="Fristående och övriga kurser"/>
    <n v="47957"/>
    <n v="57006"/>
    <n v="46780.9"/>
    <n v="69000"/>
    <n v="34500"/>
    <n v="81280.899999999994"/>
    <n v="1"/>
    <n v="0"/>
    <n v="0"/>
    <n v="0"/>
    <n v="0"/>
    <n v="0"/>
    <n v="0"/>
    <n v="0"/>
    <n v="0"/>
    <n v="0"/>
    <n v="0"/>
    <n v="0"/>
  </r>
  <r>
    <s v="6ES102"/>
    <s v="Vetenskaplig teori och metod 2"/>
    <m/>
    <s v="FRIST"/>
    <m/>
    <n v="2019"/>
    <m/>
    <m/>
    <m/>
    <m/>
    <m/>
    <m/>
    <m/>
    <m/>
    <m/>
    <m/>
    <n v="1.875"/>
    <n v="0.8"/>
    <n v="1.5"/>
    <x v="9"/>
    <s v="Estetiska ämnen               "/>
    <s v="Hum"/>
    <s v="Fristående och övriga kurser"/>
    <n v="18405"/>
    <n v="15773"/>
    <n v="58168.875"/>
    <n v="5800"/>
    <n v="10875"/>
    <n v="69043.875"/>
    <n v="0"/>
    <n v="1"/>
    <n v="0"/>
    <n v="0"/>
    <n v="0"/>
    <n v="0"/>
    <n v="0"/>
    <n v="0"/>
    <n v="0"/>
    <n v="0"/>
    <n v="0"/>
    <n v="0"/>
  </r>
  <r>
    <s v="6ES103"/>
    <s v="Bild fördjupning 3"/>
    <m/>
    <s v="LYAGY"/>
    <m/>
    <n v="2019"/>
    <m/>
    <m/>
    <m/>
    <m/>
    <m/>
    <m/>
    <m/>
    <m/>
    <m/>
    <m/>
    <n v="2.5"/>
    <n v="0.85"/>
    <n v="2.125"/>
    <x v="9"/>
    <s v="Estetiska ämnen               "/>
    <s v="Hum"/>
    <s v="Ämneslärarprogrammet - Gy"/>
    <n v="47957"/>
    <n v="57006"/>
    <n v="241030.25"/>
    <n v="69000"/>
    <n v="172500"/>
    <n v="413530.25"/>
    <n v="1"/>
    <n v="0"/>
    <n v="0"/>
    <n v="0"/>
    <n v="0"/>
    <n v="0"/>
    <n v="0"/>
    <n v="0"/>
    <n v="0"/>
    <n v="0"/>
    <n v="0"/>
    <n v="0"/>
  </r>
  <r>
    <s v="6ES104"/>
    <s v="Bild fördjupning 3, fristående"/>
    <m/>
    <s v="FRIST"/>
    <m/>
    <n v="2019"/>
    <m/>
    <m/>
    <m/>
    <m/>
    <m/>
    <m/>
    <m/>
    <m/>
    <m/>
    <m/>
    <n v="0.5"/>
    <n v="0.8"/>
    <n v="0.4"/>
    <x v="9"/>
    <s v="Estetiska ämnen               "/>
    <s v="Hum"/>
    <s v="Fristående och övriga kurser"/>
    <n v="47957"/>
    <n v="57006"/>
    <n v="46780.9"/>
    <n v="69000"/>
    <n v="34500"/>
    <n v="81280.899999999994"/>
    <n v="1"/>
    <n v="0"/>
    <n v="0"/>
    <n v="0"/>
    <n v="0"/>
    <n v="0"/>
    <n v="0"/>
    <n v="0"/>
    <n v="0"/>
    <n v="0"/>
    <n v="0"/>
    <n v="0"/>
  </r>
  <r>
    <s v="6ES105"/>
    <s v="Bild 3"/>
    <m/>
    <s v="LYAGY"/>
    <m/>
    <n v="2019"/>
    <m/>
    <m/>
    <m/>
    <m/>
    <m/>
    <m/>
    <m/>
    <m/>
    <m/>
    <m/>
    <n v="1"/>
    <n v="0.85"/>
    <n v="0.85"/>
    <x v="9"/>
    <s v="Estetiska ämnen               "/>
    <s v="Hum"/>
    <s v="Ämneslärarprogrammet - Gy"/>
    <n v="47957"/>
    <n v="57006"/>
    <n v="96412.1"/>
    <n v="69000"/>
    <n v="69000"/>
    <n v="165412.1"/>
    <n v="1"/>
    <n v="0"/>
    <n v="0"/>
    <n v="0"/>
    <n v="0"/>
    <n v="0"/>
    <n v="0"/>
    <n v="0"/>
    <n v="0"/>
    <n v="0"/>
    <n v="0"/>
    <n v="0"/>
  </r>
  <r>
    <s v="6ES107"/>
    <s v="Skapande bild, distans"/>
    <m/>
    <s v="FRIST"/>
    <m/>
    <n v="2019"/>
    <m/>
    <m/>
    <m/>
    <m/>
    <m/>
    <m/>
    <m/>
    <m/>
    <m/>
    <m/>
    <n v="4"/>
    <n v="0.8"/>
    <n v="3.2"/>
    <x v="9"/>
    <s v="Estetiska ämnen               "/>
    <s v="Hum"/>
    <s v="Fristående och övriga kurser"/>
    <n v="40569"/>
    <n v="46697.75"/>
    <n v="311708.80000000005"/>
    <n v="53200"/>
    <n v="212800"/>
    <n v="524508.80000000005"/>
    <n v="0.75"/>
    <n v="0.25"/>
    <n v="0"/>
    <n v="0"/>
    <n v="0"/>
    <n v="0"/>
    <n v="0"/>
    <n v="0"/>
    <n v="0"/>
    <n v="0"/>
    <n v="0"/>
    <n v="0"/>
  </r>
  <r>
    <s v="6FA008"/>
    <s v="Franska för ämneslärare, kurs 1"/>
    <m/>
    <s v="FRIST"/>
    <m/>
    <n v="2019"/>
    <m/>
    <m/>
    <m/>
    <m/>
    <m/>
    <m/>
    <m/>
    <m/>
    <m/>
    <m/>
    <n v="1"/>
    <n v="0.8"/>
    <n v="0.8"/>
    <x v="8"/>
    <s v="Inst för språkstudier"/>
    <s v="Hum"/>
    <s v="Fristående och övriga kurser"/>
    <n v="18405"/>
    <n v="15773"/>
    <n v="31023.4"/>
    <n v="5800"/>
    <n v="5800"/>
    <n v="36823.4"/>
    <n v="0"/>
    <n v="1"/>
    <n v="0"/>
    <n v="0"/>
    <n v="0"/>
    <n v="0"/>
    <n v="0"/>
    <n v="0"/>
    <n v="0"/>
    <n v="0"/>
    <n v="0"/>
    <n v="0"/>
  </r>
  <r>
    <s v="6FA009"/>
    <s v="Franska för ämneslärare, kurs 2"/>
    <m/>
    <s v="FRIST"/>
    <m/>
    <n v="2019"/>
    <m/>
    <m/>
    <m/>
    <m/>
    <m/>
    <m/>
    <m/>
    <m/>
    <m/>
    <m/>
    <n v="1"/>
    <n v="0.8"/>
    <n v="0.8"/>
    <x v="8"/>
    <s v="Inst för språkstudier"/>
    <s v="Hum"/>
    <s v="Fristående och övriga kurser"/>
    <n v="18405"/>
    <n v="15773"/>
    <n v="31023.4"/>
    <n v="5800"/>
    <n v="5800"/>
    <n v="36823.4"/>
    <n v="0"/>
    <n v="1"/>
    <n v="0"/>
    <n v="0"/>
    <n v="0"/>
    <n v="0"/>
    <n v="0"/>
    <n v="0"/>
    <n v="0"/>
    <n v="0"/>
    <n v="0"/>
    <n v="0"/>
  </r>
  <r>
    <s v="6FY008"/>
    <s v="Examensarbete för ämneslärarexamen - Fysik"/>
    <m/>
    <s v="LYAGY"/>
    <m/>
    <n v="2019"/>
    <m/>
    <m/>
    <m/>
    <m/>
    <m/>
    <m/>
    <m/>
    <m/>
    <m/>
    <m/>
    <n v="0.375"/>
    <n v="0.85"/>
    <n v="0.31874999999999998"/>
    <x v="6"/>
    <s v="NMD"/>
    <s v="TekNat"/>
    <s v="Ämneslärarprogrammet - Gy"/>
    <n v="19473"/>
    <n v="34806"/>
    <n v="18396.787499999999"/>
    <n v="21800"/>
    <n v="8175"/>
    <n v="26571.787499999999"/>
    <n v="0"/>
    <n v="0"/>
    <n v="0"/>
    <n v="0"/>
    <n v="0"/>
    <n v="1"/>
    <n v="0"/>
    <n v="0"/>
    <n v="0"/>
    <n v="0"/>
    <n v="0"/>
    <n v="0"/>
  </r>
  <r>
    <s v="6FY009"/>
    <s v="Astronomi och meteorologi"/>
    <m/>
    <s v="LYAGY"/>
    <m/>
    <n v="2019"/>
    <m/>
    <m/>
    <m/>
    <m/>
    <m/>
    <m/>
    <m/>
    <m/>
    <m/>
    <m/>
    <n v="1.625"/>
    <n v="0.85"/>
    <n v="1.3812499999999999"/>
    <x v="3"/>
    <s v="Inst för Fysik                "/>
    <s v="TekNat"/>
    <s v="Ämneslärarprogrammet - Gy"/>
    <n v="19473"/>
    <n v="34806"/>
    <n v="79719.412500000006"/>
    <n v="21800"/>
    <n v="35425"/>
    <n v="115144.41250000001"/>
    <n v="0"/>
    <n v="0"/>
    <n v="0"/>
    <n v="0"/>
    <n v="0"/>
    <n v="0.5"/>
    <n v="0"/>
    <n v="0.5"/>
    <n v="0"/>
    <n v="0"/>
    <n v="0"/>
    <n v="0"/>
  </r>
  <r>
    <s v="6FY009"/>
    <s v="Astronomi och meteorologi"/>
    <m/>
    <s v="FRIST"/>
    <m/>
    <n v="2019"/>
    <m/>
    <m/>
    <m/>
    <m/>
    <m/>
    <m/>
    <m/>
    <m/>
    <m/>
    <m/>
    <n v="2.75"/>
    <n v="0.8"/>
    <n v="2.2000000000000002"/>
    <x v="3"/>
    <s v="Inst för Fysik                "/>
    <s v="TekNat"/>
    <s v="Fristående och övriga kurser"/>
    <n v="19473"/>
    <n v="34806"/>
    <n v="130123.95000000001"/>
    <n v="21800"/>
    <n v="59950"/>
    <n v="190073.95"/>
    <n v="0"/>
    <n v="0"/>
    <n v="0"/>
    <n v="0"/>
    <n v="0"/>
    <n v="0.5"/>
    <n v="0"/>
    <n v="0.5"/>
    <n v="0"/>
    <n v="0"/>
    <n v="0"/>
    <n v="0"/>
  </r>
  <r>
    <s v="6FY011"/>
    <s v="Matematiska metoder i fysik"/>
    <m/>
    <s v="LYAGY"/>
    <m/>
    <n v="2019"/>
    <m/>
    <m/>
    <m/>
    <m/>
    <m/>
    <m/>
    <m/>
    <m/>
    <m/>
    <m/>
    <n v="0.25"/>
    <n v="0.85"/>
    <n v="0.21249999999999999"/>
    <x v="3"/>
    <s v="Inst för Fysik                "/>
    <s v="TekNat"/>
    <s v="Ämneslärarprogrammet - Gy"/>
    <n v="19473"/>
    <n v="34806"/>
    <n v="12264.525"/>
    <n v="21800"/>
    <n v="5450"/>
    <n v="17714.525000000001"/>
    <n v="0"/>
    <n v="0"/>
    <n v="0"/>
    <n v="0"/>
    <n v="0"/>
    <n v="0"/>
    <n v="0"/>
    <n v="1"/>
    <n v="0"/>
    <n v="0"/>
    <n v="0"/>
    <n v="0"/>
  </r>
  <r>
    <s v="6FY101"/>
    <s v="Fysikdidaktik 1 för ämneslärare för gymnasium"/>
    <m/>
    <s v="LYAGY"/>
    <m/>
    <n v="2019"/>
    <m/>
    <m/>
    <m/>
    <m/>
    <m/>
    <m/>
    <m/>
    <m/>
    <m/>
    <m/>
    <n v="0.5"/>
    <n v="0.85"/>
    <n v="0.42499999999999999"/>
    <x v="6"/>
    <s v="NMD"/>
    <s v="TekNat"/>
    <s v="Ämneslärarprogrammet - Gy"/>
    <n v="19473"/>
    <n v="34806"/>
    <n v="24529.05"/>
    <n v="21800"/>
    <n v="10900"/>
    <n v="35429.050000000003"/>
    <n v="0"/>
    <n v="0"/>
    <n v="0"/>
    <n v="0"/>
    <n v="0"/>
    <n v="1"/>
    <n v="0"/>
    <n v="0"/>
    <n v="0"/>
    <n v="0"/>
    <n v="0"/>
    <n v="0"/>
  </r>
  <r>
    <s v="6FY101"/>
    <s v="Fysikdidaktik 1 för ämneslärare för gymnasium"/>
    <m/>
    <s v="FRIST"/>
    <m/>
    <n v="2019"/>
    <m/>
    <m/>
    <m/>
    <m/>
    <m/>
    <m/>
    <m/>
    <m/>
    <m/>
    <m/>
    <n v="0.25"/>
    <n v="0.8"/>
    <n v="0.2"/>
    <x v="6"/>
    <s v="NMD"/>
    <s v="TekNat"/>
    <s v="Fristående och övriga kurser"/>
    <n v="19473"/>
    <n v="34806"/>
    <n v="11829.45"/>
    <n v="21800"/>
    <n v="5450"/>
    <n v="17279.45"/>
    <n v="0"/>
    <n v="0"/>
    <n v="0"/>
    <n v="0"/>
    <n v="0"/>
    <n v="1"/>
    <n v="0"/>
    <n v="0"/>
    <n v="0"/>
    <n v="0"/>
    <n v="0"/>
    <n v="0"/>
  </r>
  <r>
    <s v="6FY102"/>
    <s v="Fysikdidaktik 2 för ämneslärare för gymnasium"/>
    <m/>
    <s v="LYAGY"/>
    <m/>
    <n v="2019"/>
    <m/>
    <m/>
    <m/>
    <m/>
    <m/>
    <m/>
    <m/>
    <m/>
    <m/>
    <m/>
    <n v="0.5"/>
    <n v="0.85"/>
    <n v="0.42499999999999999"/>
    <x v="6"/>
    <s v="NMD"/>
    <s v="TekNat"/>
    <s v="Ämneslärarprogrammet - Gy"/>
    <n v="19473"/>
    <n v="34806"/>
    <n v="24529.05"/>
    <n v="21800"/>
    <n v="10900"/>
    <n v="35429.050000000003"/>
    <n v="0"/>
    <n v="0"/>
    <n v="0"/>
    <n v="0"/>
    <n v="0"/>
    <n v="1"/>
    <n v="0"/>
    <n v="0"/>
    <n v="0"/>
    <n v="0"/>
    <n v="0"/>
    <n v="0"/>
  </r>
  <r>
    <s v="6FY102"/>
    <s v="Fysikdidaktik 2 för ämneslärare för gymnasium"/>
    <m/>
    <s v="FRIST"/>
    <m/>
    <n v="2019"/>
    <m/>
    <m/>
    <m/>
    <m/>
    <m/>
    <m/>
    <m/>
    <m/>
    <m/>
    <m/>
    <n v="0.25"/>
    <n v="0.8"/>
    <n v="0.2"/>
    <x v="6"/>
    <s v="NMD"/>
    <s v="TekNat"/>
    <s v="Fristående och övriga kurser"/>
    <n v="19473"/>
    <n v="34806"/>
    <n v="11829.45"/>
    <n v="21800"/>
    <n v="5450"/>
    <n v="17279.45"/>
    <n v="0"/>
    <n v="0"/>
    <n v="0"/>
    <n v="0"/>
    <n v="0"/>
    <n v="1"/>
    <n v="0"/>
    <n v="0"/>
    <n v="0"/>
    <n v="0"/>
    <n v="0"/>
    <n v="0"/>
  </r>
  <r>
    <s v="6GV000"/>
    <s v="Naturens mångfald"/>
    <m/>
    <s v="LYAGY"/>
    <m/>
    <n v="2019"/>
    <m/>
    <m/>
    <m/>
    <m/>
    <m/>
    <m/>
    <m/>
    <m/>
    <m/>
    <m/>
    <n v="0.75"/>
    <n v="0.85"/>
    <n v="0.63749999999999996"/>
    <x v="1"/>
    <s v="EMG"/>
    <s v="TekNat"/>
    <s v="Ämneslärarprogrammet - Gy"/>
    <n v="19473"/>
    <n v="34806"/>
    <n v="36793.574999999997"/>
    <n v="21800"/>
    <n v="16350"/>
    <n v="53143.574999999997"/>
    <n v="0"/>
    <n v="0"/>
    <n v="0"/>
    <n v="0"/>
    <n v="0"/>
    <n v="1"/>
    <n v="0"/>
    <n v="0"/>
    <n v="0"/>
    <n v="0"/>
    <n v="0"/>
    <n v="0"/>
  </r>
  <r>
    <s v="6GV001"/>
    <s v="Processer i naturen"/>
    <m/>
    <s v="LYAGY"/>
    <m/>
    <n v="2019"/>
    <m/>
    <m/>
    <m/>
    <m/>
    <m/>
    <m/>
    <m/>
    <m/>
    <m/>
    <m/>
    <n v="0.75"/>
    <n v="0.85"/>
    <n v="0.63749999999999996"/>
    <x v="1"/>
    <s v="EMG"/>
    <s v="TekNat"/>
    <s v="Ämneslärarprogrammet - Gy"/>
    <n v="19473"/>
    <n v="34806"/>
    <n v="36793.574999999997"/>
    <n v="21800"/>
    <n v="16350"/>
    <n v="53143.574999999997"/>
    <n v="0"/>
    <n v="0"/>
    <n v="0"/>
    <n v="0"/>
    <n v="0"/>
    <n v="1"/>
    <n v="0"/>
    <n v="0"/>
    <n v="0"/>
    <n v="0"/>
    <n v="0"/>
    <n v="0"/>
  </r>
  <r>
    <s v="6GV001"/>
    <s v="Processer i naturen"/>
    <m/>
    <s v="FRIST"/>
    <m/>
    <n v="2019"/>
    <m/>
    <m/>
    <m/>
    <m/>
    <m/>
    <m/>
    <m/>
    <m/>
    <m/>
    <m/>
    <n v="0.125"/>
    <n v="0.8"/>
    <n v="0.1"/>
    <x v="1"/>
    <s v="EMG"/>
    <s v="TekNat"/>
    <s v="Fristående och övriga kurser"/>
    <n v="19473"/>
    <n v="34806"/>
    <n v="5914.7250000000004"/>
    <n v="21800"/>
    <n v="2725"/>
    <n v="8639.7250000000004"/>
    <n v="0"/>
    <n v="0"/>
    <n v="0"/>
    <n v="0"/>
    <n v="0"/>
    <n v="1"/>
    <n v="0"/>
    <n v="0"/>
    <n v="0"/>
    <n v="0"/>
    <n v="0"/>
    <n v="0"/>
  </r>
  <r>
    <s v="6GV002"/>
    <s v="Klimatförändringar"/>
    <m/>
    <s v="LYAGY"/>
    <m/>
    <n v="2019"/>
    <m/>
    <m/>
    <m/>
    <m/>
    <m/>
    <m/>
    <m/>
    <m/>
    <m/>
    <m/>
    <n v="0.75"/>
    <n v="0.85"/>
    <n v="0.63749999999999996"/>
    <x v="1"/>
    <s v="EMG"/>
    <s v="TekNat"/>
    <s v="Ämneslärarprogrammet - Gy"/>
    <n v="19473"/>
    <n v="34806"/>
    <n v="36793.574999999997"/>
    <n v="21800"/>
    <n v="16350"/>
    <n v="53143.574999999997"/>
    <n v="0"/>
    <n v="0"/>
    <n v="0"/>
    <n v="0"/>
    <n v="0"/>
    <n v="1"/>
    <n v="0"/>
    <n v="0"/>
    <n v="0"/>
    <n v="0"/>
    <n v="0"/>
    <n v="0"/>
  </r>
  <r>
    <s v="6GV003"/>
    <s v="Vetenskapliga metoder i geografi"/>
    <m/>
    <s v="LYAGY"/>
    <m/>
    <n v="2019"/>
    <m/>
    <m/>
    <m/>
    <m/>
    <m/>
    <m/>
    <m/>
    <m/>
    <m/>
    <m/>
    <n v="0.625"/>
    <n v="0.85"/>
    <n v="0.53125"/>
    <x v="1"/>
    <s v="EMG"/>
    <s v="TekNat"/>
    <s v="Ämneslärarprogrammet - Gy"/>
    <n v="19473"/>
    <n v="34806"/>
    <n v="30661.3125"/>
    <n v="21800"/>
    <n v="13625"/>
    <n v="44286.3125"/>
    <n v="0"/>
    <n v="0"/>
    <n v="0"/>
    <n v="0"/>
    <n v="0"/>
    <n v="1"/>
    <n v="0"/>
    <n v="0"/>
    <n v="0"/>
    <n v="0"/>
    <n v="0"/>
    <n v="0"/>
  </r>
  <r>
    <s v="6HI029"/>
    <s v="Examensarbete för ämneslärarexamen - historia"/>
    <m/>
    <s v="LYAGY"/>
    <m/>
    <n v="2019"/>
    <m/>
    <m/>
    <m/>
    <m/>
    <m/>
    <m/>
    <m/>
    <m/>
    <m/>
    <m/>
    <n v="2"/>
    <n v="0.85"/>
    <n v="1.7"/>
    <x v="10"/>
    <s v="Inst för ide- o samhällsstudier"/>
    <s v="Hum"/>
    <s v="Ämneslärarprogrammet - Gy"/>
    <n v="18405"/>
    <n v="15773"/>
    <n v="63624.1"/>
    <n v="5800"/>
    <n v="11600"/>
    <n v="75224.100000000006"/>
    <n v="0"/>
    <n v="1"/>
    <n v="0"/>
    <n v="0"/>
    <n v="0"/>
    <n v="0"/>
    <n v="0"/>
    <n v="0"/>
    <n v="0"/>
    <n v="0"/>
    <n v="0"/>
    <n v="0"/>
  </r>
  <r>
    <s v="6HI031"/>
    <s v="Läraryrkets dimensioner"/>
    <m/>
    <s v="LYAGY"/>
    <m/>
    <n v="2019"/>
    <m/>
    <m/>
    <m/>
    <m/>
    <m/>
    <m/>
    <m/>
    <m/>
    <m/>
    <m/>
    <n v="4.125"/>
    <n v="0.85"/>
    <n v="3.5062500000000001"/>
    <x v="10"/>
    <s v="Inst för ide- o samhällsstudier"/>
    <s v="Hum"/>
    <s v="Ämneslärarprogrammet - Gy"/>
    <n v="21634"/>
    <n v="26986"/>
    <n v="183859.91250000001"/>
    <n v="3400"/>
    <n v="14025"/>
    <n v="197884.91250000001"/>
    <n v="0"/>
    <n v="0"/>
    <n v="0"/>
    <n v="0"/>
    <n v="0"/>
    <n v="0"/>
    <n v="0"/>
    <n v="0"/>
    <n v="1"/>
    <n v="0"/>
    <n v="0"/>
    <n v="0"/>
  </r>
  <r>
    <s v="6HI032"/>
    <s v="Att undervisa i historia (VFU)"/>
    <m/>
    <s v="LYAGY"/>
    <m/>
    <n v="2019"/>
    <m/>
    <m/>
    <m/>
    <m/>
    <m/>
    <m/>
    <m/>
    <m/>
    <m/>
    <m/>
    <n v="1.5"/>
    <n v="0.85"/>
    <n v="1.2749999999999999"/>
    <x v="10"/>
    <s v="Inst för ide- o samhällsstudier"/>
    <s v="Hum"/>
    <s v="Ämneslärarprogrammet - Gy"/>
    <n v="21634"/>
    <n v="26986"/>
    <n v="66858.149999999994"/>
    <n v="3400"/>
    <n v="5100"/>
    <n v="71958.149999999994"/>
    <n v="0"/>
    <n v="0"/>
    <n v="0"/>
    <n v="0"/>
    <n v="0"/>
    <n v="0"/>
    <n v="0"/>
    <n v="0"/>
    <n v="1"/>
    <n v="0"/>
    <n v="0"/>
    <n v="0"/>
  </r>
  <r>
    <s v="6HI033"/>
    <s v="Historia 2"/>
    <m/>
    <s v="LYAGY"/>
    <m/>
    <n v="2019"/>
    <m/>
    <m/>
    <m/>
    <m/>
    <m/>
    <m/>
    <m/>
    <m/>
    <m/>
    <m/>
    <n v="12"/>
    <n v="0.85"/>
    <n v="10.199999999999999"/>
    <x v="10"/>
    <s v="Inst för ide- o samhällsstudier"/>
    <s v="Hum"/>
    <s v="Ämneslärarprogrammet - Gy"/>
    <n v="18405"/>
    <n v="15773"/>
    <n v="381744.6"/>
    <n v="5800"/>
    <n v="69600"/>
    <n v="451344.6"/>
    <n v="0"/>
    <n v="1"/>
    <n v="0"/>
    <n v="0"/>
    <n v="0"/>
    <n v="0"/>
    <n v="0"/>
    <n v="0"/>
    <n v="0"/>
    <n v="0"/>
    <n v="0"/>
    <n v="0"/>
  </r>
  <r>
    <s v="6HI034"/>
    <s v="Historia 1"/>
    <m/>
    <s v="LYAGY"/>
    <m/>
    <n v="2019"/>
    <m/>
    <m/>
    <m/>
    <m/>
    <m/>
    <m/>
    <m/>
    <m/>
    <m/>
    <m/>
    <n v="12.5"/>
    <n v="0.85"/>
    <n v="10.625"/>
    <x v="10"/>
    <s v="Inst för ide- o samhällsstudier"/>
    <s v="Hum"/>
    <s v="Ämneslärarprogrammet - Gy"/>
    <n v="18405"/>
    <n v="15773"/>
    <n v="397650.625"/>
    <n v="5800"/>
    <n v="72500"/>
    <n v="470150.625"/>
    <n v="0"/>
    <n v="1"/>
    <n v="0"/>
    <n v="0"/>
    <n v="0"/>
    <n v="0"/>
    <n v="0"/>
    <n v="0"/>
    <n v="0"/>
    <n v="0"/>
    <n v="0"/>
    <n v="0"/>
  </r>
  <r>
    <s v="6HI035"/>
    <s v="Historia 3"/>
    <m/>
    <s v="LYAGY"/>
    <m/>
    <n v="2019"/>
    <m/>
    <m/>
    <m/>
    <m/>
    <m/>
    <m/>
    <m/>
    <m/>
    <m/>
    <m/>
    <n v="12"/>
    <n v="0.85"/>
    <n v="10.199999999999999"/>
    <x v="10"/>
    <s v="Inst för ide- o samhällsstudier"/>
    <s v="Hum"/>
    <s v="Ämneslärarprogrammet - Gy"/>
    <n v="18405"/>
    <n v="15773"/>
    <n v="381744.6"/>
    <n v="5800"/>
    <n v="69600"/>
    <n v="451344.6"/>
    <n v="0"/>
    <n v="1"/>
    <n v="0"/>
    <n v="0"/>
    <n v="0"/>
    <n v="0"/>
    <n v="0"/>
    <n v="0"/>
    <n v="0"/>
    <n v="0"/>
    <n v="0"/>
    <n v="0"/>
  </r>
  <r>
    <s v="6ID013"/>
    <s v="Examensarbete i Idrott och hälsa för ämneslärarexamen"/>
    <m/>
    <s v="LYAGR"/>
    <m/>
    <n v="2019"/>
    <m/>
    <m/>
    <m/>
    <m/>
    <m/>
    <m/>
    <m/>
    <m/>
    <m/>
    <m/>
    <n v="1.25"/>
    <n v="0.85"/>
    <n v="1.0625"/>
    <x v="11"/>
    <s v="Pedagogik                     "/>
    <s v="Sam"/>
    <s v="Ämneslärarprogrammet - åk 7-9"/>
    <n v="18405"/>
    <n v="15773"/>
    <n v="39765.0625"/>
    <n v="5800"/>
    <n v="7250"/>
    <n v="47015.0625"/>
    <n v="0"/>
    <n v="0"/>
    <n v="0"/>
    <n v="0"/>
    <n v="0"/>
    <n v="0"/>
    <n v="1"/>
    <n v="0"/>
    <n v="0"/>
    <n v="0"/>
    <n v="0"/>
    <n v="0"/>
  </r>
  <r>
    <s v="6ID013"/>
    <s v="Examensarbete i Idrott och hälsa för ämneslärarexamen"/>
    <m/>
    <s v="LYAGY"/>
    <m/>
    <n v="2019"/>
    <m/>
    <m/>
    <m/>
    <m/>
    <m/>
    <m/>
    <m/>
    <m/>
    <m/>
    <m/>
    <n v="6.625"/>
    <n v="0.85"/>
    <n v="5.6312499999999996"/>
    <x v="11"/>
    <s v="Pedagogik                     "/>
    <s v="Sam"/>
    <s v="Ämneslärarprogrammet - Gy"/>
    <n v="18405"/>
    <n v="15773"/>
    <n v="210754.83124999999"/>
    <n v="5800"/>
    <n v="38425"/>
    <n v="249179.83124999999"/>
    <n v="0"/>
    <n v="0"/>
    <n v="0"/>
    <n v="0"/>
    <n v="0"/>
    <n v="0"/>
    <n v="1"/>
    <n v="0"/>
    <n v="0"/>
    <n v="0"/>
    <n v="0"/>
    <n v="0"/>
  </r>
  <r>
    <s v="6ID015"/>
    <s v="Praktiskt estetiskt ämne - Idrott och hälsa 2"/>
    <m/>
    <s v="LYGFR"/>
    <m/>
    <n v="2019"/>
    <m/>
    <m/>
    <m/>
    <m/>
    <m/>
    <m/>
    <m/>
    <m/>
    <m/>
    <m/>
    <n v="2.25"/>
    <n v="0.85"/>
    <n v="1.9124999999999999"/>
    <x v="11"/>
    <s v="Pedagogik                     "/>
    <s v="Sam"/>
    <s v="Grundlärarprogrammet - fritidshem"/>
    <n v="15846"/>
    <n v="26926"/>
    <n v="87149.475000000006"/>
    <n v="17300"/>
    <n v="38925"/>
    <n v="126074.47500000001"/>
    <n v="0"/>
    <n v="0"/>
    <n v="0"/>
    <n v="0"/>
    <n v="0"/>
    <n v="0"/>
    <n v="0"/>
    <n v="0"/>
    <n v="0"/>
    <n v="0"/>
    <n v="1"/>
    <n v="0"/>
  </r>
  <r>
    <s v="6ID015"/>
    <s v="Praktiskt estetiskt ämne - Idrott och hälsa 2"/>
    <m/>
    <s v="FRIST"/>
    <m/>
    <n v="2019"/>
    <m/>
    <m/>
    <m/>
    <m/>
    <m/>
    <m/>
    <m/>
    <m/>
    <m/>
    <m/>
    <n v="0.25"/>
    <n v="0.8"/>
    <n v="0.2"/>
    <x v="11"/>
    <s v="Pedagogik                     "/>
    <s v="Sam"/>
    <s v="Fristående och övriga kurser"/>
    <n v="15846"/>
    <n v="26926"/>
    <n v="9346.7000000000007"/>
    <n v="17300"/>
    <n v="4325"/>
    <n v="13671.7"/>
    <n v="0"/>
    <n v="0"/>
    <n v="0"/>
    <n v="0"/>
    <n v="0"/>
    <n v="0"/>
    <n v="0"/>
    <n v="0"/>
    <n v="0"/>
    <n v="0"/>
    <n v="1"/>
    <n v="0"/>
  </r>
  <r>
    <s v="6ID016"/>
    <s v="Praktiskt estetiskt ämne - Idrott och hälsa 1"/>
    <m/>
    <s v="LYGFR"/>
    <m/>
    <n v="2019"/>
    <m/>
    <m/>
    <m/>
    <m/>
    <m/>
    <m/>
    <m/>
    <m/>
    <m/>
    <m/>
    <n v="4.25"/>
    <n v="0.85"/>
    <n v="3.6124999999999998"/>
    <x v="11"/>
    <s v="Pedagogik                     "/>
    <s v="Sam"/>
    <s v="Grundlärarprogrammet - fritidshem"/>
    <n v="15846"/>
    <n v="26926"/>
    <n v="164615.67499999999"/>
    <n v="17300"/>
    <n v="73525"/>
    <n v="238140.67499999999"/>
    <n v="0"/>
    <n v="0"/>
    <n v="0"/>
    <n v="0"/>
    <n v="0"/>
    <n v="0"/>
    <n v="0"/>
    <n v="0"/>
    <n v="0"/>
    <n v="0"/>
    <n v="1"/>
    <n v="0"/>
  </r>
  <r>
    <s v="6ID016"/>
    <s v="Praktiskt estetiskt ämne - Idrott och hälsa 1"/>
    <m/>
    <s v="FRIST"/>
    <m/>
    <n v="2019"/>
    <m/>
    <m/>
    <m/>
    <m/>
    <m/>
    <m/>
    <m/>
    <m/>
    <m/>
    <m/>
    <n v="0.5"/>
    <n v="0.8"/>
    <n v="0.4"/>
    <x v="11"/>
    <s v="Pedagogik                     "/>
    <s v="Sam"/>
    <s v="Fristående och övriga kurser"/>
    <n v="15846"/>
    <n v="26926"/>
    <n v="18693.400000000001"/>
    <n v="17300"/>
    <n v="8650"/>
    <n v="27343.4"/>
    <n v="0"/>
    <n v="0"/>
    <n v="0"/>
    <n v="0"/>
    <n v="0"/>
    <n v="0"/>
    <n v="0"/>
    <n v="0"/>
    <n v="0"/>
    <n v="0"/>
    <n v="1"/>
    <n v="0"/>
  </r>
  <r>
    <s v="6ID017"/>
    <s v="Idrott och hälsa 1"/>
    <m/>
    <s v="LYAGY"/>
    <m/>
    <n v="2019"/>
    <m/>
    <m/>
    <m/>
    <m/>
    <m/>
    <m/>
    <m/>
    <m/>
    <m/>
    <m/>
    <n v="12.5"/>
    <n v="0.85"/>
    <n v="10.625"/>
    <x v="11"/>
    <s v="Pedagogik                     "/>
    <s v="Sam"/>
    <s v="Ämneslärarprogrammet - Gy"/>
    <n v="45034"/>
    <n v="31547"/>
    <n v="898111.875"/>
    <n v="34500"/>
    <n v="431250"/>
    <n v="1329361.875"/>
    <n v="0"/>
    <n v="0"/>
    <n v="1"/>
    <n v="0"/>
    <n v="0"/>
    <n v="0"/>
    <n v="0"/>
    <n v="0"/>
    <n v="0"/>
    <n v="0"/>
    <n v="0"/>
    <n v="0"/>
  </r>
  <r>
    <s v="6ID017"/>
    <s v="Idrott och hälsa 1"/>
    <m/>
    <s v="FRIST"/>
    <m/>
    <n v="2019"/>
    <m/>
    <m/>
    <m/>
    <m/>
    <m/>
    <m/>
    <m/>
    <m/>
    <m/>
    <m/>
    <n v="2"/>
    <n v="0.8"/>
    <n v="1.6"/>
    <x v="11"/>
    <s v="Pedagogik                     "/>
    <s v="Sam"/>
    <s v="Fristående och övriga kurser"/>
    <n v="45034"/>
    <n v="31547"/>
    <n v="140543.20000000001"/>
    <n v="34500"/>
    <n v="69000"/>
    <n v="209543.2"/>
    <n v="0"/>
    <n v="0"/>
    <n v="1"/>
    <n v="0"/>
    <n v="0"/>
    <n v="0"/>
    <n v="0"/>
    <n v="0"/>
    <n v="0"/>
    <n v="0"/>
    <n v="0"/>
    <n v="0"/>
  </r>
  <r>
    <s v="6ID018"/>
    <s v="Idrott och hälsa 3"/>
    <m/>
    <s v="LYAGY"/>
    <m/>
    <n v="2019"/>
    <m/>
    <m/>
    <m/>
    <m/>
    <m/>
    <m/>
    <m/>
    <m/>
    <m/>
    <m/>
    <n v="9.5"/>
    <n v="0.85"/>
    <n v="8.0749999999999993"/>
    <x v="11"/>
    <s v="Pedagogik                     "/>
    <s v="Sam"/>
    <s v="Ämneslärarprogrammet - Gy"/>
    <n v="45034"/>
    <n v="31547"/>
    <n v="682565.02499999991"/>
    <n v="34500"/>
    <n v="327750"/>
    <n v="1010315.0249999999"/>
    <n v="0"/>
    <n v="0"/>
    <n v="1"/>
    <n v="0"/>
    <n v="0"/>
    <n v="0"/>
    <n v="0"/>
    <n v="0"/>
    <n v="0"/>
    <n v="0"/>
    <n v="0"/>
    <n v="0"/>
  </r>
  <r>
    <s v="6ID018"/>
    <s v="Idrott och hälsa 3"/>
    <m/>
    <s v="FRIST"/>
    <m/>
    <n v="2019"/>
    <m/>
    <m/>
    <m/>
    <m/>
    <m/>
    <m/>
    <m/>
    <m/>
    <m/>
    <m/>
    <n v="2"/>
    <n v="0.8"/>
    <n v="1.6"/>
    <x v="11"/>
    <s v="Pedagogik                     "/>
    <s v="Sam"/>
    <s v="Fristående och övriga kurser"/>
    <n v="45034"/>
    <n v="31547"/>
    <n v="140543.20000000001"/>
    <n v="34500"/>
    <n v="69000"/>
    <n v="209543.2"/>
    <n v="0"/>
    <n v="0"/>
    <n v="1"/>
    <n v="0"/>
    <n v="0"/>
    <n v="0"/>
    <n v="0"/>
    <n v="0"/>
    <n v="0"/>
    <n v="0"/>
    <n v="0"/>
    <n v="0"/>
  </r>
  <r>
    <s v="6ID019"/>
    <s v="Idrott, fostran och socialisation"/>
    <m/>
    <s v="FRIST"/>
    <m/>
    <n v="2019"/>
    <m/>
    <m/>
    <m/>
    <m/>
    <m/>
    <m/>
    <m/>
    <m/>
    <m/>
    <m/>
    <n v="0.375"/>
    <n v="0.8"/>
    <n v="0.30000000000000004"/>
    <x v="11"/>
    <s v="Pedagogik                     "/>
    <s v="Sam"/>
    <s v="Fristående och övriga kurser"/>
    <n v="18405"/>
    <n v="15773"/>
    <n v="11633.775000000001"/>
    <n v="5800"/>
    <n v="2175"/>
    <n v="13808.775000000001"/>
    <n v="0"/>
    <n v="0"/>
    <n v="0"/>
    <n v="0"/>
    <n v="0"/>
    <n v="0"/>
    <n v="1"/>
    <n v="0"/>
    <n v="0"/>
    <n v="0"/>
    <n v="0"/>
    <n v="0"/>
  </r>
  <r>
    <s v="6ID314"/>
    <s v="Idrott och hälsa II för gymnasieskolan"/>
    <m/>
    <s v="LYAGY"/>
    <m/>
    <n v="2019"/>
    <m/>
    <m/>
    <m/>
    <m/>
    <m/>
    <m/>
    <m/>
    <m/>
    <m/>
    <m/>
    <n v="12"/>
    <n v="0.85"/>
    <n v="10.199999999999999"/>
    <x v="11"/>
    <s v="Pedagogik                     "/>
    <s v="Sam"/>
    <s v="Ämneslärarprogrammet - Gy"/>
    <n v="45034"/>
    <n v="31547"/>
    <n v="862187.39999999991"/>
    <n v="34500"/>
    <n v="414000"/>
    <n v="1276187.3999999999"/>
    <n v="0"/>
    <n v="0"/>
    <n v="1"/>
    <n v="0"/>
    <n v="0"/>
    <n v="0"/>
    <n v="0"/>
    <n v="0"/>
    <n v="0"/>
    <n v="0"/>
    <n v="0"/>
    <n v="0"/>
  </r>
  <r>
    <s v="6ID314"/>
    <s v="Idrott och hälsa II för gymnasieskolan"/>
    <m/>
    <s v="FRIST"/>
    <m/>
    <n v="2019"/>
    <m/>
    <m/>
    <m/>
    <m/>
    <m/>
    <m/>
    <m/>
    <m/>
    <m/>
    <m/>
    <n v="0.5"/>
    <n v="0.8"/>
    <n v="0.4"/>
    <x v="11"/>
    <s v="Pedagogik                     "/>
    <s v="Sam"/>
    <s v="Fristående och övriga kurser"/>
    <n v="45034"/>
    <n v="31547"/>
    <n v="35135.800000000003"/>
    <n v="34500"/>
    <n v="17250"/>
    <n v="52385.8"/>
    <n v="0"/>
    <n v="0"/>
    <n v="1"/>
    <n v="0"/>
    <n v="0"/>
    <n v="0"/>
    <n v="0"/>
    <n v="0"/>
    <n v="0"/>
    <n v="0"/>
    <n v="0"/>
    <n v="0"/>
  </r>
  <r>
    <s v="6IT023"/>
    <s v="Matematikundervisning med IT"/>
    <m/>
    <s v="FRIST"/>
    <m/>
    <n v="2019"/>
    <m/>
    <m/>
    <m/>
    <m/>
    <m/>
    <m/>
    <m/>
    <m/>
    <m/>
    <m/>
    <n v="2.375"/>
    <n v="0.8"/>
    <n v="1.9000000000000001"/>
    <x v="12"/>
    <s v="TUV "/>
    <s v="Sam"/>
    <s v="Fristående och övriga kurser"/>
    <n v="18405"/>
    <n v="15773"/>
    <n v="73680.574999999997"/>
    <n v="5800"/>
    <n v="13775"/>
    <n v="87455.574999999997"/>
    <n v="0"/>
    <n v="0"/>
    <n v="0"/>
    <n v="0"/>
    <n v="0"/>
    <n v="0"/>
    <n v="1"/>
    <n v="0"/>
    <n v="0"/>
    <n v="0"/>
    <n v="0"/>
    <n v="0"/>
  </r>
  <r>
    <s v="6IT047"/>
    <s v="Design av digital didaktik"/>
    <m/>
    <s v="FRIST"/>
    <m/>
    <n v="2019"/>
    <m/>
    <m/>
    <m/>
    <m/>
    <m/>
    <m/>
    <m/>
    <m/>
    <m/>
    <m/>
    <n v="3.75"/>
    <n v="0.8"/>
    <n v="3"/>
    <x v="12"/>
    <s v="TUV "/>
    <s v="Sam"/>
    <s v="Fristående och övriga kurser"/>
    <n v="18405"/>
    <n v="15773"/>
    <n v="116337.75"/>
    <n v="5800"/>
    <n v="21750"/>
    <n v="138087.75"/>
    <n v="0"/>
    <n v="0"/>
    <n v="0"/>
    <n v="0"/>
    <n v="0"/>
    <n v="0"/>
    <n v="1"/>
    <n v="0"/>
    <n v="0"/>
    <n v="0"/>
    <n v="0"/>
    <n v="0"/>
  </r>
  <r>
    <s v="6KE101"/>
    <s v="Kemididaktik 1 för ämneslärare för gymnasium"/>
    <m/>
    <s v="LYAGY"/>
    <m/>
    <n v="2019"/>
    <m/>
    <m/>
    <m/>
    <m/>
    <m/>
    <m/>
    <m/>
    <m/>
    <m/>
    <m/>
    <n v="0.375"/>
    <n v="0.85"/>
    <n v="0.31874999999999998"/>
    <x v="6"/>
    <s v="NMD"/>
    <s v="TekNat"/>
    <s v="Ämneslärarprogrammet - Gy"/>
    <n v="19473"/>
    <n v="34806"/>
    <n v="18396.787499999999"/>
    <n v="21800"/>
    <n v="8175"/>
    <n v="26571.787499999999"/>
    <n v="0"/>
    <n v="0"/>
    <n v="0"/>
    <n v="0"/>
    <n v="0"/>
    <n v="1"/>
    <n v="0"/>
    <n v="0"/>
    <n v="0"/>
    <n v="0"/>
    <n v="0"/>
    <n v="0"/>
  </r>
  <r>
    <s v="6KE102"/>
    <s v="Kemididaktik 2 för ämneslärare för gymnasium"/>
    <m/>
    <s v="LYAGY"/>
    <m/>
    <n v="2019"/>
    <m/>
    <m/>
    <m/>
    <m/>
    <m/>
    <m/>
    <m/>
    <m/>
    <m/>
    <m/>
    <n v="0.25"/>
    <n v="0.85"/>
    <n v="0.21249999999999999"/>
    <x v="6"/>
    <s v="NMD"/>
    <s v="TekNat"/>
    <s v="Ämneslärarprogrammet - Gy"/>
    <n v="19473"/>
    <n v="34806"/>
    <n v="12264.525"/>
    <n v="21800"/>
    <n v="5450"/>
    <n v="17714.525000000001"/>
    <n v="0"/>
    <n v="0"/>
    <n v="0"/>
    <n v="0"/>
    <n v="0"/>
    <n v="1"/>
    <n v="0"/>
    <n v="0"/>
    <n v="0"/>
    <n v="0"/>
    <n v="0"/>
    <n v="0"/>
  </r>
  <r>
    <s v="6KG003"/>
    <s v="Ekonomisk och soial geografi"/>
    <m/>
    <s v="LYAGY"/>
    <m/>
    <n v="2019"/>
    <m/>
    <m/>
    <m/>
    <m/>
    <m/>
    <m/>
    <m/>
    <m/>
    <m/>
    <m/>
    <n v="1.25"/>
    <n v="0.85"/>
    <n v="1.0625"/>
    <x v="13"/>
    <s v="Geografi"/>
    <s v="Sam"/>
    <s v="Ämneslärarprogrammet - Gy"/>
    <n v="18672"/>
    <n v="20531.25"/>
    <n v="45154.453125"/>
    <n v="9800"/>
    <n v="12250"/>
    <n v="57404.453125"/>
    <n v="0"/>
    <n v="0"/>
    <n v="0"/>
    <n v="0"/>
    <n v="0"/>
    <n v="0.25"/>
    <n v="0.75"/>
    <n v="0"/>
    <n v="0"/>
    <n v="0"/>
    <n v="0"/>
    <n v="0"/>
  </r>
  <r>
    <s v="6KG004"/>
    <s v="Introduktion till geografi"/>
    <m/>
    <s v="LYAGY"/>
    <m/>
    <n v="2019"/>
    <m/>
    <m/>
    <m/>
    <m/>
    <m/>
    <m/>
    <m/>
    <m/>
    <m/>
    <m/>
    <n v="0.75"/>
    <n v="0.85"/>
    <n v="0.63749999999999996"/>
    <x v="13"/>
    <s v="Geografi"/>
    <s v="Sam"/>
    <s v="Ämneslärarprogrammet - Gy"/>
    <n v="18405"/>
    <n v="15773"/>
    <n v="23859.037499999999"/>
    <n v="5800"/>
    <n v="4350"/>
    <n v="28209.037499999999"/>
    <n v="0"/>
    <n v="0"/>
    <n v="0"/>
    <n v="0"/>
    <n v="0"/>
    <n v="0"/>
    <n v="1"/>
    <n v="0"/>
    <n v="0"/>
    <n v="0"/>
    <n v="0"/>
    <n v="0"/>
  </r>
  <r>
    <s v="6KG005"/>
    <s v="Befolkningsgeografi"/>
    <m/>
    <s v="LYAGY"/>
    <m/>
    <n v="2019"/>
    <m/>
    <m/>
    <m/>
    <m/>
    <m/>
    <m/>
    <m/>
    <m/>
    <m/>
    <m/>
    <n v="1.5"/>
    <n v="0.85"/>
    <n v="1.2749999999999999"/>
    <x v="13"/>
    <s v="Geografi"/>
    <s v="Sam"/>
    <s v="Ämneslärarprogrammet - Gy"/>
    <n v="18672"/>
    <n v="20531.25"/>
    <n v="54185.34375"/>
    <n v="9800"/>
    <n v="14700"/>
    <n v="68885.34375"/>
    <n v="0"/>
    <n v="0"/>
    <n v="0"/>
    <n v="0"/>
    <n v="0"/>
    <n v="0.25"/>
    <n v="0.75"/>
    <n v="0"/>
    <n v="0"/>
    <n v="0"/>
    <n v="0"/>
    <n v="0"/>
  </r>
  <r>
    <s v="6KG006"/>
    <s v="Kartor och GIS"/>
    <m/>
    <s v="LYAGY"/>
    <m/>
    <n v="2019"/>
    <m/>
    <m/>
    <m/>
    <m/>
    <m/>
    <m/>
    <m/>
    <m/>
    <m/>
    <m/>
    <n v="0.75"/>
    <n v="0.85"/>
    <n v="0.63749999999999996"/>
    <x v="13"/>
    <s v="Geografi"/>
    <s v="Sam"/>
    <s v="Ämneslärarprogrammet - Gy"/>
    <n v="18939"/>
    <n v="25289.5"/>
    <n v="30326.306250000001"/>
    <n v="13800"/>
    <n v="10350"/>
    <n v="40676.306250000001"/>
    <n v="0"/>
    <n v="0"/>
    <n v="0"/>
    <n v="0"/>
    <n v="0"/>
    <n v="0.5"/>
    <n v="0.5"/>
    <n v="0"/>
    <n v="0"/>
    <n v="0"/>
    <n v="0"/>
    <n v="0"/>
  </r>
  <r>
    <s v="6KG007"/>
    <s v="Geografididaktik 1"/>
    <m/>
    <s v="LYAGY"/>
    <m/>
    <n v="2019"/>
    <m/>
    <m/>
    <m/>
    <m/>
    <m/>
    <m/>
    <m/>
    <m/>
    <m/>
    <m/>
    <n v="0.75"/>
    <n v="0.85"/>
    <n v="0.63749999999999996"/>
    <x v="13"/>
    <s v="Geografi"/>
    <s v="Sam"/>
    <s v="Ämneslärarprogrammet - Gy"/>
    <n v="18405"/>
    <n v="15773"/>
    <n v="23859.037499999999"/>
    <n v="5800"/>
    <n v="4350"/>
    <n v="28209.037499999999"/>
    <n v="0"/>
    <n v="0"/>
    <n v="0"/>
    <n v="0"/>
    <n v="0"/>
    <n v="0"/>
    <n v="1"/>
    <n v="0"/>
    <n v="0"/>
    <n v="0"/>
    <n v="0"/>
    <n v="0"/>
  </r>
  <r>
    <s v="6KG008"/>
    <s v="Geografididaktik 2"/>
    <m/>
    <s v="LYAGY"/>
    <m/>
    <n v="2019"/>
    <m/>
    <m/>
    <m/>
    <m/>
    <m/>
    <m/>
    <m/>
    <m/>
    <m/>
    <m/>
    <n v="0.625"/>
    <n v="0.85"/>
    <n v="0.53125"/>
    <x v="13"/>
    <s v="Geografi"/>
    <s v="Sam"/>
    <s v="Ämneslärarprogrammet - Gy"/>
    <n v="18405"/>
    <n v="15773"/>
    <n v="19882.53125"/>
    <n v="5800"/>
    <n v="3625"/>
    <n v="23507.53125"/>
    <n v="0"/>
    <n v="0"/>
    <n v="0"/>
    <n v="0"/>
    <n v="0"/>
    <n v="0"/>
    <n v="1"/>
    <n v="0"/>
    <n v="0"/>
    <n v="0"/>
    <n v="0"/>
    <n v="0"/>
  </r>
  <r>
    <s v="6KN016"/>
    <s v="Hem- och konsumentkunskap C - fördjupning"/>
    <m/>
    <s v="FRIST"/>
    <m/>
    <n v="2019"/>
    <m/>
    <m/>
    <m/>
    <m/>
    <m/>
    <m/>
    <m/>
    <m/>
    <m/>
    <m/>
    <n v="5.5"/>
    <n v="0.8"/>
    <n v="4.4000000000000004"/>
    <x v="14"/>
    <s v="Kostvetenskap                 "/>
    <s v="Sam"/>
    <s v="Fristående och övriga kurser"/>
    <n v="18405"/>
    <n v="15773"/>
    <n v="170628.7"/>
    <n v="5800"/>
    <n v="31900"/>
    <n v="202528.7"/>
    <n v="0"/>
    <n v="0"/>
    <n v="0"/>
    <n v="0"/>
    <n v="0"/>
    <n v="0"/>
    <n v="1"/>
    <n v="0"/>
    <n v="0"/>
    <n v="0"/>
    <n v="0"/>
    <n v="0"/>
  </r>
  <r>
    <s v="6KN022"/>
    <s v="Examensarbete i kostvetenskap för ämneslärarexamen med inriktning hem- och konsumentkunskap"/>
    <m/>
    <s v="LYAGR"/>
    <m/>
    <n v="2019"/>
    <m/>
    <m/>
    <m/>
    <m/>
    <m/>
    <m/>
    <m/>
    <m/>
    <m/>
    <m/>
    <n v="0.375"/>
    <n v="0.85"/>
    <n v="0.31874999999999998"/>
    <x v="14"/>
    <s v="Kostvetenskap                 "/>
    <s v="Sam"/>
    <s v="Ämneslärarprogrammet - åk 7-9"/>
    <n v="18405"/>
    <n v="15773"/>
    <n v="11929.518749999999"/>
    <n v="5800"/>
    <n v="2175"/>
    <n v="14104.518749999999"/>
    <n v="0"/>
    <n v="0"/>
    <n v="0"/>
    <n v="0"/>
    <n v="0"/>
    <n v="0"/>
    <n v="1"/>
    <n v="0"/>
    <n v="0"/>
    <n v="0"/>
    <n v="0"/>
    <n v="0"/>
  </r>
  <r>
    <s v="6KN023"/>
    <s v="Hem- och konsumentkunskap, distans A"/>
    <m/>
    <s v="FRIST"/>
    <m/>
    <n v="2019"/>
    <m/>
    <m/>
    <m/>
    <m/>
    <m/>
    <m/>
    <m/>
    <m/>
    <m/>
    <m/>
    <n v="17.5"/>
    <n v="0.8"/>
    <n v="14"/>
    <x v="14"/>
    <s v="Kostvetenskap                 "/>
    <s v="Sam"/>
    <s v="Fristående och övriga kurser"/>
    <n v="19473"/>
    <n v="34806"/>
    <n v="828061.5"/>
    <n v="21800"/>
    <n v="381500"/>
    <n v="1209561.5"/>
    <n v="0"/>
    <n v="0"/>
    <n v="0"/>
    <n v="0"/>
    <n v="0"/>
    <n v="1"/>
    <n v="0"/>
    <n v="0"/>
    <n v="0"/>
    <n v="0"/>
    <n v="0"/>
    <n v="0"/>
  </r>
  <r>
    <s v="6KN024"/>
    <s v="Mat och måltider för barn och ungdomar"/>
    <m/>
    <s v="FRIST"/>
    <m/>
    <n v="2019"/>
    <m/>
    <m/>
    <m/>
    <m/>
    <m/>
    <m/>
    <m/>
    <m/>
    <m/>
    <m/>
    <n v="7"/>
    <n v="0.8"/>
    <n v="5.6000000000000005"/>
    <x v="14"/>
    <s v="Kostvetenskap                 "/>
    <s v="Sam"/>
    <s v="Fristående och övriga kurser"/>
    <n v="19473"/>
    <n v="34806"/>
    <n v="331224.59999999998"/>
    <n v="21800"/>
    <n v="152600"/>
    <n v="483824.6"/>
    <n v="0"/>
    <n v="0"/>
    <n v="0"/>
    <n v="0"/>
    <n v="0"/>
    <n v="1"/>
    <n v="0"/>
    <n v="0"/>
    <n v="0"/>
    <n v="0"/>
    <n v="0"/>
    <n v="0"/>
  </r>
  <r>
    <s v="6KN025"/>
    <s v="Hem- och konsumentkunskap B"/>
    <m/>
    <s v="FRIST"/>
    <m/>
    <n v="2019"/>
    <m/>
    <m/>
    <m/>
    <m/>
    <m/>
    <m/>
    <m/>
    <m/>
    <m/>
    <m/>
    <n v="14.5"/>
    <n v="0.8"/>
    <n v="11.600000000000001"/>
    <x v="14"/>
    <s v="Kostvetenskap                 "/>
    <s v="Sam"/>
    <s v="Fristående och övriga kurser"/>
    <n v="19473"/>
    <n v="34806"/>
    <n v="686108.10000000009"/>
    <n v="21800"/>
    <n v="316100"/>
    <n v="1002208.1000000001"/>
    <n v="0"/>
    <n v="0"/>
    <n v="0"/>
    <n v="0"/>
    <n v="0"/>
    <n v="1"/>
    <n v="0"/>
    <n v="0"/>
    <n v="0"/>
    <n v="0"/>
    <n v="0"/>
    <n v="0"/>
  </r>
  <r>
    <s v="6KN026"/>
    <s v="Hem- och konsumentkunskap B15"/>
    <m/>
    <s v="FRIST"/>
    <m/>
    <n v="2019"/>
    <m/>
    <m/>
    <m/>
    <m/>
    <m/>
    <m/>
    <m/>
    <m/>
    <m/>
    <m/>
    <n v="1.75"/>
    <n v="0.8"/>
    <n v="1.4000000000000001"/>
    <x v="14"/>
    <s v="Kostvetenskap                 "/>
    <s v="Sam"/>
    <s v="Fristående och övriga kurser"/>
    <n v="19473"/>
    <n v="34806"/>
    <n v="82806.149999999994"/>
    <n v="21800"/>
    <n v="38150"/>
    <n v="120956.15"/>
    <n v="0"/>
    <n v="0"/>
    <n v="0"/>
    <n v="0"/>
    <n v="0"/>
    <n v="1"/>
    <n v="0"/>
    <n v="0"/>
    <n v="0"/>
    <n v="0"/>
    <n v="0"/>
    <n v="0"/>
  </r>
  <r>
    <s v="6KS000"/>
    <s v="Kulturslöjd - tradition, hantverk och nytänkande"/>
    <m/>
    <s v="FRIST"/>
    <m/>
    <n v="2019"/>
    <m/>
    <m/>
    <m/>
    <m/>
    <m/>
    <m/>
    <m/>
    <m/>
    <m/>
    <m/>
    <n v="3.625"/>
    <n v="0.8"/>
    <n v="2.9000000000000004"/>
    <x v="9"/>
    <s v="Estetiska ämnen               "/>
    <s v="Hum"/>
    <s v="Fristående och övriga kurser"/>
    <n v="19473"/>
    <n v="34806"/>
    <n v="171527.02500000002"/>
    <n v="21800"/>
    <n v="79025"/>
    <n v="250552.02500000002"/>
    <n v="0"/>
    <n v="0"/>
    <n v="0"/>
    <n v="0"/>
    <n v="0"/>
    <n v="0"/>
    <n v="0"/>
    <n v="1"/>
    <n v="0"/>
    <n v="0"/>
    <n v="0"/>
    <n v="0"/>
  </r>
  <r>
    <s v="6KS001"/>
    <s v="Folkmusikdidaktik"/>
    <m/>
    <s v="FRIST"/>
    <m/>
    <n v="2019"/>
    <m/>
    <m/>
    <m/>
    <m/>
    <m/>
    <m/>
    <m/>
    <m/>
    <m/>
    <m/>
    <n v="1.75"/>
    <n v="0.8"/>
    <n v="1.4000000000000001"/>
    <x v="9"/>
    <s v="Estetiska ämnen               "/>
    <s v="Hum"/>
    <s v="Fristående och övriga kurser"/>
    <n v="24603.5"/>
    <n v="39785"/>
    <n v="98755.125"/>
    <n v="37950"/>
    <n v="66412.5"/>
    <n v="165167.625"/>
    <n v="0"/>
    <n v="0.5"/>
    <n v="0"/>
    <n v="0"/>
    <n v="0.5"/>
    <n v="0"/>
    <n v="0"/>
    <n v="0"/>
    <n v="0"/>
    <n v="0"/>
    <n v="0"/>
    <n v="0"/>
  </r>
  <r>
    <s v="6LI009"/>
    <s v="Ditt barns språk 2. Språkutveckling mellan 2 och 4 år"/>
    <m/>
    <s v="FRIST"/>
    <m/>
    <n v="2019"/>
    <m/>
    <m/>
    <m/>
    <m/>
    <m/>
    <m/>
    <m/>
    <m/>
    <m/>
    <m/>
    <n v="2.25"/>
    <n v="0.8"/>
    <n v="1.8"/>
    <x v="8"/>
    <s v="Inst för språkstudier"/>
    <s v="Hum"/>
    <s v="Fristående och övriga kurser"/>
    <n v="18405"/>
    <n v="15773"/>
    <n v="69802.649999999994"/>
    <n v="5800"/>
    <n v="13050"/>
    <n v="82852.649999999994"/>
    <n v="0"/>
    <n v="1"/>
    <n v="0"/>
    <n v="0"/>
    <n v="0"/>
    <n v="0"/>
    <n v="0"/>
    <n v="0"/>
    <n v="0"/>
    <n v="0"/>
    <n v="0"/>
    <n v="0"/>
  </r>
  <r>
    <s v="6LI010"/>
    <s v="Ditt barns språk I - Språkutvecklingen mellan 0 och 2 år"/>
    <m/>
    <s v="FRIST"/>
    <m/>
    <n v="2019"/>
    <m/>
    <m/>
    <m/>
    <m/>
    <m/>
    <m/>
    <m/>
    <m/>
    <m/>
    <m/>
    <n v="5.5833300000000001"/>
    <n v="0.8"/>
    <n v="4.4666640000000006"/>
    <x v="8"/>
    <s v="Inst för språkstudier"/>
    <s v="Hum"/>
    <s v="Fristående och övriga kurser"/>
    <n v="18405"/>
    <n v="15773"/>
    <n v="173213.87992199999"/>
    <n v="5800"/>
    <n v="32383.314000000002"/>
    <n v="205597.19392200001"/>
    <n v="0"/>
    <n v="1"/>
    <n v="0"/>
    <n v="0"/>
    <n v="0"/>
    <n v="0"/>
    <n v="0"/>
    <n v="0"/>
    <n v="0"/>
    <n v="0"/>
    <n v="0"/>
    <n v="0"/>
  </r>
  <r>
    <s v="6LI011"/>
    <s v="Människans språk: Lingvistik för lärare"/>
    <m/>
    <s v="FRIST"/>
    <m/>
    <n v="2019"/>
    <m/>
    <m/>
    <m/>
    <m/>
    <m/>
    <m/>
    <m/>
    <m/>
    <m/>
    <m/>
    <n v="1.75"/>
    <n v="0.8"/>
    <n v="1.4000000000000001"/>
    <x v="8"/>
    <s v="Inst för språkstudier"/>
    <s v="Hum"/>
    <s v="Fristående och övriga kurser"/>
    <n v="18405"/>
    <n v="15773"/>
    <n v="54290.95"/>
    <n v="5800"/>
    <n v="10150"/>
    <n v="64440.95"/>
    <n v="0"/>
    <n v="1"/>
    <n v="0"/>
    <n v="0"/>
    <n v="0"/>
    <n v="0"/>
    <n v="0"/>
    <n v="0"/>
    <n v="0"/>
    <n v="0"/>
    <n v="0"/>
    <n v="0"/>
  </r>
  <r>
    <s v="6LI013"/>
    <s v="Specialpedagogik med fokus på svenska och matematik för F-3"/>
    <m/>
    <s v="LYGFT"/>
    <m/>
    <n v="2019"/>
    <m/>
    <m/>
    <m/>
    <m/>
    <m/>
    <m/>
    <m/>
    <m/>
    <m/>
    <m/>
    <n v="8.25"/>
    <n v="0.85"/>
    <n v="7.0125000000000002"/>
    <x v="8"/>
    <s v="Inst för språkstudier"/>
    <s v="Hum"/>
    <s v="Grundlärarprogrammet - förskoleklass och åk 1-3"/>
    <n v="18405"/>
    <n v="15773"/>
    <n v="262449.41249999998"/>
    <n v="5800"/>
    <n v="47850"/>
    <n v="310299.41249999998"/>
    <n v="0"/>
    <n v="1"/>
    <n v="0"/>
    <n v="0"/>
    <n v="0"/>
    <n v="0"/>
    <n v="0"/>
    <n v="0"/>
    <n v="0"/>
    <n v="0"/>
    <n v="0"/>
    <n v="0"/>
  </r>
  <r>
    <s v="6LU002"/>
    <s v="Demokrati, individ och samhälle"/>
    <m/>
    <s v="LYKGR"/>
    <m/>
    <n v="2019"/>
    <m/>
    <m/>
    <m/>
    <m/>
    <m/>
    <m/>
    <m/>
    <m/>
    <m/>
    <m/>
    <n v="2.6666699999999999"/>
    <n v="0.85"/>
    <n v="2.2666694999999999"/>
    <x v="10"/>
    <s v="Inst för ide- o samhällsstudier"/>
    <s v="Hum"/>
    <s v="KPU - åk 7-9"/>
    <n v="23641"/>
    <n v="28786"/>
    <n v="128291.09369699999"/>
    <n v="5800"/>
    <n v="15466.686"/>
    <n v="143757.77969699999"/>
    <n v="0"/>
    <n v="0"/>
    <n v="0"/>
    <n v="1"/>
    <n v="0"/>
    <n v="0"/>
    <n v="0"/>
    <n v="0"/>
    <n v="0"/>
    <n v="0"/>
    <n v="0"/>
    <n v="0"/>
  </r>
  <r>
    <s v="6LU002"/>
    <s v="Demokrati, individ och samhälle"/>
    <m/>
    <s v="LYKGY"/>
    <m/>
    <n v="2019"/>
    <m/>
    <m/>
    <m/>
    <m/>
    <m/>
    <m/>
    <m/>
    <m/>
    <m/>
    <m/>
    <n v="1"/>
    <n v="0.85"/>
    <n v="0.85"/>
    <x v="10"/>
    <s v="Inst för ide- o samhällsstudier"/>
    <s v="Hum"/>
    <s v="KPU - Gy"/>
    <n v="23641"/>
    <n v="28786"/>
    <n v="48109.1"/>
    <n v="5800"/>
    <n v="5800"/>
    <n v="53909.1"/>
    <n v="0"/>
    <n v="0"/>
    <n v="0"/>
    <n v="1"/>
    <n v="0"/>
    <n v="0"/>
    <n v="0"/>
    <n v="0"/>
    <n v="0"/>
    <n v="0"/>
    <n v="0"/>
    <n v="0"/>
  </r>
  <r>
    <s v="6LU002"/>
    <s v="Demokrati, individ och samhälle"/>
    <m/>
    <s v="LYYRK"/>
    <m/>
    <n v="2019"/>
    <m/>
    <m/>
    <m/>
    <m/>
    <m/>
    <m/>
    <m/>
    <m/>
    <m/>
    <m/>
    <n v="9.6666699999999999"/>
    <n v="0.85"/>
    <n v="8.2166695000000001"/>
    <x v="10"/>
    <s v="Inst för ide- o samhällsstudier"/>
    <s v="Hum"/>
    <s v="Yrkeslärarprogrammet"/>
    <n v="23641"/>
    <n v="28786"/>
    <n v="465054.79369700002"/>
    <n v="5800"/>
    <n v="56066.686000000002"/>
    <n v="521121.479697"/>
    <n v="0"/>
    <n v="0"/>
    <n v="0"/>
    <n v="1"/>
    <n v="0"/>
    <n v="0"/>
    <n v="0"/>
    <n v="0"/>
    <n v="0"/>
    <n v="0"/>
    <n v="0"/>
    <n v="0"/>
  </r>
  <r>
    <s v="6LU003"/>
    <s v="Kunskap, undervisning och lärande I"/>
    <m/>
    <s v="LYKGR"/>
    <m/>
    <n v="2019"/>
    <m/>
    <m/>
    <m/>
    <m/>
    <m/>
    <m/>
    <m/>
    <m/>
    <m/>
    <m/>
    <n v="3"/>
    <n v="0.85"/>
    <n v="2.5499999999999998"/>
    <x v="10"/>
    <s v="Inst för ide- o samhällsstudier"/>
    <s v="Hum"/>
    <s v="KPU - åk 7-9"/>
    <n v="23641"/>
    <n v="28786"/>
    <n v="144327.29999999999"/>
    <n v="5800"/>
    <n v="17400"/>
    <n v="161727.29999999999"/>
    <n v="0"/>
    <n v="0"/>
    <n v="0"/>
    <n v="1"/>
    <n v="0"/>
    <n v="0"/>
    <n v="0"/>
    <n v="0"/>
    <n v="0"/>
    <n v="0"/>
    <n v="0"/>
    <n v="0"/>
  </r>
  <r>
    <s v="6LU003"/>
    <s v="Kunskap, undervisning och lärande I"/>
    <m/>
    <s v="LYKGY"/>
    <m/>
    <n v="2019"/>
    <m/>
    <m/>
    <m/>
    <m/>
    <m/>
    <m/>
    <m/>
    <m/>
    <m/>
    <m/>
    <n v="0.66666999999999998"/>
    <n v="0.85"/>
    <n v="0.56666949999999994"/>
    <x v="10"/>
    <s v="Inst för ide- o samhällsstudier"/>
    <s v="Hum"/>
    <s v="KPU - Gy"/>
    <n v="23641"/>
    <n v="28786"/>
    <n v="32072.893697"/>
    <n v="5800"/>
    <n v="3866.6859999999997"/>
    <n v="35939.579697000001"/>
    <n v="0"/>
    <n v="0"/>
    <n v="0"/>
    <n v="1"/>
    <n v="0"/>
    <n v="0"/>
    <n v="0"/>
    <n v="0"/>
    <n v="0"/>
    <n v="0"/>
    <n v="0"/>
    <n v="0"/>
  </r>
  <r>
    <s v="6LU003"/>
    <s v="Kunskap, undervisning och lärande I"/>
    <m/>
    <s v="LYYRK"/>
    <m/>
    <n v="2019"/>
    <m/>
    <m/>
    <m/>
    <m/>
    <m/>
    <m/>
    <m/>
    <m/>
    <m/>
    <m/>
    <n v="12.83333"/>
    <n v="0.85"/>
    <n v="10.9083305"/>
    <x v="10"/>
    <s v="Inst för ide- o samhällsstudier"/>
    <s v="Hum"/>
    <s v="Yrkeslärarprogrammet"/>
    <n v="23641"/>
    <n v="28786"/>
    <n v="617399.95630299998"/>
    <n v="5800"/>
    <n v="74433.313999999998"/>
    <n v="691833.270303"/>
    <n v="0"/>
    <n v="0"/>
    <n v="0"/>
    <n v="1"/>
    <n v="0"/>
    <n v="0"/>
    <n v="0"/>
    <n v="0"/>
    <n v="0"/>
    <n v="0"/>
    <n v="0"/>
    <n v="0"/>
  </r>
  <r>
    <s v="6LU005"/>
    <s v="Samhällsorientering åk 4-6"/>
    <m/>
    <s v="LYGRM"/>
    <m/>
    <n v="2019"/>
    <m/>
    <m/>
    <m/>
    <m/>
    <m/>
    <m/>
    <m/>
    <m/>
    <m/>
    <m/>
    <n v="7"/>
    <n v="0.85"/>
    <n v="5.95"/>
    <x v="10"/>
    <s v="Inst för ide- o samhällsstudier"/>
    <s v="Hum"/>
    <s v="Grundlärarprogrammet - grundskolans åk 4-6"/>
    <n v="18405"/>
    <n v="15773"/>
    <n v="222684.35"/>
    <n v="5800"/>
    <n v="40600"/>
    <n v="263284.34999999998"/>
    <n v="0"/>
    <n v="1"/>
    <n v="0"/>
    <n v="0"/>
    <n v="0"/>
    <n v="0"/>
    <n v="0"/>
    <n v="0"/>
    <n v="0"/>
    <n v="0"/>
    <n v="0"/>
    <n v="0"/>
  </r>
  <r>
    <s v="6LU006"/>
    <s v="Kunskap, vetenskap och forskningsmetodik, 7,5 hp"/>
    <m/>
    <s v="LYAGY"/>
    <m/>
    <n v="2019"/>
    <m/>
    <m/>
    <m/>
    <m/>
    <m/>
    <m/>
    <m/>
    <m/>
    <m/>
    <m/>
    <n v="17.875"/>
    <n v="0.85"/>
    <n v="15.19375"/>
    <x v="10"/>
    <s v="Inst för ide- o samhällsstudier"/>
    <s v="Hum"/>
    <s v="Ämneslärarprogrammet - Gy"/>
    <n v="23641"/>
    <n v="28786"/>
    <n v="859950.16249999998"/>
    <n v="5800"/>
    <n v="103675"/>
    <n v="963625.16249999998"/>
    <n v="0"/>
    <n v="0"/>
    <n v="0"/>
    <n v="1"/>
    <n v="0"/>
    <n v="0"/>
    <n v="0"/>
    <n v="0"/>
    <n v="0"/>
    <n v="0"/>
    <n v="0"/>
    <n v="0"/>
  </r>
  <r>
    <s v="6LU006"/>
    <s v="Kunskap, vetenskap och forskningsmetodik, 7,5 hp"/>
    <m/>
    <s v="LYFSK"/>
    <m/>
    <n v="2019"/>
    <m/>
    <m/>
    <m/>
    <m/>
    <m/>
    <m/>
    <m/>
    <m/>
    <m/>
    <m/>
    <n v="8.375"/>
    <n v="0.85"/>
    <n v="7.1187499999999995"/>
    <x v="10"/>
    <s v="Inst för ide- o samhällsstudier"/>
    <s v="Hum"/>
    <s v="Förskollärarprogrammet"/>
    <n v="23641"/>
    <n v="28786"/>
    <n v="402913.71250000002"/>
    <n v="5800"/>
    <n v="48575"/>
    <n v="451488.71250000002"/>
    <n v="0"/>
    <n v="0"/>
    <n v="0"/>
    <n v="1"/>
    <n v="0"/>
    <n v="0"/>
    <n v="0"/>
    <n v="0"/>
    <n v="0"/>
    <n v="0"/>
    <n v="0"/>
    <n v="0"/>
  </r>
  <r>
    <s v="6LU006"/>
    <s v="Kunskap, vetenskap och forskningsmetodik, 7,5 hp"/>
    <m/>
    <s v="LYGFR"/>
    <m/>
    <n v="2019"/>
    <m/>
    <m/>
    <m/>
    <m/>
    <m/>
    <m/>
    <m/>
    <m/>
    <m/>
    <m/>
    <n v="2.125"/>
    <n v="0.85"/>
    <n v="1.8062499999999999"/>
    <x v="10"/>
    <s v="Inst för ide- o samhällsstudier"/>
    <s v="Hum"/>
    <s v="Grundlärarprogrammet - fritidshem"/>
    <n v="23641"/>
    <n v="28786"/>
    <n v="102231.83749999999"/>
    <n v="5800"/>
    <n v="12325"/>
    <n v="114556.83749999999"/>
    <n v="0"/>
    <n v="0"/>
    <n v="0"/>
    <n v="1"/>
    <n v="0"/>
    <n v="0"/>
    <n v="0"/>
    <n v="0"/>
    <n v="0"/>
    <n v="0"/>
    <n v="0"/>
    <n v="0"/>
  </r>
  <r>
    <s v="6LU006"/>
    <s v="Kunskap, vetenskap och forskningsmetodik, 7,5 hp"/>
    <m/>
    <s v="LYGFT"/>
    <m/>
    <n v="2019"/>
    <m/>
    <m/>
    <m/>
    <m/>
    <m/>
    <m/>
    <m/>
    <m/>
    <m/>
    <m/>
    <n v="6.375"/>
    <n v="0.85"/>
    <n v="5.4187500000000002"/>
    <x v="10"/>
    <s v="Inst för ide- o samhällsstudier"/>
    <s v="Hum"/>
    <s v="Grundlärarprogrammet - förskoleklass och åk 1-3"/>
    <n v="23641"/>
    <n v="28786"/>
    <n v="306695.51250000001"/>
    <n v="5800"/>
    <n v="36975"/>
    <n v="343670.51250000001"/>
    <n v="0"/>
    <n v="0"/>
    <n v="0"/>
    <n v="1"/>
    <n v="0"/>
    <n v="0"/>
    <n v="0"/>
    <n v="0"/>
    <n v="0"/>
    <n v="0"/>
    <n v="0"/>
    <n v="0"/>
  </r>
  <r>
    <s v="6LU006"/>
    <s v="Kunskap, vetenskap och forskningsmetodik, 7,5 hp"/>
    <m/>
    <s v="LYGRM"/>
    <m/>
    <n v="2019"/>
    <m/>
    <m/>
    <m/>
    <m/>
    <m/>
    <m/>
    <m/>
    <m/>
    <m/>
    <m/>
    <n v="3.375"/>
    <n v="0.85"/>
    <n v="2.8687499999999999"/>
    <x v="10"/>
    <s v="Inst för ide- o samhällsstudier"/>
    <s v="Hum"/>
    <s v="Grundlärarprogrammet - grundskolans åk 4-6"/>
    <n v="23641"/>
    <n v="28786"/>
    <n v="162368.21249999999"/>
    <n v="5800"/>
    <n v="19575"/>
    <n v="181943.21249999999"/>
    <n v="0"/>
    <n v="0"/>
    <n v="0"/>
    <n v="1"/>
    <n v="0"/>
    <n v="0"/>
    <n v="0"/>
    <n v="0"/>
    <n v="0"/>
    <n v="0"/>
    <n v="0"/>
    <n v="0"/>
  </r>
  <r>
    <s v="6LU007"/>
    <s v="Etik, demokrati och det heterogena klassrummet, 7,5 hp"/>
    <m/>
    <s v="LYAGY"/>
    <m/>
    <n v="2019"/>
    <m/>
    <m/>
    <m/>
    <m/>
    <m/>
    <m/>
    <m/>
    <m/>
    <m/>
    <m/>
    <n v="16.625"/>
    <n v="0.85"/>
    <n v="14.13125"/>
    <x v="10"/>
    <s v="Inst för ide- o samhällsstudier"/>
    <s v="Hum"/>
    <s v="Ämneslärarprogrammet - Gy"/>
    <n v="23641"/>
    <n v="28786"/>
    <n v="799813.78749999998"/>
    <n v="5800"/>
    <n v="96425"/>
    <n v="896238.78749999998"/>
    <n v="0"/>
    <n v="0"/>
    <n v="0"/>
    <n v="1"/>
    <n v="0"/>
    <n v="0"/>
    <n v="0"/>
    <n v="0"/>
    <n v="0"/>
    <n v="0"/>
    <n v="0"/>
    <n v="0"/>
  </r>
  <r>
    <s v="6LU007"/>
    <s v="Etik, demokrati och det heterogena klassrummet, 7,5 hp"/>
    <m/>
    <s v="LYFSK"/>
    <m/>
    <n v="2019"/>
    <m/>
    <m/>
    <m/>
    <m/>
    <m/>
    <m/>
    <m/>
    <m/>
    <m/>
    <m/>
    <n v="8.25"/>
    <n v="0.85"/>
    <n v="7.0125000000000002"/>
    <x v="10"/>
    <s v="Inst för ide- o samhällsstudier"/>
    <s v="Hum"/>
    <s v="Förskollärarprogrammet"/>
    <n v="23641"/>
    <n v="28786"/>
    <n v="396900.07500000001"/>
    <n v="5800"/>
    <n v="47850"/>
    <n v="444750.07500000001"/>
    <n v="0"/>
    <n v="0"/>
    <n v="0"/>
    <n v="1"/>
    <n v="0"/>
    <n v="0"/>
    <n v="0"/>
    <n v="0"/>
    <n v="0"/>
    <n v="0"/>
    <n v="0"/>
    <n v="0"/>
  </r>
  <r>
    <s v="6LU007"/>
    <s v="Etik, demokrati och det heterogena klassrummet, 7,5 hp"/>
    <m/>
    <s v="LYGFR"/>
    <m/>
    <n v="2019"/>
    <m/>
    <m/>
    <m/>
    <m/>
    <m/>
    <m/>
    <m/>
    <m/>
    <m/>
    <m/>
    <n v="2.125"/>
    <n v="0.85"/>
    <n v="1.8062499999999999"/>
    <x v="10"/>
    <s v="Inst för ide- o samhällsstudier"/>
    <s v="Hum"/>
    <s v="Grundlärarprogrammet - fritidshem"/>
    <n v="23641"/>
    <n v="28786"/>
    <n v="102231.83749999999"/>
    <n v="5800"/>
    <n v="12325"/>
    <n v="114556.83749999999"/>
    <n v="0"/>
    <n v="0"/>
    <n v="0"/>
    <n v="1"/>
    <n v="0"/>
    <n v="0"/>
    <n v="0"/>
    <n v="0"/>
    <n v="0"/>
    <n v="0"/>
    <n v="0"/>
    <n v="0"/>
  </r>
  <r>
    <s v="6LU007"/>
    <s v="Etik, demokrati och det heterogena klassrummet, 7,5 hp"/>
    <m/>
    <s v="LYGFT"/>
    <m/>
    <n v="2019"/>
    <m/>
    <m/>
    <m/>
    <m/>
    <m/>
    <m/>
    <m/>
    <m/>
    <m/>
    <m/>
    <n v="6.25"/>
    <n v="0.85"/>
    <n v="5.3125"/>
    <x v="10"/>
    <s v="Inst för ide- o samhällsstudier"/>
    <s v="Hum"/>
    <s v="Grundlärarprogrammet - förskoleklass och åk 1-3"/>
    <n v="23641"/>
    <n v="28786"/>
    <n v="300681.875"/>
    <n v="5800"/>
    <n v="36250"/>
    <n v="336931.875"/>
    <n v="0"/>
    <n v="0"/>
    <n v="0"/>
    <n v="1"/>
    <n v="0"/>
    <n v="0"/>
    <n v="0"/>
    <n v="0"/>
    <n v="0"/>
    <n v="0"/>
    <n v="0"/>
    <n v="0"/>
  </r>
  <r>
    <s v="6LU007"/>
    <s v="Etik, demokrati och det heterogena klassrummet, 7,5 hp"/>
    <m/>
    <s v="LYGRM"/>
    <m/>
    <n v="2019"/>
    <m/>
    <m/>
    <m/>
    <m/>
    <m/>
    <m/>
    <m/>
    <m/>
    <m/>
    <m/>
    <n v="3.5"/>
    <n v="0.85"/>
    <n v="2.9750000000000001"/>
    <x v="10"/>
    <s v="Inst för ide- o samhällsstudier"/>
    <s v="Hum"/>
    <s v="Grundlärarprogrammet - grundskolans åk 4-6"/>
    <n v="23641"/>
    <n v="28786"/>
    <n v="168381.85"/>
    <n v="5800"/>
    <n v="20300"/>
    <n v="188681.85"/>
    <n v="0"/>
    <n v="0"/>
    <n v="0"/>
    <n v="1"/>
    <n v="0"/>
    <n v="0"/>
    <n v="0"/>
    <n v="0"/>
    <n v="0"/>
    <n v="0"/>
    <n v="0"/>
    <n v="0"/>
  </r>
  <r>
    <s v="6LÄ046"/>
    <s v="Att undervisa i åk 4-6"/>
    <m/>
    <s v="LYGRM"/>
    <m/>
    <n v="2019"/>
    <m/>
    <m/>
    <m/>
    <m/>
    <m/>
    <m/>
    <m/>
    <m/>
    <m/>
    <m/>
    <n v="2.9"/>
    <n v="0.85"/>
    <n v="2.4649999999999999"/>
    <x v="8"/>
    <s v="Inst för språkstudier"/>
    <s v="Hum"/>
    <s v="Grundlärarprogrammet - grundskolans åk 4-6"/>
    <n v="21634"/>
    <n v="26986"/>
    <n v="129259.09"/>
    <n v="3400"/>
    <n v="9860"/>
    <n v="139119.09"/>
    <n v="0"/>
    <n v="0"/>
    <n v="0"/>
    <n v="0"/>
    <n v="0"/>
    <n v="0"/>
    <n v="0"/>
    <n v="0"/>
    <n v="1"/>
    <n v="0"/>
    <n v="0"/>
    <n v="0"/>
  </r>
  <r>
    <s v="6LÄ048"/>
    <s v="Att undervisa i F-3"/>
    <m/>
    <s v="LYGFT"/>
    <m/>
    <n v="2019"/>
    <m/>
    <m/>
    <m/>
    <m/>
    <m/>
    <m/>
    <m/>
    <m/>
    <m/>
    <m/>
    <n v="3.4"/>
    <n v="0.85"/>
    <n v="2.8899999999999997"/>
    <x v="8"/>
    <s v="Inst för språkstudier"/>
    <s v="Hum"/>
    <s v="Grundlärarprogrammet - förskoleklass och åk 1-3"/>
    <n v="21634"/>
    <n v="26986"/>
    <n v="151545.13999999998"/>
    <n v="3400"/>
    <n v="11560"/>
    <n v="163105.13999999998"/>
    <n v="0"/>
    <n v="0"/>
    <n v="0"/>
    <n v="0"/>
    <n v="0"/>
    <n v="0"/>
    <n v="0"/>
    <n v="0"/>
    <n v="1"/>
    <n v="0"/>
    <n v="0"/>
    <n v="0"/>
  </r>
  <r>
    <s v="6LÄ053"/>
    <s v="Läraryrkets dimensioner - ingångsämne engelska"/>
    <m/>
    <s v="LYAGY"/>
    <m/>
    <n v="2019"/>
    <m/>
    <m/>
    <m/>
    <m/>
    <m/>
    <m/>
    <m/>
    <m/>
    <m/>
    <m/>
    <n v="4.5"/>
    <n v="0.85"/>
    <n v="3.8249999999999997"/>
    <x v="8"/>
    <s v="Inst för språkstudier"/>
    <s v="Hum"/>
    <s v="Ämneslärarprogrammet - Gy"/>
    <n v="21634"/>
    <n v="26986"/>
    <n v="200574.45"/>
    <n v="3400"/>
    <n v="15300"/>
    <n v="215874.45"/>
    <n v="0"/>
    <n v="0"/>
    <n v="0"/>
    <n v="0"/>
    <n v="0"/>
    <n v="0"/>
    <n v="0"/>
    <n v="0"/>
    <n v="1"/>
    <n v="0"/>
    <n v="0"/>
    <n v="0"/>
  </r>
  <r>
    <s v="6LÄ054"/>
    <s v="Läraryrkets dimensioner - ingångsämne svenska"/>
    <m/>
    <s v="LYAGY"/>
    <m/>
    <n v="2019"/>
    <m/>
    <m/>
    <m/>
    <m/>
    <m/>
    <m/>
    <m/>
    <m/>
    <m/>
    <m/>
    <n v="4.125"/>
    <n v="0.85"/>
    <n v="3.5062500000000001"/>
    <x v="8"/>
    <s v="Inst för språkstudier"/>
    <s v="Hum"/>
    <s v="Ämneslärarprogrammet - Gy"/>
    <n v="21634"/>
    <n v="26986"/>
    <n v="183859.91250000001"/>
    <n v="3400"/>
    <n v="14025"/>
    <n v="197884.91250000001"/>
    <n v="0"/>
    <n v="0"/>
    <n v="0"/>
    <n v="0"/>
    <n v="0"/>
    <n v="0"/>
    <n v="0"/>
    <n v="0"/>
    <n v="1"/>
    <n v="0"/>
    <n v="0"/>
    <n v="0"/>
  </r>
  <r>
    <s v="6LÄ055"/>
    <s v="Språk, kommunikation och språkutveckling i förskolans verksamhet"/>
    <m/>
    <s v="LYFSK"/>
    <m/>
    <n v="2019"/>
    <m/>
    <m/>
    <m/>
    <m/>
    <m/>
    <m/>
    <m/>
    <m/>
    <m/>
    <m/>
    <n v="21.25"/>
    <n v="0.85"/>
    <n v="18.0625"/>
    <x v="8"/>
    <s v="Inst för språkstudier"/>
    <s v="Hum"/>
    <s v="Förskollärarprogrammet"/>
    <n v="18405"/>
    <n v="15773"/>
    <n v="676006.0625"/>
    <n v="5800"/>
    <n v="123250"/>
    <n v="799256.0625"/>
    <n v="0"/>
    <n v="1"/>
    <n v="0"/>
    <n v="0"/>
    <n v="0"/>
    <n v="0"/>
    <n v="0"/>
    <n v="0"/>
    <n v="0"/>
    <n v="0"/>
    <n v="0"/>
    <n v="0"/>
  </r>
  <r>
    <s v="6LÄ058"/>
    <s v="Kommunikation och språkutveckling för fritidshem"/>
    <m/>
    <s v="LYGFR"/>
    <m/>
    <n v="2019"/>
    <m/>
    <m/>
    <m/>
    <m/>
    <m/>
    <m/>
    <m/>
    <m/>
    <m/>
    <m/>
    <n v="3.125"/>
    <n v="0.85"/>
    <n v="2.65625"/>
    <x v="8"/>
    <s v="Inst för språkstudier"/>
    <s v="Hum"/>
    <s v="Grundlärarprogrammet - fritidshem"/>
    <n v="18405"/>
    <n v="15773"/>
    <n v="99412.65625"/>
    <n v="5800"/>
    <n v="18125"/>
    <n v="117537.65625"/>
    <n v="0"/>
    <n v="1"/>
    <n v="0"/>
    <n v="0"/>
    <n v="0"/>
    <n v="0"/>
    <n v="0"/>
    <n v="0"/>
    <n v="0"/>
    <n v="0"/>
    <n v="0"/>
    <n v="0"/>
  </r>
  <r>
    <s v="6MA034"/>
    <s v="Läraryrkets dimensioner - ingångsämne matematik"/>
    <m/>
    <s v="LYAGR"/>
    <m/>
    <n v="2019"/>
    <m/>
    <m/>
    <m/>
    <m/>
    <m/>
    <m/>
    <m/>
    <m/>
    <m/>
    <m/>
    <n v="0.375"/>
    <n v="0.85"/>
    <n v="0.31874999999999998"/>
    <x v="5"/>
    <s v="Inst för MA och MA statistik"/>
    <s v="TekNat"/>
    <s v="Ämneslärarprogrammet - åk 7-9"/>
    <n v="21634"/>
    <n v="26986"/>
    <n v="16714.537499999999"/>
    <n v="3400"/>
    <n v="1275"/>
    <n v="17989.537499999999"/>
    <n v="0"/>
    <n v="0"/>
    <n v="0"/>
    <n v="0"/>
    <n v="0"/>
    <n v="0"/>
    <n v="0"/>
    <n v="0"/>
    <n v="1"/>
    <n v="0"/>
    <n v="0"/>
    <n v="0"/>
  </r>
  <r>
    <s v="6MA034"/>
    <s v="Läraryrkets dimensioner - ingångsämne matematik"/>
    <m/>
    <s v="LYAGY"/>
    <m/>
    <n v="2019"/>
    <m/>
    <m/>
    <m/>
    <m/>
    <m/>
    <m/>
    <m/>
    <m/>
    <m/>
    <m/>
    <n v="2.25"/>
    <n v="0.85"/>
    <n v="1.9124999999999999"/>
    <x v="5"/>
    <s v="Inst för MA och MA statistik"/>
    <s v="TekNat"/>
    <s v="Ämneslärarprogrammet - Gy"/>
    <n v="21634"/>
    <n v="26986"/>
    <n v="100287.22500000001"/>
    <n v="3400"/>
    <n v="7650"/>
    <n v="107937.22500000001"/>
    <n v="0"/>
    <n v="0"/>
    <n v="0"/>
    <n v="0"/>
    <n v="0"/>
    <n v="0"/>
    <n v="0"/>
    <n v="0"/>
    <n v="1"/>
    <n v="0"/>
    <n v="0"/>
    <n v="0"/>
  </r>
  <r>
    <s v="6MA036"/>
    <s v="Linjär algebra"/>
    <m/>
    <s v="LYAGY"/>
    <m/>
    <n v="2019"/>
    <m/>
    <m/>
    <m/>
    <m/>
    <m/>
    <m/>
    <m/>
    <m/>
    <m/>
    <m/>
    <n v="2.25"/>
    <n v="0.85"/>
    <n v="1.9124999999999999"/>
    <x v="5"/>
    <s v="Inst för MA och MA statistik"/>
    <s v="TekNat"/>
    <s v="Ämneslärarprogrammet - Gy"/>
    <n v="19473"/>
    <n v="34806"/>
    <n v="110380.72499999999"/>
    <n v="21800"/>
    <n v="49050"/>
    <n v="159430.72499999998"/>
    <n v="0"/>
    <n v="0"/>
    <n v="0"/>
    <n v="0"/>
    <n v="0"/>
    <n v="1"/>
    <n v="0"/>
    <n v="0"/>
    <n v="0"/>
    <n v="0"/>
    <n v="0"/>
    <n v="0"/>
  </r>
  <r>
    <s v="6MA036"/>
    <s v="Linjär algebra"/>
    <m/>
    <s v="FRIST"/>
    <m/>
    <n v="2019"/>
    <m/>
    <m/>
    <m/>
    <m/>
    <m/>
    <m/>
    <m/>
    <m/>
    <m/>
    <m/>
    <n v="0.25"/>
    <n v="0.8"/>
    <n v="0.2"/>
    <x v="5"/>
    <s v="Inst för MA och MA statistik"/>
    <s v="TekNat"/>
    <s v="Fristående och övriga kurser"/>
    <n v="19473"/>
    <n v="34806"/>
    <n v="11829.45"/>
    <n v="21800"/>
    <n v="5450"/>
    <n v="17279.45"/>
    <n v="0"/>
    <n v="0"/>
    <n v="0"/>
    <n v="0"/>
    <n v="0"/>
    <n v="1"/>
    <n v="0"/>
    <n v="0"/>
    <n v="0"/>
    <n v="0"/>
    <n v="0"/>
    <n v="0"/>
  </r>
  <r>
    <s v="6MA037"/>
    <s v="Matematik 2 för förskoleklass och grundskolans årskurs 1-3"/>
    <m/>
    <s v="LYGFT"/>
    <m/>
    <n v="2019"/>
    <m/>
    <m/>
    <m/>
    <m/>
    <m/>
    <m/>
    <m/>
    <m/>
    <m/>
    <m/>
    <n v="5.125"/>
    <n v="0.85"/>
    <n v="4.3562500000000002"/>
    <x v="5"/>
    <s v="Inst för MA och MA statistik"/>
    <s v="TekNat"/>
    <s v="Grundlärarprogrammet - förskoleklass och åk 1-3"/>
    <n v="19473"/>
    <n v="34806"/>
    <n v="251422.76250000001"/>
    <n v="21800"/>
    <n v="111725"/>
    <n v="363147.76250000001"/>
    <n v="0"/>
    <n v="0"/>
    <n v="0"/>
    <n v="0"/>
    <n v="0"/>
    <n v="1"/>
    <n v="0"/>
    <n v="0"/>
    <n v="0"/>
    <n v="0"/>
    <n v="0"/>
    <n v="0"/>
  </r>
  <r>
    <s v="6MA038"/>
    <s v="Matematik 1 för grundskolans årskurs 4-6"/>
    <m/>
    <s v="LYGRM"/>
    <m/>
    <n v="2019"/>
    <m/>
    <m/>
    <m/>
    <m/>
    <m/>
    <m/>
    <m/>
    <m/>
    <m/>
    <m/>
    <n v="3.25"/>
    <n v="0.85"/>
    <n v="2.7624999999999997"/>
    <x v="5"/>
    <s v="Inst för MA och MA statistik"/>
    <s v="TekNat"/>
    <s v="Grundlärarprogrammet - grundskolans åk 4-6"/>
    <n v="19473"/>
    <n v="34806"/>
    <n v="159438.82500000001"/>
    <n v="21800"/>
    <n v="70850"/>
    <n v="230288.82500000001"/>
    <n v="0"/>
    <n v="0"/>
    <n v="0"/>
    <n v="0"/>
    <n v="0"/>
    <n v="1"/>
    <n v="0"/>
    <n v="0"/>
    <n v="0"/>
    <n v="0"/>
    <n v="0"/>
    <n v="0"/>
  </r>
  <r>
    <s v="6MA040"/>
    <s v="Algebra"/>
    <m/>
    <s v="LYAGY"/>
    <m/>
    <n v="2019"/>
    <m/>
    <m/>
    <m/>
    <m/>
    <m/>
    <m/>
    <m/>
    <m/>
    <m/>
    <m/>
    <n v="1.375"/>
    <n v="0.85"/>
    <n v="1.16875"/>
    <x v="5"/>
    <s v="Inst för MA och MA statistik"/>
    <s v="TekNat"/>
    <s v="Ämneslärarprogrammet - Gy"/>
    <n v="19473"/>
    <n v="34806"/>
    <n v="67454.887499999997"/>
    <n v="21800"/>
    <n v="29975"/>
    <n v="97429.887499999997"/>
    <n v="0"/>
    <n v="0"/>
    <n v="0"/>
    <n v="0"/>
    <n v="0"/>
    <n v="1"/>
    <n v="0"/>
    <n v="0"/>
    <n v="0"/>
    <n v="0"/>
    <n v="0"/>
    <n v="0"/>
  </r>
  <r>
    <s v="6MA040"/>
    <s v="Algebra"/>
    <m/>
    <s v="FRIST"/>
    <m/>
    <n v="2019"/>
    <m/>
    <m/>
    <m/>
    <m/>
    <m/>
    <m/>
    <m/>
    <m/>
    <m/>
    <m/>
    <n v="0.875"/>
    <n v="0.8"/>
    <n v="0.70000000000000007"/>
    <x v="5"/>
    <s v="Inst för MA och MA statistik"/>
    <s v="TekNat"/>
    <s v="Fristående och övriga kurser"/>
    <n v="19473"/>
    <n v="34806"/>
    <n v="41403.074999999997"/>
    <n v="21800"/>
    <n v="19075"/>
    <n v="60478.074999999997"/>
    <n v="0"/>
    <n v="0"/>
    <n v="0"/>
    <n v="0"/>
    <n v="0"/>
    <n v="1"/>
    <n v="0"/>
    <n v="0"/>
    <n v="0"/>
    <n v="0"/>
    <n v="0"/>
    <n v="0"/>
  </r>
  <r>
    <s v="6MA041"/>
    <s v="Envariabelanalys 1"/>
    <m/>
    <s v="LYAGY"/>
    <m/>
    <n v="2019"/>
    <m/>
    <m/>
    <m/>
    <m/>
    <m/>
    <m/>
    <m/>
    <m/>
    <m/>
    <m/>
    <n v="1"/>
    <n v="0.85"/>
    <n v="0.85"/>
    <x v="5"/>
    <s v="Inst för MA och MA statistik"/>
    <s v="TekNat"/>
    <s v="Ämneslärarprogrammet - Gy"/>
    <n v="19473"/>
    <n v="34806"/>
    <n v="49058.1"/>
    <n v="21800"/>
    <n v="21800"/>
    <n v="70858.100000000006"/>
    <n v="0"/>
    <n v="0"/>
    <n v="0"/>
    <n v="0"/>
    <n v="0"/>
    <n v="0.5"/>
    <n v="0"/>
    <n v="0.5"/>
    <n v="0"/>
    <n v="0"/>
    <n v="0"/>
    <n v="0"/>
  </r>
  <r>
    <s v="6MA041"/>
    <s v="Envariabelanalys 1"/>
    <m/>
    <s v="FRIST"/>
    <m/>
    <n v="2019"/>
    <m/>
    <m/>
    <m/>
    <m/>
    <m/>
    <m/>
    <m/>
    <m/>
    <m/>
    <m/>
    <n v="0.5"/>
    <n v="0.8"/>
    <n v="0.4"/>
    <x v="5"/>
    <s v="Inst för MA och MA statistik"/>
    <s v="TekNat"/>
    <s v="Fristående och övriga kurser"/>
    <n v="19473"/>
    <n v="34806"/>
    <n v="23658.9"/>
    <n v="21800"/>
    <n v="10900"/>
    <n v="34558.9"/>
    <n v="0"/>
    <n v="0"/>
    <n v="0"/>
    <n v="0"/>
    <n v="0"/>
    <n v="0.5"/>
    <n v="0"/>
    <n v="0.5"/>
    <n v="0"/>
    <n v="0"/>
    <n v="0"/>
    <n v="0"/>
  </r>
  <r>
    <s v="6MA042"/>
    <s v="Matematiska metoder"/>
    <m/>
    <s v="LYAGY"/>
    <m/>
    <n v="2019"/>
    <m/>
    <m/>
    <m/>
    <m/>
    <m/>
    <m/>
    <m/>
    <m/>
    <m/>
    <m/>
    <n v="1.25"/>
    <n v="0.85"/>
    <n v="1.0625"/>
    <x v="5"/>
    <s v="Inst för MA och MA statistik"/>
    <s v="TekNat"/>
    <s v="Ämneslärarprogrammet - Gy"/>
    <n v="19473"/>
    <n v="34806"/>
    <n v="61322.625"/>
    <n v="21800"/>
    <n v="27250"/>
    <n v="88572.625"/>
    <n v="0"/>
    <n v="0"/>
    <n v="0"/>
    <n v="0"/>
    <n v="0"/>
    <n v="1"/>
    <n v="0"/>
    <n v="0"/>
    <n v="0"/>
    <n v="0"/>
    <n v="0"/>
    <n v="0"/>
  </r>
  <r>
    <s v="6MA042"/>
    <s v="Matematiska metoder"/>
    <m/>
    <s v="FRIST"/>
    <m/>
    <n v="2019"/>
    <m/>
    <m/>
    <m/>
    <m/>
    <m/>
    <m/>
    <m/>
    <m/>
    <m/>
    <m/>
    <n v="0.75"/>
    <n v="0.8"/>
    <n v="0.60000000000000009"/>
    <x v="5"/>
    <s v="Inst för MA och MA statistik"/>
    <s v="TekNat"/>
    <s v="Fristående och övriga kurser"/>
    <n v="19473"/>
    <n v="34806"/>
    <n v="35488.350000000006"/>
    <n v="21800"/>
    <n v="16350"/>
    <n v="51838.350000000006"/>
    <n v="0"/>
    <n v="0"/>
    <n v="0"/>
    <n v="0"/>
    <n v="0"/>
    <n v="1"/>
    <n v="0"/>
    <n v="0"/>
    <n v="0"/>
    <n v="0"/>
    <n v="0"/>
    <n v="0"/>
  </r>
  <r>
    <s v="6MA043"/>
    <s v="Diskret matematik"/>
    <m/>
    <s v="LYAGY"/>
    <m/>
    <n v="2019"/>
    <m/>
    <m/>
    <m/>
    <m/>
    <m/>
    <m/>
    <m/>
    <m/>
    <m/>
    <m/>
    <n v="2"/>
    <n v="0.85"/>
    <n v="1.7"/>
    <x v="5"/>
    <s v="Inst för MA och MA statistik"/>
    <s v="TekNat"/>
    <s v="Ämneslärarprogrammet - Gy"/>
    <n v="19473"/>
    <n v="34806"/>
    <n v="98116.2"/>
    <n v="21800"/>
    <n v="43600"/>
    <n v="141716.20000000001"/>
    <n v="0"/>
    <n v="0"/>
    <n v="0"/>
    <n v="0"/>
    <n v="0"/>
    <n v="0.5"/>
    <n v="0"/>
    <n v="0.5"/>
    <n v="0"/>
    <n v="0"/>
    <n v="0"/>
    <n v="0"/>
  </r>
  <r>
    <s v="6MA043"/>
    <s v="Diskret matematik"/>
    <m/>
    <s v="LYLÄR"/>
    <m/>
    <n v="2019"/>
    <m/>
    <m/>
    <m/>
    <m/>
    <m/>
    <m/>
    <m/>
    <m/>
    <m/>
    <m/>
    <n v="0.125"/>
    <n v="0.85"/>
    <n v="0.10625"/>
    <x v="5"/>
    <s v="Inst för MA och MA statistik"/>
    <s v="TekNat"/>
    <s v="Lärarprogram långa - före ht11"/>
    <n v="19473"/>
    <n v="34806"/>
    <n v="6132.2624999999998"/>
    <n v="21800"/>
    <n v="2725"/>
    <n v="8857.2625000000007"/>
    <n v="0"/>
    <n v="0"/>
    <n v="0"/>
    <n v="0"/>
    <n v="0"/>
    <n v="0.5"/>
    <n v="0"/>
    <n v="0.5"/>
    <n v="0"/>
    <n v="0"/>
    <n v="0"/>
    <n v="0"/>
  </r>
  <r>
    <s v="6MA043"/>
    <s v="Diskret matematik"/>
    <m/>
    <s v="FRIST"/>
    <m/>
    <n v="2019"/>
    <m/>
    <m/>
    <m/>
    <m/>
    <m/>
    <m/>
    <m/>
    <m/>
    <m/>
    <m/>
    <n v="1.125"/>
    <n v="0.8"/>
    <n v="0.9"/>
    <x v="5"/>
    <s v="Inst för MA och MA statistik"/>
    <s v="TekNat"/>
    <s v="Fristående och övriga kurser"/>
    <n v="19473"/>
    <n v="34806"/>
    <n v="53232.525000000001"/>
    <n v="21800"/>
    <n v="24525"/>
    <n v="77757.524999999994"/>
    <n v="0"/>
    <n v="0"/>
    <n v="0"/>
    <n v="0"/>
    <n v="0"/>
    <n v="0.5"/>
    <n v="0"/>
    <n v="0.5"/>
    <n v="0"/>
    <n v="0"/>
    <n v="0"/>
    <n v="0"/>
  </r>
  <r>
    <s v="6MA044"/>
    <s v="Problemlösning och matematiska resonemang"/>
    <m/>
    <s v="LYAGY"/>
    <m/>
    <n v="2019"/>
    <m/>
    <m/>
    <m/>
    <m/>
    <m/>
    <m/>
    <m/>
    <m/>
    <m/>
    <m/>
    <n v="2"/>
    <n v="0.85"/>
    <n v="1.7"/>
    <x v="5"/>
    <s v="Inst för MA och MA statistik"/>
    <s v="TekNat"/>
    <s v="Ämneslärarprogrammet - Gy"/>
    <n v="19473"/>
    <n v="34806"/>
    <n v="98116.2"/>
    <n v="21800"/>
    <n v="43600"/>
    <n v="141716.20000000001"/>
    <n v="0"/>
    <n v="0"/>
    <n v="0"/>
    <n v="0"/>
    <n v="0"/>
    <n v="0.5"/>
    <n v="0"/>
    <n v="0.5"/>
    <n v="0"/>
    <n v="0"/>
    <n v="0"/>
    <n v="0"/>
  </r>
  <r>
    <s v="6MA044"/>
    <s v="Problemlösning och matematiska resonemang"/>
    <m/>
    <s v="FRIST"/>
    <m/>
    <n v="2019"/>
    <m/>
    <m/>
    <m/>
    <m/>
    <m/>
    <m/>
    <m/>
    <m/>
    <m/>
    <m/>
    <n v="0.5"/>
    <n v="0.8"/>
    <n v="0.4"/>
    <x v="5"/>
    <s v="Inst för MA och MA statistik"/>
    <s v="TekNat"/>
    <s v="Fristående och övriga kurser"/>
    <n v="19473"/>
    <n v="34806"/>
    <n v="23658.9"/>
    <n v="21800"/>
    <n v="10900"/>
    <n v="34558.9"/>
    <n v="0"/>
    <n v="0"/>
    <n v="0"/>
    <n v="0"/>
    <n v="0"/>
    <n v="0.5"/>
    <n v="0"/>
    <n v="0.5"/>
    <n v="0"/>
    <n v="0"/>
    <n v="0"/>
    <n v="0"/>
  </r>
  <r>
    <s v="6MA045"/>
    <s v="Differentialekvationer och flervariabelanalys"/>
    <m/>
    <s v="LYAGY"/>
    <m/>
    <n v="2019"/>
    <m/>
    <m/>
    <m/>
    <m/>
    <m/>
    <m/>
    <m/>
    <m/>
    <m/>
    <m/>
    <n v="1.875"/>
    <n v="0.85"/>
    <n v="1.59375"/>
    <x v="5"/>
    <s v="Inst för MA och MA statistik"/>
    <s v="TekNat"/>
    <s v="Ämneslärarprogrammet - Gy"/>
    <n v="19473"/>
    <n v="34806"/>
    <n v="91983.9375"/>
    <n v="21800"/>
    <n v="40875"/>
    <n v="132858.9375"/>
    <n v="0"/>
    <n v="0"/>
    <n v="0"/>
    <n v="0"/>
    <n v="0"/>
    <n v="0.5"/>
    <n v="0"/>
    <n v="0.5"/>
    <n v="0"/>
    <n v="0"/>
    <n v="0"/>
    <n v="0"/>
  </r>
  <r>
    <s v="6MA045"/>
    <s v="Differentialekvationer och flervariabelanalys"/>
    <m/>
    <s v="FRIST"/>
    <m/>
    <n v="2019"/>
    <m/>
    <m/>
    <m/>
    <m/>
    <m/>
    <m/>
    <m/>
    <m/>
    <m/>
    <m/>
    <n v="0.625"/>
    <n v="0.8"/>
    <n v="0.5"/>
    <x v="5"/>
    <s v="Inst för MA och MA statistik"/>
    <s v="TekNat"/>
    <s v="Fristående och övriga kurser"/>
    <n v="19473"/>
    <n v="34806"/>
    <n v="29573.625"/>
    <n v="21800"/>
    <n v="13625"/>
    <n v="43198.625"/>
    <n v="0"/>
    <n v="0"/>
    <n v="0"/>
    <n v="0"/>
    <n v="0"/>
    <n v="0.5"/>
    <n v="0"/>
    <n v="0.5"/>
    <n v="0"/>
    <n v="0"/>
    <n v="0"/>
    <n v="0"/>
  </r>
  <r>
    <s v="6MA046"/>
    <s v="Envariabelanalys 2"/>
    <m/>
    <s v="LYAGY"/>
    <m/>
    <n v="2019"/>
    <m/>
    <m/>
    <m/>
    <m/>
    <m/>
    <m/>
    <m/>
    <m/>
    <m/>
    <m/>
    <n v="1.125"/>
    <n v="0.85"/>
    <n v="0.95624999999999993"/>
    <x v="5"/>
    <s v="Inst för MA och MA statistik"/>
    <s v="TekNat"/>
    <s v="Ämneslärarprogrammet - Gy"/>
    <n v="19473"/>
    <n v="34806"/>
    <n v="55190.362499999996"/>
    <n v="21800"/>
    <n v="24525"/>
    <n v="79715.362499999988"/>
    <n v="0"/>
    <n v="0"/>
    <n v="0"/>
    <n v="0"/>
    <n v="0"/>
    <n v="0.5"/>
    <n v="0"/>
    <n v="0.5"/>
    <n v="0"/>
    <n v="0"/>
    <n v="0"/>
    <n v="0"/>
  </r>
  <r>
    <s v="6MA046"/>
    <s v="Envariabelanalys 2"/>
    <m/>
    <s v="FRIST"/>
    <m/>
    <n v="2019"/>
    <m/>
    <m/>
    <m/>
    <m/>
    <m/>
    <m/>
    <m/>
    <m/>
    <m/>
    <m/>
    <n v="0.5"/>
    <n v="0.8"/>
    <n v="0.4"/>
    <x v="5"/>
    <s v="Inst för MA och MA statistik"/>
    <s v="TekNat"/>
    <s v="Fristående och övriga kurser"/>
    <n v="19473"/>
    <n v="34806"/>
    <n v="23658.9"/>
    <n v="21800"/>
    <n v="10900"/>
    <n v="34558.9"/>
    <n v="0"/>
    <n v="0"/>
    <n v="0"/>
    <n v="0"/>
    <n v="0"/>
    <n v="0.5"/>
    <n v="0"/>
    <n v="0.5"/>
    <n v="0"/>
    <n v="0"/>
    <n v="0"/>
    <n v="0"/>
  </r>
  <r>
    <s v="6MA047"/>
    <s v="Flervariabelanalys"/>
    <m/>
    <s v="LYAGY"/>
    <m/>
    <n v="2019"/>
    <m/>
    <m/>
    <m/>
    <m/>
    <m/>
    <m/>
    <m/>
    <m/>
    <m/>
    <m/>
    <n v="0.5"/>
    <n v="0.85"/>
    <n v="0.42499999999999999"/>
    <x v="5"/>
    <s v="Inst för MA och MA statistik"/>
    <s v="TekNat"/>
    <s v="Ämneslärarprogrammet - Gy"/>
    <n v="19473"/>
    <n v="34806"/>
    <n v="24529.05"/>
    <n v="21800"/>
    <n v="10900"/>
    <n v="35429.050000000003"/>
    <n v="0"/>
    <n v="0"/>
    <n v="0"/>
    <n v="0"/>
    <n v="0"/>
    <n v="0.5"/>
    <n v="0"/>
    <n v="0.5"/>
    <n v="0"/>
    <n v="0"/>
    <n v="0"/>
    <n v="0"/>
  </r>
  <r>
    <s v="6MA048"/>
    <s v="Matematikens historia"/>
    <m/>
    <s v="LYAGY"/>
    <m/>
    <n v="2019"/>
    <m/>
    <m/>
    <m/>
    <m/>
    <m/>
    <m/>
    <m/>
    <m/>
    <m/>
    <m/>
    <n v="1.5"/>
    <n v="0.85"/>
    <n v="1.2749999999999999"/>
    <x v="5"/>
    <s v="Inst för MA och MA statistik"/>
    <s v="TekNat"/>
    <s v="Ämneslärarprogrammet - Gy"/>
    <n v="19473"/>
    <n v="34806"/>
    <n v="73587.149999999994"/>
    <n v="21800"/>
    <n v="32700"/>
    <n v="106287.15"/>
    <n v="0"/>
    <n v="0"/>
    <n v="0"/>
    <n v="0"/>
    <n v="0"/>
    <n v="1"/>
    <n v="0"/>
    <n v="0"/>
    <n v="0"/>
    <n v="0"/>
    <n v="0"/>
    <n v="0"/>
  </r>
  <r>
    <s v="6MA048"/>
    <s v="Matematikens historia"/>
    <m/>
    <s v="FRIST"/>
    <m/>
    <n v="2019"/>
    <m/>
    <m/>
    <m/>
    <m/>
    <m/>
    <m/>
    <m/>
    <m/>
    <m/>
    <m/>
    <n v="0.5"/>
    <n v="0.8"/>
    <n v="0.4"/>
    <x v="5"/>
    <s v="Inst för MA och MA statistik"/>
    <s v="TekNat"/>
    <s v="Fristående och övriga kurser"/>
    <n v="19473"/>
    <n v="34806"/>
    <n v="23658.9"/>
    <n v="21800"/>
    <n v="10900"/>
    <n v="34558.9"/>
    <n v="0"/>
    <n v="0"/>
    <n v="0"/>
    <n v="0"/>
    <n v="0"/>
    <n v="1"/>
    <n v="0"/>
    <n v="0"/>
    <n v="0"/>
    <n v="0"/>
    <n v="0"/>
    <n v="0"/>
  </r>
  <r>
    <s v="6MA049"/>
    <s v="Att undervisa i matematik (VFU)"/>
    <m/>
    <s v="LYAGY"/>
    <m/>
    <n v="2019"/>
    <m/>
    <m/>
    <m/>
    <m/>
    <m/>
    <m/>
    <m/>
    <m/>
    <m/>
    <m/>
    <n v="1.6"/>
    <n v="0.85"/>
    <n v="1.36"/>
    <x v="5"/>
    <s v="Inst för MA och MA statistik"/>
    <s v="TekNat"/>
    <s v="Ämneslärarprogrammet - Gy"/>
    <n v="21634"/>
    <n v="26986"/>
    <n v="71315.360000000001"/>
    <n v="3400"/>
    <n v="5440"/>
    <n v="76755.360000000001"/>
    <n v="0"/>
    <n v="0"/>
    <n v="0"/>
    <n v="0"/>
    <n v="0"/>
    <n v="0"/>
    <n v="0"/>
    <n v="0"/>
    <n v="1"/>
    <n v="0"/>
    <n v="0"/>
    <n v="0"/>
  </r>
  <r>
    <s v="6MA050"/>
    <s v="Differentialekvationer"/>
    <m/>
    <s v="LYAGY"/>
    <m/>
    <n v="2019"/>
    <m/>
    <m/>
    <m/>
    <m/>
    <m/>
    <m/>
    <m/>
    <m/>
    <m/>
    <m/>
    <n v="0.25"/>
    <n v="0.85"/>
    <n v="0.21249999999999999"/>
    <x v="5"/>
    <s v="Inst för MA och MA statistik"/>
    <s v="TekNat"/>
    <s v="Ämneslärarprogrammet - Gy"/>
    <n v="19473"/>
    <n v="34806"/>
    <n v="12264.525"/>
    <n v="21800"/>
    <n v="5450"/>
    <n v="17714.525000000001"/>
    <n v="0"/>
    <n v="0"/>
    <n v="0"/>
    <n v="0"/>
    <n v="0"/>
    <n v="0.5"/>
    <n v="0"/>
    <n v="0.5"/>
    <n v="0"/>
    <n v="0"/>
    <n v="0"/>
    <n v="0"/>
  </r>
  <r>
    <s v="6MN036"/>
    <s v="Examensarbete för ämneslärarexamen - Matematik"/>
    <m/>
    <s v="LYAGR"/>
    <m/>
    <n v="2019"/>
    <m/>
    <m/>
    <m/>
    <m/>
    <m/>
    <m/>
    <m/>
    <m/>
    <m/>
    <m/>
    <n v="0.125"/>
    <n v="0.85"/>
    <n v="0.10625"/>
    <x v="6"/>
    <s v="NMD"/>
    <s v="TekNat"/>
    <s v="Ämneslärarprogrammet - åk 7-9"/>
    <n v="19473"/>
    <n v="34806"/>
    <n v="6132.2624999999998"/>
    <n v="21800"/>
    <n v="2725"/>
    <n v="8857.2625000000007"/>
    <n v="0"/>
    <n v="0"/>
    <n v="0"/>
    <n v="0"/>
    <n v="0"/>
    <n v="1"/>
    <n v="0"/>
    <n v="0"/>
    <n v="0"/>
    <n v="0"/>
    <n v="0"/>
    <n v="0"/>
  </r>
  <r>
    <s v="6MN036"/>
    <s v="Examensarbete för ämneslärarexamen - Matematik"/>
    <m/>
    <s v="LYAGY"/>
    <m/>
    <n v="2019"/>
    <m/>
    <m/>
    <m/>
    <m/>
    <m/>
    <m/>
    <m/>
    <m/>
    <m/>
    <m/>
    <n v="0.375"/>
    <n v="0.85"/>
    <n v="0.31874999999999998"/>
    <x v="6"/>
    <s v="NMD"/>
    <s v="TekNat"/>
    <s v="Ämneslärarprogrammet - Gy"/>
    <n v="19473"/>
    <n v="34806"/>
    <n v="18396.787499999999"/>
    <n v="21800"/>
    <n v="8175"/>
    <n v="26571.787499999999"/>
    <n v="0"/>
    <n v="0"/>
    <n v="0"/>
    <n v="0"/>
    <n v="0"/>
    <n v="1"/>
    <n v="0"/>
    <n v="0"/>
    <n v="0"/>
    <n v="0"/>
    <n v="0"/>
    <n v="0"/>
  </r>
  <r>
    <s v="6MN036"/>
    <s v="Examensarbete för ämneslärarexamen - Matematik"/>
    <m/>
    <s v="FRIST"/>
    <m/>
    <n v="2019"/>
    <m/>
    <m/>
    <m/>
    <m/>
    <m/>
    <m/>
    <m/>
    <m/>
    <m/>
    <m/>
    <n v="0.125"/>
    <n v="0.8"/>
    <n v="0.1"/>
    <x v="6"/>
    <s v="NMD"/>
    <s v="TekNat"/>
    <s v="Fristående och övriga kurser"/>
    <n v="19473"/>
    <n v="34806"/>
    <n v="5914.7250000000004"/>
    <n v="21800"/>
    <n v="2725"/>
    <n v="8639.7250000000004"/>
    <n v="0"/>
    <n v="0"/>
    <n v="0"/>
    <n v="0"/>
    <n v="0"/>
    <n v="1"/>
    <n v="0"/>
    <n v="0"/>
    <n v="0"/>
    <n v="0"/>
    <n v="0"/>
    <n v="0"/>
  </r>
  <r>
    <s v="6MN039"/>
    <s v="Matematik 1 för förskoleklass och grundskolans årskurs 1-3"/>
    <m/>
    <s v="LYGFT"/>
    <m/>
    <n v="2019"/>
    <m/>
    <m/>
    <m/>
    <m/>
    <m/>
    <m/>
    <m/>
    <m/>
    <m/>
    <m/>
    <n v="5.75"/>
    <n v="0.85"/>
    <n v="4.8875000000000002"/>
    <x v="6"/>
    <s v="NMD"/>
    <s v="TekNat"/>
    <s v="Grundlärarprogrammet - förskoleklass och åk 1-3"/>
    <n v="19473"/>
    <n v="34806"/>
    <n v="282084.07500000001"/>
    <n v="21800"/>
    <n v="125350"/>
    <n v="407434.07500000001"/>
    <n v="0"/>
    <n v="0"/>
    <n v="0"/>
    <n v="0"/>
    <n v="0"/>
    <n v="1"/>
    <n v="0"/>
    <n v="0"/>
    <n v="0"/>
    <n v="0"/>
    <n v="0"/>
    <n v="0"/>
  </r>
  <r>
    <s v="6MN040"/>
    <s v="Matematik 3 för förskoleklass och grundskolans årskurs 1-3"/>
    <m/>
    <s v="LYGFT"/>
    <m/>
    <n v="2019"/>
    <m/>
    <m/>
    <m/>
    <m/>
    <m/>
    <m/>
    <m/>
    <m/>
    <m/>
    <m/>
    <n v="5.25"/>
    <n v="0.85"/>
    <n v="4.4624999999999995"/>
    <x v="6"/>
    <s v="NMD"/>
    <s v="TekNat"/>
    <s v="Grundlärarprogrammet - förskoleklass och åk 1-3"/>
    <n v="19473"/>
    <n v="34806"/>
    <n v="257555.02499999999"/>
    <n v="21800"/>
    <n v="114450"/>
    <n v="372005.02500000002"/>
    <n v="0"/>
    <n v="0"/>
    <n v="0"/>
    <n v="0"/>
    <n v="0"/>
    <n v="1"/>
    <n v="0"/>
    <n v="0"/>
    <n v="0"/>
    <n v="0"/>
    <n v="0"/>
    <n v="0"/>
  </r>
  <r>
    <s v="6MN041"/>
    <s v="Matematik 4 för förskoleklass och grundskolans årskurs 1-3"/>
    <m/>
    <s v="LYGFT"/>
    <m/>
    <n v="2019"/>
    <m/>
    <m/>
    <m/>
    <m/>
    <m/>
    <m/>
    <m/>
    <m/>
    <m/>
    <m/>
    <n v="4"/>
    <n v="0.85"/>
    <n v="3.4"/>
    <x v="6"/>
    <s v="NMD"/>
    <s v="TekNat"/>
    <s v="Grundlärarprogrammet - förskoleklass och åk 1-3"/>
    <n v="19473"/>
    <n v="34806"/>
    <n v="196232.4"/>
    <n v="21800"/>
    <n v="87200"/>
    <n v="283432.40000000002"/>
    <n v="0"/>
    <n v="0"/>
    <n v="0"/>
    <n v="0"/>
    <n v="0"/>
    <n v="1"/>
    <n v="0"/>
    <n v="0"/>
    <n v="0"/>
    <n v="0"/>
    <n v="0"/>
    <n v="0"/>
  </r>
  <r>
    <s v="6MN042"/>
    <s v="Matematik 2 för grundskolans årskurs 4-6"/>
    <m/>
    <s v="LYGRM"/>
    <m/>
    <n v="2019"/>
    <m/>
    <m/>
    <m/>
    <m/>
    <m/>
    <m/>
    <m/>
    <m/>
    <m/>
    <m/>
    <n v="2.625"/>
    <n v="0.85"/>
    <n v="2.2312499999999997"/>
    <x v="6"/>
    <s v="NMD"/>
    <s v="TekNat"/>
    <s v="Grundlärarprogrammet - grundskolans åk 4-6"/>
    <n v="19473"/>
    <n v="34806"/>
    <n v="128777.5125"/>
    <n v="21800"/>
    <n v="57225"/>
    <n v="186002.51250000001"/>
    <n v="0"/>
    <n v="0"/>
    <n v="0"/>
    <n v="0"/>
    <n v="0"/>
    <n v="1"/>
    <n v="0"/>
    <n v="0"/>
    <n v="0"/>
    <n v="0"/>
    <n v="0"/>
    <n v="0"/>
  </r>
  <r>
    <s v="6MN043"/>
    <s v="Matematik 3 för grundskolans årskurs 4-6"/>
    <m/>
    <s v="LYGRM"/>
    <m/>
    <n v="2019"/>
    <m/>
    <m/>
    <m/>
    <m/>
    <m/>
    <m/>
    <m/>
    <m/>
    <m/>
    <m/>
    <n v="2.75"/>
    <n v="0.85"/>
    <n v="2.3374999999999999"/>
    <x v="6"/>
    <s v="NMD"/>
    <s v="TekNat"/>
    <s v="Grundlärarprogrammet - grundskolans åk 4-6"/>
    <n v="19473"/>
    <n v="34806"/>
    <n v="134909.77499999999"/>
    <n v="21800"/>
    <n v="59950"/>
    <n v="194859.77499999999"/>
    <n v="0"/>
    <n v="0"/>
    <n v="0"/>
    <n v="0"/>
    <n v="0"/>
    <n v="1"/>
    <n v="0"/>
    <n v="0"/>
    <n v="0"/>
    <n v="0"/>
    <n v="0"/>
    <n v="0"/>
  </r>
  <r>
    <s v="6MN044"/>
    <s v="Matematik 4 för grundskolans årskurs 4-6"/>
    <m/>
    <s v="LYGRM"/>
    <m/>
    <n v="2019"/>
    <m/>
    <m/>
    <m/>
    <m/>
    <m/>
    <m/>
    <m/>
    <m/>
    <m/>
    <m/>
    <n v="3.5"/>
    <n v="0.85"/>
    <n v="2.9750000000000001"/>
    <x v="6"/>
    <s v="NMD"/>
    <s v="TekNat"/>
    <s v="Grundlärarprogrammet - grundskolans åk 4-6"/>
    <n v="19473"/>
    <n v="34806"/>
    <n v="171703.35"/>
    <n v="21800"/>
    <n v="76300"/>
    <n v="248003.35"/>
    <n v="0"/>
    <n v="0"/>
    <n v="0"/>
    <n v="0"/>
    <n v="0"/>
    <n v="1"/>
    <n v="0"/>
    <n v="0"/>
    <n v="0"/>
    <n v="0"/>
    <n v="0"/>
    <n v="0"/>
  </r>
  <r>
    <s v="6MN045"/>
    <s v="Matematik för förskolan"/>
    <m/>
    <s v="LYFSK"/>
    <m/>
    <n v="2019"/>
    <m/>
    <m/>
    <m/>
    <m/>
    <m/>
    <m/>
    <m/>
    <m/>
    <m/>
    <m/>
    <n v="10.375"/>
    <n v="0.85"/>
    <n v="8.8187499999999996"/>
    <x v="6"/>
    <s v="NMD"/>
    <s v="TekNat"/>
    <s v="Förskollärarprogrammet"/>
    <n v="19473"/>
    <n v="34806"/>
    <n v="508977.78749999998"/>
    <n v="21800"/>
    <n v="226175"/>
    <n v="735152.78749999998"/>
    <n v="0"/>
    <n v="0"/>
    <n v="0"/>
    <n v="0"/>
    <n v="0"/>
    <n v="1"/>
    <n v="0"/>
    <n v="0"/>
    <n v="0"/>
    <n v="0"/>
    <n v="0"/>
    <n v="0"/>
  </r>
  <r>
    <s v="6MN047"/>
    <s v="Matematik 2 för lärande och undervisning för förskoleklass och grundskolans årskurs 1-3"/>
    <m/>
    <s v="FRIST"/>
    <m/>
    <n v="2019"/>
    <m/>
    <m/>
    <m/>
    <m/>
    <m/>
    <m/>
    <m/>
    <m/>
    <m/>
    <m/>
    <n v="1"/>
    <n v="0.8"/>
    <n v="0.8"/>
    <x v="6"/>
    <s v="NMD"/>
    <s v="TekNat"/>
    <s v="Fristående och övriga kurser"/>
    <n v="19473"/>
    <n v="34806"/>
    <n v="47317.8"/>
    <n v="21800"/>
    <n v="21800"/>
    <n v="69117.8"/>
    <n v="0"/>
    <n v="0"/>
    <n v="0"/>
    <n v="0"/>
    <n v="0"/>
    <n v="1"/>
    <n v="0"/>
    <n v="0"/>
    <n v="0"/>
    <n v="0"/>
    <n v="0"/>
    <n v="0"/>
  </r>
  <r>
    <s v="6MN048"/>
    <s v="Matematik 2 för lärande och undervisning för grundskolans årskurs 4-6"/>
    <m/>
    <s v="FRIST"/>
    <m/>
    <n v="2019"/>
    <m/>
    <m/>
    <m/>
    <m/>
    <m/>
    <m/>
    <m/>
    <m/>
    <m/>
    <m/>
    <n v="1.25"/>
    <n v="0.8"/>
    <n v="1"/>
    <x v="6"/>
    <s v="NMD"/>
    <s v="TekNat"/>
    <s v="Fristående och övriga kurser"/>
    <n v="19473"/>
    <n v="34806"/>
    <n v="59147.25"/>
    <n v="21800"/>
    <n v="27250"/>
    <n v="86397.25"/>
    <n v="0"/>
    <n v="0"/>
    <n v="0"/>
    <n v="0"/>
    <n v="0"/>
    <n v="1"/>
    <n v="0"/>
    <n v="0"/>
    <n v="0"/>
    <n v="0"/>
    <n v="0"/>
    <n v="0"/>
  </r>
  <r>
    <s v="6MN049"/>
    <s v="Matematik 1 för lärande och undervisning för förskoleklass och grundskolans årskurs 1-6"/>
    <m/>
    <s v="LYLÄP"/>
    <m/>
    <n v="2019"/>
    <m/>
    <m/>
    <m/>
    <m/>
    <m/>
    <m/>
    <m/>
    <m/>
    <m/>
    <m/>
    <n v="0.5"/>
    <n v="0.85"/>
    <n v="0.42499999999999999"/>
    <x v="6"/>
    <s v="NMD"/>
    <s v="TekNat"/>
    <s v="VAL-projektet"/>
    <n v="19473"/>
    <n v="34806"/>
    <n v="24529.05"/>
    <n v="21800"/>
    <n v="10900"/>
    <n v="35429.050000000003"/>
    <n v="0"/>
    <n v="0"/>
    <n v="0"/>
    <n v="0"/>
    <n v="0"/>
    <n v="1"/>
    <n v="0"/>
    <n v="0"/>
    <n v="0"/>
    <n v="0"/>
    <n v="0"/>
    <n v="0"/>
  </r>
  <r>
    <s v="6MN049"/>
    <s v="Matematik 1 för lärande och undervisning för förskoleklass och grundskolans årskurs 1-6"/>
    <m/>
    <s v="FRIST"/>
    <m/>
    <n v="2019"/>
    <m/>
    <m/>
    <m/>
    <m/>
    <m/>
    <m/>
    <m/>
    <m/>
    <m/>
    <m/>
    <n v="2"/>
    <n v="0.8"/>
    <n v="1.6"/>
    <x v="6"/>
    <s v="NMD"/>
    <s v="TekNat"/>
    <s v="Fristående och övriga kurser"/>
    <n v="19473"/>
    <n v="34806"/>
    <n v="94635.6"/>
    <n v="21800"/>
    <n v="43600"/>
    <n v="138235.6"/>
    <n v="0"/>
    <n v="0"/>
    <n v="0"/>
    <n v="0"/>
    <n v="0"/>
    <n v="1"/>
    <n v="0"/>
    <n v="0"/>
    <n v="0"/>
    <n v="0"/>
    <n v="0"/>
    <n v="0"/>
  </r>
  <r>
    <s v="6MN050"/>
    <s v="Matematikdidaktik 1 för grundskolans åk 7-9 och gymnasiet"/>
    <m/>
    <s v="LYAGY"/>
    <m/>
    <n v="2019"/>
    <m/>
    <m/>
    <m/>
    <m/>
    <m/>
    <m/>
    <m/>
    <m/>
    <m/>
    <m/>
    <n v="1.375"/>
    <n v="0.85"/>
    <n v="1.16875"/>
    <x v="6"/>
    <s v="NMD"/>
    <s v="TekNat"/>
    <s v="Ämneslärarprogrammet - Gy"/>
    <n v="19473"/>
    <n v="34806"/>
    <n v="67454.887499999997"/>
    <n v="21800"/>
    <n v="29975"/>
    <n v="97429.887499999997"/>
    <n v="0"/>
    <n v="0"/>
    <n v="0"/>
    <n v="0"/>
    <n v="0"/>
    <n v="1"/>
    <n v="0"/>
    <n v="0"/>
    <n v="0"/>
    <n v="0"/>
    <n v="0"/>
    <n v="0"/>
  </r>
  <r>
    <s v="6MN050"/>
    <s v="Matematikdidaktik 1 för grundskolans åk 7-9 och gymnasiet"/>
    <m/>
    <s v="FRIST"/>
    <m/>
    <n v="2019"/>
    <m/>
    <m/>
    <m/>
    <m/>
    <m/>
    <m/>
    <m/>
    <m/>
    <m/>
    <m/>
    <n v="0.5"/>
    <n v="0.8"/>
    <n v="0.4"/>
    <x v="6"/>
    <s v="NMD"/>
    <s v="TekNat"/>
    <s v="Fristående och övriga kurser"/>
    <n v="19473"/>
    <n v="34806"/>
    <n v="23658.9"/>
    <n v="21800"/>
    <n v="10900"/>
    <n v="34558.9"/>
    <n v="0"/>
    <n v="0"/>
    <n v="0"/>
    <n v="0"/>
    <n v="0"/>
    <n v="1"/>
    <n v="0"/>
    <n v="0"/>
    <n v="0"/>
    <n v="0"/>
    <n v="0"/>
    <n v="0"/>
  </r>
  <r>
    <s v="6MN051"/>
    <s v="Matematikdidaktik 2 för grundskolans åk 7-9 och gymnasiet"/>
    <m/>
    <s v="LYAGY"/>
    <m/>
    <n v="2019"/>
    <m/>
    <m/>
    <m/>
    <m/>
    <m/>
    <m/>
    <m/>
    <m/>
    <m/>
    <m/>
    <n v="1.25"/>
    <n v="0.85"/>
    <n v="1.0625"/>
    <x v="6"/>
    <s v="NMD"/>
    <s v="TekNat"/>
    <s v="Ämneslärarprogrammet - Gy"/>
    <n v="19473"/>
    <n v="34806"/>
    <n v="61322.625"/>
    <n v="21800"/>
    <n v="27250"/>
    <n v="88572.625"/>
    <n v="0"/>
    <n v="0"/>
    <n v="0"/>
    <n v="0"/>
    <n v="0"/>
    <n v="1"/>
    <n v="0"/>
    <n v="0"/>
    <n v="0"/>
    <n v="0"/>
    <n v="0"/>
    <n v="0"/>
  </r>
  <r>
    <s v="6MN051"/>
    <s v="Matematikdidaktik 2 för grundskolans åk 7-9 och gymnasiet"/>
    <m/>
    <s v="FRIST"/>
    <m/>
    <n v="2019"/>
    <m/>
    <m/>
    <m/>
    <m/>
    <m/>
    <m/>
    <m/>
    <m/>
    <m/>
    <m/>
    <n v="0.375"/>
    <n v="0.8"/>
    <n v="0.30000000000000004"/>
    <x v="6"/>
    <s v="NMD"/>
    <s v="TekNat"/>
    <s v="Fristående och övriga kurser"/>
    <n v="19473"/>
    <n v="34806"/>
    <n v="17744.175000000003"/>
    <n v="21800"/>
    <n v="8175"/>
    <n v="25919.175000000003"/>
    <n v="0"/>
    <n v="0"/>
    <n v="0"/>
    <n v="0"/>
    <n v="0"/>
    <n v="1"/>
    <n v="0"/>
    <n v="0"/>
    <n v="0"/>
    <n v="0"/>
    <n v="0"/>
    <n v="0"/>
  </r>
  <r>
    <s v="6MS002"/>
    <s v="Statistik för lärare"/>
    <m/>
    <s v="LYAGY"/>
    <m/>
    <n v="2019"/>
    <m/>
    <m/>
    <m/>
    <m/>
    <m/>
    <m/>
    <m/>
    <m/>
    <m/>
    <m/>
    <n v="1.25"/>
    <n v="0.85"/>
    <n v="1.0625"/>
    <x v="5"/>
    <s v="Inst för MA och MA statistik"/>
    <s v="TekNat"/>
    <s v="Ämneslärarprogrammet - Gy"/>
    <n v="19473"/>
    <n v="34806"/>
    <n v="61322.625"/>
    <n v="21800"/>
    <n v="27250"/>
    <n v="88572.625"/>
    <n v="0"/>
    <n v="0"/>
    <n v="0"/>
    <n v="0"/>
    <n v="0"/>
    <n v="1"/>
    <n v="0"/>
    <n v="0"/>
    <n v="0"/>
    <n v="0"/>
    <n v="0"/>
    <n v="0"/>
  </r>
  <r>
    <s v="6MS002"/>
    <s v="Statistik för lärare"/>
    <m/>
    <s v="FRIST"/>
    <m/>
    <n v="2019"/>
    <m/>
    <m/>
    <m/>
    <m/>
    <m/>
    <m/>
    <m/>
    <m/>
    <m/>
    <m/>
    <n v="0.375"/>
    <n v="0.8"/>
    <n v="0.30000000000000004"/>
    <x v="5"/>
    <s v="Inst för MA och MA statistik"/>
    <s v="TekNat"/>
    <s v="Fristående och övriga kurser"/>
    <n v="19473"/>
    <n v="34806"/>
    <n v="17744.175000000003"/>
    <n v="21800"/>
    <n v="8175"/>
    <n v="25919.175000000003"/>
    <n v="0"/>
    <n v="0"/>
    <n v="0"/>
    <n v="0"/>
    <n v="0"/>
    <n v="1"/>
    <n v="0"/>
    <n v="0"/>
    <n v="0"/>
    <n v="0"/>
    <n v="0"/>
    <n v="0"/>
  </r>
  <r>
    <s v="6MS003"/>
    <s v="Statistik för naturvetare"/>
    <m/>
    <s v="LYAGY"/>
    <m/>
    <n v="2019"/>
    <m/>
    <m/>
    <m/>
    <m/>
    <m/>
    <m/>
    <m/>
    <m/>
    <m/>
    <m/>
    <n v="0.25"/>
    <n v="0.85"/>
    <n v="0.21249999999999999"/>
    <x v="5"/>
    <s v="Inst för MA och MA statistik"/>
    <s v="TekNat"/>
    <s v="Ämneslärarprogrammet - Gy"/>
    <n v="19473"/>
    <n v="34806"/>
    <n v="12264.525"/>
    <n v="21800"/>
    <n v="5450"/>
    <n v="17714.525000000001"/>
    <n v="0"/>
    <n v="0"/>
    <n v="0"/>
    <n v="0"/>
    <n v="0"/>
    <n v="0.5"/>
    <n v="0"/>
    <n v="0.5"/>
    <n v="0"/>
    <n v="0"/>
    <n v="0"/>
    <n v="0"/>
  </r>
  <r>
    <s v="6MS003"/>
    <s v="Statistik för naturvetare"/>
    <m/>
    <s v="FRIST"/>
    <m/>
    <n v="2019"/>
    <m/>
    <m/>
    <m/>
    <m/>
    <m/>
    <m/>
    <m/>
    <m/>
    <m/>
    <m/>
    <n v="0.25"/>
    <n v="0.8"/>
    <n v="0.2"/>
    <x v="5"/>
    <s v="Inst för MA och MA statistik"/>
    <s v="TekNat"/>
    <s v="Fristående och övriga kurser"/>
    <n v="19473"/>
    <n v="34806"/>
    <n v="11829.45"/>
    <n v="21800"/>
    <n v="5450"/>
    <n v="17279.45"/>
    <n v="0"/>
    <n v="0"/>
    <n v="0"/>
    <n v="0"/>
    <n v="0"/>
    <n v="0.5"/>
    <n v="0"/>
    <n v="0.5"/>
    <n v="0"/>
    <n v="0"/>
    <n v="0"/>
    <n v="0"/>
  </r>
  <r>
    <s v="6MU018"/>
    <s v="Musik &amp; skapande, kommunikation"/>
    <m/>
    <s v="FRIST"/>
    <m/>
    <n v="2019"/>
    <m/>
    <m/>
    <m/>
    <m/>
    <m/>
    <m/>
    <m/>
    <m/>
    <m/>
    <m/>
    <n v="1"/>
    <n v="0.8"/>
    <n v="0.8"/>
    <x v="9"/>
    <s v="Estetiska ämnen               "/>
    <s v="Hum"/>
    <s v="Fristående och övriga kurser"/>
    <n v="30802"/>
    <n v="63797"/>
    <n v="81839.600000000006"/>
    <n v="70100"/>
    <n v="70100"/>
    <n v="151939.6"/>
    <n v="0"/>
    <n v="0"/>
    <n v="0"/>
    <n v="0"/>
    <n v="1"/>
    <n v="0"/>
    <n v="0"/>
    <n v="0"/>
    <n v="0"/>
    <n v="0"/>
    <n v="0"/>
    <n v="0"/>
  </r>
  <r>
    <s v="6MU020"/>
    <s v="Musik 1b"/>
    <m/>
    <s v="FRIST"/>
    <m/>
    <n v="2019"/>
    <m/>
    <m/>
    <m/>
    <m/>
    <m/>
    <m/>
    <m/>
    <m/>
    <m/>
    <m/>
    <n v="2.25"/>
    <n v="0.8"/>
    <n v="1.8"/>
    <x v="9"/>
    <s v="Estetiska ämnen               "/>
    <s v="Hum"/>
    <s v="Fristående och övriga kurser"/>
    <n v="30802"/>
    <n v="63797"/>
    <n v="184139.1"/>
    <n v="70100"/>
    <n v="157725"/>
    <n v="341864.1"/>
    <n v="0"/>
    <n v="0"/>
    <n v="0"/>
    <n v="0"/>
    <n v="1"/>
    <n v="0"/>
    <n v="0"/>
    <n v="0"/>
    <n v="0"/>
    <n v="0"/>
    <n v="0"/>
    <n v="0"/>
  </r>
  <r>
    <s v="6MU021"/>
    <s v="Musik 1"/>
    <m/>
    <s v="LYAGY"/>
    <m/>
    <n v="2019"/>
    <m/>
    <m/>
    <m/>
    <m/>
    <m/>
    <m/>
    <m/>
    <m/>
    <m/>
    <m/>
    <n v="2.5"/>
    <n v="0.85"/>
    <n v="2.125"/>
    <x v="9"/>
    <s v="Estetiska ämnen               "/>
    <s v="Hum"/>
    <s v="Ämneslärarprogrammet - Gy"/>
    <n v="30802"/>
    <n v="63797"/>
    <n v="212573.625"/>
    <n v="70100"/>
    <n v="175250"/>
    <n v="387823.625"/>
    <n v="0"/>
    <n v="0"/>
    <n v="0"/>
    <n v="0"/>
    <n v="1"/>
    <n v="0"/>
    <n v="0"/>
    <n v="0"/>
    <n v="0"/>
    <n v="0"/>
    <n v="0"/>
    <n v="0"/>
  </r>
  <r>
    <s v="6MU023"/>
    <s v="Musik 3"/>
    <m/>
    <s v="LYAGY"/>
    <m/>
    <n v="2019"/>
    <m/>
    <m/>
    <m/>
    <m/>
    <m/>
    <m/>
    <m/>
    <m/>
    <m/>
    <m/>
    <n v="1.5"/>
    <n v="0.85"/>
    <n v="1.2749999999999999"/>
    <x v="9"/>
    <s v="Estetiska ämnen               "/>
    <s v="Hum"/>
    <s v="Ämneslärarprogrammet - Gy"/>
    <n v="30802"/>
    <n v="63797"/>
    <n v="127544.17499999999"/>
    <n v="70100"/>
    <n v="105150"/>
    <n v="232694.17499999999"/>
    <n v="0"/>
    <n v="0"/>
    <n v="0"/>
    <n v="0"/>
    <n v="1"/>
    <n v="0"/>
    <n v="0"/>
    <n v="0"/>
    <n v="0"/>
    <n v="0"/>
    <n v="0"/>
    <n v="0"/>
  </r>
  <r>
    <s v="6MU034"/>
    <s v="Musik 2b, distans"/>
    <m/>
    <s v="FRIST"/>
    <m/>
    <n v="2019"/>
    <m/>
    <m/>
    <m/>
    <m/>
    <m/>
    <m/>
    <m/>
    <m/>
    <m/>
    <m/>
    <n v="1.25"/>
    <n v="0.8"/>
    <n v="1"/>
    <x v="9"/>
    <s v="Estetiska ämnen               "/>
    <s v="Hum"/>
    <s v="Fristående och övriga kurser"/>
    <n v="30802"/>
    <n v="63797"/>
    <n v="102299.5"/>
    <n v="70100"/>
    <n v="87625"/>
    <n v="189924.5"/>
    <n v="0"/>
    <n v="0"/>
    <n v="0"/>
    <n v="0"/>
    <n v="1"/>
    <n v="0"/>
    <n v="0"/>
    <n v="0"/>
    <n v="0"/>
    <n v="0"/>
    <n v="0"/>
    <n v="0"/>
  </r>
  <r>
    <s v="6MU052"/>
    <s v="Musik fördjupning 1"/>
    <m/>
    <s v="LYAGY"/>
    <m/>
    <n v="2019"/>
    <m/>
    <m/>
    <m/>
    <m/>
    <m/>
    <m/>
    <m/>
    <m/>
    <m/>
    <m/>
    <n v="2.5"/>
    <n v="0.85"/>
    <n v="2.125"/>
    <x v="9"/>
    <s v="Estetiska ämnen               "/>
    <s v="Hum"/>
    <s v="Ämneslärarprogrammet - Gy"/>
    <n v="30802"/>
    <n v="63797"/>
    <n v="212573.625"/>
    <n v="70100"/>
    <n v="175250"/>
    <n v="387823.625"/>
    <n v="0"/>
    <n v="0"/>
    <n v="0"/>
    <n v="0"/>
    <n v="1"/>
    <n v="0"/>
    <n v="0"/>
    <n v="0"/>
    <n v="0"/>
    <n v="0"/>
    <n v="0"/>
    <n v="0"/>
  </r>
  <r>
    <s v="6MU058"/>
    <s v="Musik 1, distans"/>
    <m/>
    <s v="FRIST"/>
    <m/>
    <n v="2019"/>
    <m/>
    <m/>
    <m/>
    <m/>
    <m/>
    <m/>
    <m/>
    <m/>
    <m/>
    <m/>
    <n v="1.5"/>
    <n v="0.8"/>
    <n v="1.2000000000000002"/>
    <x v="9"/>
    <s v="Estetiska ämnen               "/>
    <s v="Hum"/>
    <s v="Fristående och övriga kurser"/>
    <n v="30802"/>
    <n v="63797"/>
    <n v="122759.40000000001"/>
    <n v="70100"/>
    <n v="105150"/>
    <n v="227909.40000000002"/>
    <n v="0"/>
    <n v="0"/>
    <n v="0"/>
    <n v="0"/>
    <n v="1"/>
    <n v="0"/>
    <n v="0"/>
    <n v="0"/>
    <n v="0"/>
    <n v="0"/>
    <n v="0"/>
    <n v="0"/>
  </r>
  <r>
    <s v="6MU059"/>
    <s v="Musik 2, distans"/>
    <m/>
    <s v="FRIST"/>
    <m/>
    <n v="2019"/>
    <m/>
    <m/>
    <m/>
    <m/>
    <m/>
    <m/>
    <m/>
    <m/>
    <m/>
    <m/>
    <n v="3.5"/>
    <n v="0.8"/>
    <n v="2.8000000000000003"/>
    <x v="9"/>
    <s v="Estetiska ämnen               "/>
    <s v="Hum"/>
    <s v="Fristående och övriga kurser"/>
    <n v="30802"/>
    <n v="63797"/>
    <n v="286438.59999999998"/>
    <n v="70100"/>
    <n v="245350"/>
    <n v="531788.6"/>
    <n v="0"/>
    <n v="0"/>
    <n v="0"/>
    <n v="0"/>
    <n v="1"/>
    <n v="0"/>
    <n v="0"/>
    <n v="0"/>
    <n v="0"/>
    <n v="0"/>
    <n v="0"/>
    <n v="0"/>
  </r>
  <r>
    <s v="6MU060"/>
    <s v="Musik 3, distans"/>
    <m/>
    <s v="LYLÄP"/>
    <m/>
    <n v="2019"/>
    <m/>
    <m/>
    <m/>
    <m/>
    <m/>
    <m/>
    <m/>
    <m/>
    <m/>
    <m/>
    <n v="0.25"/>
    <n v="0.85"/>
    <n v="0.21249999999999999"/>
    <x v="9"/>
    <s v="Estetiska ämnen               "/>
    <s v="Hum"/>
    <s v="VAL-projektet"/>
    <n v="30802"/>
    <n v="63797"/>
    <n v="21257.362499999999"/>
    <n v="70100"/>
    <n v="17525"/>
    <n v="38782.362500000003"/>
    <n v="0"/>
    <n v="0"/>
    <n v="0"/>
    <n v="0"/>
    <n v="1"/>
    <n v="0"/>
    <n v="0"/>
    <n v="0"/>
    <n v="0"/>
    <n v="0"/>
    <n v="0"/>
    <n v="0"/>
  </r>
  <r>
    <s v="6MU060"/>
    <s v="Musik 3, distans"/>
    <m/>
    <s v="FRIST"/>
    <m/>
    <n v="2019"/>
    <m/>
    <m/>
    <m/>
    <m/>
    <m/>
    <m/>
    <m/>
    <m/>
    <m/>
    <m/>
    <n v="0.75"/>
    <n v="0.8"/>
    <n v="0.60000000000000009"/>
    <x v="9"/>
    <s v="Estetiska ämnen               "/>
    <s v="Hum"/>
    <s v="Fristående och övriga kurser"/>
    <n v="30802"/>
    <n v="63797"/>
    <n v="61379.700000000004"/>
    <n v="70100"/>
    <n v="52575"/>
    <n v="113954.70000000001"/>
    <n v="0"/>
    <n v="0"/>
    <n v="0"/>
    <n v="0"/>
    <n v="1"/>
    <n v="0"/>
    <n v="0"/>
    <n v="0"/>
    <n v="0"/>
    <n v="0"/>
    <n v="0"/>
    <n v="0"/>
  </r>
  <r>
    <s v="6MU061"/>
    <s v="Musik 2"/>
    <m/>
    <s v="LYAGY"/>
    <m/>
    <n v="2019"/>
    <m/>
    <m/>
    <m/>
    <m/>
    <m/>
    <m/>
    <m/>
    <m/>
    <m/>
    <m/>
    <n v="2"/>
    <n v="0.85"/>
    <n v="1.7"/>
    <x v="9"/>
    <s v="Estetiska ämnen               "/>
    <s v="Hum"/>
    <s v="Ämneslärarprogrammet - Gy"/>
    <n v="30802"/>
    <n v="63797"/>
    <n v="170058.9"/>
    <n v="70100"/>
    <n v="140200"/>
    <n v="310258.90000000002"/>
    <n v="0"/>
    <n v="0"/>
    <n v="0"/>
    <n v="0"/>
    <n v="1"/>
    <n v="0"/>
    <n v="0"/>
    <n v="0"/>
    <n v="0"/>
    <n v="0"/>
    <n v="0"/>
    <n v="0"/>
  </r>
  <r>
    <s v="6MU065"/>
    <s v="Musik fördjupning 2"/>
    <m/>
    <s v="LYAGY"/>
    <m/>
    <n v="2019"/>
    <m/>
    <m/>
    <m/>
    <m/>
    <m/>
    <m/>
    <m/>
    <m/>
    <m/>
    <m/>
    <n v="2"/>
    <n v="0.85"/>
    <n v="1.7"/>
    <x v="9"/>
    <s v="Estetiska ämnen               "/>
    <s v="Hum"/>
    <s v="Ämneslärarprogrammet - Gy"/>
    <n v="30802"/>
    <n v="63797"/>
    <n v="170058.9"/>
    <n v="70100"/>
    <n v="140200"/>
    <n v="310258.90000000002"/>
    <n v="0"/>
    <n v="0"/>
    <n v="0"/>
    <n v="0"/>
    <n v="1"/>
    <n v="0"/>
    <n v="0"/>
    <n v="0"/>
    <n v="0"/>
    <n v="0"/>
    <n v="0"/>
    <n v="0"/>
  </r>
  <r>
    <s v="6NE001"/>
    <s v="Makroekonomi och arbetsmarknad A23"/>
    <m/>
    <s v="LYSYV"/>
    <m/>
    <n v="2019"/>
    <m/>
    <m/>
    <m/>
    <m/>
    <m/>
    <m/>
    <m/>
    <m/>
    <m/>
    <m/>
    <n v="3.75"/>
    <n v="0.85"/>
    <n v="3.1875"/>
    <x v="15"/>
    <s v="Nationalekonomi               "/>
    <s v="Sam"/>
    <s v="Studie- och yrkesvägledarprogram"/>
    <n v="18405"/>
    <n v="15773"/>
    <n v="119295.1875"/>
    <n v="5800"/>
    <n v="21750"/>
    <n v="141045.1875"/>
    <n v="0"/>
    <n v="0"/>
    <n v="0"/>
    <n v="0"/>
    <n v="0"/>
    <n v="0"/>
    <n v="1"/>
    <n v="0"/>
    <n v="0"/>
    <n v="0"/>
    <n v="0"/>
    <n v="0"/>
  </r>
  <r>
    <s v="6NK000"/>
    <s v="Att undervisa i naturkunskap (VFU)"/>
    <m/>
    <s v="LYAGY"/>
    <m/>
    <n v="2019"/>
    <m/>
    <m/>
    <m/>
    <m/>
    <m/>
    <m/>
    <m/>
    <m/>
    <m/>
    <m/>
    <n v="0.1"/>
    <n v="0.85"/>
    <n v="8.5000000000000006E-2"/>
    <x v="6"/>
    <s v="NMD"/>
    <s v="TekNat"/>
    <s v="Ämneslärarprogrammet - Gy"/>
    <n v="21634"/>
    <n v="26986"/>
    <n v="4457.21"/>
    <n v="3400"/>
    <n v="340"/>
    <n v="4797.21"/>
    <n v="0"/>
    <n v="0"/>
    <n v="0"/>
    <n v="0"/>
    <n v="0"/>
    <n v="0"/>
    <n v="0"/>
    <n v="0"/>
    <n v="1"/>
    <n v="0"/>
    <n v="0"/>
    <n v="0"/>
  </r>
  <r>
    <s v="6NK036"/>
    <s v="Examensarbete - Naturkunskap"/>
    <m/>
    <s v="LYAGY"/>
    <m/>
    <n v="2019"/>
    <m/>
    <m/>
    <m/>
    <m/>
    <m/>
    <m/>
    <m/>
    <m/>
    <m/>
    <m/>
    <n v="0.375"/>
    <n v="0.85"/>
    <n v="0.31874999999999998"/>
    <x v="6"/>
    <s v="NMD"/>
    <s v="TekNat"/>
    <s v="Ämneslärarprogrammet - Gy"/>
    <n v="19473"/>
    <n v="34806"/>
    <n v="18396.787499999999"/>
    <n v="21800"/>
    <n v="8175"/>
    <n v="26571.787499999999"/>
    <n v="0"/>
    <n v="0"/>
    <n v="0"/>
    <n v="0"/>
    <n v="0"/>
    <n v="1"/>
    <n v="0"/>
    <n v="0"/>
    <n v="0"/>
    <n v="0"/>
    <n v="0"/>
    <n v="0"/>
  </r>
  <r>
    <s v="6NK101"/>
    <s v="Naturkunskapsdidaktik 1 för ämneslärare för gymnasiet"/>
    <m/>
    <s v="LYAGY"/>
    <m/>
    <n v="2019"/>
    <m/>
    <m/>
    <m/>
    <m/>
    <m/>
    <m/>
    <m/>
    <m/>
    <m/>
    <m/>
    <n v="0.125"/>
    <n v="0.85"/>
    <n v="0.10625"/>
    <x v="6"/>
    <s v="NMD"/>
    <s v="TekNat"/>
    <s v="Ämneslärarprogrammet - Gy"/>
    <n v="19473"/>
    <n v="34806"/>
    <n v="6132.2624999999998"/>
    <n v="21800"/>
    <n v="2725"/>
    <n v="8857.2625000000007"/>
    <n v="0"/>
    <n v="0"/>
    <n v="0"/>
    <n v="0"/>
    <n v="0"/>
    <n v="1"/>
    <n v="0"/>
    <n v="0"/>
    <n v="0"/>
    <n v="0"/>
    <n v="0"/>
    <n v="0"/>
  </r>
  <r>
    <s v="6NK101"/>
    <s v="Naturkunskapsdidaktik 1 för ämneslärare för gymnasiet"/>
    <m/>
    <s v="FRIST"/>
    <m/>
    <n v="2019"/>
    <m/>
    <m/>
    <m/>
    <m/>
    <m/>
    <m/>
    <m/>
    <m/>
    <m/>
    <m/>
    <n v="0.125"/>
    <n v="0.8"/>
    <n v="0.1"/>
    <x v="6"/>
    <s v="NMD"/>
    <s v="TekNat"/>
    <s v="Fristående och övriga kurser"/>
    <n v="19473"/>
    <n v="34806"/>
    <n v="5914.7250000000004"/>
    <n v="21800"/>
    <n v="2725"/>
    <n v="8639.7250000000004"/>
    <n v="0"/>
    <n v="0"/>
    <n v="0"/>
    <n v="0"/>
    <n v="0"/>
    <n v="1"/>
    <n v="0"/>
    <n v="0"/>
    <n v="0"/>
    <n v="0"/>
    <n v="0"/>
    <n v="0"/>
  </r>
  <r>
    <s v="6NK102"/>
    <s v="Naturkunskapsdidaktik 2 för ämneslärare för gymnasiet"/>
    <m/>
    <s v="LYAGY"/>
    <m/>
    <n v="2019"/>
    <m/>
    <m/>
    <m/>
    <m/>
    <m/>
    <m/>
    <m/>
    <m/>
    <m/>
    <m/>
    <n v="0.125"/>
    <n v="0.85"/>
    <n v="0.10625"/>
    <x v="6"/>
    <s v="NMD"/>
    <s v="TekNat"/>
    <s v="Ämneslärarprogrammet - Gy"/>
    <n v="19473"/>
    <n v="34806"/>
    <n v="6132.2624999999998"/>
    <n v="21800"/>
    <n v="2725"/>
    <n v="8857.2625000000007"/>
    <n v="0"/>
    <n v="0"/>
    <n v="0"/>
    <n v="0"/>
    <n v="0"/>
    <n v="1"/>
    <n v="0"/>
    <n v="0"/>
    <n v="0"/>
    <n v="0"/>
    <n v="0"/>
    <n v="0"/>
  </r>
  <r>
    <s v="6NK102"/>
    <s v="Naturkunskapsdidaktik 2 för ämneslärare för gymnasiet"/>
    <m/>
    <s v="FRIST"/>
    <m/>
    <n v="2019"/>
    <m/>
    <m/>
    <m/>
    <m/>
    <m/>
    <m/>
    <m/>
    <m/>
    <m/>
    <m/>
    <n v="0.125"/>
    <n v="0.8"/>
    <n v="0.1"/>
    <x v="6"/>
    <s v="NMD"/>
    <s v="TekNat"/>
    <s v="Fristående och övriga kurser"/>
    <n v="19473"/>
    <n v="34806"/>
    <n v="5914.7250000000004"/>
    <n v="21800"/>
    <n v="2725"/>
    <n v="8639.7250000000004"/>
    <n v="0"/>
    <n v="0"/>
    <n v="0"/>
    <n v="0"/>
    <n v="0"/>
    <n v="1"/>
    <n v="0"/>
    <n v="0"/>
    <n v="0"/>
    <n v="0"/>
    <n v="0"/>
    <n v="0"/>
  </r>
  <r>
    <s v="6NO036"/>
    <s v="Matematik, naturvetenskap och utomhuspedagogik för fritidshem"/>
    <m/>
    <s v="LYGFR"/>
    <m/>
    <n v="2019"/>
    <m/>
    <m/>
    <m/>
    <m/>
    <m/>
    <m/>
    <m/>
    <m/>
    <m/>
    <m/>
    <n v="3.25"/>
    <n v="0.85"/>
    <n v="2.7624999999999997"/>
    <x v="6"/>
    <s v="NMD"/>
    <s v="TekNat"/>
    <s v="Grundlärarprogrammet - fritidshem"/>
    <n v="19473"/>
    <n v="34806"/>
    <n v="159438.82500000001"/>
    <n v="21800"/>
    <n v="70850"/>
    <n v="230288.82500000001"/>
    <n v="0"/>
    <n v="0"/>
    <n v="0"/>
    <n v="0"/>
    <n v="0"/>
    <n v="1"/>
    <n v="0"/>
    <n v="0"/>
    <n v="0"/>
    <n v="0"/>
    <n v="0"/>
    <n v="0"/>
  </r>
  <r>
    <s v="6NO039"/>
    <s v="Naturorientering och teknik för förskoleklass och grundskolans årskurs 1-3"/>
    <m/>
    <s v="LYGFT"/>
    <m/>
    <n v="2019"/>
    <m/>
    <m/>
    <m/>
    <m/>
    <m/>
    <m/>
    <m/>
    <m/>
    <m/>
    <m/>
    <n v="9.75"/>
    <n v="0.85"/>
    <n v="8.2874999999999996"/>
    <x v="6"/>
    <s v="NMD"/>
    <s v="TekNat"/>
    <s v="Grundlärarprogrammet - förskoleklass och åk 1-3"/>
    <n v="19473"/>
    <n v="34806"/>
    <n v="478316.47499999998"/>
    <n v="21800"/>
    <n v="212550"/>
    <n v="690866.47499999998"/>
    <n v="0"/>
    <n v="0"/>
    <n v="0"/>
    <n v="0"/>
    <n v="0"/>
    <n v="1"/>
    <n v="0"/>
    <n v="0"/>
    <n v="0"/>
    <n v="0"/>
    <n v="0"/>
    <n v="0"/>
  </r>
  <r>
    <s v="6NO040"/>
    <s v="Naturorientering och teknik för förskoleklass och grundskolans årskurs 4-6"/>
    <m/>
    <s v="LYGRM"/>
    <m/>
    <n v="2019"/>
    <m/>
    <m/>
    <m/>
    <m/>
    <m/>
    <m/>
    <m/>
    <m/>
    <m/>
    <m/>
    <n v="5.5"/>
    <n v="0.85"/>
    <n v="4.6749999999999998"/>
    <x v="6"/>
    <s v="NMD"/>
    <s v="TekNat"/>
    <s v="Grundlärarprogrammet - grundskolans åk 4-6"/>
    <n v="19473"/>
    <n v="34806"/>
    <n v="269819.55"/>
    <n v="21800"/>
    <n v="119900"/>
    <n v="389719.55"/>
    <n v="0"/>
    <n v="0"/>
    <n v="0"/>
    <n v="0"/>
    <n v="0"/>
    <n v="1"/>
    <n v="0"/>
    <n v="0"/>
    <n v="0"/>
    <n v="0"/>
    <n v="0"/>
    <n v="0"/>
  </r>
  <r>
    <s v="6NO042"/>
    <s v="Utomhuspedagogik, naturvetenskap och matematik i förskola, fritidshem och grundskola"/>
    <m/>
    <s v="FRIST"/>
    <m/>
    <n v="2019"/>
    <m/>
    <m/>
    <m/>
    <m/>
    <m/>
    <m/>
    <m/>
    <m/>
    <m/>
    <m/>
    <n v="0.375"/>
    <n v="0.8"/>
    <n v="0.30000000000000004"/>
    <x v="6"/>
    <s v="NMD"/>
    <s v="TekNat"/>
    <s v="Fristående och övriga kurser"/>
    <n v="19473"/>
    <n v="34806"/>
    <n v="17744.175000000003"/>
    <n v="21800"/>
    <n v="8175"/>
    <n v="25919.175000000003"/>
    <n v="0"/>
    <n v="0"/>
    <n v="0"/>
    <n v="0"/>
    <n v="0"/>
    <n v="1"/>
    <n v="0"/>
    <n v="0"/>
    <n v="0"/>
    <n v="0"/>
    <n v="0"/>
    <n v="0"/>
  </r>
  <r>
    <s v="6NO043"/>
    <s v="Naturvetenskap och teknik i förskolan"/>
    <m/>
    <s v="LYFSK"/>
    <m/>
    <n v="2019"/>
    <m/>
    <m/>
    <m/>
    <m/>
    <m/>
    <m/>
    <m/>
    <m/>
    <m/>
    <m/>
    <n v="13.25"/>
    <n v="0.85"/>
    <n v="11.262499999999999"/>
    <x v="6"/>
    <s v="NMD"/>
    <s v="TekNat"/>
    <s v="Förskollärarprogrammet"/>
    <n v="19473"/>
    <n v="34806"/>
    <n v="650019.82499999995"/>
    <n v="21800"/>
    <n v="288850"/>
    <n v="938869.82499999995"/>
    <n v="0"/>
    <n v="0"/>
    <n v="0"/>
    <n v="0"/>
    <n v="0"/>
    <n v="1"/>
    <n v="0"/>
    <n v="0"/>
    <n v="0"/>
    <n v="0"/>
    <n v="0"/>
    <n v="0"/>
  </r>
  <r>
    <s v="6NO044"/>
    <s v="Utomhuspedagogik och naturvetenskap - Sommar"/>
    <m/>
    <s v="FRIST"/>
    <m/>
    <n v="2019"/>
    <m/>
    <m/>
    <m/>
    <m/>
    <m/>
    <m/>
    <m/>
    <m/>
    <m/>
    <m/>
    <n v="2.125"/>
    <n v="0.8"/>
    <n v="1.7000000000000002"/>
    <x v="6"/>
    <s v="NMD"/>
    <s v="TekNat"/>
    <s v="Fristående och övriga kurser"/>
    <n v="19473"/>
    <n v="34806"/>
    <n v="100550.32500000001"/>
    <n v="21800"/>
    <n v="46325"/>
    <n v="146875.32500000001"/>
    <n v="0"/>
    <n v="0"/>
    <n v="0"/>
    <n v="0"/>
    <n v="0"/>
    <n v="1"/>
    <n v="0"/>
    <n v="0"/>
    <n v="0"/>
    <n v="0"/>
    <n v="0"/>
    <n v="0"/>
  </r>
  <r>
    <s v="6PE055"/>
    <s v="Examensarbete för Studie- och yrkesvägledarprogrammet"/>
    <m/>
    <s v="LYSYV"/>
    <m/>
    <n v="2019"/>
    <m/>
    <m/>
    <m/>
    <m/>
    <m/>
    <m/>
    <m/>
    <m/>
    <m/>
    <m/>
    <n v="18.5"/>
    <n v="0.85"/>
    <n v="15.725"/>
    <x v="12"/>
    <s v="TUV "/>
    <s v="Sam"/>
    <s v="Studie- och yrkesvägledarprogram"/>
    <n v="18405"/>
    <n v="15773"/>
    <n v="588522.92500000005"/>
    <n v="5800"/>
    <n v="107300"/>
    <n v="695822.92500000005"/>
    <n v="0"/>
    <n v="0"/>
    <n v="0"/>
    <n v="0"/>
    <n v="0"/>
    <n v="0"/>
    <n v="1"/>
    <n v="0"/>
    <n v="0"/>
    <n v="0"/>
    <n v="0"/>
    <n v="0"/>
  </r>
  <r>
    <s v="6PE111"/>
    <s v="Grupprocesser och samverkan ur ett fritidshemsperspektiv"/>
    <m/>
    <s v="LYGFR"/>
    <m/>
    <n v="2019"/>
    <m/>
    <m/>
    <m/>
    <m/>
    <m/>
    <m/>
    <m/>
    <m/>
    <m/>
    <m/>
    <n v="3.125"/>
    <n v="0.85"/>
    <n v="2.65625"/>
    <x v="12"/>
    <s v="TUV "/>
    <s v="Sam"/>
    <s v="Grundlärarprogrammet - fritidshem"/>
    <n v="18405"/>
    <n v="15773"/>
    <n v="99412.65625"/>
    <n v="5800"/>
    <n v="18125"/>
    <n v="117537.65625"/>
    <n v="0"/>
    <n v="0"/>
    <n v="0"/>
    <n v="0"/>
    <n v="0"/>
    <n v="0"/>
    <n v="1"/>
    <n v="0"/>
    <n v="0"/>
    <n v="0"/>
    <n v="0"/>
    <n v="0"/>
  </r>
  <r>
    <s v="6PE118"/>
    <s v="Examensarbete grundlärare - fritidshem"/>
    <m/>
    <s v="LYGFR"/>
    <m/>
    <n v="2019"/>
    <m/>
    <m/>
    <m/>
    <m/>
    <m/>
    <m/>
    <m/>
    <m/>
    <m/>
    <m/>
    <n v="6"/>
    <n v="0.85"/>
    <n v="5.0999999999999996"/>
    <x v="12"/>
    <s v="TUV "/>
    <s v="Sam"/>
    <s v="Grundlärarprogrammet - fritidshem"/>
    <n v="18405"/>
    <n v="15773"/>
    <n v="190872.3"/>
    <n v="5800"/>
    <n v="34800"/>
    <n v="225672.3"/>
    <n v="0"/>
    <n v="0"/>
    <n v="0"/>
    <n v="0"/>
    <n v="0"/>
    <n v="0"/>
    <n v="1"/>
    <n v="0"/>
    <n v="0"/>
    <n v="0"/>
    <n v="0"/>
    <n v="0"/>
  </r>
  <r>
    <s v="6PE129"/>
    <s v="Kunskap, undervisning och lärande för yrkeslärare II"/>
    <m/>
    <s v="LYYRK"/>
    <m/>
    <n v="2019"/>
    <m/>
    <m/>
    <m/>
    <m/>
    <m/>
    <m/>
    <m/>
    <m/>
    <m/>
    <m/>
    <n v="10.75"/>
    <n v="0.85"/>
    <n v="9.1374999999999993"/>
    <x v="11"/>
    <s v="Pedagogik                     "/>
    <s v="Sam"/>
    <s v="Yrkeslärarprogrammet"/>
    <n v="23641"/>
    <n v="28786"/>
    <n v="517172.82499999995"/>
    <n v="5800"/>
    <n v="62350"/>
    <n v="579522.82499999995"/>
    <n v="0"/>
    <n v="0"/>
    <n v="0"/>
    <n v="1"/>
    <n v="0"/>
    <n v="0"/>
    <n v="0"/>
    <n v="0"/>
    <n v="0"/>
    <n v="0"/>
    <n v="0"/>
    <n v="0"/>
  </r>
  <r>
    <s v="6PE134"/>
    <s v="Vetenskapsteori och vetenskaplig metod"/>
    <m/>
    <s v="FRIST"/>
    <m/>
    <n v="2019"/>
    <m/>
    <m/>
    <m/>
    <m/>
    <m/>
    <m/>
    <m/>
    <m/>
    <m/>
    <m/>
    <n v="2.25"/>
    <n v="0.8"/>
    <n v="1.8"/>
    <x v="12"/>
    <s v="TUV "/>
    <s v="Sam"/>
    <s v="Fristående och övriga kurser"/>
    <n v="18405"/>
    <n v="15773"/>
    <n v="69802.649999999994"/>
    <n v="5800"/>
    <n v="13050"/>
    <n v="82852.649999999994"/>
    <n v="0"/>
    <n v="0"/>
    <n v="0"/>
    <n v="0"/>
    <n v="0"/>
    <n v="0"/>
    <n v="1"/>
    <n v="0"/>
    <n v="0"/>
    <n v="0"/>
    <n v="0"/>
    <n v="0"/>
  </r>
  <r>
    <s v="6PE135"/>
    <s v="Ämnesdidaktik för yrkeslärare"/>
    <m/>
    <s v="LYYRK"/>
    <m/>
    <n v="2019"/>
    <m/>
    <m/>
    <m/>
    <m/>
    <m/>
    <m/>
    <m/>
    <m/>
    <m/>
    <m/>
    <n v="4.3333300000000001"/>
    <n v="0.85"/>
    <n v="3.6833304999999998"/>
    <x v="12"/>
    <s v="TUV "/>
    <s v="Sam"/>
    <s v="Yrkeslärarprogrammet"/>
    <n v="23641"/>
    <n v="28786"/>
    <n v="208472.60630300001"/>
    <n v="5800"/>
    <n v="25133.314000000002"/>
    <n v="233605.92030300002"/>
    <n v="0"/>
    <n v="0"/>
    <n v="0"/>
    <n v="1"/>
    <n v="0"/>
    <n v="0"/>
    <n v="0"/>
    <n v="0"/>
    <n v="0"/>
    <n v="0"/>
    <n v="0"/>
    <n v="0"/>
  </r>
  <r>
    <s v="6PE136"/>
    <s v="Profession och vetenskap för yrkeslärare"/>
    <m/>
    <s v="LYYRK"/>
    <m/>
    <n v="2019"/>
    <m/>
    <m/>
    <m/>
    <m/>
    <m/>
    <m/>
    <m/>
    <m/>
    <m/>
    <m/>
    <n v="2.0833300000000001"/>
    <n v="0.85"/>
    <n v="1.7708305"/>
    <x v="12"/>
    <s v="TUV "/>
    <s v="Sam"/>
    <s v="Yrkeslärarprogrammet"/>
    <n v="23641"/>
    <n v="28786"/>
    <n v="100227.131303"/>
    <n v="5800"/>
    <n v="12083.314"/>
    <n v="112310.445303"/>
    <n v="0"/>
    <n v="0"/>
    <n v="0"/>
    <n v="1"/>
    <n v="0"/>
    <n v="0"/>
    <n v="0"/>
    <n v="0"/>
    <n v="0"/>
    <n v="0"/>
    <n v="0"/>
    <n v="0"/>
  </r>
  <r>
    <s v="6PE138"/>
    <s v="Utbildningsvetenskap i pedagogisk praktik"/>
    <m/>
    <s v="FRIST"/>
    <m/>
    <n v="2019"/>
    <m/>
    <m/>
    <m/>
    <m/>
    <m/>
    <m/>
    <m/>
    <m/>
    <m/>
    <m/>
    <n v="0.25"/>
    <n v="0.8"/>
    <n v="0.2"/>
    <x v="12"/>
    <s v="TUV "/>
    <s v="Sam"/>
    <s v="Fristående och övriga kurser"/>
    <n v="18405"/>
    <n v="15773"/>
    <n v="7755.85"/>
    <n v="5800"/>
    <n v="1450"/>
    <n v="9205.85"/>
    <n v="0"/>
    <n v="0"/>
    <n v="0"/>
    <n v="0"/>
    <n v="0"/>
    <n v="0"/>
    <n v="1"/>
    <n v="0"/>
    <n v="0"/>
    <n v="0"/>
    <n v="0"/>
    <n v="0"/>
  </r>
  <r>
    <s v="6PE146"/>
    <s v="Samhällsorientering, F-3"/>
    <m/>
    <s v="LYGFT"/>
    <m/>
    <n v="2019"/>
    <m/>
    <m/>
    <m/>
    <m/>
    <m/>
    <m/>
    <m/>
    <m/>
    <m/>
    <m/>
    <n v="9.5"/>
    <n v="0.85"/>
    <n v="8.0749999999999993"/>
    <x v="11"/>
    <s v="Pedagogik                     "/>
    <s v="Sam"/>
    <s v="Grundlärarprogrammet - förskoleklass och åk 1-3"/>
    <n v="18405"/>
    <n v="15773"/>
    <n v="302214.47499999998"/>
    <n v="5800"/>
    <n v="55100"/>
    <n v="357314.47499999998"/>
    <n v="0"/>
    <n v="0"/>
    <n v="0"/>
    <n v="0"/>
    <n v="0"/>
    <n v="0"/>
    <n v="1"/>
    <n v="0"/>
    <n v="0"/>
    <n v="0"/>
    <n v="0"/>
    <n v="0"/>
  </r>
  <r>
    <s v="6PE182"/>
    <s v="Sex och samlevnad, 7,5 hp"/>
    <m/>
    <s v="LYAGY"/>
    <m/>
    <n v="2019"/>
    <m/>
    <m/>
    <m/>
    <m/>
    <m/>
    <m/>
    <m/>
    <m/>
    <m/>
    <m/>
    <n v="0.5"/>
    <n v="0.85"/>
    <n v="0.42499999999999999"/>
    <x v="6"/>
    <s v="NMD"/>
    <s v="TekNat"/>
    <s v="Ämneslärarprogrammet - Gy"/>
    <n v="19473"/>
    <n v="34806"/>
    <n v="24529.05"/>
    <n v="21800"/>
    <n v="10900"/>
    <n v="35429.050000000003"/>
    <n v="0"/>
    <n v="0"/>
    <n v="0"/>
    <n v="0"/>
    <n v="0"/>
    <n v="1"/>
    <n v="0"/>
    <n v="0"/>
    <n v="0"/>
    <n v="0"/>
    <n v="0"/>
    <n v="0"/>
  </r>
  <r>
    <s v="6PE182"/>
    <s v="Sex och samlevnad, 7,5 hp"/>
    <m/>
    <s v="FRIST"/>
    <m/>
    <n v="2019"/>
    <m/>
    <m/>
    <m/>
    <m/>
    <m/>
    <m/>
    <m/>
    <m/>
    <m/>
    <m/>
    <n v="0.75"/>
    <n v="0.8"/>
    <n v="0.60000000000000009"/>
    <x v="6"/>
    <s v="NMD"/>
    <s v="TekNat"/>
    <s v="Fristående och övriga kurser"/>
    <n v="19473"/>
    <n v="34806"/>
    <n v="35488.350000000006"/>
    <n v="21800"/>
    <n v="16350"/>
    <n v="51838.350000000006"/>
    <n v="0"/>
    <n v="0"/>
    <n v="0"/>
    <n v="0"/>
    <n v="0"/>
    <n v="1"/>
    <n v="0"/>
    <n v="0"/>
    <n v="0"/>
    <n v="0"/>
    <n v="0"/>
    <n v="0"/>
  </r>
  <r>
    <s v="6PE183"/>
    <s v="Förskollärare som profession"/>
    <m/>
    <s v="LYFSK"/>
    <m/>
    <n v="2019"/>
    <m/>
    <m/>
    <m/>
    <m/>
    <m/>
    <m/>
    <m/>
    <m/>
    <m/>
    <m/>
    <n v="7.8"/>
    <n v="0.85"/>
    <n v="6.63"/>
    <x v="12"/>
    <s v="TUV "/>
    <s v="Sam"/>
    <s v="Förskollärarprogrammet"/>
    <n v="23641"/>
    <n v="28786"/>
    <n v="375250.98"/>
    <n v="5800"/>
    <n v="45240"/>
    <n v="420490.98"/>
    <n v="0"/>
    <n v="0"/>
    <n v="0"/>
    <n v="1"/>
    <n v="0"/>
    <n v="0"/>
    <n v="0"/>
    <n v="0"/>
    <n v="0"/>
    <n v="0"/>
    <n v="0"/>
    <n v="0"/>
  </r>
  <r>
    <s v="6PE184"/>
    <s v="Att vara förskollärare (VFU)"/>
    <m/>
    <s v="LYFSK"/>
    <m/>
    <n v="2019"/>
    <m/>
    <m/>
    <m/>
    <m/>
    <m/>
    <m/>
    <m/>
    <m/>
    <m/>
    <m/>
    <n v="1.8"/>
    <n v="0.85"/>
    <n v="1.53"/>
    <x v="12"/>
    <s v="TUV "/>
    <s v="Sam"/>
    <s v="Förskollärarprogrammet"/>
    <n v="21634"/>
    <n v="26986"/>
    <n v="80229.78"/>
    <n v="3400"/>
    <n v="6120"/>
    <n v="86349.78"/>
    <n v="0"/>
    <n v="0"/>
    <n v="0"/>
    <n v="0"/>
    <n v="0"/>
    <n v="0"/>
    <n v="0"/>
    <n v="0"/>
    <n v="1"/>
    <n v="0"/>
    <n v="0"/>
    <n v="0"/>
  </r>
  <r>
    <s v="6PE185"/>
    <s v="Ämneslärare som profession"/>
    <m/>
    <s v="LYAGY"/>
    <m/>
    <n v="2019"/>
    <m/>
    <m/>
    <m/>
    <m/>
    <m/>
    <m/>
    <m/>
    <m/>
    <m/>
    <m/>
    <n v="14.7"/>
    <n v="0.85"/>
    <n v="12.494999999999999"/>
    <x v="11"/>
    <s v="Pedagogik                     "/>
    <s v="Sam"/>
    <s v="Ämneslärarprogrammet - Gy"/>
    <n v="23641"/>
    <n v="28786"/>
    <n v="707203.77"/>
    <n v="5800"/>
    <n v="85260"/>
    <n v="792463.77"/>
    <n v="0"/>
    <n v="0"/>
    <n v="0"/>
    <n v="1"/>
    <n v="0"/>
    <n v="0"/>
    <n v="0"/>
    <n v="0"/>
    <n v="0"/>
    <n v="0"/>
    <n v="0"/>
    <n v="0"/>
  </r>
  <r>
    <s v="6PE186"/>
    <s v="Att vara ämneslärare (VFU)"/>
    <m/>
    <s v="LYAGY"/>
    <m/>
    <n v="2019"/>
    <m/>
    <m/>
    <m/>
    <m/>
    <m/>
    <m/>
    <m/>
    <m/>
    <m/>
    <m/>
    <n v="3.5750000000000002"/>
    <n v="0.85"/>
    <n v="3.0387500000000003"/>
    <x v="11"/>
    <s v="Pedagogik                     "/>
    <s v="Sam"/>
    <s v="Ämneslärarprogrammet - Gy"/>
    <n v="21634"/>
    <n v="26986"/>
    <n v="159345.25750000001"/>
    <n v="3400"/>
    <n v="12155"/>
    <n v="171500.25750000001"/>
    <n v="0"/>
    <n v="0"/>
    <n v="0"/>
    <n v="0"/>
    <n v="0"/>
    <n v="0"/>
    <n v="0"/>
    <n v="0"/>
    <n v="1"/>
    <n v="0"/>
    <n v="0"/>
    <n v="0"/>
  </r>
  <r>
    <s v="6PE187"/>
    <s v="Lärande och undervisning"/>
    <m/>
    <s v="LYAGY"/>
    <m/>
    <n v="2019"/>
    <m/>
    <m/>
    <m/>
    <m/>
    <m/>
    <m/>
    <m/>
    <m/>
    <m/>
    <m/>
    <n v="17.25"/>
    <n v="0.85"/>
    <n v="14.6625"/>
    <x v="11"/>
    <s v="Pedagogik                     "/>
    <s v="Sam"/>
    <s v="Ämneslärarprogrammet - Gy"/>
    <n v="23641"/>
    <n v="28786"/>
    <n v="829881.97499999998"/>
    <n v="5800"/>
    <n v="100050"/>
    <n v="929931.97499999998"/>
    <n v="0"/>
    <n v="0"/>
    <n v="0"/>
    <n v="1"/>
    <n v="0"/>
    <n v="0"/>
    <n v="0"/>
    <n v="0"/>
    <n v="0"/>
    <n v="0"/>
    <n v="0"/>
    <n v="0"/>
  </r>
  <r>
    <s v="6PE187"/>
    <s v="Lärande och undervisning"/>
    <m/>
    <s v="LYFSK"/>
    <m/>
    <n v="2019"/>
    <m/>
    <m/>
    <m/>
    <m/>
    <m/>
    <m/>
    <m/>
    <m/>
    <m/>
    <m/>
    <n v="9"/>
    <n v="0.85"/>
    <n v="7.6499999999999995"/>
    <x v="11"/>
    <s v="Pedagogik                     "/>
    <s v="Sam"/>
    <s v="Förskollärarprogrammet"/>
    <n v="23641"/>
    <n v="28786"/>
    <n v="432981.9"/>
    <n v="5800"/>
    <n v="52200"/>
    <n v="485181.9"/>
    <n v="0"/>
    <n v="0"/>
    <n v="0"/>
    <n v="1"/>
    <n v="0"/>
    <n v="0"/>
    <n v="0"/>
    <n v="0"/>
    <n v="0"/>
    <n v="0"/>
    <n v="0"/>
    <n v="0"/>
  </r>
  <r>
    <s v="6PE187"/>
    <s v="Lärande och undervisning"/>
    <m/>
    <s v="LYGFR"/>
    <m/>
    <n v="2019"/>
    <m/>
    <m/>
    <m/>
    <m/>
    <m/>
    <m/>
    <m/>
    <m/>
    <m/>
    <m/>
    <n v="2.375"/>
    <n v="0.85"/>
    <n v="2.0187499999999998"/>
    <x v="11"/>
    <s v="Pedagogik                     "/>
    <s v="Sam"/>
    <s v="Grundlärarprogrammet - fritidshem"/>
    <n v="23641"/>
    <n v="28786"/>
    <n v="114259.11249999999"/>
    <n v="5800"/>
    <n v="13775"/>
    <n v="128034.11249999999"/>
    <n v="0"/>
    <n v="0"/>
    <n v="0"/>
    <n v="1"/>
    <n v="0"/>
    <n v="0"/>
    <n v="0"/>
    <n v="0"/>
    <n v="0"/>
    <n v="0"/>
    <n v="0"/>
    <n v="0"/>
  </r>
  <r>
    <s v="6PE187"/>
    <s v="Lärande och undervisning"/>
    <m/>
    <s v="LYGFT"/>
    <m/>
    <n v="2019"/>
    <m/>
    <m/>
    <m/>
    <m/>
    <m/>
    <m/>
    <m/>
    <m/>
    <m/>
    <m/>
    <n v="6.375"/>
    <n v="0.85"/>
    <n v="5.4187500000000002"/>
    <x v="11"/>
    <s v="Pedagogik                     "/>
    <s v="Sam"/>
    <s v="Grundlärarprogrammet - förskoleklass och åk 1-3"/>
    <n v="23641"/>
    <n v="28786"/>
    <n v="306695.51250000001"/>
    <n v="5800"/>
    <n v="36975"/>
    <n v="343670.51250000001"/>
    <n v="0"/>
    <n v="0"/>
    <n v="0"/>
    <n v="1"/>
    <n v="0"/>
    <n v="0"/>
    <n v="0"/>
    <n v="0"/>
    <n v="0"/>
    <n v="0"/>
    <n v="0"/>
    <n v="0"/>
  </r>
  <r>
    <s v="6PE187"/>
    <s v="Lärande och undervisning"/>
    <m/>
    <s v="LYGRM"/>
    <m/>
    <n v="2019"/>
    <m/>
    <m/>
    <m/>
    <m/>
    <m/>
    <m/>
    <m/>
    <m/>
    <m/>
    <m/>
    <n v="3.625"/>
    <n v="0.85"/>
    <n v="3.0812499999999998"/>
    <x v="11"/>
    <s v="Pedagogik                     "/>
    <s v="Sam"/>
    <s v="Grundlärarprogrammet - grundskolans åk 4-6"/>
    <n v="23641"/>
    <n v="28786"/>
    <n v="174395.48749999999"/>
    <n v="5800"/>
    <n v="21025"/>
    <n v="195420.48749999999"/>
    <n v="0"/>
    <n v="0"/>
    <n v="0"/>
    <n v="1"/>
    <n v="0"/>
    <n v="0"/>
    <n v="0"/>
    <n v="0"/>
    <n v="0"/>
    <n v="0"/>
    <n v="0"/>
    <n v="0"/>
  </r>
  <r>
    <s v="6PE192"/>
    <s v="Undervisning och lärande inom det svenska skolsystemet"/>
    <m/>
    <s v="FRIST"/>
    <m/>
    <n v="2019"/>
    <m/>
    <m/>
    <m/>
    <m/>
    <m/>
    <m/>
    <m/>
    <m/>
    <m/>
    <m/>
    <n v="2.875"/>
    <n v="0.8"/>
    <n v="2.3000000000000003"/>
    <x v="11"/>
    <s v="Pedagogik                     "/>
    <s v="Sam"/>
    <s v="Fristående och övriga kurser"/>
    <n v="20988.2"/>
    <n v="24743.4"/>
    <n v="117250.89500000002"/>
    <n v="3880"/>
    <n v="11155"/>
    <n v="128405.89500000002"/>
    <n v="0"/>
    <n v="0"/>
    <n v="0"/>
    <n v="0"/>
    <n v="0"/>
    <n v="0"/>
    <n v="0.2"/>
    <n v="0"/>
    <n v="0.8"/>
    <n v="0"/>
    <n v="0"/>
    <n v="0"/>
  </r>
  <r>
    <s v="6PE193"/>
    <s v="Utbildning: Undervisning och lärande i en internationell kontext"/>
    <m/>
    <s v="FRIST"/>
    <m/>
    <n v="2019"/>
    <m/>
    <m/>
    <m/>
    <m/>
    <m/>
    <m/>
    <m/>
    <m/>
    <m/>
    <m/>
    <n v="4.75"/>
    <n v="0.8"/>
    <n v="3.8000000000000003"/>
    <x v="11"/>
    <s v="Pedagogik                     "/>
    <s v="Sam"/>
    <s v="Fristående och övriga kurser"/>
    <n v="18405"/>
    <n v="15773"/>
    <n v="147361.15"/>
    <n v="5800"/>
    <n v="27550"/>
    <n v="174911.15"/>
    <n v="0"/>
    <n v="0"/>
    <n v="0"/>
    <n v="0"/>
    <n v="0"/>
    <n v="0"/>
    <n v="1"/>
    <n v="0"/>
    <n v="0"/>
    <n v="0"/>
    <n v="0"/>
    <n v="0"/>
  </r>
  <r>
    <s v="6PE194"/>
    <s v="Demokrati, mänskliga rättigheter och hållbar utveckling: globala perspektiv i utbildning"/>
    <m/>
    <s v="FRIST"/>
    <m/>
    <n v="2019"/>
    <m/>
    <m/>
    <m/>
    <m/>
    <m/>
    <m/>
    <m/>
    <m/>
    <m/>
    <m/>
    <n v="8.625"/>
    <n v="0.8"/>
    <n v="6.9"/>
    <x v="11"/>
    <s v="Pedagogik                     "/>
    <s v="Sam"/>
    <s v="Fristående och övriga kurser"/>
    <n v="18405"/>
    <n v="15773"/>
    <n v="267576.82500000001"/>
    <n v="5800"/>
    <n v="50025"/>
    <n v="317601.82500000001"/>
    <n v="0"/>
    <n v="0"/>
    <n v="0"/>
    <n v="0"/>
    <n v="0"/>
    <n v="0"/>
    <n v="1"/>
    <n v="0"/>
    <n v="0"/>
    <n v="0"/>
    <n v="0"/>
    <n v="0"/>
  </r>
  <r>
    <s v="6PE195"/>
    <s v="Forskningsdesign och metod inom utbildningsvetenskap"/>
    <m/>
    <s v="FRIST"/>
    <m/>
    <n v="2019"/>
    <m/>
    <m/>
    <m/>
    <m/>
    <m/>
    <m/>
    <m/>
    <m/>
    <m/>
    <m/>
    <n v="2"/>
    <n v="0.8"/>
    <n v="1.6"/>
    <x v="11"/>
    <s v="Pedagogik                     "/>
    <s v="Sam"/>
    <s v="Fristående och övriga kurser"/>
    <n v="18405"/>
    <n v="15773"/>
    <n v="62046.8"/>
    <n v="5800"/>
    <n v="11600"/>
    <n v="73646.8"/>
    <n v="0"/>
    <n v="0"/>
    <n v="0"/>
    <n v="0"/>
    <n v="0"/>
    <n v="0"/>
    <n v="1"/>
    <n v="0"/>
    <n v="0"/>
    <n v="0"/>
    <n v="0"/>
    <n v="0"/>
  </r>
  <r>
    <s v="6PE198"/>
    <s v="Matematikutveckling och lärande i ett specialpedagogiskt perspektiv"/>
    <m/>
    <s v="LYSPL"/>
    <m/>
    <n v="2019"/>
    <m/>
    <m/>
    <m/>
    <m/>
    <m/>
    <m/>
    <m/>
    <m/>
    <m/>
    <m/>
    <n v="1.06667"/>
    <n v="0.85"/>
    <n v="0.90666950000000002"/>
    <x v="6"/>
    <s v="NMD"/>
    <s v="TekNat"/>
    <s v="Speciallärarprogrammet"/>
    <n v="19473"/>
    <n v="34806"/>
    <n v="52328.803527000004"/>
    <n v="21800"/>
    <n v="23253.405999999999"/>
    <n v="75582.209526999999"/>
    <n v="0"/>
    <n v="0"/>
    <n v="0"/>
    <n v="0"/>
    <n v="0"/>
    <n v="1"/>
    <n v="0"/>
    <n v="0"/>
    <n v="0"/>
    <n v="0"/>
    <n v="0"/>
    <n v="0"/>
  </r>
  <r>
    <s v="6PE199"/>
    <s v="Identifiering och kartläggning av undervisning och lärande med fokus på elever i behov av särskilda utbildningsinsatser"/>
    <m/>
    <s v="LYSPL"/>
    <m/>
    <n v="2019"/>
    <m/>
    <m/>
    <m/>
    <m/>
    <m/>
    <m/>
    <m/>
    <m/>
    <m/>
    <m/>
    <n v="1.6"/>
    <n v="0.85"/>
    <n v="1.36"/>
    <x v="6"/>
    <s v="NMD"/>
    <s v="TekNat"/>
    <s v="Speciallärarprogrammet"/>
    <n v="19473"/>
    <n v="34806"/>
    <n v="78492.960000000006"/>
    <n v="21800"/>
    <n v="34880"/>
    <n v="113372.96"/>
    <n v="0"/>
    <n v="0"/>
    <n v="0"/>
    <n v="0"/>
    <n v="0"/>
    <n v="1"/>
    <n v="0"/>
    <n v="0"/>
    <n v="0"/>
    <n v="0"/>
    <n v="0"/>
    <n v="0"/>
  </r>
  <r>
    <s v="6PE200"/>
    <s v="Stöd och stimulans i arbetet med elever i behov av särskilda utbildningsinsatser"/>
    <m/>
    <s v="LYSPL"/>
    <m/>
    <n v="2019"/>
    <m/>
    <m/>
    <m/>
    <m/>
    <m/>
    <m/>
    <m/>
    <m/>
    <m/>
    <m/>
    <n v="1.3333299999999999"/>
    <n v="0.85"/>
    <n v="1.1333304999999998"/>
    <x v="6"/>
    <s v="NMD"/>
    <s v="TekNat"/>
    <s v="Speciallärarprogrammet"/>
    <n v="19473"/>
    <n v="34806"/>
    <n v="65410.636472999991"/>
    <n v="21800"/>
    <n v="29066.593999999997"/>
    <n v="94477.230472999989"/>
    <n v="0"/>
    <n v="0"/>
    <n v="0"/>
    <n v="0"/>
    <n v="0"/>
    <n v="1"/>
    <n v="0"/>
    <n v="0"/>
    <n v="0"/>
    <n v="0"/>
    <n v="0"/>
    <n v="0"/>
  </r>
  <r>
    <s v="6PE201"/>
    <s v="Läraryrkets dimensioner - ingångsämne idrott och hälsa"/>
    <m/>
    <s v="LYAGR"/>
    <m/>
    <n v="2019"/>
    <m/>
    <m/>
    <m/>
    <m/>
    <m/>
    <m/>
    <m/>
    <m/>
    <m/>
    <m/>
    <n v="0.375"/>
    <n v="0.85"/>
    <n v="0.31874999999999998"/>
    <x v="11"/>
    <s v="Pedagogik                     "/>
    <s v="Sam"/>
    <s v="Ämneslärarprogrammet - åk 7-9"/>
    <n v="21634"/>
    <n v="26986"/>
    <n v="16714.537499999999"/>
    <n v="3400"/>
    <n v="1275"/>
    <n v="17989.537499999999"/>
    <n v="0"/>
    <n v="0"/>
    <n v="0"/>
    <n v="0"/>
    <n v="0"/>
    <n v="0"/>
    <n v="0"/>
    <n v="0"/>
    <n v="1"/>
    <n v="0"/>
    <n v="0"/>
    <n v="0"/>
  </r>
  <r>
    <s v="6PE201"/>
    <s v="Läraryrkets dimensioner - ingångsämne idrott och hälsa"/>
    <m/>
    <s v="LYAGY"/>
    <m/>
    <n v="2019"/>
    <m/>
    <m/>
    <m/>
    <m/>
    <m/>
    <m/>
    <m/>
    <m/>
    <m/>
    <m/>
    <n v="4.5"/>
    <n v="0.85"/>
    <n v="3.8249999999999997"/>
    <x v="11"/>
    <s v="Pedagogik                     "/>
    <s v="Sam"/>
    <s v="Ämneslärarprogrammet - Gy"/>
    <n v="21634"/>
    <n v="26986"/>
    <n v="200574.45"/>
    <n v="3400"/>
    <n v="15300"/>
    <n v="215874.45"/>
    <n v="0"/>
    <n v="0"/>
    <n v="0"/>
    <n v="0"/>
    <n v="0"/>
    <n v="0"/>
    <n v="0"/>
    <n v="0"/>
    <n v="1"/>
    <n v="0"/>
    <n v="0"/>
    <n v="0"/>
  </r>
  <r>
    <s v="6PE202"/>
    <s v="Barns lärande och omsorg"/>
    <m/>
    <s v="LYFSK"/>
    <m/>
    <n v="2019"/>
    <m/>
    <m/>
    <m/>
    <m/>
    <m/>
    <m/>
    <m/>
    <m/>
    <m/>
    <m/>
    <n v="16"/>
    <n v="0.85"/>
    <n v="13.6"/>
    <x v="12"/>
    <s v="TUV "/>
    <s v="Sam"/>
    <s v="Förskollärarprogrammet"/>
    <n v="18405"/>
    <n v="15773"/>
    <n v="508992.8"/>
    <n v="5800"/>
    <n v="92800"/>
    <n v="601792.80000000005"/>
    <n v="0"/>
    <n v="0"/>
    <n v="0"/>
    <n v="0"/>
    <n v="0"/>
    <n v="0"/>
    <n v="1"/>
    <n v="0"/>
    <n v="0"/>
    <n v="0"/>
    <n v="0"/>
    <n v="0"/>
  </r>
  <r>
    <s v="6PE203"/>
    <s v="Förskolans uppdrag och arbetssätt 1"/>
    <m/>
    <s v="LYFSK"/>
    <m/>
    <n v="2019"/>
    <m/>
    <m/>
    <m/>
    <m/>
    <m/>
    <m/>
    <m/>
    <m/>
    <m/>
    <m/>
    <n v="5.4166699999999999"/>
    <n v="0.85"/>
    <n v="4.6041694999999994"/>
    <x v="12"/>
    <s v="TUV "/>
    <s v="Sam"/>
    <s v="Förskollärarprogrammet"/>
    <n v="18405"/>
    <n v="15773"/>
    <n v="172315.3768735"/>
    <n v="5800"/>
    <n v="31416.685999999998"/>
    <n v="203732.06287349999"/>
    <n v="0"/>
    <n v="0"/>
    <n v="0"/>
    <n v="0"/>
    <n v="0"/>
    <n v="0"/>
    <n v="1"/>
    <n v="0"/>
    <n v="0"/>
    <n v="0"/>
    <n v="0"/>
    <n v="0"/>
  </r>
  <r>
    <s v="6PE205"/>
    <s v="Läraryrkets dimensioner - ingångsämne Samhällskunskap"/>
    <m/>
    <s v="LYAGR"/>
    <m/>
    <n v="2019"/>
    <m/>
    <m/>
    <m/>
    <m/>
    <m/>
    <m/>
    <m/>
    <m/>
    <m/>
    <m/>
    <n v="0.375"/>
    <n v="0.85"/>
    <n v="0.31874999999999998"/>
    <x v="11"/>
    <s v="Pedagogik                     "/>
    <s v="Sam"/>
    <s v="Ämneslärarprogrammet - åk 7-9"/>
    <n v="21634"/>
    <n v="26986"/>
    <n v="16714.537499999999"/>
    <n v="3400"/>
    <n v="1275"/>
    <n v="17989.537499999999"/>
    <n v="0"/>
    <n v="0"/>
    <n v="0"/>
    <n v="0"/>
    <n v="0"/>
    <n v="0"/>
    <n v="0"/>
    <n v="0"/>
    <n v="1"/>
    <n v="0"/>
    <n v="0"/>
    <n v="0"/>
  </r>
  <r>
    <s v="6PE205"/>
    <s v="Läraryrkets dimensioner - ingångsämne Samhällskunskap"/>
    <m/>
    <s v="LYAGY"/>
    <m/>
    <n v="2019"/>
    <m/>
    <m/>
    <m/>
    <m/>
    <m/>
    <m/>
    <m/>
    <m/>
    <m/>
    <m/>
    <n v="1.5"/>
    <n v="0.85"/>
    <n v="1.2749999999999999"/>
    <x v="11"/>
    <s v="Pedagogik                     "/>
    <s v="Sam"/>
    <s v="Ämneslärarprogrammet - Gy"/>
    <n v="21634"/>
    <n v="26986"/>
    <n v="66858.149999999994"/>
    <n v="3400"/>
    <n v="5100"/>
    <n v="71958.149999999994"/>
    <n v="0"/>
    <n v="0"/>
    <n v="0"/>
    <n v="0"/>
    <n v="0"/>
    <n v="0"/>
    <n v="0"/>
    <n v="0"/>
    <n v="1"/>
    <n v="0"/>
    <n v="0"/>
    <n v="0"/>
  </r>
  <r>
    <s v="6PE206"/>
    <s v="Handledarutbildning för VFU-handledare, bedömning"/>
    <m/>
    <s v="FRIST"/>
    <m/>
    <n v="2019"/>
    <m/>
    <m/>
    <m/>
    <m/>
    <m/>
    <m/>
    <m/>
    <m/>
    <m/>
    <m/>
    <n v="4.2583299999999999"/>
    <n v="0.8"/>
    <n v="3.4066640000000001"/>
    <x v="6"/>
    <s v="NMD"/>
    <s v="TekNat"/>
    <s v="Fristående och övriga kurser"/>
    <n v="19473"/>
    <n v="34806"/>
    <n v="201494.80727399999"/>
    <n v="21800"/>
    <n v="92831.593999999997"/>
    <n v="294326.401274"/>
    <n v="0"/>
    <n v="0"/>
    <n v="0"/>
    <n v="0"/>
    <n v="0"/>
    <n v="1"/>
    <n v="0"/>
    <n v="0"/>
    <n v="0"/>
    <n v="0"/>
    <n v="0"/>
    <n v="0"/>
  </r>
  <r>
    <s v="6PE207"/>
    <s v="Att undervisa i fritidshem (VFU)"/>
    <m/>
    <s v="LYGFR"/>
    <m/>
    <n v="2019"/>
    <m/>
    <m/>
    <m/>
    <m/>
    <m/>
    <m/>
    <m/>
    <m/>
    <m/>
    <m/>
    <n v="3.125"/>
    <n v="0.85"/>
    <n v="2.65625"/>
    <x v="12"/>
    <s v="TUV "/>
    <s v="Sam"/>
    <s v="Grundlärarprogrammet - fritidshem"/>
    <n v="21634"/>
    <n v="26986"/>
    <n v="139287.8125"/>
    <n v="3400"/>
    <n v="10625"/>
    <n v="149912.8125"/>
    <n v="0"/>
    <n v="0"/>
    <n v="0"/>
    <n v="0"/>
    <n v="0"/>
    <n v="0"/>
    <n v="0"/>
    <n v="0"/>
    <n v="1"/>
    <n v="0"/>
    <n v="0"/>
    <n v="0"/>
  </r>
  <r>
    <s v="6PE208"/>
    <s v="Handledarutbildning för VFU-handledare, handledningssamtal"/>
    <m/>
    <s v="FRIST"/>
    <m/>
    <n v="2019"/>
    <m/>
    <m/>
    <m/>
    <m/>
    <m/>
    <m/>
    <m/>
    <m/>
    <m/>
    <m/>
    <n v="5.2666700000000004"/>
    <n v="0.8"/>
    <n v="4.2133360000000009"/>
    <x v="12"/>
    <s v="TUV "/>
    <s v="Sam"/>
    <s v="Fristående och övriga kurser"/>
    <n v="18405"/>
    <n v="15773"/>
    <n v="163390.01007800002"/>
    <n v="5800"/>
    <n v="30546.686000000002"/>
    <n v="193936.69607800001"/>
    <n v="0"/>
    <n v="0"/>
    <n v="0"/>
    <n v="0"/>
    <n v="0"/>
    <n v="0"/>
    <n v="1"/>
    <n v="0"/>
    <n v="0"/>
    <n v="0"/>
    <n v="0"/>
    <n v="0"/>
  </r>
  <r>
    <s v="6PE209"/>
    <s v="Verksamhetsförlagd utbildning för yrkeslärare (VFU)"/>
    <m/>
    <s v="LYYRK"/>
    <m/>
    <n v="2019"/>
    <m/>
    <m/>
    <m/>
    <m/>
    <m/>
    <m/>
    <m/>
    <m/>
    <m/>
    <m/>
    <n v="9.25"/>
    <n v="0.85"/>
    <n v="7.8624999999999998"/>
    <x v="11"/>
    <s v="Pedagogik                     "/>
    <s v="Sam"/>
    <s v="Yrkeslärarprogrammet"/>
    <n v="21634"/>
    <n v="26986"/>
    <n v="412291.92499999999"/>
    <n v="3400"/>
    <n v="31450"/>
    <n v="443741.92499999999"/>
    <n v="0"/>
    <n v="0"/>
    <n v="0"/>
    <n v="0"/>
    <n v="0"/>
    <n v="0"/>
    <n v="0"/>
    <n v="0"/>
    <n v="1"/>
    <n v="0"/>
    <n v="0"/>
    <n v="0"/>
  </r>
  <r>
    <s v="6PE212"/>
    <s v="Examensarbete för grundlärarexamen med inriktning mot förskoleklass och grundskolans år 1-3"/>
    <m/>
    <s v="LYGFT"/>
    <m/>
    <n v="2019"/>
    <m/>
    <m/>
    <m/>
    <m/>
    <m/>
    <m/>
    <m/>
    <m/>
    <m/>
    <m/>
    <n v="22.625"/>
    <n v="0.85"/>
    <n v="19.231249999999999"/>
    <x v="6"/>
    <s v="NMD"/>
    <s v="TekNat"/>
    <s v="Grundlärarprogrammet - förskoleklass och åk 1-3"/>
    <n v="19473"/>
    <n v="34806"/>
    <n v="1109939.5125"/>
    <n v="21800"/>
    <n v="493225"/>
    <n v="1603164.5125"/>
    <n v="0"/>
    <n v="0"/>
    <n v="0"/>
    <n v="0"/>
    <n v="0"/>
    <n v="1"/>
    <n v="0"/>
    <n v="0"/>
    <n v="0"/>
    <n v="0"/>
    <n v="0"/>
    <n v="0"/>
  </r>
  <r>
    <s v="6PE213"/>
    <s v="Examensarbete för grundlärarexamen med inriktning mot grundskolans år 4-6"/>
    <m/>
    <s v="LYGRM"/>
    <m/>
    <n v="2019"/>
    <m/>
    <m/>
    <m/>
    <m/>
    <m/>
    <m/>
    <m/>
    <m/>
    <m/>
    <m/>
    <n v="12.75"/>
    <n v="0.85"/>
    <n v="10.8375"/>
    <x v="6"/>
    <s v="NMD"/>
    <s v="TekNat"/>
    <s v="Grundlärarprogrammet - grundskolans åk 4-6"/>
    <n v="19473"/>
    <n v="34806"/>
    <n v="625490.77500000002"/>
    <n v="21800"/>
    <n v="277950"/>
    <n v="903440.77500000002"/>
    <n v="0"/>
    <n v="0"/>
    <n v="0"/>
    <n v="0"/>
    <n v="0"/>
    <n v="1"/>
    <n v="0"/>
    <n v="0"/>
    <n v="0"/>
    <n v="0"/>
    <n v="0"/>
    <n v="0"/>
  </r>
  <r>
    <s v="6PE214"/>
    <s v="Undervisning och lärande - läroplansteori och didaktik inklusive VFU (UK och VFU)"/>
    <m/>
    <s v="LYKFO"/>
    <m/>
    <n v="2019"/>
    <m/>
    <m/>
    <m/>
    <m/>
    <m/>
    <m/>
    <m/>
    <m/>
    <m/>
    <m/>
    <n v="2.1"/>
    <n v="0.85"/>
    <n v="1.7849999999999999"/>
    <x v="11"/>
    <s v="Pedagogik                     "/>
    <s v="Sam"/>
    <s v="KPU - Förhöjd studietakt - utbildningsbidrag"/>
    <n v="23299.809999999998"/>
    <n v="28479.999999999996"/>
    <n v="99766.400999999983"/>
    <n v="5392"/>
    <n v="11323.2"/>
    <n v="111089.60099999998"/>
    <n v="0"/>
    <n v="0"/>
    <n v="0"/>
    <n v="0.83"/>
    <n v="0"/>
    <n v="0"/>
    <n v="0"/>
    <n v="0"/>
    <n v="0.17"/>
    <n v="0"/>
    <n v="0"/>
    <n v="0"/>
  </r>
  <r>
    <s v="6PE214"/>
    <s v="Undervisning och lärande - läroplansteori och didaktik inklusive VFU (UK och VFU)"/>
    <m/>
    <s v="LYKGR"/>
    <m/>
    <n v="2019"/>
    <m/>
    <m/>
    <m/>
    <m/>
    <m/>
    <m/>
    <m/>
    <m/>
    <m/>
    <m/>
    <n v="2.5499999999999998"/>
    <n v="0.85"/>
    <n v="2.1675"/>
    <x v="11"/>
    <s v="Pedagogik                     "/>
    <s v="Sam"/>
    <s v="KPU - åk 7-9"/>
    <n v="23299.809999999998"/>
    <n v="28479.999999999996"/>
    <n v="121144.91549999997"/>
    <n v="5392"/>
    <n v="13749.599999999999"/>
    <n v="134894.51549999998"/>
    <n v="0"/>
    <n v="0"/>
    <n v="0"/>
    <n v="0.83"/>
    <n v="0"/>
    <n v="0"/>
    <n v="0"/>
    <n v="0"/>
    <n v="0.17"/>
    <n v="0"/>
    <n v="0"/>
    <n v="0"/>
  </r>
  <r>
    <s v="6PE214"/>
    <s v="Undervisning och lärande - läroplansteori och didaktik inklusive VFU (UK och VFU)"/>
    <m/>
    <s v="LYKGY"/>
    <m/>
    <n v="2019"/>
    <m/>
    <m/>
    <m/>
    <m/>
    <m/>
    <m/>
    <m/>
    <m/>
    <m/>
    <m/>
    <n v="2.85"/>
    <n v="0.85"/>
    <n v="2.4224999999999999"/>
    <x v="11"/>
    <s v="Pedagogik                     "/>
    <s v="Sam"/>
    <s v="KPU - Gy"/>
    <n v="23299.809999999998"/>
    <n v="28479.999999999996"/>
    <n v="135397.2585"/>
    <n v="5392"/>
    <n v="15367.2"/>
    <n v="150764.45850000001"/>
    <n v="0"/>
    <n v="0"/>
    <n v="0"/>
    <n v="0.83"/>
    <n v="0"/>
    <n v="0"/>
    <n v="0"/>
    <n v="0"/>
    <n v="0.17"/>
    <n v="0"/>
    <n v="0"/>
    <n v="0"/>
  </r>
  <r>
    <s v="6PE216"/>
    <s v="Bedömning (UK)"/>
    <m/>
    <s v="LYKFO"/>
    <m/>
    <n v="2019"/>
    <m/>
    <m/>
    <m/>
    <m/>
    <m/>
    <m/>
    <m/>
    <m/>
    <m/>
    <m/>
    <n v="1.75"/>
    <n v="0.85"/>
    <n v="1.4875"/>
    <x v="6"/>
    <s v="NMD"/>
    <s v="TekNat"/>
    <s v="KPU - Förhöjd studietakt - utbildningsbidrag"/>
    <n v="23641"/>
    <n v="28786"/>
    <n v="84190.925000000003"/>
    <n v="5800"/>
    <n v="10150"/>
    <n v="94340.925000000003"/>
    <n v="0"/>
    <n v="0"/>
    <n v="0"/>
    <n v="1"/>
    <n v="0"/>
    <n v="0"/>
    <n v="0"/>
    <n v="0"/>
    <n v="0"/>
    <n v="0"/>
    <n v="0"/>
    <n v="0"/>
  </r>
  <r>
    <s v="6PE216"/>
    <s v="Bedömning (UK)"/>
    <m/>
    <s v="LYKGR"/>
    <m/>
    <n v="2019"/>
    <m/>
    <m/>
    <m/>
    <m/>
    <m/>
    <m/>
    <m/>
    <m/>
    <m/>
    <m/>
    <n v="2.125"/>
    <n v="0.85"/>
    <n v="1.8062499999999999"/>
    <x v="6"/>
    <s v="NMD"/>
    <s v="TekNat"/>
    <s v="KPU - åk 7-9"/>
    <n v="23641"/>
    <n v="28786"/>
    <n v="102231.83749999999"/>
    <n v="5800"/>
    <n v="12325"/>
    <n v="114556.83749999999"/>
    <n v="0"/>
    <n v="0"/>
    <n v="0"/>
    <n v="1"/>
    <n v="0"/>
    <n v="0"/>
    <n v="0"/>
    <n v="0"/>
    <n v="0"/>
    <n v="0"/>
    <n v="0"/>
    <n v="0"/>
  </r>
  <r>
    <s v="6PE216"/>
    <s v="Bedömning (UK)"/>
    <m/>
    <s v="LYKGY"/>
    <m/>
    <n v="2019"/>
    <m/>
    <m/>
    <m/>
    <m/>
    <m/>
    <m/>
    <m/>
    <m/>
    <m/>
    <m/>
    <n v="2.125"/>
    <n v="0.85"/>
    <n v="1.8062499999999999"/>
    <x v="6"/>
    <s v="NMD"/>
    <s v="TekNat"/>
    <s v="KPU - Gy"/>
    <n v="23641"/>
    <n v="28786"/>
    <n v="102231.83749999999"/>
    <n v="5800"/>
    <n v="12325"/>
    <n v="114556.83749999999"/>
    <n v="0"/>
    <n v="0"/>
    <n v="0"/>
    <n v="1"/>
    <n v="0"/>
    <n v="0"/>
    <n v="0"/>
    <n v="0"/>
    <n v="0"/>
    <n v="0"/>
    <n v="0"/>
    <n v="0"/>
  </r>
  <r>
    <s v="6PE218"/>
    <s v="Utbildningens villkor och samhälleliga funktion (UK)"/>
    <m/>
    <s v="LYKFO"/>
    <m/>
    <n v="2019"/>
    <m/>
    <m/>
    <m/>
    <m/>
    <m/>
    <m/>
    <m/>
    <m/>
    <m/>
    <m/>
    <n v="2"/>
    <n v="0.85"/>
    <n v="1.7"/>
    <x v="12"/>
    <s v="TUV "/>
    <s v="Sam"/>
    <s v="KPU - Förhöjd studietakt - utbildningsbidrag"/>
    <n v="23641"/>
    <n v="28786"/>
    <n v="96218.2"/>
    <n v="5800"/>
    <n v="11600"/>
    <n v="107818.2"/>
    <n v="0"/>
    <n v="0"/>
    <n v="0"/>
    <n v="1"/>
    <n v="0"/>
    <n v="0"/>
    <n v="0"/>
    <n v="0"/>
    <n v="0"/>
    <n v="0"/>
    <n v="0"/>
    <n v="0"/>
  </r>
  <r>
    <s v="6PE218"/>
    <s v="Utbildningens villkor och samhälleliga funktion (UK)"/>
    <m/>
    <s v="LYKGR"/>
    <m/>
    <n v="2019"/>
    <m/>
    <m/>
    <m/>
    <m/>
    <m/>
    <m/>
    <m/>
    <m/>
    <m/>
    <m/>
    <n v="2.125"/>
    <n v="0.85"/>
    <n v="1.8062499999999999"/>
    <x v="12"/>
    <s v="TUV "/>
    <s v="Sam"/>
    <s v="KPU - åk 7-9"/>
    <n v="23641"/>
    <n v="28786"/>
    <n v="102231.83749999999"/>
    <n v="5800"/>
    <n v="12325"/>
    <n v="114556.83749999999"/>
    <n v="0"/>
    <n v="0"/>
    <n v="0"/>
    <n v="1"/>
    <n v="0"/>
    <n v="0"/>
    <n v="0"/>
    <n v="0"/>
    <n v="0"/>
    <n v="0"/>
    <n v="0"/>
    <n v="0"/>
  </r>
  <r>
    <s v="6PE218"/>
    <s v="Utbildningens villkor och samhälleliga funktion (UK)"/>
    <m/>
    <s v="LYKGY"/>
    <m/>
    <n v="2019"/>
    <m/>
    <m/>
    <m/>
    <m/>
    <m/>
    <m/>
    <m/>
    <m/>
    <m/>
    <m/>
    <n v="2.75"/>
    <n v="0.85"/>
    <n v="2.3374999999999999"/>
    <x v="12"/>
    <s v="TUV "/>
    <s v="Sam"/>
    <s v="KPU - Gy"/>
    <n v="23641"/>
    <n v="28786"/>
    <n v="132300.02499999999"/>
    <n v="5800"/>
    <n v="15950"/>
    <n v="148250.02499999999"/>
    <n v="0"/>
    <n v="0"/>
    <n v="0"/>
    <n v="1"/>
    <n v="0"/>
    <n v="0"/>
    <n v="0"/>
    <n v="0"/>
    <n v="0"/>
    <n v="0"/>
    <n v="0"/>
    <n v="0"/>
  </r>
  <r>
    <s v="6PE219"/>
    <s v="Den professionella läraren 1: Barns utveckling, specialpedagogik, sociala relationer och kommunikation (UK)"/>
    <m/>
    <s v="LYKFO"/>
    <m/>
    <n v="2019"/>
    <m/>
    <m/>
    <m/>
    <m/>
    <m/>
    <m/>
    <m/>
    <m/>
    <m/>
    <m/>
    <n v="1.75"/>
    <n v="0.85"/>
    <n v="1.4875"/>
    <x v="12"/>
    <s v="TUV "/>
    <s v="Sam"/>
    <s v="KPU - Förhöjd studietakt - utbildningsbidrag"/>
    <n v="23641"/>
    <n v="28786"/>
    <n v="84190.925000000003"/>
    <n v="5800"/>
    <n v="10150"/>
    <n v="94340.925000000003"/>
    <n v="0"/>
    <n v="0"/>
    <n v="0"/>
    <n v="1"/>
    <n v="0"/>
    <n v="0"/>
    <n v="0"/>
    <n v="0"/>
    <n v="0"/>
    <n v="0"/>
    <n v="0"/>
    <n v="0"/>
  </r>
  <r>
    <s v="6PE219"/>
    <s v="Den professionella läraren 1: Barns utveckling, specialpedagogik, sociala relationer och kommunikation (UK)"/>
    <m/>
    <s v="LYKGR"/>
    <m/>
    <n v="2019"/>
    <m/>
    <m/>
    <m/>
    <m/>
    <m/>
    <m/>
    <m/>
    <m/>
    <m/>
    <m/>
    <n v="1.875"/>
    <n v="0.85"/>
    <n v="1.59375"/>
    <x v="12"/>
    <s v="TUV "/>
    <s v="Sam"/>
    <s v="KPU - åk 7-9"/>
    <n v="23641"/>
    <n v="28786"/>
    <n v="90204.5625"/>
    <n v="5800"/>
    <n v="10875"/>
    <n v="101079.5625"/>
    <n v="0"/>
    <n v="0"/>
    <n v="0"/>
    <n v="1"/>
    <n v="0"/>
    <n v="0"/>
    <n v="0"/>
    <n v="0"/>
    <n v="0"/>
    <n v="0"/>
    <n v="0"/>
    <n v="0"/>
  </r>
  <r>
    <s v="6PE219"/>
    <s v="Den professionella läraren 1: Barns utveckling, specialpedagogik, sociala relationer och kommunikation (UK)"/>
    <m/>
    <s v="LYKGY"/>
    <m/>
    <n v="2019"/>
    <m/>
    <m/>
    <m/>
    <m/>
    <m/>
    <m/>
    <m/>
    <m/>
    <m/>
    <m/>
    <n v="2.125"/>
    <n v="0.85"/>
    <n v="1.8062499999999999"/>
    <x v="12"/>
    <s v="TUV "/>
    <s v="Sam"/>
    <s v="KPU - Gy"/>
    <n v="23641"/>
    <n v="28786"/>
    <n v="102231.83749999999"/>
    <n v="5800"/>
    <n v="12325"/>
    <n v="114556.83749999999"/>
    <n v="0"/>
    <n v="0"/>
    <n v="0"/>
    <n v="1"/>
    <n v="0"/>
    <n v="0"/>
    <n v="0"/>
    <n v="0"/>
    <n v="0"/>
    <n v="0"/>
    <n v="0"/>
    <n v="0"/>
  </r>
  <r>
    <s v="6PE220"/>
    <s v="Utbildningsvetenskap, undervisning och lärande för förskolan (UK)"/>
    <m/>
    <s v="LYFSK"/>
    <m/>
    <n v="2019"/>
    <m/>
    <m/>
    <m/>
    <m/>
    <m/>
    <m/>
    <m/>
    <m/>
    <m/>
    <m/>
    <n v="10"/>
    <n v="0.85"/>
    <n v="8.5"/>
    <x v="12"/>
    <s v="TUV "/>
    <s v="Sam"/>
    <s v="Förskollärarprogrammet"/>
    <n v="23641"/>
    <n v="28786"/>
    <n v="481091"/>
    <n v="5800"/>
    <n v="58000"/>
    <n v="539091"/>
    <n v="0"/>
    <n v="0"/>
    <n v="0"/>
    <n v="1"/>
    <n v="0"/>
    <n v="0"/>
    <n v="0"/>
    <n v="0"/>
    <n v="0"/>
    <n v="0"/>
    <n v="0"/>
    <n v="0"/>
  </r>
  <r>
    <s v="6PE221"/>
    <s v="Specialpedagogik för förskolan (UK)"/>
    <m/>
    <s v="LYFSK"/>
    <m/>
    <n v="2019"/>
    <m/>
    <m/>
    <m/>
    <m/>
    <m/>
    <m/>
    <m/>
    <m/>
    <m/>
    <m/>
    <n v="7.3"/>
    <n v="0.85"/>
    <n v="6.2050000000000001"/>
    <x v="12"/>
    <s v="TUV "/>
    <s v="Sam"/>
    <s v="Förskollärarprogrammet"/>
    <n v="23641"/>
    <n v="28786"/>
    <n v="351196.43"/>
    <n v="5800"/>
    <n v="42340"/>
    <n v="393536.43"/>
    <n v="0"/>
    <n v="0"/>
    <n v="0"/>
    <n v="1"/>
    <n v="0"/>
    <n v="0"/>
    <n v="0"/>
    <n v="0"/>
    <n v="0"/>
    <n v="0"/>
    <n v="0"/>
    <n v="0"/>
  </r>
  <r>
    <s v="6PE222"/>
    <s v="Specialpedagogik för grundskolan (UK)"/>
    <m/>
    <s v="LYGFR"/>
    <m/>
    <n v="2019"/>
    <m/>
    <m/>
    <m/>
    <m/>
    <m/>
    <m/>
    <m/>
    <m/>
    <m/>
    <m/>
    <n v="1.25"/>
    <n v="0.85"/>
    <n v="1.0625"/>
    <x v="11"/>
    <s v="Pedagogik                     "/>
    <s v="Sam"/>
    <s v="Grundlärarprogrammet - fritidshem"/>
    <n v="23641"/>
    <n v="28786"/>
    <n v="60136.375"/>
    <n v="5800"/>
    <n v="7250"/>
    <n v="67386.375"/>
    <n v="0"/>
    <n v="0"/>
    <n v="0"/>
    <n v="1"/>
    <n v="0"/>
    <n v="0"/>
    <n v="0"/>
    <n v="0"/>
    <n v="0"/>
    <n v="0"/>
    <n v="0"/>
    <n v="0"/>
  </r>
  <r>
    <s v="6PE222"/>
    <s v="Specialpedagogik för grundskolan (UK)"/>
    <m/>
    <s v="LYGFT"/>
    <m/>
    <n v="2019"/>
    <m/>
    <m/>
    <m/>
    <m/>
    <m/>
    <m/>
    <m/>
    <m/>
    <m/>
    <m/>
    <n v="2.8333300000000001"/>
    <n v="0.85"/>
    <n v="2.4083304999999999"/>
    <x v="11"/>
    <s v="Pedagogik                     "/>
    <s v="Sam"/>
    <s v="Grundlärarprogrammet - förskoleklass och åk 1-3"/>
    <n v="23641"/>
    <n v="28786"/>
    <n v="136308.95630299998"/>
    <n v="5800"/>
    <n v="16433.314000000002"/>
    <n v="152742.270303"/>
    <n v="0"/>
    <n v="0"/>
    <n v="0"/>
    <n v="1"/>
    <n v="0"/>
    <n v="0"/>
    <n v="0"/>
    <n v="0"/>
    <n v="0"/>
    <n v="0"/>
    <n v="0"/>
    <n v="0"/>
  </r>
  <r>
    <s v="6PE222"/>
    <s v="Specialpedagogik för grundskolan (UK)"/>
    <m/>
    <s v="LYGRM"/>
    <m/>
    <n v="2019"/>
    <m/>
    <m/>
    <m/>
    <m/>
    <m/>
    <m/>
    <m/>
    <m/>
    <m/>
    <m/>
    <n v="2.8333300000000001"/>
    <n v="0.85"/>
    <n v="2.4083304999999999"/>
    <x v="11"/>
    <s v="Pedagogik                     "/>
    <s v="Sam"/>
    <s v="Grundlärarprogrammet - grundskolans åk 4-6"/>
    <n v="23641"/>
    <n v="28786"/>
    <n v="136308.95630299998"/>
    <n v="5800"/>
    <n v="16433.314000000002"/>
    <n v="152742.270303"/>
    <n v="0"/>
    <n v="0"/>
    <n v="0"/>
    <n v="1"/>
    <n v="0"/>
    <n v="0"/>
    <n v="0"/>
    <n v="0"/>
    <n v="0"/>
    <n v="0"/>
    <n v="0"/>
    <n v="0"/>
  </r>
  <r>
    <s v="6PE222"/>
    <s v="Specialpedagogik för grundskolan (UK)"/>
    <m/>
    <s v="FRIST"/>
    <m/>
    <n v="2019"/>
    <m/>
    <m/>
    <m/>
    <m/>
    <m/>
    <m/>
    <m/>
    <m/>
    <m/>
    <m/>
    <n v="0.25"/>
    <n v="0.8"/>
    <n v="0.2"/>
    <x v="11"/>
    <s v="Pedagogik                     "/>
    <s v="Sam"/>
    <s v="Fristående och övriga kurser"/>
    <n v="23641"/>
    <n v="28786"/>
    <n v="11667.45"/>
    <n v="5800"/>
    <n v="1450"/>
    <n v="13117.45"/>
    <n v="0"/>
    <n v="0"/>
    <n v="0"/>
    <n v="1"/>
    <n v="0"/>
    <n v="0"/>
    <n v="0"/>
    <n v="0"/>
    <n v="0"/>
    <n v="0"/>
    <n v="0"/>
    <n v="0"/>
  </r>
  <r>
    <s v="6PE223"/>
    <s v="Specialpedagogik - åk 7-9 och gymnasieskolan (UK)"/>
    <m/>
    <s v="LYAGR"/>
    <m/>
    <n v="2019"/>
    <s v="H1917-20"/>
    <m/>
    <m/>
    <m/>
    <m/>
    <m/>
    <n v="5"/>
    <m/>
    <m/>
    <n v="4"/>
    <n v="0.33333333333333331"/>
    <n v="0.85"/>
    <n v="0.28333333333333333"/>
    <x v="11"/>
    <s v="Pedagogik                     "/>
    <s v="Sam"/>
    <s v="Ämneslärarprogrammet - åk 7-9"/>
    <n v="23641"/>
    <n v="28786"/>
    <n v="16036.366666666665"/>
    <n v="5800"/>
    <n v="1933.3333333333333"/>
    <n v="17969.699999999997"/>
    <n v="0"/>
    <n v="0"/>
    <n v="0"/>
    <n v="1"/>
    <n v="0"/>
    <n v="0"/>
    <n v="0"/>
    <n v="0"/>
    <n v="0"/>
    <n v="0"/>
    <n v="0"/>
    <n v="0"/>
  </r>
  <r>
    <s v="6PE223"/>
    <s v="Specialpedagogik - åk 7-9 och gymnasieskolan (UK)"/>
    <m/>
    <s v="LYAGY"/>
    <m/>
    <n v="2019"/>
    <s v="H1917-20"/>
    <m/>
    <m/>
    <m/>
    <m/>
    <m/>
    <n v="5"/>
    <m/>
    <m/>
    <n v="102"/>
    <n v="8.5"/>
    <n v="0.85"/>
    <n v="7.2249999999999996"/>
    <x v="11"/>
    <s v="Pedagogik                     "/>
    <s v="Sam"/>
    <s v="Ämneslärarprogrammet - Gy"/>
    <n v="23641"/>
    <n v="28786"/>
    <n v="408927.35"/>
    <n v="5800"/>
    <n v="49300"/>
    <n v="458227.35"/>
    <n v="0"/>
    <n v="0"/>
    <n v="0"/>
    <n v="1"/>
    <n v="0"/>
    <n v="0"/>
    <n v="0"/>
    <n v="0"/>
    <n v="0"/>
    <n v="0"/>
    <n v="0"/>
    <n v="0"/>
  </r>
  <r>
    <s v="6PE224"/>
    <s v="Utbildningsvetenskap, undervisning och lärande för grundskolan - fritidshem (UK)"/>
    <m/>
    <s v="LYGFR"/>
    <m/>
    <n v="2019"/>
    <m/>
    <m/>
    <m/>
    <m/>
    <m/>
    <m/>
    <m/>
    <m/>
    <m/>
    <m/>
    <n v="2"/>
    <n v="0.85"/>
    <n v="1.7"/>
    <x v="11"/>
    <s v="Pedagogik                     "/>
    <s v="Sam"/>
    <s v="Grundlärarprogrammet - fritidshem"/>
    <n v="23641"/>
    <n v="28786"/>
    <n v="96218.2"/>
    <n v="5800"/>
    <n v="11600"/>
    <n v="107818.2"/>
    <n v="0"/>
    <n v="0"/>
    <n v="0"/>
    <n v="1"/>
    <n v="0"/>
    <n v="0"/>
    <n v="0"/>
    <n v="0"/>
    <n v="0"/>
    <n v="0"/>
    <n v="0"/>
    <n v="0"/>
  </r>
  <r>
    <s v="6PE225"/>
    <s v="Utbildningsvetenskap, undervisning och lärande för grundskolan (UK)"/>
    <m/>
    <s v="LYGFT"/>
    <m/>
    <n v="2019"/>
    <m/>
    <m/>
    <m/>
    <m/>
    <m/>
    <m/>
    <m/>
    <m/>
    <m/>
    <m/>
    <n v="4.9333299999999998"/>
    <n v="0.85"/>
    <n v="4.1933305000000001"/>
    <x v="11"/>
    <s v="Pedagogik                     "/>
    <s v="Sam"/>
    <s v="Grundlärarprogrammet - förskoleklass och åk 1-3"/>
    <n v="23641"/>
    <n v="28786"/>
    <n v="237338.066303"/>
    <n v="5800"/>
    <n v="28613.313999999998"/>
    <n v="265951.38030299998"/>
    <n v="0"/>
    <n v="0"/>
    <n v="0"/>
    <n v="1"/>
    <n v="0"/>
    <n v="0"/>
    <n v="0"/>
    <n v="0"/>
    <n v="0"/>
    <n v="0"/>
    <n v="0"/>
    <n v="0"/>
  </r>
  <r>
    <s v="6PE225"/>
    <s v="Utbildningsvetenskap, undervisning och lärande för grundskolan (UK)"/>
    <m/>
    <s v="LYGRM"/>
    <m/>
    <n v="2019"/>
    <m/>
    <m/>
    <m/>
    <m/>
    <m/>
    <m/>
    <m/>
    <m/>
    <m/>
    <m/>
    <n v="4.6666699999999999"/>
    <n v="0.85"/>
    <n v="3.9666694999999996"/>
    <x v="11"/>
    <s v="Pedagogik                     "/>
    <s v="Sam"/>
    <s v="Grundlärarprogrammet - grundskolans åk 4-6"/>
    <n v="23641"/>
    <n v="28786"/>
    <n v="224509.29369699999"/>
    <n v="5800"/>
    <n v="27066.685999999998"/>
    <n v="251575.97969699997"/>
    <n v="0"/>
    <n v="0"/>
    <n v="0"/>
    <n v="1"/>
    <n v="0"/>
    <n v="0"/>
    <n v="0"/>
    <n v="0"/>
    <n v="0"/>
    <n v="0"/>
    <n v="0"/>
    <n v="0"/>
  </r>
  <r>
    <s v="6PE226"/>
    <s v="Utbildningsvetenskap, undervisning och lärande - Ämneslärarprogrammet (UK)"/>
    <m/>
    <s v="LYAGR"/>
    <m/>
    <n v="2019"/>
    <m/>
    <m/>
    <m/>
    <m/>
    <m/>
    <m/>
    <m/>
    <m/>
    <m/>
    <m/>
    <n v="0.53332999999999997"/>
    <n v="0.85"/>
    <n v="0.45333049999999997"/>
    <x v="11"/>
    <s v="Pedagogik                     "/>
    <s v="Sam"/>
    <s v="Ämneslärarprogrammet - åk 7-9"/>
    <n v="23641"/>
    <n v="28786"/>
    <n v="25658.026302999999"/>
    <n v="5800"/>
    <n v="3093.3139999999999"/>
    <n v="28751.340302999997"/>
    <n v="0"/>
    <n v="0"/>
    <n v="0"/>
    <n v="1"/>
    <n v="0"/>
    <n v="0"/>
    <n v="0"/>
    <n v="0"/>
    <n v="0"/>
    <n v="0"/>
    <n v="0"/>
    <n v="0"/>
  </r>
  <r>
    <s v="6PE226"/>
    <s v="Utbildningsvetenskap, undervisning och lärande - Ämneslärarprogrammet (UK)"/>
    <m/>
    <s v="LYAGY"/>
    <m/>
    <n v="2019"/>
    <m/>
    <m/>
    <m/>
    <m/>
    <m/>
    <m/>
    <m/>
    <m/>
    <m/>
    <m/>
    <n v="12.93333"/>
    <n v="0.85"/>
    <n v="10.993330499999999"/>
    <x v="11"/>
    <s v="Pedagogik                     "/>
    <s v="Sam"/>
    <s v="Ämneslärarprogrammet - Gy"/>
    <n v="23641"/>
    <n v="28786"/>
    <n v="622210.8663029999"/>
    <n v="5800"/>
    <n v="75013.313999999998"/>
    <n v="697224.18030299991"/>
    <n v="0"/>
    <n v="0"/>
    <n v="0"/>
    <n v="1"/>
    <n v="0"/>
    <n v="0"/>
    <n v="0"/>
    <n v="0"/>
    <n v="0"/>
    <n v="0"/>
    <n v="0"/>
    <n v="0"/>
  </r>
  <r>
    <s v="6PE227"/>
    <s v="Den professionella läraren 2: Uppdrag, ledarskap och undervisning (UK)"/>
    <m/>
    <s v="LYKFO"/>
    <m/>
    <n v="2019"/>
    <m/>
    <m/>
    <m/>
    <m/>
    <m/>
    <m/>
    <m/>
    <m/>
    <m/>
    <m/>
    <n v="1.75"/>
    <n v="0.85"/>
    <n v="1.4875"/>
    <x v="11"/>
    <s v="Pedagogik                     "/>
    <s v="Sam"/>
    <s v="KPU - Förhöjd studietakt - utbildningsbidrag"/>
    <n v="23641"/>
    <n v="28786"/>
    <n v="84190.925000000003"/>
    <n v="5800"/>
    <n v="10150"/>
    <n v="94340.925000000003"/>
    <n v="0"/>
    <n v="0"/>
    <n v="0"/>
    <n v="1"/>
    <n v="0"/>
    <n v="0"/>
    <n v="0"/>
    <n v="0"/>
    <n v="0"/>
    <n v="0"/>
    <n v="0"/>
    <n v="0"/>
  </r>
  <r>
    <s v="6PE227"/>
    <s v="Den professionella läraren 2: Uppdrag, ledarskap och undervisning (UK)"/>
    <m/>
    <s v="LYKGR"/>
    <m/>
    <n v="2019"/>
    <m/>
    <m/>
    <m/>
    <m/>
    <m/>
    <m/>
    <m/>
    <m/>
    <m/>
    <m/>
    <n v="2.125"/>
    <n v="0.85"/>
    <n v="1.8062499999999999"/>
    <x v="11"/>
    <s v="Pedagogik                     "/>
    <s v="Sam"/>
    <s v="KPU - åk 7-9"/>
    <n v="23641"/>
    <n v="28786"/>
    <n v="102231.83749999999"/>
    <n v="5800"/>
    <n v="12325"/>
    <n v="114556.83749999999"/>
    <n v="0"/>
    <n v="0"/>
    <n v="0"/>
    <n v="1"/>
    <n v="0"/>
    <n v="0"/>
    <n v="0"/>
    <n v="0"/>
    <n v="0"/>
    <n v="0"/>
    <n v="0"/>
    <n v="0"/>
  </r>
  <r>
    <s v="6PE227"/>
    <s v="Den professionella läraren 2: Uppdrag, ledarskap och undervisning (UK)"/>
    <m/>
    <s v="LYKGY"/>
    <m/>
    <n v="2019"/>
    <m/>
    <m/>
    <m/>
    <m/>
    <m/>
    <m/>
    <m/>
    <m/>
    <m/>
    <m/>
    <n v="2.125"/>
    <n v="0.85"/>
    <n v="1.8062499999999999"/>
    <x v="11"/>
    <s v="Pedagogik                     "/>
    <s v="Sam"/>
    <s v="KPU - Gy"/>
    <n v="23641"/>
    <n v="28786"/>
    <n v="102231.83749999999"/>
    <n v="5800"/>
    <n v="12325"/>
    <n v="114556.83749999999"/>
    <n v="0"/>
    <n v="0"/>
    <n v="0"/>
    <n v="1"/>
    <n v="0"/>
    <n v="0"/>
    <n v="0"/>
    <n v="0"/>
    <n v="0"/>
    <n v="0"/>
    <n v="0"/>
    <n v="0"/>
  </r>
  <r>
    <s v="6PE228"/>
    <s v="Barnet, omvärlden och fritidshemmets uppdrag"/>
    <m/>
    <s v="LYGFR"/>
    <m/>
    <n v="2019"/>
    <m/>
    <m/>
    <m/>
    <m/>
    <m/>
    <m/>
    <m/>
    <m/>
    <m/>
    <m/>
    <n v="6.5"/>
    <n v="0.85"/>
    <n v="5.5249999999999995"/>
    <x v="12"/>
    <s v="TUV "/>
    <s v="Sam"/>
    <s v="Grundlärarprogrammet - fritidshem"/>
    <n v="18405"/>
    <n v="15773"/>
    <n v="206778.32500000001"/>
    <n v="5800"/>
    <n v="37700"/>
    <n v="244478.32500000001"/>
    <n v="0"/>
    <n v="0"/>
    <n v="0"/>
    <n v="0"/>
    <n v="0"/>
    <n v="0"/>
    <n v="1"/>
    <n v="0"/>
    <n v="0"/>
    <n v="0"/>
    <n v="0"/>
    <n v="0"/>
  </r>
  <r>
    <s v="6PE229"/>
    <s v="Läraryrkets dimensioner för fritidshem 1 (VFU)"/>
    <m/>
    <s v="LYGFR"/>
    <m/>
    <n v="2019"/>
    <m/>
    <m/>
    <m/>
    <m/>
    <m/>
    <m/>
    <m/>
    <m/>
    <m/>
    <m/>
    <n v="2.75"/>
    <n v="0.85"/>
    <n v="2.3374999999999999"/>
    <x v="12"/>
    <s v="TUV "/>
    <s v="Sam"/>
    <s v="Grundlärarprogrammet - fritidshem"/>
    <n v="21634"/>
    <n v="26986"/>
    <n v="122573.27499999999"/>
    <n v="3400"/>
    <n v="9350"/>
    <n v="131923.27499999999"/>
    <n v="0"/>
    <n v="0"/>
    <n v="0"/>
    <n v="0"/>
    <n v="0"/>
    <n v="0"/>
    <n v="0"/>
    <n v="0"/>
    <n v="1"/>
    <n v="0"/>
    <n v="0"/>
    <n v="0"/>
  </r>
  <r>
    <s v="6PE234"/>
    <s v="Verksamhets förlagd utbildning (VFU)"/>
    <m/>
    <s v="LYKFO"/>
    <m/>
    <n v="2019"/>
    <m/>
    <m/>
    <m/>
    <m/>
    <m/>
    <m/>
    <m/>
    <m/>
    <m/>
    <m/>
    <n v="6.65"/>
    <n v="0.85"/>
    <n v="5.6524999999999999"/>
    <x v="6"/>
    <s v="NMD"/>
    <s v="TekNat"/>
    <s v="KPU - Förhöjd studietakt - utbildningsbidrag"/>
    <n v="21634"/>
    <n v="26986"/>
    <n v="296404.46499999997"/>
    <n v="3400"/>
    <n v="22610"/>
    <n v="319014.46499999997"/>
    <n v="0"/>
    <n v="0"/>
    <n v="0"/>
    <n v="0"/>
    <n v="0"/>
    <n v="0"/>
    <n v="0"/>
    <n v="0"/>
    <n v="1"/>
    <n v="0"/>
    <n v="0"/>
    <n v="0"/>
  </r>
  <r>
    <s v="6PE234"/>
    <s v="Verksamhets förlagd utbildning (VFU)"/>
    <m/>
    <s v="LYKGR"/>
    <m/>
    <n v="2019"/>
    <m/>
    <m/>
    <m/>
    <m/>
    <m/>
    <m/>
    <m/>
    <m/>
    <m/>
    <m/>
    <n v="5.2249999999999996"/>
    <n v="0.85"/>
    <n v="4.4412499999999993"/>
    <x v="6"/>
    <s v="NMD"/>
    <s v="TekNat"/>
    <s v="KPU - åk 7-9"/>
    <n v="21634"/>
    <n v="26986"/>
    <n v="232889.22249999997"/>
    <n v="3400"/>
    <n v="17765"/>
    <n v="250654.22249999997"/>
    <n v="0"/>
    <n v="0"/>
    <n v="0"/>
    <n v="0"/>
    <n v="0"/>
    <n v="0"/>
    <n v="0"/>
    <n v="0"/>
    <n v="1"/>
    <n v="0"/>
    <n v="0"/>
    <n v="0"/>
  </r>
  <r>
    <s v="6PE234"/>
    <s v="Verksamhets förlagd utbildning (VFU)"/>
    <m/>
    <s v="LYKGY"/>
    <m/>
    <n v="2019"/>
    <m/>
    <m/>
    <m/>
    <m/>
    <m/>
    <m/>
    <m/>
    <m/>
    <m/>
    <m/>
    <n v="6.65"/>
    <n v="0.85"/>
    <n v="5.6524999999999999"/>
    <x v="6"/>
    <s v="NMD"/>
    <s v="TekNat"/>
    <s v="KPU - Gy"/>
    <n v="21634"/>
    <n v="26986"/>
    <n v="296404.46499999997"/>
    <n v="3400"/>
    <n v="22610"/>
    <n v="319014.46499999997"/>
    <n v="0"/>
    <n v="0"/>
    <n v="0"/>
    <n v="0"/>
    <n v="0"/>
    <n v="0"/>
    <n v="0"/>
    <n v="0"/>
    <n v="1"/>
    <n v="0"/>
    <n v="0"/>
    <n v="0"/>
  </r>
  <r>
    <s v="6PE235"/>
    <s v="Examensarbete med ämnesdidaktisk inriktning (UK)"/>
    <m/>
    <s v="LYKFO"/>
    <m/>
    <n v="2019"/>
    <m/>
    <m/>
    <m/>
    <m/>
    <m/>
    <m/>
    <m/>
    <m/>
    <m/>
    <m/>
    <n v="3.25"/>
    <n v="0.85"/>
    <n v="2.7624999999999997"/>
    <x v="6"/>
    <s v="NMD"/>
    <s v="TekNat"/>
    <s v="KPU - Förhöjd studietakt - utbildningsbidrag"/>
    <n v="23641"/>
    <n v="28786"/>
    <n v="156354.57500000001"/>
    <n v="5800"/>
    <n v="18850"/>
    <n v="175204.57500000001"/>
    <n v="0"/>
    <n v="0"/>
    <n v="0"/>
    <n v="1"/>
    <n v="0"/>
    <n v="0"/>
    <n v="0"/>
    <n v="0"/>
    <n v="0"/>
    <n v="0"/>
    <n v="0"/>
    <n v="0"/>
  </r>
  <r>
    <s v="6PE235"/>
    <s v="Examensarbete med ämnesdidaktisk inriktning (UK)"/>
    <m/>
    <s v="LYKGR"/>
    <m/>
    <n v="2019"/>
    <m/>
    <m/>
    <m/>
    <m/>
    <m/>
    <m/>
    <m/>
    <m/>
    <m/>
    <m/>
    <n v="3.5"/>
    <n v="0.85"/>
    <n v="2.9750000000000001"/>
    <x v="6"/>
    <s v="NMD"/>
    <s v="TekNat"/>
    <s v="KPU - åk 7-9"/>
    <n v="23641"/>
    <n v="28786"/>
    <n v="168381.85"/>
    <n v="5800"/>
    <n v="20300"/>
    <n v="188681.85"/>
    <n v="0"/>
    <n v="0"/>
    <n v="0"/>
    <n v="1"/>
    <n v="0"/>
    <n v="0"/>
    <n v="0"/>
    <n v="0"/>
    <n v="0"/>
    <n v="0"/>
    <n v="0"/>
    <n v="0"/>
  </r>
  <r>
    <s v="6PE235"/>
    <s v="Examensarbete med ämnesdidaktisk inriktning (UK)"/>
    <m/>
    <s v="LYKGY"/>
    <m/>
    <n v="2019"/>
    <m/>
    <m/>
    <m/>
    <m/>
    <m/>
    <m/>
    <m/>
    <m/>
    <m/>
    <m/>
    <n v="3.5"/>
    <n v="0.85"/>
    <n v="2.9750000000000001"/>
    <x v="6"/>
    <s v="NMD"/>
    <s v="TekNat"/>
    <s v="KPU - Gy"/>
    <n v="23641"/>
    <n v="28786"/>
    <n v="168381.85"/>
    <n v="5800"/>
    <n v="20300"/>
    <n v="188681.85"/>
    <n v="0"/>
    <n v="0"/>
    <n v="0"/>
    <n v="1"/>
    <n v="0"/>
    <n v="0"/>
    <n v="0"/>
    <n v="0"/>
    <n v="0"/>
    <n v="0"/>
    <n v="0"/>
    <n v="0"/>
  </r>
  <r>
    <s v="6PE236"/>
    <s v="Bedömning för och av lärande i grundskolan (UK)"/>
    <m/>
    <s v="LYGFR"/>
    <m/>
    <n v="2019"/>
    <m/>
    <m/>
    <m/>
    <m/>
    <m/>
    <m/>
    <m/>
    <m/>
    <m/>
    <m/>
    <n v="2.5666699999999998"/>
    <n v="0.85"/>
    <n v="2.1816694999999999"/>
    <x v="6"/>
    <s v="NMD"/>
    <s v="TekNat"/>
    <s v="Grundlärarprogrammet - fritidshem"/>
    <n v="23641"/>
    <n v="28786"/>
    <n v="123480.183697"/>
    <n v="5800"/>
    <n v="14886.685999999998"/>
    <n v="138366.86969699999"/>
    <n v="0"/>
    <n v="0"/>
    <n v="0"/>
    <n v="1"/>
    <n v="0"/>
    <n v="0"/>
    <n v="0"/>
    <n v="0"/>
    <n v="0"/>
    <n v="0"/>
    <n v="0"/>
    <n v="0"/>
  </r>
  <r>
    <s v="6PE236"/>
    <s v="Bedömning för och av lärande i grundskolan (UK)"/>
    <m/>
    <s v="LYGFT"/>
    <m/>
    <n v="2019"/>
    <m/>
    <m/>
    <m/>
    <m/>
    <m/>
    <m/>
    <m/>
    <m/>
    <m/>
    <m/>
    <n v="6.4166699999999999"/>
    <n v="0.85"/>
    <n v="5.4541694999999999"/>
    <x v="6"/>
    <s v="NMD"/>
    <s v="TekNat"/>
    <s v="Grundlärarprogrammet - förskoleklass och åk 1-3"/>
    <n v="23641"/>
    <n v="28786"/>
    <n v="308700.218697"/>
    <n v="5800"/>
    <n v="37216.686000000002"/>
    <n v="345916.90469699999"/>
    <n v="0"/>
    <n v="0"/>
    <n v="0"/>
    <n v="1"/>
    <n v="0"/>
    <n v="0"/>
    <n v="0"/>
    <n v="0"/>
    <n v="0"/>
    <n v="0"/>
    <n v="0"/>
    <n v="0"/>
  </r>
  <r>
    <s v="6PE236"/>
    <s v="Bedömning för och av lärande i grundskolan (UK)"/>
    <m/>
    <s v="LYGRM"/>
    <m/>
    <n v="2019"/>
    <m/>
    <m/>
    <m/>
    <m/>
    <m/>
    <m/>
    <m/>
    <m/>
    <m/>
    <m/>
    <n v="6.05"/>
    <n v="0.85"/>
    <n v="5.1425000000000001"/>
    <x v="6"/>
    <s v="NMD"/>
    <s v="TekNat"/>
    <s v="Grundlärarprogrammet - grundskolans åk 4-6"/>
    <n v="23641"/>
    <n v="28786"/>
    <n v="291060.05499999999"/>
    <n v="5800"/>
    <n v="35090"/>
    <n v="326150.05499999999"/>
    <n v="0"/>
    <n v="0"/>
    <n v="0"/>
    <n v="1"/>
    <n v="0"/>
    <n v="0"/>
    <n v="0"/>
    <n v="0"/>
    <n v="0"/>
    <n v="0"/>
    <n v="0"/>
    <n v="0"/>
  </r>
  <r>
    <s v="6PE237"/>
    <s v="Bedömning för lärande i förskolan (UK)"/>
    <m/>
    <s v="LYFSK"/>
    <m/>
    <n v="2019"/>
    <m/>
    <m/>
    <m/>
    <m/>
    <m/>
    <m/>
    <m/>
    <m/>
    <m/>
    <m/>
    <n v="10.1"/>
    <n v="0.85"/>
    <n v="8.5849999999999991"/>
    <x v="6"/>
    <s v="NMD"/>
    <s v="TekNat"/>
    <s v="Förskollärarprogrammet"/>
    <n v="23641"/>
    <n v="28786"/>
    <n v="485901.91"/>
    <n v="5800"/>
    <n v="58580"/>
    <n v="544481.90999999992"/>
    <n v="0"/>
    <n v="0"/>
    <n v="0"/>
    <n v="1"/>
    <n v="0"/>
    <n v="0"/>
    <n v="0"/>
    <n v="0"/>
    <n v="0"/>
    <n v="0"/>
    <n v="0"/>
    <n v="0"/>
  </r>
  <r>
    <s v="6PE238"/>
    <s v="Bedömning för och av lärande för åk 7-9 och gymnasium (UK)"/>
    <m/>
    <s v="LYAGR"/>
    <m/>
    <n v="2019"/>
    <m/>
    <m/>
    <m/>
    <m/>
    <m/>
    <m/>
    <m/>
    <m/>
    <m/>
    <m/>
    <n v="0.73333000000000004"/>
    <n v="0.85"/>
    <n v="0.62333050000000001"/>
    <x v="6"/>
    <s v="NMD"/>
    <s v="TekNat"/>
    <s v="Ämneslärarprogrammet - åk 7-9"/>
    <n v="23641"/>
    <n v="28786"/>
    <n v="35279.846302999998"/>
    <n v="5800"/>
    <n v="4253.3140000000003"/>
    <n v="39533.160302999997"/>
    <n v="0"/>
    <n v="0"/>
    <n v="0"/>
    <n v="1"/>
    <n v="0"/>
    <n v="0"/>
    <n v="0"/>
    <n v="0"/>
    <n v="0"/>
    <n v="0"/>
    <n v="0"/>
    <n v="0"/>
  </r>
  <r>
    <s v="6PE238"/>
    <s v="Bedömning för och av lärande för åk 7-9 och gymnasium (UK)"/>
    <m/>
    <s v="LYAGY"/>
    <m/>
    <n v="2019"/>
    <m/>
    <m/>
    <m/>
    <m/>
    <m/>
    <m/>
    <m/>
    <m/>
    <m/>
    <m/>
    <n v="17.41667"/>
    <n v="0.85"/>
    <n v="14.804169499999999"/>
    <x v="6"/>
    <s v="NMD"/>
    <s v="TekNat"/>
    <s v="Ämneslärarprogrammet - Gy"/>
    <n v="23641"/>
    <n v="28786"/>
    <n v="837900.31869699992"/>
    <n v="5800"/>
    <n v="101016.686"/>
    <n v="938917.00469699991"/>
    <n v="0"/>
    <n v="0"/>
    <n v="0"/>
    <n v="1"/>
    <n v="0"/>
    <n v="0"/>
    <n v="0"/>
    <n v="0"/>
    <n v="0"/>
    <n v="0"/>
    <n v="0"/>
    <n v="0"/>
  </r>
  <r>
    <s v="6PE241"/>
    <s v="Magisteruppsats i Pedagogisk yrkesverksamhet"/>
    <m/>
    <s v="FRIST"/>
    <m/>
    <n v="2019"/>
    <m/>
    <m/>
    <m/>
    <m/>
    <m/>
    <m/>
    <m/>
    <m/>
    <m/>
    <m/>
    <n v="0.25"/>
    <n v="0.8"/>
    <n v="0.2"/>
    <x v="12"/>
    <s v="TUV "/>
    <s v="Sam"/>
    <s v="Fristående och övriga kurser"/>
    <n v="18405"/>
    <n v="15773"/>
    <n v="7755.85"/>
    <n v="5800"/>
    <n v="1450"/>
    <n v="9205.85"/>
    <n v="0"/>
    <n v="0"/>
    <n v="0"/>
    <n v="0"/>
    <n v="0"/>
    <n v="0"/>
    <n v="1"/>
    <n v="0"/>
    <n v="0"/>
    <n v="0"/>
    <n v="0"/>
    <n v="0"/>
  </r>
  <r>
    <s v="6PE242"/>
    <s v="Magisteruppsats i Pedagogisk yrkesverksamhet"/>
    <m/>
    <s v="FRIST"/>
    <m/>
    <n v="2019"/>
    <m/>
    <m/>
    <m/>
    <m/>
    <m/>
    <m/>
    <m/>
    <m/>
    <m/>
    <m/>
    <n v="1"/>
    <n v="0.8"/>
    <n v="0.8"/>
    <x v="12"/>
    <s v="TUV "/>
    <s v="Sam"/>
    <s v="Fristående och övriga kurser"/>
    <n v="18405"/>
    <n v="15773"/>
    <n v="31023.4"/>
    <n v="5800"/>
    <n v="5800"/>
    <n v="36823.4"/>
    <n v="0"/>
    <n v="0"/>
    <n v="0"/>
    <n v="0"/>
    <n v="0"/>
    <n v="0"/>
    <n v="1"/>
    <n v="0"/>
    <n v="0"/>
    <n v="0"/>
    <n v="0"/>
    <n v="0"/>
  </r>
  <r>
    <s v="6PE243"/>
    <s v="Trygga lärmiljöer, identitet och intersektionalitet"/>
    <m/>
    <s v="FRIST"/>
    <m/>
    <n v="2019"/>
    <m/>
    <m/>
    <m/>
    <m/>
    <m/>
    <m/>
    <m/>
    <m/>
    <m/>
    <m/>
    <n v="3.25"/>
    <n v="0.8"/>
    <n v="2.6"/>
    <x v="12"/>
    <s v="TUV "/>
    <s v="Sam"/>
    <s v="Fristående och övriga kurser"/>
    <n v="18405"/>
    <n v="15773"/>
    <n v="100826.05"/>
    <n v="5800"/>
    <n v="18850"/>
    <n v="119676.05"/>
    <n v="0"/>
    <n v="0"/>
    <n v="0"/>
    <n v="0"/>
    <n v="0"/>
    <n v="0"/>
    <n v="1"/>
    <n v="0"/>
    <n v="0"/>
    <n v="0"/>
    <n v="0"/>
    <n v="0"/>
  </r>
  <r>
    <s v="6PE244"/>
    <s v="Normkritisk genuspedagogik"/>
    <m/>
    <s v="FRIST"/>
    <m/>
    <n v="2019"/>
    <m/>
    <m/>
    <m/>
    <m/>
    <m/>
    <m/>
    <m/>
    <m/>
    <m/>
    <m/>
    <n v="6"/>
    <n v="0.8"/>
    <n v="4.8000000000000007"/>
    <x v="12"/>
    <s v="TUV "/>
    <s v="Sam"/>
    <s v="Fristående och övriga kurser"/>
    <n v="18405"/>
    <n v="15773"/>
    <n v="186140.40000000002"/>
    <n v="5800"/>
    <n v="34800"/>
    <n v="220940.40000000002"/>
    <n v="0"/>
    <n v="0"/>
    <n v="0"/>
    <n v="0"/>
    <n v="0"/>
    <n v="0"/>
    <n v="1"/>
    <n v="0"/>
    <n v="0"/>
    <n v="0"/>
    <n v="0"/>
    <n v="0"/>
  </r>
  <r>
    <s v="6PE245"/>
    <s v="Barns och ungas identitetsskapande på nätet"/>
    <m/>
    <s v="FRIST"/>
    <m/>
    <n v="2019"/>
    <m/>
    <m/>
    <m/>
    <m/>
    <m/>
    <m/>
    <m/>
    <m/>
    <m/>
    <m/>
    <n v="1.125"/>
    <n v="0.8"/>
    <n v="0.9"/>
    <x v="12"/>
    <s v="TUV "/>
    <s v="Sam"/>
    <s v="Fristående och övriga kurser"/>
    <n v="18405"/>
    <n v="15773"/>
    <n v="34901.324999999997"/>
    <n v="5800"/>
    <n v="6525"/>
    <n v="41426.324999999997"/>
    <n v="0"/>
    <n v="0"/>
    <n v="0"/>
    <n v="0"/>
    <n v="0"/>
    <n v="0"/>
    <n v="1"/>
    <n v="0"/>
    <n v="0"/>
    <n v="0"/>
    <n v="0"/>
    <n v="0"/>
  </r>
  <r>
    <s v="6PE246"/>
    <s v="Mobbning och kränkande handlingar i teori och praktik"/>
    <m/>
    <s v="FRIST"/>
    <m/>
    <n v="2019"/>
    <m/>
    <m/>
    <m/>
    <m/>
    <m/>
    <m/>
    <m/>
    <m/>
    <m/>
    <m/>
    <n v="1.625"/>
    <n v="0.8"/>
    <n v="1.3"/>
    <x v="12"/>
    <s v="TUV "/>
    <s v="Sam"/>
    <s v="Fristående och övriga kurser"/>
    <n v="18405"/>
    <n v="15773"/>
    <n v="50413.025000000001"/>
    <n v="5800"/>
    <n v="9425"/>
    <n v="59838.025000000001"/>
    <n v="0"/>
    <n v="0"/>
    <n v="0"/>
    <n v="0"/>
    <n v="0"/>
    <n v="0"/>
    <n v="1"/>
    <n v="0"/>
    <n v="0"/>
    <n v="0"/>
    <n v="0"/>
    <n v="0"/>
  </r>
  <r>
    <s v="6PE249"/>
    <s v="Läraryrkets dimensioner för fritidshem 2 (VFU)"/>
    <m/>
    <s v="LYGFR"/>
    <m/>
    <n v="2019"/>
    <m/>
    <m/>
    <m/>
    <m/>
    <m/>
    <m/>
    <m/>
    <m/>
    <m/>
    <m/>
    <n v="0.41666999999999998"/>
    <n v="0.85"/>
    <n v="0.35416949999999997"/>
    <x v="11"/>
    <s v="Pedagogik                     "/>
    <s v="Sam"/>
    <s v="Grundlärarprogrammet - fritidshem"/>
    <n v="21634"/>
    <n v="26986"/>
    <n v="18571.856907000001"/>
    <n v="3400"/>
    <n v="1416.6779999999999"/>
    <n v="19988.534907000001"/>
    <n v="0"/>
    <n v="0"/>
    <n v="0"/>
    <n v="0"/>
    <n v="0"/>
    <n v="0"/>
    <n v="0"/>
    <n v="0"/>
    <n v="1"/>
    <n v="0"/>
    <n v="0"/>
    <n v="0"/>
  </r>
  <r>
    <s v="6PE250"/>
    <s v="Elever i behov av extra anpassningar och särskilt stöd ur ett fritidshemsperspektiv"/>
    <m/>
    <s v="LYGFR"/>
    <m/>
    <n v="2019"/>
    <m/>
    <m/>
    <m/>
    <m/>
    <m/>
    <m/>
    <m/>
    <m/>
    <m/>
    <m/>
    <n v="2"/>
    <n v="0.85"/>
    <n v="1.7"/>
    <x v="12"/>
    <s v="TUV "/>
    <s v="Sam"/>
    <s v="Grundlärarprogrammet - fritidshem"/>
    <n v="18405"/>
    <n v="15773"/>
    <n v="63624.1"/>
    <n v="5800"/>
    <n v="11600"/>
    <n v="75224.100000000006"/>
    <n v="0"/>
    <n v="0"/>
    <n v="0"/>
    <n v="0"/>
    <n v="0"/>
    <n v="0"/>
    <n v="1"/>
    <n v="0"/>
    <n v="0"/>
    <n v="0"/>
    <n v="0"/>
    <n v="0"/>
  </r>
  <r>
    <s v="6PE251"/>
    <s v="Att undervisa i förskolan (VFU)"/>
    <m/>
    <s v="LYFSK"/>
    <m/>
    <n v="2019"/>
    <m/>
    <m/>
    <m/>
    <m/>
    <m/>
    <m/>
    <m/>
    <m/>
    <m/>
    <m/>
    <n v="10.5"/>
    <n v="0.85"/>
    <n v="8.9249999999999989"/>
    <x v="12"/>
    <s v="TUV "/>
    <s v="Sam"/>
    <s v="Förskollärarprogrammet"/>
    <n v="21634"/>
    <n v="26986"/>
    <n v="468007.04999999993"/>
    <n v="3400"/>
    <n v="35700"/>
    <n v="503707.04999999993"/>
    <n v="0"/>
    <n v="0"/>
    <n v="0"/>
    <n v="0"/>
    <n v="0"/>
    <n v="0"/>
    <n v="0"/>
    <n v="0"/>
    <n v="1"/>
    <n v="0"/>
    <n v="0"/>
    <n v="0"/>
  </r>
  <r>
    <s v="6PE252"/>
    <s v="Förskolans uppdrag och arbetssätt 2"/>
    <m/>
    <s v="LYFSK"/>
    <m/>
    <n v="2019"/>
    <m/>
    <m/>
    <m/>
    <m/>
    <m/>
    <m/>
    <m/>
    <m/>
    <m/>
    <m/>
    <n v="12.16667"/>
    <n v="0.85"/>
    <n v="10.3416695"/>
    <x v="12"/>
    <s v="TUV "/>
    <s v="Sam"/>
    <s v="Förskollärarprogrammet"/>
    <n v="18405"/>
    <n v="15773"/>
    <n v="387046.71437349997"/>
    <n v="5800"/>
    <n v="70566.686000000002"/>
    <n v="457613.40037349996"/>
    <n v="0"/>
    <n v="0"/>
    <n v="0"/>
    <n v="0"/>
    <n v="0"/>
    <n v="0"/>
    <n v="1"/>
    <n v="0"/>
    <n v="0"/>
    <n v="0"/>
    <n v="0"/>
    <n v="0"/>
  </r>
  <r>
    <s v="6PE253"/>
    <s v="Läraryrkets dimensioner för förskolan 1 (VFU)"/>
    <m/>
    <s v="LYFSK"/>
    <m/>
    <n v="2019"/>
    <m/>
    <m/>
    <m/>
    <m/>
    <m/>
    <m/>
    <m/>
    <m/>
    <m/>
    <m/>
    <n v="9.35"/>
    <n v="0.85"/>
    <n v="7.9474999999999998"/>
    <x v="12"/>
    <s v="TUV "/>
    <s v="Sam"/>
    <s v="Förskollärarprogrammet"/>
    <n v="21634"/>
    <n v="26986"/>
    <n v="416749.13500000001"/>
    <n v="3400"/>
    <n v="31790"/>
    <n v="448539.13500000001"/>
    <n v="0"/>
    <n v="0"/>
    <n v="0"/>
    <n v="0"/>
    <n v="0"/>
    <n v="0"/>
    <n v="0"/>
    <n v="0"/>
    <n v="1"/>
    <n v="0"/>
    <n v="0"/>
    <n v="0"/>
  </r>
  <r>
    <s v="6PE254"/>
    <s v="Läraryrkets dimensioner för förskolan 2 (VFU)"/>
    <m/>
    <s v="LYFSK"/>
    <m/>
    <n v="2019"/>
    <m/>
    <m/>
    <m/>
    <m/>
    <m/>
    <m/>
    <m/>
    <m/>
    <m/>
    <m/>
    <n v="10.625"/>
    <n v="0.85"/>
    <n v="9.03125"/>
    <x v="12"/>
    <s v="TUV "/>
    <s v="Sam"/>
    <s v="Förskollärarprogrammet"/>
    <n v="21634"/>
    <n v="26986"/>
    <n v="473578.5625"/>
    <n v="3400"/>
    <n v="36125"/>
    <n v="509703.5625"/>
    <n v="0"/>
    <n v="0"/>
    <n v="0"/>
    <n v="0"/>
    <n v="0"/>
    <n v="0"/>
    <n v="0"/>
    <n v="0"/>
    <n v="1"/>
    <n v="0"/>
    <n v="0"/>
    <n v="0"/>
  </r>
  <r>
    <s v="6PE255"/>
    <s v="Examensarbete för förskollärarexamen"/>
    <m/>
    <s v="LYFSK"/>
    <m/>
    <n v="2019"/>
    <m/>
    <m/>
    <m/>
    <m/>
    <m/>
    <m/>
    <m/>
    <m/>
    <m/>
    <m/>
    <n v="21"/>
    <n v="0.85"/>
    <n v="17.849999999999998"/>
    <x v="12"/>
    <s v="TUV "/>
    <s v="Sam"/>
    <s v="Förskollärarprogrammet"/>
    <n v="18405"/>
    <n v="15773"/>
    <n v="668053.05000000005"/>
    <n v="5800"/>
    <n v="121800"/>
    <n v="789853.05"/>
    <n v="0"/>
    <n v="0"/>
    <n v="0"/>
    <n v="0"/>
    <n v="0"/>
    <n v="0"/>
    <n v="1"/>
    <n v="0"/>
    <n v="0"/>
    <n v="0"/>
    <n v="0"/>
    <n v="0"/>
  </r>
  <r>
    <s v="6PE256"/>
    <s v="Kunskap, undervisning och lärande 2"/>
    <m/>
    <s v="LYKGR"/>
    <m/>
    <n v="2019"/>
    <m/>
    <m/>
    <m/>
    <m/>
    <m/>
    <m/>
    <m/>
    <m/>
    <m/>
    <m/>
    <n v="3.5"/>
    <n v="0.85"/>
    <n v="2.9750000000000001"/>
    <x v="6"/>
    <s v="NMD"/>
    <s v="TekNat"/>
    <s v="KPU - åk 7-9"/>
    <n v="23641"/>
    <n v="28786"/>
    <n v="168381.85"/>
    <n v="5800"/>
    <n v="20300"/>
    <n v="188681.85"/>
    <n v="0"/>
    <n v="0"/>
    <n v="0"/>
    <n v="1"/>
    <n v="0"/>
    <n v="0"/>
    <n v="0"/>
    <n v="0"/>
    <n v="0"/>
    <n v="0"/>
    <n v="0"/>
    <n v="0"/>
  </r>
  <r>
    <s v="6PE256"/>
    <s v="Kunskap, undervisning och lärande 2"/>
    <m/>
    <s v="LYKGY"/>
    <m/>
    <n v="2019"/>
    <m/>
    <m/>
    <m/>
    <m/>
    <m/>
    <m/>
    <m/>
    <m/>
    <m/>
    <m/>
    <n v="2.25"/>
    <n v="0.85"/>
    <n v="1.9124999999999999"/>
    <x v="6"/>
    <s v="NMD"/>
    <s v="TekNat"/>
    <s v="KPU - Gy"/>
    <n v="23641"/>
    <n v="28786"/>
    <n v="108245.47500000001"/>
    <n v="5800"/>
    <n v="13050"/>
    <n v="121295.47500000001"/>
    <n v="0"/>
    <n v="0"/>
    <n v="0"/>
    <n v="1"/>
    <n v="0"/>
    <n v="0"/>
    <n v="0"/>
    <n v="0"/>
    <n v="0"/>
    <n v="0"/>
    <n v="0"/>
    <n v="0"/>
  </r>
  <r>
    <s v="6PE257"/>
    <s v="Läraryrkets dimensioner för förskoleklass och grundskolans årskurs 1-3 (VFU)"/>
    <m/>
    <s v="LYGFT"/>
    <m/>
    <n v="2019"/>
    <m/>
    <m/>
    <m/>
    <m/>
    <m/>
    <m/>
    <m/>
    <m/>
    <m/>
    <m/>
    <n v="15"/>
    <n v="0.85"/>
    <n v="12.75"/>
    <x v="6"/>
    <s v="NMD"/>
    <s v="TekNat"/>
    <s v="Grundlärarprogrammet - förskoleklass och åk 1-3"/>
    <n v="21634"/>
    <n v="26986"/>
    <n v="668581.5"/>
    <n v="3400"/>
    <n v="51000"/>
    <n v="719581.5"/>
    <n v="0"/>
    <n v="0"/>
    <n v="0"/>
    <n v="0"/>
    <n v="0"/>
    <n v="0"/>
    <n v="0"/>
    <n v="0"/>
    <n v="1"/>
    <n v="0"/>
    <n v="0"/>
    <n v="0"/>
  </r>
  <r>
    <s v="6PE258"/>
    <s v="Läraryrkets dimensioner för grundskolans årskurs 4-6 (VFU)"/>
    <m/>
    <s v="LYGRM"/>
    <m/>
    <n v="2019"/>
    <m/>
    <m/>
    <m/>
    <m/>
    <m/>
    <m/>
    <m/>
    <m/>
    <m/>
    <m/>
    <n v="9.375"/>
    <n v="0.85"/>
    <n v="7.96875"/>
    <x v="6"/>
    <s v="NMD"/>
    <s v="TekNat"/>
    <s v="Grundlärarprogrammet - grundskolans åk 4-6"/>
    <n v="21634"/>
    <n v="26986"/>
    <n v="417863.4375"/>
    <n v="3400"/>
    <n v="31875"/>
    <n v="449738.4375"/>
    <n v="0"/>
    <n v="0"/>
    <n v="0"/>
    <n v="0"/>
    <n v="0"/>
    <n v="0"/>
    <n v="0"/>
    <n v="0"/>
    <n v="1"/>
    <n v="0"/>
    <n v="0"/>
    <n v="0"/>
  </r>
  <r>
    <s v="6PE259"/>
    <s v="Läraryrkets dimensioner för fritidshem 3 (VFU)"/>
    <m/>
    <s v="LYGFR"/>
    <m/>
    <n v="2019"/>
    <m/>
    <m/>
    <m/>
    <m/>
    <m/>
    <m/>
    <m/>
    <m/>
    <m/>
    <m/>
    <n v="2.625"/>
    <n v="0.85"/>
    <n v="2.2312499999999997"/>
    <x v="12"/>
    <s v="TUV "/>
    <s v="Sam"/>
    <s v="Grundlärarprogrammet - fritidshem"/>
    <n v="21634"/>
    <n v="26986"/>
    <n v="117001.76249999998"/>
    <n v="3400"/>
    <n v="8925"/>
    <n v="125926.76249999998"/>
    <n v="0"/>
    <n v="0"/>
    <n v="0"/>
    <n v="0"/>
    <n v="0"/>
    <n v="0"/>
    <n v="0"/>
    <n v="0"/>
    <n v="1"/>
    <n v="0"/>
    <n v="0"/>
    <n v="0"/>
  </r>
  <r>
    <s v="6PE260"/>
    <s v="Samhällsorientering för förskolan"/>
    <m/>
    <s v="LYFSK"/>
    <m/>
    <n v="2019"/>
    <m/>
    <m/>
    <m/>
    <m/>
    <m/>
    <m/>
    <m/>
    <m/>
    <m/>
    <m/>
    <n v="21.25"/>
    <n v="0.85"/>
    <n v="18.0625"/>
    <x v="12"/>
    <s v="TUV "/>
    <s v="Sam"/>
    <s v="Förskollärarprogrammet"/>
    <n v="18405"/>
    <n v="15773"/>
    <n v="676006.0625"/>
    <n v="5800"/>
    <n v="123250"/>
    <n v="799256.0625"/>
    <n v="0"/>
    <n v="0"/>
    <n v="0"/>
    <n v="0"/>
    <n v="0"/>
    <n v="0"/>
    <n v="1"/>
    <n v="0"/>
    <n v="0"/>
    <n v="0"/>
    <n v="0"/>
    <n v="0"/>
  </r>
  <r>
    <s v="6PE261"/>
    <s v="Profession och vetenskap för förskolan (UK)"/>
    <m/>
    <s v="LYFSK"/>
    <m/>
    <n v="2019"/>
    <m/>
    <m/>
    <m/>
    <m/>
    <m/>
    <m/>
    <m/>
    <m/>
    <m/>
    <m/>
    <n v="10.625"/>
    <n v="0.85"/>
    <n v="9.03125"/>
    <x v="12"/>
    <s v="TUV "/>
    <s v="Sam"/>
    <s v="Förskollärarprogrammet"/>
    <n v="23641"/>
    <n v="28786"/>
    <n v="511159.1875"/>
    <n v="5800"/>
    <n v="61625"/>
    <n v="572784.1875"/>
    <n v="0"/>
    <n v="0"/>
    <n v="0"/>
    <n v="1"/>
    <n v="0"/>
    <n v="0"/>
    <n v="0"/>
    <n v="0"/>
    <n v="0"/>
    <n v="0"/>
    <n v="0"/>
    <n v="0"/>
  </r>
  <r>
    <s v="6PE262"/>
    <s v="Profession och vetenskap för fritidshem (UK)"/>
    <m/>
    <s v="LYGFR"/>
    <m/>
    <n v="2019"/>
    <m/>
    <m/>
    <m/>
    <m/>
    <m/>
    <m/>
    <m/>
    <m/>
    <m/>
    <m/>
    <n v="2.75"/>
    <n v="0.85"/>
    <n v="2.3374999999999999"/>
    <x v="12"/>
    <s v="TUV "/>
    <s v="Sam"/>
    <s v="Grundlärarprogrammet - fritidshem"/>
    <n v="23641"/>
    <n v="28786"/>
    <n v="132300.02499999999"/>
    <n v="5800"/>
    <n v="15950"/>
    <n v="148250.02499999999"/>
    <n v="0"/>
    <n v="0"/>
    <n v="0"/>
    <n v="1"/>
    <n v="0"/>
    <n v="0"/>
    <n v="0"/>
    <n v="0"/>
    <n v="0"/>
    <n v="0"/>
    <n v="0"/>
    <n v="0"/>
  </r>
  <r>
    <s v="6PE264"/>
    <s v="Grundlärare som profession (UK)"/>
    <m/>
    <s v="LYGFR"/>
    <m/>
    <n v="2019"/>
    <m/>
    <m/>
    <m/>
    <m/>
    <m/>
    <m/>
    <m/>
    <m/>
    <m/>
    <m/>
    <n v="2.2000000000000002"/>
    <n v="0.85"/>
    <n v="1.87"/>
    <x v="6"/>
    <s v="NMD"/>
    <s v="TekNat"/>
    <s v="Grundlärarprogrammet - fritidshem"/>
    <n v="23641"/>
    <n v="28786"/>
    <n v="105840.02"/>
    <n v="5800"/>
    <n v="12760.000000000002"/>
    <n v="118600.02"/>
    <n v="0"/>
    <n v="0"/>
    <n v="0"/>
    <n v="1"/>
    <n v="0"/>
    <n v="0"/>
    <n v="0"/>
    <n v="0"/>
    <n v="0"/>
    <n v="0"/>
    <n v="0"/>
    <n v="0"/>
  </r>
  <r>
    <s v="6PE264"/>
    <s v="Grundlärare som profession (UK)"/>
    <m/>
    <s v="LYGFT"/>
    <m/>
    <n v="2019"/>
    <m/>
    <m/>
    <m/>
    <m/>
    <m/>
    <m/>
    <m/>
    <m/>
    <m/>
    <m/>
    <n v="5.6"/>
    <n v="0.85"/>
    <n v="4.76"/>
    <x v="6"/>
    <s v="NMD"/>
    <s v="TekNat"/>
    <s v="Grundlärarprogrammet - förskoleklass och åk 1-3"/>
    <n v="23641"/>
    <n v="28786"/>
    <n v="269410.95999999996"/>
    <n v="5800"/>
    <n v="32479.999999999996"/>
    <n v="301890.95999999996"/>
    <n v="0"/>
    <n v="0"/>
    <n v="0"/>
    <n v="1"/>
    <n v="0"/>
    <n v="0"/>
    <n v="0"/>
    <n v="0"/>
    <n v="0"/>
    <n v="0"/>
    <n v="0"/>
    <n v="0"/>
  </r>
  <r>
    <s v="6PE264"/>
    <s v="Grundlärare som profession (UK)"/>
    <m/>
    <s v="LYGRM"/>
    <m/>
    <n v="2019"/>
    <m/>
    <m/>
    <m/>
    <m/>
    <m/>
    <m/>
    <m/>
    <m/>
    <m/>
    <m/>
    <n v="3.5"/>
    <n v="0.85"/>
    <n v="2.9750000000000001"/>
    <x v="6"/>
    <s v="NMD"/>
    <s v="TekNat"/>
    <s v="Grundlärarprogrammet - grundskolans åk 4-6"/>
    <n v="23641"/>
    <n v="28786"/>
    <n v="168381.85"/>
    <n v="5800"/>
    <n v="20300"/>
    <n v="188681.85"/>
    <n v="0"/>
    <n v="0"/>
    <n v="0"/>
    <n v="1"/>
    <n v="0"/>
    <n v="0"/>
    <n v="0"/>
    <n v="0"/>
    <n v="0"/>
    <n v="0"/>
    <n v="0"/>
    <n v="0"/>
  </r>
  <r>
    <s v="6PE265"/>
    <s v="Profession och vetenskap för åk 4-6 (UK III)"/>
    <m/>
    <s v="LYGRM"/>
    <m/>
    <n v="2019"/>
    <m/>
    <m/>
    <m/>
    <m/>
    <m/>
    <m/>
    <m/>
    <m/>
    <m/>
    <m/>
    <n v="3.375"/>
    <n v="0.85"/>
    <n v="2.8687499999999999"/>
    <x v="6"/>
    <s v="NMD"/>
    <s v="TekNat"/>
    <s v="Grundlärarprogrammet - grundskolans åk 4-6"/>
    <n v="23641"/>
    <n v="28786"/>
    <n v="162368.21249999999"/>
    <n v="5800"/>
    <n v="19575"/>
    <n v="181943.21249999999"/>
    <n v="0"/>
    <n v="0"/>
    <n v="0"/>
    <n v="1"/>
    <n v="0"/>
    <n v="0"/>
    <n v="0"/>
    <n v="0"/>
    <n v="0"/>
    <n v="0"/>
    <n v="0"/>
    <n v="0"/>
  </r>
  <r>
    <s v="6PE266"/>
    <s v="Profession och vetenskap för F-3 (UK III)"/>
    <m/>
    <s v="LYGFT"/>
    <m/>
    <n v="2019"/>
    <m/>
    <m/>
    <m/>
    <m/>
    <m/>
    <m/>
    <m/>
    <m/>
    <m/>
    <m/>
    <n v="6"/>
    <n v="0.85"/>
    <n v="5.0999999999999996"/>
    <x v="6"/>
    <s v="NMD"/>
    <s v="TekNat"/>
    <s v="Grundlärarprogrammet - förskoleklass och åk 1-3"/>
    <n v="23641"/>
    <n v="28786"/>
    <n v="288654.59999999998"/>
    <n v="5800"/>
    <n v="34800"/>
    <n v="323454.59999999998"/>
    <n v="0"/>
    <n v="0"/>
    <n v="0"/>
    <n v="1"/>
    <n v="0"/>
    <n v="0"/>
    <n v="0"/>
    <n v="0"/>
    <n v="0"/>
    <n v="0"/>
    <n v="0"/>
    <n v="0"/>
  </r>
  <r>
    <s v="6PE267"/>
    <s v="Ämnesdidaktik (UK)"/>
    <m/>
    <s v="LYKFO"/>
    <m/>
    <n v="2019"/>
    <m/>
    <m/>
    <m/>
    <m/>
    <m/>
    <m/>
    <m/>
    <m/>
    <m/>
    <m/>
    <n v="1.875"/>
    <n v="0.85"/>
    <n v="1.59375"/>
    <x v="6"/>
    <s v="NMD"/>
    <s v="TekNat"/>
    <s v="KPU - Förhöjd studietakt - utbildningsbidrag"/>
    <n v="23641"/>
    <n v="28786"/>
    <n v="90204.5625"/>
    <n v="5800"/>
    <n v="10875"/>
    <n v="101079.5625"/>
    <n v="0"/>
    <n v="0"/>
    <n v="0"/>
    <n v="1"/>
    <n v="0"/>
    <n v="0"/>
    <n v="0"/>
    <n v="0"/>
    <n v="0"/>
    <n v="0"/>
    <n v="0"/>
    <n v="0"/>
  </r>
  <r>
    <s v="6PE267"/>
    <s v="Ämnesdidaktik (UK)"/>
    <m/>
    <s v="LYKGR"/>
    <m/>
    <n v="2019"/>
    <s v="H1918-20"/>
    <m/>
    <m/>
    <m/>
    <m/>
    <n v="150"/>
    <n v="7.5"/>
    <m/>
    <m/>
    <n v="18"/>
    <n v="2.25"/>
    <n v="0.85"/>
    <n v="1.9124999999999999"/>
    <x v="6"/>
    <s v="NMD"/>
    <s v="TekNat"/>
    <s v="KPU - åk 7-9"/>
    <n v="23641"/>
    <n v="28786"/>
    <n v="108245.47500000001"/>
    <n v="5800"/>
    <n v="13050"/>
    <n v="121295.47500000001"/>
    <n v="0"/>
    <n v="0"/>
    <n v="0"/>
    <n v="1"/>
    <n v="0"/>
    <n v="0"/>
    <n v="0"/>
    <n v="0"/>
    <n v="0"/>
    <n v="0"/>
    <n v="0"/>
    <n v="0"/>
  </r>
  <r>
    <s v="6PE267"/>
    <s v="Ämnesdidaktik (UK)"/>
    <m/>
    <s v="LYKGY"/>
    <m/>
    <n v="2019"/>
    <s v="H1918-20"/>
    <m/>
    <m/>
    <m/>
    <m/>
    <n v="150"/>
    <n v="7.5"/>
    <m/>
    <m/>
    <n v="20"/>
    <n v="2.5"/>
    <n v="0.85"/>
    <n v="2.125"/>
    <x v="6"/>
    <s v="NMD"/>
    <s v="TekNat"/>
    <s v="KPU - Gy"/>
    <n v="23641"/>
    <n v="28786"/>
    <n v="120272.75"/>
    <n v="5800"/>
    <n v="14500"/>
    <n v="134772.75"/>
    <n v="0"/>
    <n v="0"/>
    <n v="0"/>
    <n v="1"/>
    <n v="0"/>
    <n v="0"/>
    <n v="0"/>
    <n v="0"/>
    <n v="0"/>
    <n v="0"/>
    <n v="0"/>
    <n v="0"/>
  </r>
  <r>
    <s v="6PE268"/>
    <s v="Att vara grundlärare (VFU)"/>
    <m/>
    <s v="LYGFR"/>
    <m/>
    <n v="2019"/>
    <m/>
    <m/>
    <m/>
    <m/>
    <m/>
    <m/>
    <m/>
    <m/>
    <m/>
    <m/>
    <n v="0.52500000000000002"/>
    <n v="0.85"/>
    <n v="0.44624999999999998"/>
    <x v="6"/>
    <s v="NMD"/>
    <s v="TekNat"/>
    <s v="Grundlärarprogrammet - fritidshem"/>
    <n v="21634"/>
    <n v="26986"/>
    <n v="23400.352500000001"/>
    <n v="3400"/>
    <n v="1785"/>
    <n v="25185.352500000001"/>
    <n v="0"/>
    <n v="0"/>
    <n v="0"/>
    <n v="0"/>
    <n v="0"/>
    <n v="0"/>
    <n v="0"/>
    <n v="0"/>
    <n v="1"/>
    <n v="0"/>
    <n v="0"/>
    <n v="0"/>
  </r>
  <r>
    <s v="6PE268"/>
    <s v="Att vara grundlärare (VFU)"/>
    <m/>
    <s v="LYGFT"/>
    <m/>
    <n v="2019"/>
    <m/>
    <m/>
    <m/>
    <m/>
    <m/>
    <m/>
    <m/>
    <m/>
    <m/>
    <m/>
    <n v="1.3"/>
    <n v="0.85"/>
    <n v="1.105"/>
    <x v="6"/>
    <s v="NMD"/>
    <s v="TekNat"/>
    <s v="Grundlärarprogrammet - förskoleklass och åk 1-3"/>
    <n v="21634"/>
    <n v="26986"/>
    <n v="57943.729999999996"/>
    <n v="3400"/>
    <n v="4420"/>
    <n v="62363.729999999996"/>
    <n v="0"/>
    <n v="0"/>
    <n v="0"/>
    <n v="0"/>
    <n v="0"/>
    <n v="0"/>
    <n v="0"/>
    <n v="0"/>
    <n v="1"/>
    <n v="0"/>
    <n v="0"/>
    <n v="0"/>
  </r>
  <r>
    <s v="6PE268"/>
    <s v="Att vara grundlärare (VFU)"/>
    <m/>
    <s v="LYGRM"/>
    <m/>
    <n v="2019"/>
    <m/>
    <m/>
    <m/>
    <m/>
    <m/>
    <m/>
    <m/>
    <m/>
    <m/>
    <m/>
    <n v="0.75"/>
    <n v="0.85"/>
    <n v="0.63749999999999996"/>
    <x v="6"/>
    <s v="NMD"/>
    <s v="TekNat"/>
    <s v="Grundlärarprogrammet - grundskolans åk 4-6"/>
    <n v="21634"/>
    <n v="26986"/>
    <n v="33429.074999999997"/>
    <n v="3400"/>
    <n v="2550"/>
    <n v="35979.074999999997"/>
    <n v="0"/>
    <n v="0"/>
    <n v="0"/>
    <n v="0"/>
    <n v="0"/>
    <n v="0"/>
    <n v="0"/>
    <n v="0"/>
    <n v="1"/>
    <n v="0"/>
    <n v="0"/>
    <n v="0"/>
  </r>
  <r>
    <s v="6PE269"/>
    <s v="Att undervisa i biologi (VFU)"/>
    <m/>
    <s v="LYAGY"/>
    <m/>
    <n v="2019"/>
    <m/>
    <m/>
    <m/>
    <m/>
    <m/>
    <m/>
    <m/>
    <m/>
    <m/>
    <m/>
    <n v="0.4"/>
    <n v="0.85"/>
    <n v="0.34"/>
    <x v="6"/>
    <s v="NMD"/>
    <s v="TekNat"/>
    <s v="Ämneslärarprogrammet - Gy"/>
    <n v="21634"/>
    <n v="26986"/>
    <n v="17828.84"/>
    <n v="3400"/>
    <n v="1360"/>
    <n v="19188.84"/>
    <n v="0"/>
    <n v="0"/>
    <n v="0"/>
    <n v="0"/>
    <n v="0"/>
    <n v="0"/>
    <n v="0"/>
    <n v="0"/>
    <n v="1"/>
    <n v="0"/>
    <n v="0"/>
    <n v="0"/>
  </r>
  <r>
    <s v="6PE271"/>
    <s v="Att undervisa i Idrott och hälsa (VFU)"/>
    <m/>
    <s v="LYAGY"/>
    <m/>
    <n v="2019"/>
    <m/>
    <m/>
    <m/>
    <m/>
    <m/>
    <m/>
    <m/>
    <m/>
    <m/>
    <m/>
    <n v="1.5"/>
    <n v="0.85"/>
    <n v="1.2749999999999999"/>
    <x v="11"/>
    <s v="Pedagogik                     "/>
    <s v="Sam"/>
    <s v="Ämneslärarprogrammet - Gy"/>
    <n v="21634"/>
    <n v="26986"/>
    <n v="66858.149999999994"/>
    <n v="3400"/>
    <n v="5100"/>
    <n v="71958.149999999994"/>
    <n v="0"/>
    <n v="0"/>
    <n v="0"/>
    <n v="0"/>
    <n v="0"/>
    <n v="0"/>
    <n v="0"/>
    <n v="0"/>
    <n v="1"/>
    <n v="0"/>
    <n v="0"/>
    <n v="0"/>
  </r>
  <r>
    <s v="6PE272"/>
    <s v="Att undervisa i Samhällskunskap (VFU)"/>
    <m/>
    <s v="LYAGY"/>
    <m/>
    <n v="2019"/>
    <m/>
    <m/>
    <m/>
    <m/>
    <m/>
    <m/>
    <m/>
    <m/>
    <m/>
    <m/>
    <n v="0.7"/>
    <n v="0.85"/>
    <n v="0.59499999999999997"/>
    <x v="11"/>
    <s v="Pedagogik                     "/>
    <s v="Sam"/>
    <s v="Ämneslärarprogrammet - Gy"/>
    <n v="21634"/>
    <n v="26986"/>
    <n v="31200.47"/>
    <n v="3400"/>
    <n v="2380"/>
    <n v="33580.47"/>
    <n v="0"/>
    <n v="0"/>
    <n v="0"/>
    <n v="0"/>
    <n v="0"/>
    <n v="0"/>
    <n v="0"/>
    <n v="0"/>
    <n v="1"/>
    <n v="0"/>
    <n v="0"/>
    <n v="0"/>
  </r>
  <r>
    <s v="6PE273"/>
    <s v="Fjärrundervisning"/>
    <m/>
    <s v="FRIST"/>
    <m/>
    <n v="2019"/>
    <m/>
    <m/>
    <m/>
    <m/>
    <m/>
    <m/>
    <m/>
    <m/>
    <m/>
    <m/>
    <n v="2.75"/>
    <n v="0.8"/>
    <n v="2.2000000000000002"/>
    <x v="11"/>
    <s v="Pedagogik                     "/>
    <s v="Sam"/>
    <s v="Fristående och övriga kurser"/>
    <n v="18405"/>
    <n v="15773"/>
    <n v="85314.35"/>
    <n v="5800"/>
    <n v="15950"/>
    <n v="101264.35"/>
    <n v="0"/>
    <n v="0"/>
    <n v="0"/>
    <n v="0"/>
    <n v="0"/>
    <n v="0"/>
    <n v="1"/>
    <n v="0"/>
    <n v="0"/>
    <n v="0"/>
    <n v="0"/>
    <n v="0"/>
  </r>
  <r>
    <s v="6PE274"/>
    <s v="Skolans digitalisering"/>
    <m/>
    <s v="FRIST"/>
    <m/>
    <n v="2019"/>
    <m/>
    <m/>
    <m/>
    <m/>
    <m/>
    <m/>
    <m/>
    <m/>
    <m/>
    <m/>
    <n v="0.125"/>
    <n v="0.8"/>
    <n v="0.1"/>
    <x v="11"/>
    <s v="Pedagogik                     "/>
    <s v="Sam"/>
    <s v="Fristående och övriga kurser"/>
    <n v="18405"/>
    <n v="15773"/>
    <n v="3877.9250000000002"/>
    <n v="5800"/>
    <n v="725"/>
    <n v="4602.9250000000002"/>
    <n v="0"/>
    <n v="0"/>
    <n v="0"/>
    <n v="0"/>
    <n v="0"/>
    <n v="0"/>
    <n v="1"/>
    <n v="0"/>
    <n v="0"/>
    <n v="0"/>
    <n v="0"/>
    <n v="0"/>
  </r>
  <r>
    <s v="6PE275"/>
    <s v="Genuspedagogik i lärmiljöer"/>
    <m/>
    <s v="FRIST"/>
    <m/>
    <n v="2019"/>
    <m/>
    <m/>
    <m/>
    <m/>
    <m/>
    <m/>
    <m/>
    <m/>
    <m/>
    <m/>
    <n v="25.5"/>
    <n v="0.8"/>
    <n v="20.400000000000002"/>
    <x v="12"/>
    <s v="TUV "/>
    <s v="Sam"/>
    <s v="Fristående och övriga kurser"/>
    <n v="18405"/>
    <n v="15773"/>
    <n v="791096.7"/>
    <n v="5800"/>
    <n v="147900"/>
    <n v="938996.7"/>
    <n v="0"/>
    <n v="0"/>
    <n v="0"/>
    <n v="0"/>
    <n v="0"/>
    <n v="0"/>
    <n v="1"/>
    <n v="0"/>
    <n v="0"/>
    <n v="0"/>
    <n v="0"/>
    <n v="0"/>
  </r>
  <r>
    <s v="6PE276"/>
    <s v="Mobbning i lärmiljöer"/>
    <m/>
    <s v="FRIST"/>
    <m/>
    <n v="2019"/>
    <m/>
    <m/>
    <m/>
    <m/>
    <m/>
    <m/>
    <m/>
    <m/>
    <m/>
    <m/>
    <n v="9.75"/>
    <n v="0.8"/>
    <n v="7.8000000000000007"/>
    <x v="12"/>
    <s v="TUV "/>
    <s v="Sam"/>
    <s v="Fristående och övriga kurser"/>
    <n v="18405"/>
    <n v="15773"/>
    <n v="302478.15000000002"/>
    <n v="5800"/>
    <n v="56550"/>
    <n v="359028.15"/>
    <n v="0"/>
    <n v="0"/>
    <n v="0"/>
    <n v="0"/>
    <n v="0"/>
    <n v="0"/>
    <n v="1"/>
    <n v="0"/>
    <n v="0"/>
    <n v="0"/>
    <n v="0"/>
    <n v="0"/>
  </r>
  <r>
    <s v="6PE277"/>
    <s v="Kurs i examensarbete - Matematikutveckling"/>
    <m/>
    <s v="LYSPL"/>
    <m/>
    <n v="2019"/>
    <m/>
    <m/>
    <m/>
    <m/>
    <m/>
    <m/>
    <m/>
    <m/>
    <m/>
    <m/>
    <n v="2.25"/>
    <n v="0.85"/>
    <n v="1.9124999999999999"/>
    <x v="6"/>
    <s v="NMD"/>
    <s v="TekNat"/>
    <s v="Speciallärarprogrammet"/>
    <n v="19473"/>
    <n v="34806"/>
    <n v="110380.72499999999"/>
    <n v="21800"/>
    <n v="49050"/>
    <n v="159430.72499999998"/>
    <n v="0"/>
    <n v="0"/>
    <n v="0"/>
    <n v="0"/>
    <n v="0"/>
    <n v="1"/>
    <n v="0"/>
    <n v="0"/>
    <n v="0"/>
    <n v="0"/>
    <n v="0"/>
    <n v="0"/>
  </r>
  <r>
    <s v="6PE279"/>
    <s v="Språk och matematik i ett specialpedagogiskt perspektiv"/>
    <m/>
    <s v="LYSPE"/>
    <m/>
    <n v="2019"/>
    <m/>
    <m/>
    <m/>
    <m/>
    <m/>
    <m/>
    <m/>
    <m/>
    <m/>
    <m/>
    <n v="4.5"/>
    <n v="0.85"/>
    <n v="3.8249999999999997"/>
    <x v="6"/>
    <s v="NMD"/>
    <s v="TekNat"/>
    <s v="Specialpedagogprogrammet"/>
    <n v="19473"/>
    <n v="34806"/>
    <n v="220761.44999999998"/>
    <n v="21800"/>
    <n v="98100"/>
    <n v="318861.44999999995"/>
    <n v="0"/>
    <n v="0"/>
    <n v="0"/>
    <n v="0"/>
    <n v="0"/>
    <n v="1"/>
    <n v="0"/>
    <n v="0"/>
    <n v="0"/>
    <n v="0"/>
    <n v="0"/>
    <n v="0"/>
  </r>
  <r>
    <s v="6PE279"/>
    <s v="Språk och matematik i ett specialpedagogiskt perspektiv"/>
    <m/>
    <s v="LYSPL"/>
    <m/>
    <n v="2019"/>
    <m/>
    <m/>
    <m/>
    <m/>
    <m/>
    <m/>
    <m/>
    <m/>
    <m/>
    <m/>
    <n v="0.25"/>
    <n v="0.85"/>
    <n v="0.21249999999999999"/>
    <x v="6"/>
    <s v="NMD"/>
    <s v="TekNat"/>
    <s v="Speciallärarprogrammet"/>
    <n v="19473"/>
    <n v="34806"/>
    <n v="12264.525"/>
    <n v="21800"/>
    <n v="5450"/>
    <n v="17714.525000000001"/>
    <n v="0"/>
    <n v="0"/>
    <n v="0"/>
    <n v="0"/>
    <n v="0"/>
    <n v="1"/>
    <n v="0"/>
    <n v="0"/>
    <n v="0"/>
    <n v="0"/>
    <n v="0"/>
    <n v="0"/>
  </r>
  <r>
    <s v="6PE280"/>
    <s v="Matematik i specialpedagogiskt perspektiv"/>
    <m/>
    <s v="LYSPL"/>
    <m/>
    <n v="2019"/>
    <m/>
    <m/>
    <m/>
    <m/>
    <m/>
    <m/>
    <m/>
    <m/>
    <m/>
    <m/>
    <n v="2"/>
    <n v="0.85"/>
    <n v="1.7"/>
    <x v="6"/>
    <s v="NMD"/>
    <s v="TekNat"/>
    <s v="Speciallärarprogrammet"/>
    <n v="19473"/>
    <n v="34806"/>
    <n v="98116.2"/>
    <n v="21800"/>
    <n v="43600"/>
    <n v="141716.20000000001"/>
    <n v="0"/>
    <n v="0"/>
    <n v="0"/>
    <n v="0"/>
    <n v="0"/>
    <n v="1"/>
    <n v="0"/>
    <n v="0"/>
    <n v="0"/>
    <n v="0"/>
    <n v="0"/>
    <n v="0"/>
  </r>
  <r>
    <s v="6PE302"/>
    <s v="Pedagogiskt ledarskap, sociala relationer och konflikthantering"/>
    <m/>
    <s v="LYKGR"/>
    <m/>
    <n v="2019"/>
    <m/>
    <m/>
    <m/>
    <m/>
    <m/>
    <m/>
    <m/>
    <m/>
    <m/>
    <m/>
    <n v="2.5"/>
    <n v="0.85"/>
    <n v="2.125"/>
    <x v="11"/>
    <s v="Pedagogik                     "/>
    <s v="Sam"/>
    <s v="KPU - åk 7-9"/>
    <n v="23641"/>
    <n v="28786"/>
    <n v="120272.75"/>
    <n v="5800"/>
    <n v="14500"/>
    <n v="134772.75"/>
    <n v="0"/>
    <n v="0"/>
    <n v="0"/>
    <n v="1"/>
    <n v="0"/>
    <n v="0"/>
    <n v="0"/>
    <n v="0"/>
    <n v="0"/>
    <n v="0"/>
    <n v="0"/>
    <n v="0"/>
  </r>
  <r>
    <s v="6PE302"/>
    <s v="Pedagogiskt ledarskap, sociala relationer och konflikthantering"/>
    <m/>
    <s v="LYKGY"/>
    <m/>
    <n v="2019"/>
    <m/>
    <m/>
    <m/>
    <m/>
    <m/>
    <m/>
    <m/>
    <m/>
    <m/>
    <m/>
    <n v="1.1666700000000001"/>
    <n v="0.85"/>
    <n v="0.99166950000000009"/>
    <x v="11"/>
    <s v="Pedagogik                     "/>
    <s v="Sam"/>
    <s v="KPU - Gy"/>
    <n v="23641"/>
    <n v="28786"/>
    <n v="56127.44369700001"/>
    <n v="5800"/>
    <n v="6766.6860000000006"/>
    <n v="62894.129697000011"/>
    <n v="0"/>
    <n v="0"/>
    <n v="0"/>
    <n v="1"/>
    <n v="0"/>
    <n v="0"/>
    <n v="0"/>
    <n v="0"/>
    <n v="0"/>
    <n v="0"/>
    <n v="0"/>
    <n v="0"/>
  </r>
  <r>
    <s v="6PE302"/>
    <s v="Pedagogiskt ledarskap, sociala relationer och konflikthantering"/>
    <m/>
    <s v="LYYRK"/>
    <m/>
    <n v="2019"/>
    <m/>
    <m/>
    <m/>
    <m/>
    <m/>
    <m/>
    <m/>
    <m/>
    <m/>
    <m/>
    <n v="7.3333300000000001"/>
    <n v="0.85"/>
    <n v="6.2333305000000001"/>
    <x v="11"/>
    <s v="Pedagogik                     "/>
    <s v="Sam"/>
    <s v="Yrkeslärarprogrammet"/>
    <n v="23641"/>
    <n v="28786"/>
    <n v="352799.906303"/>
    <n v="5800"/>
    <n v="42533.313999999998"/>
    <n v="395333.22030300001"/>
    <n v="0"/>
    <n v="0"/>
    <n v="0"/>
    <n v="1"/>
    <n v="0"/>
    <n v="0"/>
    <n v="0"/>
    <n v="0"/>
    <n v="0"/>
    <n v="0"/>
    <n v="0"/>
    <n v="0"/>
  </r>
  <r>
    <s v="6RV011"/>
    <s v="Examensarbete för ämneslärarexamen - religion"/>
    <m/>
    <s v="LYAGY"/>
    <m/>
    <n v="2019"/>
    <m/>
    <m/>
    <m/>
    <m/>
    <m/>
    <m/>
    <m/>
    <m/>
    <m/>
    <m/>
    <n v="1.5"/>
    <n v="0.85"/>
    <n v="1.2749999999999999"/>
    <x v="10"/>
    <s v="Inst för ide- o samhällsstudier"/>
    <s v="Hum"/>
    <s v="Ämneslärarprogrammet - Gy"/>
    <n v="18405"/>
    <n v="15773"/>
    <n v="47718.074999999997"/>
    <n v="5800"/>
    <n v="8700"/>
    <n v="56418.074999999997"/>
    <n v="0"/>
    <n v="1"/>
    <n v="0"/>
    <n v="0"/>
    <n v="0"/>
    <n v="0"/>
    <n v="0"/>
    <n v="0"/>
    <n v="0"/>
    <n v="0"/>
    <n v="0"/>
    <n v="0"/>
  </r>
  <r>
    <s v="6RV018"/>
    <s v="Läraryrkets dimensioner- ingångsämne religion (VFU)"/>
    <m/>
    <s v="LYAGY"/>
    <m/>
    <n v="2019"/>
    <m/>
    <m/>
    <m/>
    <m/>
    <m/>
    <m/>
    <m/>
    <m/>
    <m/>
    <m/>
    <n v="0.75"/>
    <n v="0.85"/>
    <n v="0.63749999999999996"/>
    <x v="10"/>
    <s v="Inst för ide- o samhällsstudier"/>
    <s v="Hum"/>
    <s v="Ämneslärarprogrammet - Gy"/>
    <n v="21634"/>
    <n v="26986"/>
    <n v="33429.074999999997"/>
    <n v="3400"/>
    <n v="2550"/>
    <n v="35979.074999999997"/>
    <n v="0"/>
    <n v="0"/>
    <n v="0"/>
    <n v="0"/>
    <n v="0"/>
    <n v="0"/>
    <n v="0"/>
    <n v="0"/>
    <n v="1"/>
    <n v="0"/>
    <n v="0"/>
    <n v="0"/>
  </r>
  <r>
    <s v="6RV019"/>
    <s v="Att undervisa i religionskunskap (VFU)"/>
    <m/>
    <s v="LYAGY"/>
    <m/>
    <n v="2019"/>
    <m/>
    <m/>
    <m/>
    <m/>
    <m/>
    <m/>
    <m/>
    <m/>
    <m/>
    <m/>
    <n v="0.3"/>
    <n v="0.85"/>
    <n v="0.255"/>
    <x v="10"/>
    <s v="Inst för ide- o samhällsstudier"/>
    <s v="Hum"/>
    <s v="Ämneslärarprogrammet - Gy"/>
    <n v="21634"/>
    <n v="26986"/>
    <n v="13371.630000000001"/>
    <n v="3400"/>
    <n v="1020"/>
    <n v="14391.630000000001"/>
    <n v="0"/>
    <n v="0"/>
    <n v="0"/>
    <n v="0"/>
    <n v="0"/>
    <n v="0"/>
    <n v="0"/>
    <n v="0"/>
    <n v="1"/>
    <n v="0"/>
    <n v="0"/>
    <n v="0"/>
  </r>
  <r>
    <s v="6RV020"/>
    <s v="Religionsvetenskap 2"/>
    <m/>
    <s v="LYAGY"/>
    <m/>
    <n v="2019"/>
    <m/>
    <m/>
    <m/>
    <m/>
    <m/>
    <m/>
    <m/>
    <m/>
    <m/>
    <m/>
    <n v="6.5"/>
    <n v="0.85"/>
    <n v="5.5249999999999995"/>
    <x v="10"/>
    <s v="Inst för ide- o samhällsstudier"/>
    <s v="Hum"/>
    <s v="Ämneslärarprogrammet - Gy"/>
    <n v="18405"/>
    <n v="15773"/>
    <n v="206778.32500000001"/>
    <n v="5800"/>
    <n v="37700"/>
    <n v="244478.32500000001"/>
    <n v="0"/>
    <n v="1"/>
    <n v="0"/>
    <n v="0"/>
    <n v="0"/>
    <n v="0"/>
    <n v="0"/>
    <n v="0"/>
    <n v="0"/>
    <n v="0"/>
    <n v="0"/>
    <n v="0"/>
  </r>
  <r>
    <s v="6RV020"/>
    <s v="Religionsvetenskap 2"/>
    <m/>
    <s v="LYLÄP"/>
    <m/>
    <n v="2019"/>
    <m/>
    <m/>
    <m/>
    <m/>
    <m/>
    <m/>
    <m/>
    <m/>
    <m/>
    <m/>
    <n v="0.5"/>
    <n v="0.85"/>
    <n v="0.42499999999999999"/>
    <x v="10"/>
    <s v="Inst för ide- o samhällsstudier"/>
    <s v="Hum"/>
    <s v="VAL-projektet"/>
    <n v="18405"/>
    <n v="15773"/>
    <n v="15906.025"/>
    <n v="5800"/>
    <n v="2900"/>
    <n v="18806.025000000001"/>
    <n v="0"/>
    <n v="1"/>
    <n v="0"/>
    <n v="0"/>
    <n v="0"/>
    <n v="0"/>
    <n v="0"/>
    <n v="0"/>
    <n v="0"/>
    <n v="0"/>
    <n v="0"/>
    <n v="0"/>
  </r>
  <r>
    <s v="6RV021"/>
    <s v="Religionsvetenskap 1"/>
    <m/>
    <s v="LYAGY"/>
    <m/>
    <n v="2019"/>
    <m/>
    <m/>
    <m/>
    <m/>
    <m/>
    <m/>
    <m/>
    <m/>
    <m/>
    <m/>
    <n v="7.5"/>
    <n v="0.85"/>
    <n v="6.375"/>
    <x v="10"/>
    <s v="Inst för ide- o samhällsstudier"/>
    <s v="Hum"/>
    <s v="Ämneslärarprogrammet - Gy"/>
    <n v="18405"/>
    <n v="15773"/>
    <n v="238590.375"/>
    <n v="5800"/>
    <n v="43500"/>
    <n v="282090.375"/>
    <n v="0"/>
    <n v="1"/>
    <n v="0"/>
    <n v="0"/>
    <n v="0"/>
    <n v="0"/>
    <n v="0"/>
    <n v="0"/>
    <n v="0"/>
    <n v="0"/>
    <n v="0"/>
    <n v="0"/>
  </r>
  <r>
    <s v="6RV022"/>
    <s v="Religionsvetenskap 3"/>
    <m/>
    <s v="LYAGY"/>
    <m/>
    <n v="2019"/>
    <m/>
    <m/>
    <m/>
    <m/>
    <m/>
    <m/>
    <m/>
    <m/>
    <m/>
    <m/>
    <n v="6.5"/>
    <n v="0.85"/>
    <n v="5.5249999999999995"/>
    <x v="10"/>
    <s v="Inst för ide- o samhällsstudier"/>
    <s v="Hum"/>
    <s v="Ämneslärarprogrammet - Gy"/>
    <n v="18405"/>
    <n v="15773"/>
    <n v="206778.32500000001"/>
    <n v="5800"/>
    <n v="37700"/>
    <n v="244478.32500000001"/>
    <n v="0"/>
    <n v="1"/>
    <n v="0"/>
    <n v="0"/>
    <n v="0"/>
    <n v="0"/>
    <n v="0"/>
    <n v="0"/>
    <n v="0"/>
    <n v="0"/>
    <n v="0"/>
    <n v="0"/>
  </r>
  <r>
    <s v="6RV023"/>
    <s v="Religionsvetenskap 3, med kandidatuppsats"/>
    <m/>
    <s v="LYAGY"/>
    <m/>
    <n v="2019"/>
    <m/>
    <m/>
    <m/>
    <m/>
    <m/>
    <m/>
    <m/>
    <m/>
    <m/>
    <m/>
    <n v="5"/>
    <n v="0.85"/>
    <n v="4.25"/>
    <x v="10"/>
    <s v="Inst för ide- o samhällsstudier"/>
    <s v="Hum"/>
    <s v="Ämneslärarprogrammet - Gy"/>
    <n v="18405"/>
    <n v="15773"/>
    <n v="159060.25"/>
    <n v="5800"/>
    <n v="29000"/>
    <n v="188060.25"/>
    <n v="0"/>
    <n v="1"/>
    <n v="0"/>
    <n v="0"/>
    <n v="0"/>
    <n v="0"/>
    <n v="0"/>
    <n v="0"/>
    <n v="0"/>
    <n v="0"/>
    <n v="0"/>
    <n v="0"/>
  </r>
  <r>
    <s v="6SA008"/>
    <s v="Spanska I för ämneslärare"/>
    <m/>
    <s v="LYAGY"/>
    <m/>
    <n v="2019"/>
    <m/>
    <m/>
    <m/>
    <m/>
    <m/>
    <m/>
    <m/>
    <m/>
    <m/>
    <m/>
    <n v="2"/>
    <n v="0.85"/>
    <n v="1.7"/>
    <x v="8"/>
    <s v="Inst för språkstudier"/>
    <s v="Hum"/>
    <s v="Ämneslärarprogrammet - Gy"/>
    <n v="18405"/>
    <n v="15773"/>
    <n v="63624.1"/>
    <n v="5800"/>
    <n v="11600"/>
    <n v="75224.100000000006"/>
    <n v="0"/>
    <n v="1"/>
    <n v="0"/>
    <n v="0"/>
    <n v="0"/>
    <n v="0"/>
    <n v="0"/>
    <n v="0"/>
    <n v="0"/>
    <n v="0"/>
    <n v="0"/>
    <n v="0"/>
  </r>
  <r>
    <s v="6SA008"/>
    <s v="Spanska I för ämneslärare"/>
    <m/>
    <s v="FRIST"/>
    <m/>
    <n v="2019"/>
    <m/>
    <m/>
    <m/>
    <m/>
    <m/>
    <m/>
    <m/>
    <m/>
    <m/>
    <m/>
    <n v="0.5"/>
    <n v="0.8"/>
    <n v="0.4"/>
    <x v="8"/>
    <s v="Inst för språkstudier"/>
    <s v="Hum"/>
    <s v="Fristående och övriga kurser"/>
    <n v="18405"/>
    <n v="15773"/>
    <n v="15511.7"/>
    <n v="5800"/>
    <n v="2900"/>
    <n v="18411.7"/>
    <n v="0"/>
    <n v="1"/>
    <n v="0"/>
    <n v="0"/>
    <n v="0"/>
    <n v="0"/>
    <n v="0"/>
    <n v="0"/>
    <n v="0"/>
    <n v="0"/>
    <n v="0"/>
    <n v="0"/>
  </r>
  <r>
    <s v="6SA011"/>
    <s v="Spanska för ämneslärare, kurs III"/>
    <m/>
    <s v="LYAGY"/>
    <m/>
    <n v="2019"/>
    <m/>
    <m/>
    <m/>
    <m/>
    <m/>
    <m/>
    <m/>
    <m/>
    <m/>
    <m/>
    <n v="1.5"/>
    <n v="0.85"/>
    <n v="1.2749999999999999"/>
    <x v="8"/>
    <s v="Inst för språkstudier"/>
    <s v="Hum"/>
    <s v="Ämneslärarprogrammet - Gy"/>
    <n v="18405"/>
    <n v="15773"/>
    <n v="47718.074999999997"/>
    <n v="5800"/>
    <n v="8700"/>
    <n v="56418.074999999997"/>
    <n v="0"/>
    <n v="1"/>
    <n v="0"/>
    <n v="0"/>
    <n v="0"/>
    <n v="0"/>
    <n v="0"/>
    <n v="0"/>
    <n v="0"/>
    <n v="0"/>
    <n v="0"/>
    <n v="0"/>
  </r>
  <r>
    <s v="6SA013"/>
    <s v="Att undervisa i Spanska (VFU)"/>
    <m/>
    <s v="LYAGY"/>
    <m/>
    <n v="2019"/>
    <m/>
    <m/>
    <m/>
    <m/>
    <m/>
    <m/>
    <m/>
    <m/>
    <m/>
    <m/>
    <n v="0.1"/>
    <n v="0.85"/>
    <n v="8.5000000000000006E-2"/>
    <x v="8"/>
    <s v="Inst för språkstudier"/>
    <s v="Hum"/>
    <s v="Ämneslärarprogrammet - Gy"/>
    <n v="21634"/>
    <n v="26986"/>
    <n v="4457.21"/>
    <n v="3400"/>
    <n v="340"/>
    <n v="4797.21"/>
    <n v="0"/>
    <n v="0"/>
    <n v="0"/>
    <n v="0"/>
    <n v="0"/>
    <n v="0"/>
    <n v="0"/>
    <n v="0"/>
    <n v="1"/>
    <n v="0"/>
    <n v="0"/>
    <n v="0"/>
  </r>
  <r>
    <s v="6SA014"/>
    <s v="Spanska för ämneslärare, kurs 2"/>
    <m/>
    <s v="LYAGY"/>
    <m/>
    <n v="2019"/>
    <m/>
    <m/>
    <m/>
    <m/>
    <m/>
    <m/>
    <m/>
    <m/>
    <m/>
    <m/>
    <n v="2"/>
    <n v="0.85"/>
    <n v="1.7"/>
    <x v="8"/>
    <s v="Inst för språkstudier"/>
    <s v="Hum"/>
    <s v="Ämneslärarprogrammet - Gy"/>
    <n v="18405"/>
    <n v="15773"/>
    <n v="63624.1"/>
    <n v="5800"/>
    <n v="11600"/>
    <n v="75224.100000000006"/>
    <n v="0"/>
    <n v="1"/>
    <n v="0"/>
    <n v="0"/>
    <n v="0"/>
    <n v="0"/>
    <n v="0"/>
    <n v="0"/>
    <n v="0"/>
    <n v="0"/>
    <n v="0"/>
    <n v="0"/>
  </r>
  <r>
    <s v="6SA014"/>
    <s v="Spanska för ämneslärare, kurs 2"/>
    <m/>
    <s v="FRIST"/>
    <m/>
    <n v="2019"/>
    <m/>
    <m/>
    <m/>
    <m/>
    <m/>
    <m/>
    <m/>
    <m/>
    <m/>
    <m/>
    <n v="0.5"/>
    <n v="0.8"/>
    <n v="0.4"/>
    <x v="8"/>
    <s v="Inst för språkstudier"/>
    <s v="Hum"/>
    <s v="Fristående och övriga kurser"/>
    <n v="18405"/>
    <n v="15773"/>
    <n v="15511.7"/>
    <n v="5800"/>
    <n v="2900"/>
    <n v="18411.7"/>
    <n v="0"/>
    <n v="1"/>
    <n v="0"/>
    <n v="0"/>
    <n v="0"/>
    <n v="0"/>
    <n v="0"/>
    <n v="0"/>
    <n v="0"/>
    <n v="0"/>
    <n v="0"/>
    <n v="0"/>
  </r>
  <r>
    <s v="6SD002"/>
    <s v="Examensarbete i svenska för ämneslärarexamen"/>
    <m/>
    <s v="LYAGY"/>
    <m/>
    <n v="2019"/>
    <m/>
    <m/>
    <m/>
    <m/>
    <m/>
    <m/>
    <m/>
    <m/>
    <m/>
    <m/>
    <n v="6"/>
    <n v="0.85"/>
    <n v="5.0999999999999996"/>
    <x v="8"/>
    <s v="Inst för språkstudier"/>
    <s v="Hum"/>
    <s v="Ämneslärarprogrammet - Gy"/>
    <n v="18405"/>
    <n v="15773"/>
    <n v="190872.3"/>
    <n v="5800"/>
    <n v="34800"/>
    <n v="225672.3"/>
    <n v="0"/>
    <n v="1"/>
    <n v="0"/>
    <n v="0"/>
    <n v="0"/>
    <n v="0"/>
    <n v="0"/>
    <n v="0"/>
    <n v="0"/>
    <n v="0"/>
    <n v="0"/>
    <n v="0"/>
  </r>
  <r>
    <s v="6SD003"/>
    <s v="Examensarbete i språkdidaktik för ämneslärarexamen"/>
    <m/>
    <s v="LYAGY"/>
    <m/>
    <n v="2019"/>
    <m/>
    <m/>
    <m/>
    <m/>
    <m/>
    <m/>
    <m/>
    <m/>
    <m/>
    <m/>
    <n v="6.5"/>
    <n v="0.85"/>
    <n v="5.5249999999999995"/>
    <x v="8"/>
    <s v="Inst för språkstudier"/>
    <s v="Hum"/>
    <s v="Ämneslärarprogrammet - Gy"/>
    <n v="18405"/>
    <n v="15773"/>
    <n v="206778.32500000001"/>
    <n v="5800"/>
    <n v="37700"/>
    <n v="244478.32500000001"/>
    <n v="0"/>
    <n v="1"/>
    <n v="0"/>
    <n v="0"/>
    <n v="0"/>
    <n v="0"/>
    <n v="0"/>
    <n v="0"/>
    <n v="0"/>
    <n v="0"/>
    <n v="0"/>
    <n v="0"/>
  </r>
  <r>
    <s v="6SD005"/>
    <s v="Examensarbete med språkdidaktisk inriktning för lärarexamen"/>
    <m/>
    <s v="FRIST"/>
    <m/>
    <n v="2019"/>
    <m/>
    <m/>
    <m/>
    <m/>
    <m/>
    <m/>
    <m/>
    <m/>
    <m/>
    <m/>
    <n v="0.5"/>
    <n v="0.8"/>
    <n v="0.4"/>
    <x v="8"/>
    <s v="Inst för språkstudier"/>
    <s v="Hum"/>
    <s v="Fristående och övriga kurser"/>
    <n v="18405"/>
    <n v="15773"/>
    <n v="15511.7"/>
    <n v="5800"/>
    <n v="2900"/>
    <n v="18411.7"/>
    <n v="0"/>
    <n v="1"/>
    <n v="0"/>
    <n v="0"/>
    <n v="0"/>
    <n v="0"/>
    <n v="0"/>
    <n v="0"/>
    <n v="0"/>
    <n v="0"/>
    <n v="0"/>
    <n v="0"/>
  </r>
  <r>
    <s v="6SD007"/>
    <s v="Didaktik för det flerspråkiga klassrummet"/>
    <m/>
    <s v="FRIST"/>
    <m/>
    <n v="2019"/>
    <m/>
    <m/>
    <m/>
    <m/>
    <m/>
    <m/>
    <m/>
    <m/>
    <m/>
    <m/>
    <n v="2.875"/>
    <n v="0.8"/>
    <n v="2.3000000000000003"/>
    <x v="8"/>
    <s v="Inst för språkstudier"/>
    <s v="Hum"/>
    <s v="Fristående och övriga kurser"/>
    <n v="18405"/>
    <n v="15773"/>
    <n v="89192.274999999994"/>
    <n v="5800"/>
    <n v="16675"/>
    <n v="105867.27499999999"/>
    <n v="0"/>
    <n v="1"/>
    <n v="0"/>
    <n v="0"/>
    <n v="0"/>
    <n v="0"/>
    <n v="0"/>
    <n v="0"/>
    <n v="0"/>
    <n v="0"/>
    <n v="0"/>
    <n v="0"/>
  </r>
  <r>
    <s v="6SD008"/>
    <s v="Språkdidaktik: Aktuella frågor och metoder i språkdidaktisk forskning"/>
    <m/>
    <s v="FRIST"/>
    <m/>
    <n v="2019"/>
    <m/>
    <m/>
    <m/>
    <m/>
    <m/>
    <m/>
    <m/>
    <m/>
    <m/>
    <m/>
    <n v="0.25"/>
    <n v="0.8"/>
    <n v="0.2"/>
    <x v="8"/>
    <s v="Inst för språkstudier"/>
    <s v="Hum"/>
    <s v="Fristående och övriga kurser"/>
    <n v="18405"/>
    <n v="15773"/>
    <n v="7755.85"/>
    <n v="5800"/>
    <n v="1450"/>
    <n v="9205.85"/>
    <n v="0"/>
    <n v="1"/>
    <n v="0"/>
    <n v="0"/>
    <n v="0"/>
    <n v="0"/>
    <n v="0"/>
    <n v="0"/>
    <n v="0"/>
    <n v="0"/>
    <n v="0"/>
    <n v="0"/>
  </r>
  <r>
    <s v="6SD010"/>
    <s v="Språk-, skriv- och läsutveckling för speciallärare"/>
    <m/>
    <s v="LYSPL"/>
    <m/>
    <n v="2019"/>
    <m/>
    <m/>
    <m/>
    <m/>
    <m/>
    <m/>
    <m/>
    <m/>
    <m/>
    <m/>
    <n v="8.5"/>
    <n v="0.85"/>
    <n v="7.2249999999999996"/>
    <x v="8"/>
    <s v="Inst för språkstudier"/>
    <s v="Hum"/>
    <s v="Speciallärarprogrammet"/>
    <n v="18405"/>
    <n v="15773"/>
    <n v="270402.42499999999"/>
    <n v="5800"/>
    <n v="49300"/>
    <n v="319702.42499999999"/>
    <n v="0"/>
    <n v="1"/>
    <n v="0"/>
    <n v="0"/>
    <n v="0"/>
    <n v="0"/>
    <n v="0"/>
    <n v="0"/>
    <n v="0"/>
    <n v="0"/>
    <n v="0"/>
    <n v="0"/>
  </r>
  <r>
    <s v="6SD011"/>
    <s v="Examensarbete för speciallärarexamen med specialisering mot språk-, skriv- och läsutveckling"/>
    <m/>
    <s v="LYSPL"/>
    <m/>
    <n v="2019"/>
    <m/>
    <m/>
    <m/>
    <m/>
    <m/>
    <m/>
    <m/>
    <m/>
    <m/>
    <m/>
    <n v="4.25"/>
    <n v="0.85"/>
    <n v="3.6124999999999998"/>
    <x v="8"/>
    <s v="Inst för språkstudier"/>
    <s v="Hum"/>
    <s v="Speciallärarprogrammet"/>
    <n v="18405"/>
    <n v="15773"/>
    <n v="135201.21249999999"/>
    <n v="5800"/>
    <n v="24650"/>
    <n v="159851.21249999999"/>
    <n v="0"/>
    <n v="0"/>
    <n v="0"/>
    <n v="0"/>
    <n v="0"/>
    <n v="0"/>
    <n v="1"/>
    <n v="0"/>
    <n v="0"/>
    <n v="0"/>
    <n v="0"/>
    <n v="0"/>
  </r>
  <r>
    <s v="6SD012"/>
    <s v="Språk-, skriv- och läsutveckling i ett specialpedagogiskt perspektiv"/>
    <m/>
    <s v="LYSPL"/>
    <m/>
    <n v="2019"/>
    <m/>
    <m/>
    <m/>
    <m/>
    <m/>
    <m/>
    <m/>
    <m/>
    <m/>
    <m/>
    <n v="1"/>
    <n v="0.85"/>
    <n v="0.85"/>
    <x v="8"/>
    <s v="Inst för språkstudier"/>
    <s v="Hum"/>
    <s v="Speciallärarprogrammet"/>
    <n v="18405"/>
    <n v="15773"/>
    <n v="31812.05"/>
    <n v="5800"/>
    <n v="5800"/>
    <n v="37612.050000000003"/>
    <n v="0"/>
    <n v="1"/>
    <n v="0"/>
    <n v="0"/>
    <n v="0"/>
    <n v="0"/>
    <n v="0"/>
    <n v="0"/>
    <n v="0"/>
    <n v="0"/>
    <n v="0"/>
    <n v="0"/>
  </r>
  <r>
    <s v="6SH009"/>
    <s v="Samhällskunskap 1"/>
    <m/>
    <s v="LYAGY"/>
    <m/>
    <n v="2019"/>
    <m/>
    <m/>
    <m/>
    <m/>
    <m/>
    <m/>
    <m/>
    <m/>
    <m/>
    <m/>
    <n v="11"/>
    <n v="0.85"/>
    <n v="9.35"/>
    <x v="16"/>
    <s v="Statsvetenskap                "/>
    <s v="Sam"/>
    <s v="Ämneslärarprogrammet - Gy"/>
    <n v="18405"/>
    <n v="15773"/>
    <n v="349932.55"/>
    <n v="5800"/>
    <n v="63800"/>
    <n v="413732.55"/>
    <n v="0"/>
    <n v="1"/>
    <n v="0"/>
    <n v="0"/>
    <n v="0"/>
    <n v="0"/>
    <n v="0"/>
    <n v="0"/>
    <n v="0"/>
    <n v="0"/>
    <n v="0"/>
    <n v="0"/>
  </r>
  <r>
    <s v="6SH010"/>
    <s v="Samhällskunskap 2"/>
    <m/>
    <s v="LYAGY"/>
    <m/>
    <n v="2019"/>
    <m/>
    <m/>
    <m/>
    <m/>
    <m/>
    <m/>
    <m/>
    <m/>
    <m/>
    <m/>
    <n v="9"/>
    <n v="0.85"/>
    <n v="7.6499999999999995"/>
    <x v="16"/>
    <s v="Statsvetenskap                "/>
    <s v="Sam"/>
    <s v="Ämneslärarprogrammet - Gy"/>
    <n v="18405"/>
    <n v="15773"/>
    <n v="286308.45"/>
    <n v="5800"/>
    <n v="52200"/>
    <n v="338508.45"/>
    <n v="0"/>
    <n v="0"/>
    <n v="0"/>
    <n v="0"/>
    <n v="0"/>
    <n v="0"/>
    <n v="1"/>
    <n v="0"/>
    <n v="0"/>
    <n v="0"/>
    <n v="0"/>
    <n v="0"/>
  </r>
  <r>
    <s v="6SH011"/>
    <s v="Samhällskunskap 3"/>
    <m/>
    <s v="LYAGY"/>
    <m/>
    <n v="2019"/>
    <m/>
    <m/>
    <m/>
    <m/>
    <m/>
    <m/>
    <m/>
    <m/>
    <m/>
    <m/>
    <n v="6.5"/>
    <n v="0.85"/>
    <n v="5.5249999999999995"/>
    <x v="16"/>
    <s v="Statsvetenskap                "/>
    <s v="Sam"/>
    <s v="Ämneslärarprogrammet - Gy"/>
    <n v="18405"/>
    <n v="15773"/>
    <n v="206778.32500000001"/>
    <n v="5800"/>
    <n v="37700"/>
    <n v="244478.32500000001"/>
    <n v="0"/>
    <n v="1"/>
    <n v="0"/>
    <n v="0"/>
    <n v="0"/>
    <n v="0"/>
    <n v="0"/>
    <n v="0"/>
    <n v="0"/>
    <n v="0"/>
    <n v="0"/>
    <n v="0"/>
  </r>
  <r>
    <s v="6SH013"/>
    <s v="Examensarbete"/>
    <m/>
    <s v="LYAGR"/>
    <m/>
    <n v="2019"/>
    <m/>
    <m/>
    <m/>
    <m/>
    <m/>
    <m/>
    <m/>
    <m/>
    <m/>
    <m/>
    <n v="0.125"/>
    <n v="0.85"/>
    <n v="0.10625"/>
    <x v="16"/>
    <s v="Statsvetenskap                "/>
    <s v="Sam"/>
    <s v="Ämneslärarprogrammet - åk 7-9"/>
    <n v="18405"/>
    <n v="15773"/>
    <n v="3976.5062499999999"/>
    <n v="5800"/>
    <n v="725"/>
    <n v="4701.5062500000004"/>
    <n v="0"/>
    <n v="0"/>
    <n v="0"/>
    <n v="0"/>
    <n v="0"/>
    <n v="0"/>
    <n v="1"/>
    <n v="0"/>
    <n v="0"/>
    <n v="0"/>
    <n v="0"/>
    <n v="0"/>
  </r>
  <r>
    <s v="6SH013"/>
    <s v="Examensarbete"/>
    <m/>
    <s v="LYAGY"/>
    <m/>
    <n v="2019"/>
    <m/>
    <m/>
    <m/>
    <m/>
    <m/>
    <m/>
    <m/>
    <m/>
    <m/>
    <m/>
    <n v="7.125"/>
    <n v="0.85"/>
    <n v="6.0562499999999995"/>
    <x v="16"/>
    <s v="Statsvetenskap                "/>
    <s v="Sam"/>
    <s v="Ämneslärarprogrammet - Gy"/>
    <n v="18405"/>
    <n v="15773"/>
    <n v="226660.85625000001"/>
    <n v="5800"/>
    <n v="41325"/>
    <n v="267985.85625000001"/>
    <n v="0"/>
    <n v="0"/>
    <n v="0"/>
    <n v="0"/>
    <n v="0"/>
    <n v="0"/>
    <n v="1"/>
    <n v="0"/>
    <n v="0"/>
    <n v="0"/>
    <n v="0"/>
    <n v="0"/>
  </r>
  <r>
    <s v="6SH014"/>
    <s v="Profession och vetenskap"/>
    <m/>
    <s v="LYAGR"/>
    <m/>
    <n v="2019"/>
    <m/>
    <m/>
    <m/>
    <m/>
    <m/>
    <m/>
    <m/>
    <m/>
    <m/>
    <m/>
    <n v="0.625"/>
    <n v="0.85"/>
    <n v="0.53125"/>
    <x v="16"/>
    <s v="Statsvetenskap                "/>
    <s v="Sam"/>
    <s v="Ämneslärarprogrammet - åk 7-9"/>
    <n v="23641"/>
    <n v="28786"/>
    <n v="30068.1875"/>
    <n v="5800"/>
    <n v="3625"/>
    <n v="33693.1875"/>
    <n v="0"/>
    <n v="0"/>
    <n v="0"/>
    <n v="1"/>
    <n v="0"/>
    <n v="0"/>
    <n v="0"/>
    <n v="0"/>
    <n v="0"/>
    <n v="0"/>
    <n v="0"/>
    <n v="0"/>
  </r>
  <r>
    <s v="6SH014"/>
    <s v="Profession och vetenskap"/>
    <m/>
    <s v="LYAGY"/>
    <m/>
    <n v="2019"/>
    <m/>
    <m/>
    <m/>
    <m/>
    <m/>
    <m/>
    <m/>
    <m/>
    <m/>
    <m/>
    <n v="7.875"/>
    <n v="0.85"/>
    <n v="6.6937499999999996"/>
    <x v="16"/>
    <s v="Statsvetenskap                "/>
    <s v="Sam"/>
    <s v="Ämneslärarprogrammet - Gy"/>
    <n v="23641"/>
    <n v="28786"/>
    <n v="378859.16249999998"/>
    <n v="5800"/>
    <n v="45675"/>
    <n v="424534.16249999998"/>
    <n v="0"/>
    <n v="0"/>
    <n v="0"/>
    <n v="1"/>
    <n v="0"/>
    <n v="0"/>
    <n v="0"/>
    <n v="0"/>
    <n v="0"/>
    <n v="0"/>
    <n v="0"/>
    <n v="0"/>
  </r>
  <r>
    <s v="6SH014"/>
    <s v="Profession och vetenskap"/>
    <m/>
    <s v="FRIST"/>
    <m/>
    <n v="2019"/>
    <m/>
    <m/>
    <m/>
    <m/>
    <m/>
    <m/>
    <m/>
    <m/>
    <m/>
    <m/>
    <n v="0.125"/>
    <n v="0.8"/>
    <n v="0.1"/>
    <x v="16"/>
    <s v="Statsvetenskap                "/>
    <s v="Sam"/>
    <s v="Fristående och övriga kurser"/>
    <n v="23641"/>
    <n v="28786"/>
    <n v="5833.7250000000004"/>
    <n v="5800"/>
    <n v="725"/>
    <n v="6558.7250000000004"/>
    <n v="0"/>
    <n v="0"/>
    <n v="0"/>
    <n v="1"/>
    <n v="0"/>
    <n v="0"/>
    <n v="0"/>
    <n v="0"/>
    <n v="0"/>
    <n v="0"/>
    <n v="0"/>
    <n v="0"/>
  </r>
  <r>
    <s v="6SL021"/>
    <s v="Slöjd, Trä- och metall 2a, distans"/>
    <m/>
    <s v="FRIST"/>
    <m/>
    <n v="2019"/>
    <m/>
    <m/>
    <m/>
    <m/>
    <m/>
    <m/>
    <m/>
    <m/>
    <m/>
    <m/>
    <n v="3.5"/>
    <n v="0.8"/>
    <n v="2.8000000000000003"/>
    <x v="9"/>
    <s v="Estetiska ämnen               "/>
    <s v="Hum"/>
    <s v="Fristående och övriga kurser"/>
    <n v="19473"/>
    <n v="34806"/>
    <n v="165612.29999999999"/>
    <n v="21800"/>
    <n v="76300"/>
    <n v="241912.3"/>
    <n v="0"/>
    <n v="0"/>
    <n v="0"/>
    <n v="0"/>
    <n v="0"/>
    <n v="0"/>
    <n v="0"/>
    <n v="1"/>
    <n v="0"/>
    <n v="0"/>
    <n v="0"/>
    <n v="0"/>
  </r>
  <r>
    <s v="6SL022"/>
    <s v="Slöjd, Trä- och metall 2b, distans"/>
    <m/>
    <s v="FRIST"/>
    <m/>
    <n v="2019"/>
    <m/>
    <m/>
    <m/>
    <m/>
    <m/>
    <m/>
    <m/>
    <m/>
    <m/>
    <m/>
    <n v="2.75"/>
    <n v="0.8"/>
    <n v="2.2000000000000002"/>
    <x v="9"/>
    <s v="Estetiska ämnen               "/>
    <s v="Hum"/>
    <s v="Fristående och övriga kurser"/>
    <n v="19473"/>
    <n v="34806"/>
    <n v="130123.95000000001"/>
    <n v="21800"/>
    <n v="59950"/>
    <n v="190073.95"/>
    <n v="0"/>
    <n v="0"/>
    <n v="0"/>
    <n v="0"/>
    <n v="0"/>
    <n v="0"/>
    <n v="0"/>
    <n v="1"/>
    <n v="0"/>
    <n v="0"/>
    <n v="0"/>
    <n v="0"/>
  </r>
  <r>
    <s v="6SL035"/>
    <s v="Slöjd 1, trä- och metall"/>
    <m/>
    <s v="FRIST"/>
    <m/>
    <n v="2019"/>
    <m/>
    <m/>
    <m/>
    <m/>
    <m/>
    <m/>
    <m/>
    <m/>
    <m/>
    <m/>
    <n v="11.25"/>
    <n v="0.8"/>
    <n v="9"/>
    <x v="9"/>
    <s v="Estetiska ämnen               "/>
    <s v="Hum"/>
    <s v="Fristående och övriga kurser"/>
    <n v="19473"/>
    <n v="34806"/>
    <n v="532325.25"/>
    <n v="21800"/>
    <n v="245250"/>
    <n v="777575.25"/>
    <n v="0"/>
    <n v="0"/>
    <n v="0"/>
    <n v="0"/>
    <n v="0"/>
    <n v="0"/>
    <n v="0"/>
    <n v="1"/>
    <n v="0"/>
    <n v="0"/>
    <n v="0"/>
    <n v="0"/>
  </r>
  <r>
    <s v="6SL036"/>
    <s v="Form, färg, estetik och uttryck - Utveckla ditt formspråk i trä"/>
    <m/>
    <s v="LYLÄP"/>
    <m/>
    <n v="2019"/>
    <m/>
    <m/>
    <m/>
    <m/>
    <m/>
    <m/>
    <m/>
    <m/>
    <m/>
    <m/>
    <n v="0.75"/>
    <n v="0.85"/>
    <n v="0.63749999999999996"/>
    <x v="9"/>
    <s v="Estetiska ämnen               "/>
    <s v="Hum"/>
    <s v="VAL-projektet"/>
    <n v="19473"/>
    <n v="34806"/>
    <n v="36793.574999999997"/>
    <n v="21800"/>
    <n v="16350"/>
    <n v="53143.574999999997"/>
    <n v="0"/>
    <n v="0"/>
    <n v="0"/>
    <n v="0"/>
    <n v="0"/>
    <n v="0"/>
    <n v="0"/>
    <n v="1"/>
    <n v="0"/>
    <n v="0"/>
    <n v="0"/>
    <n v="0"/>
  </r>
  <r>
    <s v="6SL036"/>
    <s v="Form, färg, estetik och uttryck - Utveckla ditt formspråk i trä"/>
    <m/>
    <s v="FRIST"/>
    <m/>
    <n v="2019"/>
    <m/>
    <m/>
    <m/>
    <m/>
    <m/>
    <m/>
    <m/>
    <m/>
    <m/>
    <m/>
    <n v="2"/>
    <n v="0.8"/>
    <n v="1.6"/>
    <x v="9"/>
    <s v="Estetiska ämnen               "/>
    <s v="Hum"/>
    <s v="Fristående och övriga kurser"/>
    <n v="19473"/>
    <n v="34806"/>
    <n v="94635.6"/>
    <n v="21800"/>
    <n v="43600"/>
    <n v="138235.6"/>
    <n v="0"/>
    <n v="0"/>
    <n v="0"/>
    <n v="0"/>
    <n v="0"/>
    <n v="0"/>
    <n v="0"/>
    <n v="1"/>
    <n v="0"/>
    <n v="0"/>
    <n v="0"/>
    <n v="0"/>
  </r>
  <r>
    <s v="6SL038"/>
    <s v="Skapandets intryck - utveckla och tala om hantverkets tysta kunskap"/>
    <m/>
    <s v="FRIST"/>
    <m/>
    <n v="2019"/>
    <m/>
    <m/>
    <m/>
    <m/>
    <m/>
    <m/>
    <m/>
    <m/>
    <m/>
    <m/>
    <n v="1.75"/>
    <n v="0.8"/>
    <n v="1.4000000000000001"/>
    <x v="9"/>
    <s v="Estetiska ämnen               "/>
    <s v="Hum"/>
    <s v="Fristående och övriga kurser"/>
    <n v="19473"/>
    <n v="34806"/>
    <n v="82806.149999999994"/>
    <n v="21800"/>
    <n v="38150"/>
    <n v="120956.15"/>
    <n v="0"/>
    <n v="0"/>
    <n v="0"/>
    <n v="0"/>
    <n v="0"/>
    <n v="0"/>
    <n v="0"/>
    <n v="1"/>
    <n v="0"/>
    <n v="0"/>
    <n v="0"/>
    <n v="0"/>
  </r>
  <r>
    <s v="6SP050"/>
    <s v="Introduktion till det specialpedagogiska fältet"/>
    <m/>
    <s v="LYSPE"/>
    <m/>
    <n v="2019"/>
    <m/>
    <m/>
    <m/>
    <m/>
    <m/>
    <m/>
    <m/>
    <m/>
    <m/>
    <m/>
    <n v="4.625"/>
    <n v="0.85"/>
    <n v="3.9312499999999999"/>
    <x v="11"/>
    <s v="Pedagogik                     "/>
    <s v="Sam"/>
    <s v="Specialpedagogprogrammet"/>
    <n v="18405"/>
    <n v="15773"/>
    <n v="147130.73125000001"/>
    <n v="5800"/>
    <n v="26825"/>
    <n v="173955.73125000001"/>
    <n v="0"/>
    <n v="0"/>
    <n v="0"/>
    <n v="0"/>
    <n v="0"/>
    <n v="0"/>
    <n v="1"/>
    <n v="0"/>
    <n v="0"/>
    <n v="0"/>
    <n v="0"/>
    <n v="0"/>
  </r>
  <r>
    <s v="6SP050"/>
    <s v="Introduktion till det specialpedagogiska fältet"/>
    <m/>
    <s v="LYSPL"/>
    <m/>
    <n v="2019"/>
    <m/>
    <m/>
    <m/>
    <m/>
    <m/>
    <m/>
    <m/>
    <m/>
    <m/>
    <m/>
    <n v="6.125"/>
    <n v="0.85"/>
    <n v="5.2062499999999998"/>
    <x v="11"/>
    <s v="Pedagogik                     "/>
    <s v="Sam"/>
    <s v="Speciallärarprogrammet"/>
    <n v="18405"/>
    <n v="15773"/>
    <n v="194848.80624999999"/>
    <n v="5800"/>
    <n v="35525"/>
    <n v="230373.80624999999"/>
    <n v="0"/>
    <n v="0"/>
    <n v="0"/>
    <n v="0"/>
    <n v="0"/>
    <n v="0"/>
    <n v="1"/>
    <n v="0"/>
    <n v="0"/>
    <n v="0"/>
    <n v="0"/>
    <n v="0"/>
  </r>
  <r>
    <s v="6SP051"/>
    <s v="Neuropsykiatriska svårigheter i olika lärmiljöer"/>
    <m/>
    <s v="LYSPE"/>
    <m/>
    <n v="2019"/>
    <m/>
    <m/>
    <m/>
    <m/>
    <m/>
    <m/>
    <m/>
    <m/>
    <m/>
    <m/>
    <n v="4"/>
    <n v="0.85"/>
    <n v="3.4"/>
    <x v="11"/>
    <s v="Pedagogik                     "/>
    <s v="Sam"/>
    <s v="Specialpedagogprogrammet"/>
    <n v="18405"/>
    <n v="15773"/>
    <n v="127248.2"/>
    <n v="5800"/>
    <n v="23200"/>
    <n v="150448.20000000001"/>
    <n v="0"/>
    <n v="0"/>
    <n v="0"/>
    <n v="0"/>
    <n v="0"/>
    <n v="0"/>
    <n v="1"/>
    <n v="0"/>
    <n v="0"/>
    <n v="0"/>
    <n v="0"/>
    <n v="0"/>
  </r>
  <r>
    <s v="6SP051"/>
    <s v="Neuropsykiatriska svårigheter i olika lärmiljöer"/>
    <m/>
    <s v="LYSPL"/>
    <m/>
    <n v="2019"/>
    <m/>
    <m/>
    <m/>
    <m/>
    <m/>
    <m/>
    <m/>
    <m/>
    <m/>
    <m/>
    <n v="5.125"/>
    <n v="0.85"/>
    <n v="4.3562500000000002"/>
    <x v="11"/>
    <s v="Pedagogik                     "/>
    <s v="Sam"/>
    <s v="Speciallärarprogrammet"/>
    <n v="18405"/>
    <n v="15773"/>
    <n v="163036.75625000001"/>
    <n v="5800"/>
    <n v="29725"/>
    <n v="192761.75625000001"/>
    <n v="0"/>
    <n v="0"/>
    <n v="0"/>
    <n v="0"/>
    <n v="0"/>
    <n v="0"/>
    <n v="1"/>
    <n v="0"/>
    <n v="0"/>
    <n v="0"/>
    <n v="0"/>
    <n v="0"/>
  </r>
  <r>
    <s v="6SP051"/>
    <s v="Neuropsykiatriska svårigheter i olika lärmiljöer"/>
    <m/>
    <s v="FRIST"/>
    <m/>
    <n v="2019"/>
    <m/>
    <m/>
    <m/>
    <m/>
    <m/>
    <m/>
    <m/>
    <m/>
    <m/>
    <m/>
    <n v="0.625"/>
    <n v="0.8"/>
    <n v="0.5"/>
    <x v="11"/>
    <s v="Pedagogik                     "/>
    <s v="Sam"/>
    <s v="Fristående och övriga kurser"/>
    <n v="18405"/>
    <n v="15773"/>
    <n v="19389.625"/>
    <n v="5800"/>
    <n v="3625"/>
    <n v="23014.625"/>
    <n v="0"/>
    <n v="0"/>
    <n v="0"/>
    <n v="0"/>
    <n v="0"/>
    <n v="0"/>
    <n v="1"/>
    <n v="0"/>
    <n v="0"/>
    <n v="0"/>
    <n v="0"/>
    <n v="0"/>
  </r>
  <r>
    <s v="6SP052"/>
    <s v="Speciallärarens och specialpedagogens yrkesfunktion"/>
    <m/>
    <s v="LYSPE"/>
    <m/>
    <n v="2019"/>
    <m/>
    <m/>
    <m/>
    <m/>
    <m/>
    <m/>
    <m/>
    <m/>
    <m/>
    <m/>
    <n v="8"/>
    <n v="0.85"/>
    <n v="6.8"/>
    <x v="12"/>
    <s v="TUV "/>
    <s v="Sam"/>
    <s v="Specialpedagogprogrammet"/>
    <n v="34144.199999999997"/>
    <n v="33557.800000000003"/>
    <n v="501346.64"/>
    <n v="5800"/>
    <n v="46400"/>
    <n v="547746.64"/>
    <n v="0"/>
    <n v="0"/>
    <n v="0"/>
    <n v="0"/>
    <n v="0"/>
    <n v="0"/>
    <n v="0.2"/>
    <n v="0"/>
    <n v="0"/>
    <n v="0"/>
    <n v="0"/>
    <n v="0.8"/>
  </r>
  <r>
    <s v="6SP052"/>
    <s v="Speciallärarens och specialpedagogens yrkesfunktion"/>
    <m/>
    <s v="LYSPL"/>
    <m/>
    <n v="2019"/>
    <m/>
    <m/>
    <m/>
    <m/>
    <m/>
    <m/>
    <m/>
    <m/>
    <m/>
    <m/>
    <n v="10.5"/>
    <n v="0.85"/>
    <n v="8.9249999999999989"/>
    <x v="12"/>
    <s v="TUV "/>
    <s v="Sam"/>
    <s v="Speciallärarprogrammet"/>
    <n v="34144.199999999997"/>
    <n v="33557.800000000003"/>
    <n v="658017.46499999997"/>
    <n v="5800"/>
    <n v="60900"/>
    <n v="718917.46499999997"/>
    <n v="0"/>
    <n v="0"/>
    <n v="0"/>
    <n v="0"/>
    <n v="0"/>
    <n v="0"/>
    <n v="0.2"/>
    <n v="0"/>
    <n v="0"/>
    <n v="0"/>
    <n v="0"/>
    <n v="0.8"/>
  </r>
  <r>
    <s v="6SP053"/>
    <s v="Utvärdering, ledarskap och förändringsarbete"/>
    <m/>
    <s v="LYSPE"/>
    <m/>
    <n v="2019"/>
    <m/>
    <m/>
    <m/>
    <m/>
    <m/>
    <m/>
    <m/>
    <m/>
    <m/>
    <m/>
    <n v="14.625"/>
    <n v="0.85"/>
    <n v="12.43125"/>
    <x v="11"/>
    <s v="Pedagogik                     "/>
    <s v="Sam"/>
    <s v="Specialpedagogprogrammet"/>
    <n v="18405"/>
    <n v="15773"/>
    <n v="465251.23125000001"/>
    <n v="5800"/>
    <n v="84825"/>
    <n v="550076.23124999995"/>
    <n v="0"/>
    <n v="0"/>
    <n v="0"/>
    <n v="0"/>
    <n v="0"/>
    <n v="0"/>
    <n v="1"/>
    <n v="0"/>
    <n v="0"/>
    <n v="0"/>
    <n v="0"/>
    <n v="0"/>
  </r>
  <r>
    <s v="6SP053"/>
    <s v="Utvärdering, ledarskap och förändringsarbete"/>
    <m/>
    <s v="FRIST"/>
    <m/>
    <n v="2019"/>
    <m/>
    <m/>
    <m/>
    <m/>
    <m/>
    <m/>
    <m/>
    <m/>
    <m/>
    <m/>
    <n v="0.375"/>
    <n v="0.8"/>
    <n v="0.30000000000000004"/>
    <x v="11"/>
    <s v="Pedagogik                     "/>
    <s v="Sam"/>
    <s v="Fristående och övriga kurser"/>
    <n v="18405"/>
    <n v="15773"/>
    <n v="11633.775000000001"/>
    <n v="5800"/>
    <n v="2175"/>
    <n v="13808.775000000001"/>
    <n v="0"/>
    <n v="0"/>
    <n v="0"/>
    <n v="0"/>
    <n v="0"/>
    <n v="0"/>
    <n v="1"/>
    <n v="0"/>
    <n v="0"/>
    <n v="0"/>
    <n v="0"/>
    <n v="0"/>
  </r>
  <r>
    <s v="6SP054"/>
    <s v="Att utveckla lärande i skola och vardag - Utvecklingsstörning"/>
    <m/>
    <s v="LYSPL"/>
    <m/>
    <n v="2019"/>
    <m/>
    <m/>
    <m/>
    <m/>
    <m/>
    <m/>
    <m/>
    <m/>
    <m/>
    <m/>
    <n v="0.75"/>
    <n v="0.85"/>
    <n v="0.63749999999999996"/>
    <x v="11"/>
    <s v="Pedagogik                     "/>
    <s v="Sam"/>
    <s v="Speciallärarprogrammet"/>
    <n v="18405"/>
    <n v="15773"/>
    <n v="23859.037499999999"/>
    <n v="5800"/>
    <n v="4350"/>
    <n v="28209.037499999999"/>
    <n v="0"/>
    <n v="0"/>
    <n v="0"/>
    <n v="0"/>
    <n v="0"/>
    <n v="0"/>
    <n v="1"/>
    <n v="0"/>
    <n v="0"/>
    <n v="0"/>
    <n v="0"/>
    <n v="0"/>
  </r>
  <r>
    <s v="6SP055"/>
    <s v="Undervisning, kommunikation och kunskapsutveckling - Utvecklingsstörning"/>
    <m/>
    <s v="LYSPL"/>
    <m/>
    <n v="2019"/>
    <m/>
    <m/>
    <m/>
    <m/>
    <m/>
    <m/>
    <m/>
    <m/>
    <m/>
    <m/>
    <n v="0.75"/>
    <n v="0.85"/>
    <n v="0.63749999999999996"/>
    <x v="11"/>
    <s v="Pedagogik                     "/>
    <s v="Sam"/>
    <s v="Speciallärarprogrammet"/>
    <n v="18405"/>
    <n v="15773"/>
    <n v="23859.037499999999"/>
    <n v="5800"/>
    <n v="4350"/>
    <n v="28209.037499999999"/>
    <n v="0"/>
    <n v="0"/>
    <n v="0"/>
    <n v="0"/>
    <n v="0"/>
    <n v="0"/>
    <n v="1"/>
    <n v="0"/>
    <n v="0"/>
    <n v="0"/>
    <n v="0"/>
    <n v="0"/>
  </r>
  <r>
    <s v="6SP056"/>
    <s v="Neuropsykiatriska svårigheter - förhållningsätt, bemötande och strategier i pedagogisk verksamhet"/>
    <m/>
    <s v="FRIST"/>
    <m/>
    <n v="2019"/>
    <m/>
    <m/>
    <m/>
    <m/>
    <m/>
    <m/>
    <m/>
    <m/>
    <m/>
    <m/>
    <n v="14.25"/>
    <n v="0.8"/>
    <n v="11.4"/>
    <x v="12"/>
    <s v="TUV "/>
    <s v="Sam"/>
    <s v="Fristående och övriga kurser"/>
    <n v="18405"/>
    <n v="15773"/>
    <n v="442083.45"/>
    <n v="5800"/>
    <n v="82650"/>
    <n v="524733.44999999995"/>
    <n v="0"/>
    <n v="0"/>
    <n v="0"/>
    <n v="0"/>
    <n v="0"/>
    <n v="0"/>
    <n v="1"/>
    <n v="0"/>
    <n v="0"/>
    <n v="0"/>
    <n v="0"/>
    <n v="0"/>
  </r>
  <r>
    <s v="6SP057"/>
    <s v="Specialpedagogiska kunskapsområden"/>
    <m/>
    <s v="LYSPE"/>
    <m/>
    <n v="2019"/>
    <m/>
    <m/>
    <m/>
    <m/>
    <m/>
    <m/>
    <m/>
    <m/>
    <m/>
    <m/>
    <n v="4.875"/>
    <n v="0.85"/>
    <n v="4.1437499999999998"/>
    <x v="12"/>
    <s v="TUV "/>
    <s v="Sam"/>
    <s v="Specialpedagogprogrammet"/>
    <n v="18405"/>
    <n v="15773"/>
    <n v="155083.74374999999"/>
    <n v="5800"/>
    <n v="28275"/>
    <n v="183358.74374999999"/>
    <n v="0"/>
    <n v="0"/>
    <n v="0"/>
    <n v="0"/>
    <n v="0"/>
    <n v="0"/>
    <n v="1"/>
    <n v="0"/>
    <n v="0"/>
    <n v="0"/>
    <n v="0"/>
    <n v="0"/>
  </r>
  <r>
    <s v="6SP058"/>
    <s v="Vetenskaplig metodkurs Speciallärar- och specialpedagogprogrammen"/>
    <m/>
    <s v="LYSPE"/>
    <m/>
    <n v="2019"/>
    <m/>
    <m/>
    <m/>
    <m/>
    <m/>
    <m/>
    <m/>
    <m/>
    <m/>
    <m/>
    <n v="4.25"/>
    <n v="0.85"/>
    <n v="3.6124999999999998"/>
    <x v="11"/>
    <s v="Pedagogik                     "/>
    <s v="Sam"/>
    <s v="Specialpedagogprogrammet"/>
    <n v="18405"/>
    <n v="15773"/>
    <n v="135201.21249999999"/>
    <n v="5800"/>
    <n v="24650"/>
    <n v="159851.21249999999"/>
    <n v="0"/>
    <n v="0"/>
    <n v="0"/>
    <n v="0"/>
    <n v="0"/>
    <n v="0"/>
    <n v="1"/>
    <n v="0"/>
    <n v="0"/>
    <n v="0"/>
    <n v="0"/>
    <n v="0"/>
  </r>
  <r>
    <s v="6SP058"/>
    <s v="Vetenskaplig metodkurs Speciallärar- och specialpedagogprogrammen"/>
    <m/>
    <s v="LYSPL"/>
    <m/>
    <n v="2019"/>
    <m/>
    <m/>
    <m/>
    <m/>
    <m/>
    <m/>
    <m/>
    <m/>
    <m/>
    <m/>
    <n v="3.625"/>
    <n v="0.85"/>
    <n v="3.0812499999999998"/>
    <x v="11"/>
    <s v="Pedagogik                     "/>
    <s v="Sam"/>
    <s v="Speciallärarprogrammet"/>
    <n v="18405"/>
    <n v="15773"/>
    <n v="115318.68124999999"/>
    <n v="5800"/>
    <n v="21025"/>
    <n v="136343.68124999999"/>
    <n v="0"/>
    <n v="0"/>
    <n v="0"/>
    <n v="0"/>
    <n v="0"/>
    <n v="0"/>
    <n v="1"/>
    <n v="0"/>
    <n v="0"/>
    <n v="0"/>
    <n v="0"/>
    <n v="0"/>
  </r>
  <r>
    <s v="6SP059"/>
    <s v="Examensarbete speciallärarprogrammet med specialisering mot utvecklingsstörning"/>
    <m/>
    <s v="LYSPL"/>
    <m/>
    <n v="2019"/>
    <m/>
    <m/>
    <m/>
    <m/>
    <m/>
    <m/>
    <m/>
    <m/>
    <m/>
    <m/>
    <n v="0.75"/>
    <n v="0.85"/>
    <n v="0.63749999999999996"/>
    <x v="11"/>
    <s v="Pedagogik                     "/>
    <s v="Sam"/>
    <s v="Speciallärarprogrammet"/>
    <n v="18405"/>
    <n v="15773"/>
    <n v="23859.037499999999"/>
    <n v="5800"/>
    <n v="4350"/>
    <n v="28209.037499999999"/>
    <n v="0"/>
    <n v="0"/>
    <n v="0"/>
    <n v="0"/>
    <n v="0"/>
    <n v="0"/>
    <n v="1"/>
    <n v="0"/>
    <n v="0"/>
    <n v="0"/>
    <n v="0"/>
    <n v="0"/>
  </r>
  <r>
    <s v="6SP060"/>
    <s v="Eamensarbete specialpedagogprogrammet"/>
    <m/>
    <s v="LYSPE"/>
    <m/>
    <n v="2019"/>
    <m/>
    <m/>
    <m/>
    <m/>
    <m/>
    <m/>
    <m/>
    <m/>
    <m/>
    <m/>
    <n v="9.25"/>
    <n v="0.85"/>
    <n v="7.8624999999999998"/>
    <x v="11"/>
    <s v="Pedagogik                     "/>
    <s v="Sam"/>
    <s v="Specialpedagogprogrammet"/>
    <n v="18405"/>
    <n v="15773"/>
    <n v="294261.46250000002"/>
    <n v="5800"/>
    <n v="53650"/>
    <n v="347911.46250000002"/>
    <n v="0"/>
    <n v="0"/>
    <n v="0"/>
    <n v="0"/>
    <n v="0"/>
    <n v="0"/>
    <n v="1"/>
    <n v="0"/>
    <n v="0"/>
    <n v="0"/>
    <n v="0"/>
    <n v="0"/>
  </r>
  <r>
    <s v="6ST000"/>
    <s v="Politik och samhälle"/>
    <m/>
    <s v="LYSYV"/>
    <m/>
    <n v="2019"/>
    <m/>
    <m/>
    <m/>
    <m/>
    <m/>
    <m/>
    <m/>
    <m/>
    <m/>
    <m/>
    <n v="11.25"/>
    <n v="0.85"/>
    <n v="9.5625"/>
    <x v="16"/>
    <s v="Statsvetenskap                "/>
    <s v="Sam"/>
    <s v="Studie- och yrkesvägledarprogram"/>
    <n v="18405"/>
    <n v="15773"/>
    <n v="357885.5625"/>
    <n v="5800"/>
    <n v="65250"/>
    <n v="423135.5625"/>
    <n v="0"/>
    <n v="0"/>
    <n v="0"/>
    <n v="0"/>
    <n v="0"/>
    <n v="0"/>
    <n v="1"/>
    <n v="0"/>
    <n v="0"/>
    <n v="0"/>
    <n v="0"/>
    <n v="0"/>
  </r>
  <r>
    <s v="6ST001"/>
    <s v="Utbildning och arbetsmarknad I"/>
    <m/>
    <s v="LYSYV"/>
    <m/>
    <n v="2019"/>
    <m/>
    <m/>
    <m/>
    <m/>
    <m/>
    <m/>
    <m/>
    <m/>
    <m/>
    <m/>
    <n v="5.5"/>
    <n v="0.85"/>
    <n v="4.6749999999999998"/>
    <x v="16"/>
    <s v="Statsvetenskap                "/>
    <s v="Sam"/>
    <s v="Studie- och yrkesvägledarprogram"/>
    <n v="18405"/>
    <n v="15773"/>
    <n v="174966.27499999999"/>
    <n v="5800"/>
    <n v="31900"/>
    <n v="206866.27499999999"/>
    <n v="0"/>
    <n v="0"/>
    <n v="0"/>
    <n v="0"/>
    <n v="0"/>
    <n v="0"/>
    <n v="1"/>
    <n v="0"/>
    <n v="0"/>
    <n v="0"/>
    <n v="0"/>
    <n v="0"/>
  </r>
  <r>
    <s v="6ST021"/>
    <s v="Utbildningsledarskap: Teori och analys"/>
    <m/>
    <s v="FRIST"/>
    <m/>
    <n v="2019"/>
    <m/>
    <m/>
    <m/>
    <m/>
    <m/>
    <m/>
    <m/>
    <m/>
    <m/>
    <m/>
    <n v="0.625"/>
    <n v="0.8"/>
    <n v="0.5"/>
    <x v="16"/>
    <s v="Statsvetenskap                "/>
    <s v="Sam"/>
    <s v="Fristående och övriga kurser"/>
    <n v="18405"/>
    <n v="15773"/>
    <n v="19389.625"/>
    <n v="5800"/>
    <n v="3625"/>
    <n v="23014.625"/>
    <n v="0"/>
    <n v="0"/>
    <n v="0"/>
    <n v="0"/>
    <n v="0"/>
    <n v="0"/>
    <n v="1"/>
    <n v="0"/>
    <n v="0"/>
    <n v="0"/>
    <n v="0"/>
    <n v="0"/>
  </r>
  <r>
    <s v="6ST023"/>
    <s v="Magisteruppsats i utbildningsledarskap"/>
    <m/>
    <s v="FRIST"/>
    <m/>
    <n v="2019"/>
    <m/>
    <m/>
    <m/>
    <m/>
    <m/>
    <m/>
    <m/>
    <m/>
    <m/>
    <m/>
    <n v="0.375"/>
    <n v="0.8"/>
    <n v="0.30000000000000004"/>
    <x v="16"/>
    <s v="Statsvetenskap                "/>
    <s v="Sam"/>
    <s v="Fristående och övriga kurser"/>
    <n v="18405"/>
    <n v="15773"/>
    <n v="11633.775000000001"/>
    <n v="5800"/>
    <n v="2175"/>
    <n v="13808.775000000001"/>
    <n v="0"/>
    <n v="0"/>
    <n v="0"/>
    <n v="0"/>
    <n v="0"/>
    <n v="0"/>
    <n v="1"/>
    <n v="0"/>
    <n v="0"/>
    <n v="0"/>
    <n v="0"/>
    <n v="0"/>
  </r>
  <r>
    <s v="6SV020"/>
    <s v="Svenska I för ämneslärare"/>
    <m/>
    <s v="LYAGY"/>
    <m/>
    <n v="2019"/>
    <m/>
    <m/>
    <m/>
    <m/>
    <m/>
    <m/>
    <m/>
    <m/>
    <m/>
    <m/>
    <n v="13.5"/>
    <n v="0.85"/>
    <n v="11.475"/>
    <x v="8"/>
    <s v="Inst för språkstudier"/>
    <s v="Hum"/>
    <s v="Ämneslärarprogrammet - Gy"/>
    <n v="18405"/>
    <n v="15773"/>
    <n v="429462.67499999999"/>
    <n v="5800"/>
    <n v="78300"/>
    <n v="507762.67499999999"/>
    <n v="0"/>
    <n v="1"/>
    <n v="0"/>
    <n v="0"/>
    <n v="0"/>
    <n v="0"/>
    <n v="0"/>
    <n v="0"/>
    <n v="0"/>
    <n v="0"/>
    <n v="0"/>
    <n v="0"/>
  </r>
  <r>
    <s v="6SV021"/>
    <s v="Svenska för F-3, kurs 1"/>
    <m/>
    <s v="LYGFT"/>
    <m/>
    <n v="2019"/>
    <m/>
    <m/>
    <m/>
    <m/>
    <m/>
    <m/>
    <m/>
    <m/>
    <m/>
    <m/>
    <n v="11.75"/>
    <n v="0.85"/>
    <n v="9.9874999999999989"/>
    <x v="8"/>
    <s v="Inst för språkstudier"/>
    <s v="Hum"/>
    <s v="Grundlärarprogrammet - förskoleklass och åk 1-3"/>
    <n v="18405"/>
    <n v="15773"/>
    <n v="373791.58750000002"/>
    <n v="5800"/>
    <n v="68150"/>
    <n v="441941.58750000002"/>
    <n v="0"/>
    <n v="1"/>
    <n v="0"/>
    <n v="0"/>
    <n v="0"/>
    <n v="0"/>
    <n v="0"/>
    <n v="0"/>
    <n v="0"/>
    <n v="0"/>
    <n v="0"/>
    <n v="0"/>
  </r>
  <r>
    <s v="6SV022"/>
    <s v="Svenska för F-3, kurs 2"/>
    <m/>
    <s v="LYGFT"/>
    <m/>
    <n v="2019"/>
    <m/>
    <m/>
    <m/>
    <m/>
    <m/>
    <m/>
    <m/>
    <m/>
    <m/>
    <m/>
    <n v="4.75"/>
    <n v="0.85"/>
    <n v="4.0374999999999996"/>
    <x v="8"/>
    <s v="Inst för språkstudier"/>
    <s v="Hum"/>
    <s v="Grundlärarprogrammet - förskoleklass och åk 1-3"/>
    <n v="18405"/>
    <n v="15773"/>
    <n v="151107.23749999999"/>
    <n v="5800"/>
    <n v="27550"/>
    <n v="178657.23749999999"/>
    <n v="0"/>
    <n v="1"/>
    <n v="0"/>
    <n v="0"/>
    <n v="0"/>
    <n v="0"/>
    <n v="0"/>
    <n v="0"/>
    <n v="0"/>
    <n v="0"/>
    <n v="0"/>
    <n v="0"/>
  </r>
  <r>
    <s v="6SV023"/>
    <s v="Svenska för F-3, kurs 3"/>
    <m/>
    <s v="LYGFT"/>
    <m/>
    <n v="2019"/>
    <m/>
    <m/>
    <m/>
    <m/>
    <m/>
    <m/>
    <m/>
    <m/>
    <m/>
    <m/>
    <n v="4"/>
    <n v="0.85"/>
    <n v="3.4"/>
    <x v="8"/>
    <s v="Inst för språkstudier"/>
    <s v="Hum"/>
    <s v="Grundlärarprogrammet - förskoleklass och åk 1-3"/>
    <n v="18405"/>
    <n v="15773"/>
    <n v="127248.2"/>
    <n v="5800"/>
    <n v="23200"/>
    <n v="150448.20000000001"/>
    <n v="0"/>
    <n v="1"/>
    <n v="0"/>
    <n v="0"/>
    <n v="0"/>
    <n v="0"/>
    <n v="0"/>
    <n v="0"/>
    <n v="0"/>
    <n v="0"/>
    <n v="0"/>
    <n v="0"/>
  </r>
  <r>
    <s v="6SV024"/>
    <s v="Svenska för åk 4-6, kurs 1"/>
    <m/>
    <s v="LYGRM"/>
    <m/>
    <n v="2019"/>
    <m/>
    <m/>
    <m/>
    <m/>
    <m/>
    <m/>
    <m/>
    <m/>
    <m/>
    <m/>
    <n v="6.75"/>
    <n v="0.85"/>
    <n v="5.7374999999999998"/>
    <x v="8"/>
    <s v="Inst för språkstudier"/>
    <s v="Hum"/>
    <s v="Grundlärarprogrammet - grundskolans åk 4-6"/>
    <n v="18405"/>
    <n v="15773"/>
    <n v="214731.33749999999"/>
    <n v="5800"/>
    <n v="39150"/>
    <n v="253881.33749999999"/>
    <n v="0"/>
    <n v="1"/>
    <n v="0"/>
    <n v="0"/>
    <n v="0"/>
    <n v="0"/>
    <n v="0"/>
    <n v="0"/>
    <n v="0"/>
    <n v="0"/>
    <n v="0"/>
    <n v="0"/>
  </r>
  <r>
    <s v="6SV025"/>
    <s v="Svenska för åk 4-6, kurs 2"/>
    <m/>
    <s v="LYGRM"/>
    <m/>
    <n v="2019"/>
    <m/>
    <m/>
    <m/>
    <m/>
    <m/>
    <m/>
    <m/>
    <m/>
    <m/>
    <m/>
    <n v="2.75"/>
    <n v="0.85"/>
    <n v="2.3374999999999999"/>
    <x v="8"/>
    <s v="Inst för språkstudier"/>
    <s v="Hum"/>
    <s v="Grundlärarprogrammet - grundskolans åk 4-6"/>
    <n v="18405"/>
    <n v="15773"/>
    <n v="87483.137499999997"/>
    <n v="5800"/>
    <n v="15950"/>
    <n v="103433.1375"/>
    <n v="0"/>
    <n v="1"/>
    <n v="0"/>
    <n v="0"/>
    <n v="0"/>
    <n v="0"/>
    <n v="0"/>
    <n v="0"/>
    <n v="0"/>
    <n v="0"/>
    <n v="0"/>
    <n v="0"/>
  </r>
  <r>
    <s v="6SV026"/>
    <s v="Svenska för åk 4-6, kurs 3"/>
    <m/>
    <s v="LYGRM"/>
    <m/>
    <n v="2019"/>
    <m/>
    <m/>
    <m/>
    <m/>
    <m/>
    <m/>
    <m/>
    <m/>
    <m/>
    <m/>
    <n v="3.5"/>
    <n v="0.85"/>
    <n v="2.9750000000000001"/>
    <x v="8"/>
    <s v="Inst för språkstudier"/>
    <s v="Hum"/>
    <s v="Grundlärarprogrammet - grundskolans åk 4-6"/>
    <n v="18405"/>
    <n v="15773"/>
    <n v="111342.175"/>
    <n v="5800"/>
    <n v="20300"/>
    <n v="131642.17499999999"/>
    <n v="0"/>
    <n v="1"/>
    <n v="0"/>
    <n v="0"/>
    <n v="0"/>
    <n v="0"/>
    <n v="0"/>
    <n v="0"/>
    <n v="0"/>
    <n v="0"/>
    <n v="0"/>
    <n v="0"/>
  </r>
  <r>
    <s v="6SV027"/>
    <s v="Svenska II för ämneslärare"/>
    <m/>
    <s v="LYAGY"/>
    <m/>
    <n v="2019"/>
    <m/>
    <m/>
    <m/>
    <m/>
    <m/>
    <m/>
    <m/>
    <m/>
    <m/>
    <m/>
    <n v="13"/>
    <n v="0.85"/>
    <n v="11.049999999999999"/>
    <x v="8"/>
    <s v="Inst för språkstudier"/>
    <s v="Hum"/>
    <s v="Ämneslärarprogrammet - Gy"/>
    <n v="18405"/>
    <n v="15773"/>
    <n v="413556.65"/>
    <n v="5800"/>
    <n v="75400"/>
    <n v="488956.65"/>
    <n v="0"/>
    <n v="1"/>
    <n v="0"/>
    <n v="0"/>
    <n v="0"/>
    <n v="0"/>
    <n v="0"/>
    <n v="0"/>
    <n v="0"/>
    <n v="0"/>
    <n v="0"/>
    <n v="0"/>
  </r>
  <r>
    <s v="6SV028"/>
    <s v="Svenska III för ämneslärare"/>
    <m/>
    <s v="LYAGY"/>
    <m/>
    <n v="2019"/>
    <m/>
    <m/>
    <m/>
    <m/>
    <m/>
    <m/>
    <m/>
    <m/>
    <m/>
    <m/>
    <n v="7"/>
    <n v="0.85"/>
    <n v="5.95"/>
    <x v="8"/>
    <s v="Inst för språkstudier"/>
    <s v="Hum"/>
    <s v="Ämneslärarprogrammet - Gy"/>
    <n v="18405"/>
    <n v="15773"/>
    <n v="222684.35"/>
    <n v="5800"/>
    <n v="40600"/>
    <n v="263284.34999999998"/>
    <n v="0"/>
    <n v="1"/>
    <n v="0"/>
    <n v="0"/>
    <n v="0"/>
    <n v="0"/>
    <n v="0"/>
    <n v="0"/>
    <n v="0"/>
    <n v="0"/>
    <n v="0"/>
    <n v="0"/>
  </r>
  <r>
    <s v="6SV058"/>
    <s v="Att undervisa i svenska (VFU)"/>
    <m/>
    <s v="LYAGY"/>
    <m/>
    <n v="2019"/>
    <m/>
    <m/>
    <m/>
    <m/>
    <m/>
    <m/>
    <m/>
    <m/>
    <m/>
    <m/>
    <n v="0.8"/>
    <n v="0.85"/>
    <n v="0.68"/>
    <x v="8"/>
    <s v="Inst för språkstudier"/>
    <s v="Hum"/>
    <s v="Ämneslärarprogrammet - Gy"/>
    <n v="21634"/>
    <n v="26986"/>
    <n v="35657.68"/>
    <n v="3400"/>
    <n v="2720"/>
    <n v="38377.68"/>
    <n v="0"/>
    <n v="0"/>
    <n v="0"/>
    <n v="0"/>
    <n v="0"/>
    <n v="0"/>
    <n v="0"/>
    <n v="0"/>
    <n v="1"/>
    <n v="0"/>
    <n v="0"/>
    <n v="0"/>
  </r>
  <r>
    <s v="6SV060"/>
    <s v="Svenska som andraspråk A"/>
    <m/>
    <s v="FRIST"/>
    <m/>
    <n v="2019"/>
    <m/>
    <m/>
    <m/>
    <m/>
    <m/>
    <m/>
    <m/>
    <m/>
    <m/>
    <m/>
    <n v="3"/>
    <n v="0.8"/>
    <n v="2.4000000000000004"/>
    <x v="8"/>
    <s v="Inst för språkstudier"/>
    <s v="Hum"/>
    <s v="Fristående och övriga kurser"/>
    <n v="18405"/>
    <n v="15773"/>
    <n v="93070.200000000012"/>
    <n v="5800"/>
    <n v="17400"/>
    <n v="110470.20000000001"/>
    <n v="0"/>
    <n v="1"/>
    <n v="0"/>
    <n v="0"/>
    <n v="0"/>
    <n v="0"/>
    <n v="0"/>
    <n v="0"/>
    <n v="0"/>
    <n v="0"/>
    <n v="0"/>
    <n v="0"/>
  </r>
  <r>
    <s v="6SV061"/>
    <s v="Svenska som andraspråk A, Det mångkulturella klassrummet och svenskans fonologi"/>
    <m/>
    <s v="FRIST"/>
    <m/>
    <n v="2019"/>
    <m/>
    <m/>
    <m/>
    <m/>
    <m/>
    <m/>
    <m/>
    <m/>
    <m/>
    <m/>
    <n v="1"/>
    <n v="0.8"/>
    <n v="0.8"/>
    <x v="8"/>
    <s v="Inst för språkstudier"/>
    <s v="Hum"/>
    <s v="Fristående och övriga kurser"/>
    <n v="18405"/>
    <n v="15773"/>
    <n v="31023.4"/>
    <n v="5800"/>
    <n v="5800"/>
    <n v="36823.4"/>
    <n v="0"/>
    <n v="1"/>
    <n v="0"/>
    <n v="0"/>
    <n v="0"/>
    <n v="0"/>
    <n v="0"/>
    <n v="0"/>
    <n v="0"/>
    <n v="0"/>
    <n v="0"/>
    <n v="0"/>
  </r>
  <r>
    <s v="6SV062"/>
    <s v="Svenska som andraspråk A, Att lära på ett andraspråk och svenskans grammatik"/>
    <m/>
    <s v="FRIST"/>
    <m/>
    <n v="2019"/>
    <m/>
    <m/>
    <m/>
    <m/>
    <m/>
    <m/>
    <m/>
    <m/>
    <m/>
    <m/>
    <n v="1.75"/>
    <n v="0.8"/>
    <n v="1.4000000000000001"/>
    <x v="8"/>
    <s v="Inst för språkstudier"/>
    <s v="Hum"/>
    <s v="Fristående och övriga kurser"/>
    <n v="18405"/>
    <n v="15773"/>
    <n v="54290.95"/>
    <n v="5800"/>
    <n v="10150"/>
    <n v="64440.95"/>
    <n v="0"/>
    <n v="1"/>
    <n v="0"/>
    <n v="0"/>
    <n v="0"/>
    <n v="0"/>
    <n v="0"/>
    <n v="0"/>
    <n v="0"/>
    <n v="0"/>
    <n v="0"/>
    <n v="0"/>
  </r>
  <r>
    <s v="6SV063"/>
    <s v="Svenska som andraspråk B"/>
    <m/>
    <s v="FRIST"/>
    <m/>
    <n v="2019"/>
    <m/>
    <m/>
    <m/>
    <m/>
    <m/>
    <m/>
    <m/>
    <m/>
    <m/>
    <m/>
    <n v="1.5"/>
    <n v="0.8"/>
    <n v="1.2000000000000002"/>
    <x v="8"/>
    <s v="Inst för språkstudier"/>
    <s v="Hum"/>
    <s v="Fristående och övriga kurser"/>
    <n v="18405"/>
    <n v="15773"/>
    <n v="46535.100000000006"/>
    <n v="5800"/>
    <n v="8700"/>
    <n v="55235.100000000006"/>
    <n v="0"/>
    <n v="1"/>
    <n v="0"/>
    <n v="0"/>
    <n v="0"/>
    <n v="0"/>
    <n v="0"/>
    <n v="0"/>
    <n v="0"/>
    <n v="0"/>
    <n v="0"/>
    <n v="0"/>
  </r>
  <r>
    <s v="6SV064"/>
    <s v="Svenska som andraspråk B, Flerspråkiga inlärares litteracitet"/>
    <m/>
    <s v="FRIST"/>
    <m/>
    <n v="2019"/>
    <m/>
    <m/>
    <m/>
    <m/>
    <m/>
    <m/>
    <m/>
    <m/>
    <m/>
    <m/>
    <n v="0.375"/>
    <n v="0.8"/>
    <n v="0.30000000000000004"/>
    <x v="8"/>
    <s v="Inst för språkstudier"/>
    <s v="Hum"/>
    <s v="Fristående och övriga kurser"/>
    <n v="18405"/>
    <n v="15773"/>
    <n v="11633.775000000001"/>
    <n v="5800"/>
    <n v="2175"/>
    <n v="13808.775000000001"/>
    <n v="0"/>
    <n v="1"/>
    <n v="0"/>
    <n v="0"/>
    <n v="0"/>
    <n v="0"/>
    <n v="0"/>
    <n v="0"/>
    <n v="0"/>
    <n v="0"/>
    <n v="0"/>
    <n v="0"/>
  </r>
  <r>
    <s v="6SV065"/>
    <s v="Svenska som andraspråk B, Flerspråkighet och fördjupning"/>
    <m/>
    <s v="FRIST"/>
    <m/>
    <n v="2019"/>
    <m/>
    <m/>
    <m/>
    <m/>
    <m/>
    <m/>
    <m/>
    <m/>
    <m/>
    <m/>
    <n v="0.25"/>
    <n v="0.8"/>
    <n v="0.2"/>
    <x v="8"/>
    <s v="Inst för språkstudier"/>
    <s v="Hum"/>
    <s v="Fristående och övriga kurser"/>
    <n v="18405"/>
    <n v="15773"/>
    <n v="7755.85"/>
    <n v="5800"/>
    <n v="1450"/>
    <n v="9205.85"/>
    <n v="0"/>
    <n v="1"/>
    <n v="0"/>
    <n v="0"/>
    <n v="0"/>
    <n v="0"/>
    <n v="0"/>
    <n v="0"/>
    <n v="0"/>
    <n v="0"/>
    <n v="0"/>
    <n v="0"/>
  </r>
  <r>
    <s v="6SV066"/>
    <s v="Svenska som andraspråk C, Diskriminerande strukturer och skönlitteratur"/>
    <m/>
    <s v="FRIST"/>
    <m/>
    <n v="2019"/>
    <m/>
    <m/>
    <m/>
    <m/>
    <m/>
    <m/>
    <m/>
    <m/>
    <m/>
    <m/>
    <n v="0.75"/>
    <n v="0.8"/>
    <n v="0.60000000000000009"/>
    <x v="8"/>
    <s v="Inst för språkstudier"/>
    <s v="Hum"/>
    <s v="Fristående och övriga kurser"/>
    <n v="18405"/>
    <n v="15773"/>
    <n v="23267.550000000003"/>
    <n v="5800"/>
    <n v="4350"/>
    <n v="27617.550000000003"/>
    <n v="0"/>
    <n v="1"/>
    <n v="0"/>
    <n v="0"/>
    <n v="0"/>
    <n v="0"/>
    <n v="0"/>
    <n v="0"/>
    <n v="0"/>
    <n v="0"/>
    <n v="0"/>
    <n v="0"/>
  </r>
  <r>
    <s v="6SV067"/>
    <s v="Svenska som andraspråk C, Examensarbete för kandidatexamen"/>
    <m/>
    <s v="FRIST"/>
    <m/>
    <n v="2019"/>
    <m/>
    <m/>
    <m/>
    <m/>
    <m/>
    <m/>
    <m/>
    <m/>
    <m/>
    <m/>
    <n v="1.5"/>
    <n v="0.8"/>
    <n v="1.2000000000000002"/>
    <x v="8"/>
    <s v="Inst för språkstudier"/>
    <s v="Hum"/>
    <s v="Fristående och övriga kurser"/>
    <n v="18405"/>
    <n v="15773"/>
    <n v="46535.100000000006"/>
    <n v="5800"/>
    <n v="8700"/>
    <n v="55235.100000000006"/>
    <n v="0"/>
    <n v="1"/>
    <n v="0"/>
    <n v="0"/>
    <n v="0"/>
    <n v="0"/>
    <n v="0"/>
    <n v="0"/>
    <n v="0"/>
    <n v="0"/>
    <n v="0"/>
    <n v="0"/>
  </r>
  <r>
    <s v="6SV068"/>
    <s v="Svenska som andraspråk för ämneslärare, kurs 1"/>
    <m/>
    <s v="LYAGY"/>
    <m/>
    <n v="2019"/>
    <m/>
    <m/>
    <m/>
    <m/>
    <m/>
    <m/>
    <m/>
    <m/>
    <m/>
    <m/>
    <n v="13.5"/>
    <n v="0.85"/>
    <n v="11.475"/>
    <x v="8"/>
    <s v="Inst för språkstudier"/>
    <s v="Hum"/>
    <s v="Ämneslärarprogrammet - Gy"/>
    <n v="18405"/>
    <n v="15773"/>
    <n v="429462.67499999999"/>
    <n v="5800"/>
    <n v="78300"/>
    <n v="507762.67499999999"/>
    <n v="0"/>
    <n v="1"/>
    <n v="0"/>
    <n v="0"/>
    <n v="0"/>
    <n v="0"/>
    <n v="0"/>
    <n v="0"/>
    <n v="0"/>
    <n v="0"/>
    <n v="0"/>
    <n v="0"/>
  </r>
  <r>
    <s v="6SV069"/>
    <s v="Svenska som andraspråk för ämneslärare, kurs 2"/>
    <m/>
    <s v="LYAGY"/>
    <m/>
    <n v="2019"/>
    <m/>
    <m/>
    <m/>
    <m/>
    <m/>
    <m/>
    <m/>
    <m/>
    <m/>
    <m/>
    <n v="8.5"/>
    <n v="0.85"/>
    <n v="7.2249999999999996"/>
    <x v="8"/>
    <s v="Inst för språkstudier"/>
    <s v="Hum"/>
    <s v="Ämneslärarprogrammet - Gy"/>
    <n v="18405"/>
    <n v="15773"/>
    <n v="270402.42499999999"/>
    <n v="5800"/>
    <n v="49300"/>
    <n v="319702.42499999999"/>
    <n v="0"/>
    <n v="1"/>
    <n v="0"/>
    <n v="0"/>
    <n v="0"/>
    <n v="0"/>
    <n v="0"/>
    <n v="0"/>
    <n v="0"/>
    <n v="0"/>
    <n v="0"/>
    <n v="0"/>
  </r>
  <r>
    <s v="6SV070"/>
    <s v="Svenska som andraspråk för ämneslärare, kurs 3"/>
    <m/>
    <s v="LYAGY"/>
    <m/>
    <n v="2019"/>
    <m/>
    <m/>
    <m/>
    <m/>
    <m/>
    <m/>
    <m/>
    <m/>
    <m/>
    <m/>
    <n v="3.5"/>
    <n v="0.85"/>
    <n v="2.9750000000000001"/>
    <x v="8"/>
    <s v="Inst för språkstudier"/>
    <s v="Hum"/>
    <s v="Ämneslärarprogrammet - Gy"/>
    <n v="18405"/>
    <n v="15773"/>
    <n v="111342.175"/>
    <n v="5800"/>
    <n v="20300"/>
    <n v="131642.17499999999"/>
    <n v="0"/>
    <n v="1"/>
    <n v="0"/>
    <n v="0"/>
    <n v="0"/>
    <n v="0"/>
    <n v="0"/>
    <n v="0"/>
    <n v="0"/>
    <n v="0"/>
    <n v="0"/>
    <n v="0"/>
  </r>
  <r>
    <s v="6SV072"/>
    <s v="Att läsa och skriva i lärarutbildning och läraryrket - fokus grundlärare"/>
    <m/>
    <s v="FRIST"/>
    <m/>
    <n v="2019"/>
    <m/>
    <m/>
    <m/>
    <m/>
    <m/>
    <m/>
    <m/>
    <m/>
    <m/>
    <m/>
    <n v="3.75"/>
    <n v="0.8"/>
    <n v="3"/>
    <x v="8"/>
    <s v="Inst för språkstudier"/>
    <s v="Hum"/>
    <s v="Fristående och övriga kurser"/>
    <n v="18405"/>
    <n v="15773"/>
    <n v="116337.75"/>
    <n v="5800"/>
    <n v="21750"/>
    <n v="138087.75"/>
    <n v="0"/>
    <n v="1"/>
    <n v="0"/>
    <n v="0"/>
    <n v="0"/>
    <n v="0"/>
    <n v="0"/>
    <n v="0"/>
    <n v="0"/>
    <n v="0"/>
    <n v="0"/>
    <n v="0"/>
  </r>
  <r>
    <s v="6SV073"/>
    <s v="Att läsa och skriva i lärarutbildning och läraryrket - fokus ämneslärare"/>
    <m/>
    <s v="FRIST"/>
    <m/>
    <n v="2019"/>
    <m/>
    <m/>
    <m/>
    <m/>
    <m/>
    <m/>
    <m/>
    <m/>
    <m/>
    <m/>
    <n v="4"/>
    <n v="0.8"/>
    <n v="3.2"/>
    <x v="8"/>
    <s v="Inst för språkstudier"/>
    <s v="Hum"/>
    <s v="Fristående och övriga kurser"/>
    <n v="18405"/>
    <n v="15773"/>
    <n v="124093.6"/>
    <n v="5800"/>
    <n v="23200"/>
    <n v="147293.6"/>
    <n v="0"/>
    <n v="1"/>
    <n v="0"/>
    <n v="0"/>
    <n v="0"/>
    <n v="0"/>
    <n v="0"/>
    <n v="0"/>
    <n v="0"/>
    <n v="0"/>
    <n v="0"/>
    <n v="0"/>
  </r>
  <r>
    <s v="6SV074"/>
    <s v="Flerspråkighet i förskoleklassen och grundskolans tidigare år"/>
    <m/>
    <s v="FRIST"/>
    <m/>
    <n v="2019"/>
    <m/>
    <m/>
    <m/>
    <m/>
    <m/>
    <m/>
    <m/>
    <m/>
    <m/>
    <m/>
    <n v="3"/>
    <n v="0.8"/>
    <n v="2.4000000000000004"/>
    <x v="8"/>
    <s v="Inst för språkstudier"/>
    <s v="Hum"/>
    <s v="Fristående och övriga kurser"/>
    <n v="18405"/>
    <n v="15773"/>
    <n v="93070.200000000012"/>
    <n v="5800"/>
    <n v="17400"/>
    <n v="110470.20000000001"/>
    <n v="0"/>
    <n v="1"/>
    <n v="0"/>
    <n v="0"/>
    <n v="0"/>
    <n v="0"/>
    <n v="0"/>
    <n v="0"/>
    <n v="0"/>
    <n v="0"/>
    <n v="0"/>
    <n v="0"/>
  </r>
  <r>
    <s v="6SY003"/>
    <s v="Studie- och yrkesvägledningens grunder"/>
    <m/>
    <s v="LYSYV"/>
    <m/>
    <n v="2019"/>
    <m/>
    <m/>
    <m/>
    <m/>
    <m/>
    <m/>
    <m/>
    <m/>
    <m/>
    <m/>
    <n v="14.75"/>
    <n v="0.85"/>
    <n v="12.5375"/>
    <x v="12"/>
    <s v="TUV "/>
    <s v="Sam"/>
    <s v="Studie- och yrkesvägledarprogram"/>
    <n v="22339.8"/>
    <n v="20219.2"/>
    <n v="583010.27"/>
    <n v="5800"/>
    <n v="85550"/>
    <n v="668560.27"/>
    <n v="0"/>
    <n v="0"/>
    <n v="0"/>
    <n v="0"/>
    <n v="0"/>
    <n v="0"/>
    <n v="0.8"/>
    <n v="0"/>
    <n v="0"/>
    <n v="0"/>
    <n v="0"/>
    <n v="0.2"/>
  </r>
  <r>
    <s v="6SY013"/>
    <s v="Vetenskapliga perspektiv på studie- och yrkesvägledning"/>
    <m/>
    <s v="LYSYV"/>
    <m/>
    <n v="2019"/>
    <m/>
    <m/>
    <m/>
    <m/>
    <m/>
    <m/>
    <m/>
    <m/>
    <m/>
    <m/>
    <n v="6.25"/>
    <n v="0.85"/>
    <n v="5.3125"/>
    <x v="12"/>
    <s v="TUV "/>
    <s v="Sam"/>
    <s v="Studie- och yrkesvägledarprogram"/>
    <n v="18405"/>
    <n v="15773"/>
    <n v="198825.3125"/>
    <n v="5800"/>
    <n v="36250"/>
    <n v="235075.3125"/>
    <n v="0"/>
    <n v="0"/>
    <n v="0"/>
    <n v="0"/>
    <n v="0"/>
    <n v="0"/>
    <n v="1"/>
    <n v="0"/>
    <n v="0"/>
    <n v="0"/>
    <n v="0"/>
    <n v="0"/>
  </r>
  <r>
    <s v="6SY016"/>
    <s v="Utbildningssystem i Sverige och andra länder"/>
    <m/>
    <s v="LYSYV"/>
    <m/>
    <n v="2019"/>
    <m/>
    <m/>
    <m/>
    <m/>
    <m/>
    <m/>
    <m/>
    <m/>
    <m/>
    <m/>
    <n v="6.8333300000000001"/>
    <n v="0.85"/>
    <n v="5.8083305000000003"/>
    <x v="12"/>
    <s v="TUV "/>
    <s v="Sam"/>
    <s v="Studie- och yrkesvägledarprogram"/>
    <n v="18405"/>
    <n v="15773"/>
    <n v="217382.23562649998"/>
    <n v="5800"/>
    <n v="39633.313999999998"/>
    <n v="257015.5496265"/>
    <n v="0"/>
    <n v="0"/>
    <n v="0"/>
    <n v="0"/>
    <n v="0"/>
    <n v="0"/>
    <n v="1"/>
    <n v="0"/>
    <n v="0"/>
    <n v="0"/>
    <n v="0"/>
    <n v="0"/>
  </r>
  <r>
    <s v="6SY018"/>
    <s v="Studie- och yrkesvägledningens praktik"/>
    <m/>
    <s v="LYSYV"/>
    <m/>
    <n v="2019"/>
    <m/>
    <m/>
    <m/>
    <m/>
    <m/>
    <m/>
    <m/>
    <m/>
    <m/>
    <m/>
    <n v="18.25"/>
    <n v="0.85"/>
    <n v="15.512499999999999"/>
    <x v="12"/>
    <s v="TUV "/>
    <s v="Sam"/>
    <s v="Studie- och yrkesvägledarprogram"/>
    <n v="24307.199999999997"/>
    <n v="22442.299999999996"/>
    <n v="791742.57874999987"/>
    <n v="5800"/>
    <n v="105850"/>
    <n v="897592.57874999987"/>
    <n v="0"/>
    <n v="0"/>
    <n v="0"/>
    <n v="0"/>
    <n v="0"/>
    <n v="0"/>
    <n v="0.7"/>
    <n v="0"/>
    <n v="0"/>
    <n v="0"/>
    <n v="0"/>
    <n v="0.3"/>
  </r>
  <r>
    <s v="6SY028"/>
    <s v="Karriärutveckling i socialt och kulturellt perspektiv"/>
    <m/>
    <s v="LYSYV"/>
    <m/>
    <n v="2019"/>
    <m/>
    <m/>
    <m/>
    <m/>
    <m/>
    <m/>
    <m/>
    <m/>
    <m/>
    <m/>
    <n v="8.25"/>
    <n v="0.85"/>
    <n v="7.0125000000000002"/>
    <x v="12"/>
    <s v="TUV "/>
    <s v="Sam"/>
    <s v="Studie- och yrkesvägledarprogram"/>
    <n v="18405"/>
    <n v="15773"/>
    <n v="262449.41249999998"/>
    <n v="5800"/>
    <n v="47850"/>
    <n v="310299.41249999998"/>
    <n v="0"/>
    <n v="0"/>
    <n v="0"/>
    <n v="0"/>
    <n v="0"/>
    <n v="0"/>
    <n v="1"/>
    <n v="0"/>
    <n v="0"/>
    <n v="0"/>
    <n v="0"/>
    <n v="0"/>
  </r>
  <r>
    <s v="6SY029"/>
    <s v="Karriärvägledning och andra insatser för människor i behov av särskilt stöd"/>
    <m/>
    <s v="LYSYV"/>
    <m/>
    <n v="2019"/>
    <m/>
    <m/>
    <m/>
    <m/>
    <m/>
    <m/>
    <m/>
    <m/>
    <m/>
    <m/>
    <n v="9.8333399999999997"/>
    <n v="0.85"/>
    <n v="8.3583389999999991"/>
    <x v="12"/>
    <s v="TUV "/>
    <s v="Sam"/>
    <s v="Studie- och yrkesvägledarprogram"/>
    <n v="22339.8"/>
    <n v="20219.2"/>
    <n v="388673.77684079995"/>
    <n v="5800"/>
    <n v="57033.371999999996"/>
    <n v="445707.14884079993"/>
    <n v="0"/>
    <n v="0"/>
    <n v="0"/>
    <n v="0"/>
    <n v="0"/>
    <n v="0"/>
    <n v="0.8"/>
    <n v="0"/>
    <n v="0"/>
    <n v="0"/>
    <n v="0"/>
    <n v="0.2"/>
  </r>
  <r>
    <s v="6SY030"/>
    <s v="Karriärteori och vägledning"/>
    <m/>
    <s v="LYSYV"/>
    <m/>
    <n v="2019"/>
    <m/>
    <m/>
    <m/>
    <m/>
    <m/>
    <m/>
    <m/>
    <m/>
    <m/>
    <m/>
    <n v="12.29167"/>
    <n v="0.85"/>
    <n v="10.447919499999999"/>
    <x v="12"/>
    <s v="TUV "/>
    <s v="Sam"/>
    <s v="Studie- och yrkesvägledarprogram"/>
    <n v="18405"/>
    <n v="15773"/>
    <n v="391023.2206235"/>
    <n v="5800"/>
    <n v="71291.686000000002"/>
    <n v="462314.90662349999"/>
    <n v="0"/>
    <n v="0"/>
    <n v="0"/>
    <n v="0"/>
    <n v="0"/>
    <n v="0"/>
    <n v="1"/>
    <n v="0"/>
    <n v="0"/>
    <n v="0"/>
    <n v="0"/>
    <n v="0"/>
  </r>
  <r>
    <s v="6SY031"/>
    <s v="Gruppvägledning med inriktning mot karriärutveckling"/>
    <m/>
    <s v="LYSYV"/>
    <m/>
    <n v="2019"/>
    <m/>
    <m/>
    <m/>
    <m/>
    <m/>
    <m/>
    <m/>
    <m/>
    <m/>
    <m/>
    <n v="7.5"/>
    <n v="0.85"/>
    <n v="6.375"/>
    <x v="12"/>
    <s v="TUV "/>
    <s v="Sam"/>
    <s v="Studie- och yrkesvägledarprogram"/>
    <n v="34144.199999999997"/>
    <n v="33557.800000000003"/>
    <n v="470012.47499999998"/>
    <n v="5800"/>
    <n v="43500"/>
    <n v="513512.47499999998"/>
    <n v="0"/>
    <n v="0"/>
    <n v="0"/>
    <n v="0"/>
    <n v="0"/>
    <n v="0"/>
    <n v="0.2"/>
    <n v="0"/>
    <n v="0"/>
    <n v="0"/>
    <n v="0"/>
    <n v="0.8"/>
  </r>
  <r>
    <s v="6SY032"/>
    <s v="Kommunikation och undervisning"/>
    <m/>
    <s v="LYSYV"/>
    <m/>
    <n v="2019"/>
    <m/>
    <m/>
    <m/>
    <m/>
    <m/>
    <m/>
    <m/>
    <m/>
    <m/>
    <m/>
    <n v="5.5"/>
    <n v="0.85"/>
    <n v="4.6749999999999998"/>
    <x v="11"/>
    <s v="Pedagogik                     "/>
    <s v="Sam"/>
    <s v="Studie- och yrkesvägledarprogram"/>
    <n v="18405"/>
    <n v="15773"/>
    <n v="174966.27499999999"/>
    <n v="5800"/>
    <n v="31900"/>
    <n v="206866.27499999999"/>
    <n v="0"/>
    <n v="0"/>
    <n v="0"/>
    <n v="0"/>
    <n v="0"/>
    <n v="0"/>
    <n v="1"/>
    <n v="0"/>
    <n v="0"/>
    <n v="0"/>
    <n v="0"/>
    <n v="0"/>
  </r>
  <r>
    <s v="6SY033"/>
    <s v="Introduktion till studie- och yrkesvägledning"/>
    <m/>
    <s v="FRIST"/>
    <m/>
    <n v="2019"/>
    <m/>
    <m/>
    <m/>
    <m/>
    <m/>
    <m/>
    <m/>
    <m/>
    <m/>
    <m/>
    <n v="6.875"/>
    <n v="0.8"/>
    <n v="5.5"/>
    <x v="12"/>
    <s v="TUV "/>
    <s v="Sam"/>
    <s v="Fristående och övriga kurser"/>
    <n v="18405"/>
    <n v="15773"/>
    <n v="213285.875"/>
    <n v="5800"/>
    <n v="39875"/>
    <n v="253160.875"/>
    <n v="0"/>
    <n v="0"/>
    <n v="0"/>
    <n v="0"/>
    <n v="0"/>
    <n v="0"/>
    <n v="1"/>
    <n v="0"/>
    <n v="0"/>
    <n v="0"/>
    <n v="0"/>
    <n v="0"/>
  </r>
  <r>
    <s v="6SY034"/>
    <s v="Teorier, modeller och metoder för karriärvägledning"/>
    <m/>
    <s v="FRIST"/>
    <m/>
    <n v="2019"/>
    <m/>
    <m/>
    <m/>
    <m/>
    <m/>
    <m/>
    <m/>
    <m/>
    <m/>
    <m/>
    <n v="4"/>
    <n v="0.8"/>
    <n v="3.2"/>
    <x v="12"/>
    <s v="TUV "/>
    <s v="Sam"/>
    <s v="Fristående och övriga kurser"/>
    <n v="18405"/>
    <n v="15773"/>
    <n v="124093.6"/>
    <n v="5800"/>
    <n v="23200"/>
    <n v="147293.6"/>
    <n v="0"/>
    <n v="0"/>
    <n v="0"/>
    <n v="0"/>
    <n v="0"/>
    <n v="0"/>
    <n v="1"/>
    <n v="0"/>
    <n v="0"/>
    <n v="0"/>
    <n v="0"/>
    <n v="0"/>
  </r>
  <r>
    <s v="6SY035"/>
    <s v="Samhällsvetenskap"/>
    <m/>
    <s v="FRIST"/>
    <m/>
    <n v="2019"/>
    <m/>
    <m/>
    <m/>
    <m/>
    <m/>
    <m/>
    <m/>
    <m/>
    <m/>
    <m/>
    <n v="4.8333300000000001"/>
    <n v="0.8"/>
    <n v="3.8666640000000001"/>
    <x v="12"/>
    <s v="TUV "/>
    <s v="Sam"/>
    <s v="Fristående och övriga kurser"/>
    <n v="18405"/>
    <n v="15773"/>
    <n v="149946.329922"/>
    <n v="5800"/>
    <n v="28033.314000000002"/>
    <n v="177979.64392200002"/>
    <n v="0"/>
    <n v="0"/>
    <n v="0"/>
    <n v="0"/>
    <n v="0"/>
    <n v="0"/>
    <n v="1"/>
    <n v="0"/>
    <n v="0"/>
    <n v="0"/>
    <n v="0"/>
    <n v="0"/>
  </r>
  <r>
    <s v="6SY036"/>
    <s v="Arbetsliv och lärande"/>
    <m/>
    <s v="LYSYV"/>
    <m/>
    <n v="2019"/>
    <m/>
    <m/>
    <m/>
    <m/>
    <m/>
    <m/>
    <m/>
    <m/>
    <m/>
    <m/>
    <n v="3.875"/>
    <n v="0.85"/>
    <n v="3.2937499999999997"/>
    <x v="11"/>
    <s v="Pedagogik                     "/>
    <s v="Sam"/>
    <s v="Studie- och yrkesvägledarprogram"/>
    <n v="18405"/>
    <n v="15773"/>
    <n v="123271.69375000001"/>
    <n v="5800"/>
    <n v="22475"/>
    <n v="145746.69375000001"/>
    <n v="0"/>
    <n v="0"/>
    <n v="0"/>
    <n v="0"/>
    <n v="0"/>
    <n v="0"/>
    <n v="1"/>
    <n v="0"/>
    <n v="0"/>
    <n v="0"/>
    <n v="0"/>
    <n v="0"/>
  </r>
  <r>
    <s v="6SY037"/>
    <s v="Teorier, modeller och metoder för vägledning och dess praktik"/>
    <m/>
    <s v="LYSYV"/>
    <m/>
    <n v="2019"/>
    <m/>
    <m/>
    <m/>
    <m/>
    <m/>
    <m/>
    <m/>
    <m/>
    <m/>
    <m/>
    <n v="13"/>
    <n v="0.85"/>
    <n v="11.049999999999999"/>
    <x v="12"/>
    <s v="TUV "/>
    <s v="Sam"/>
    <s v="Studie- och yrkesvägledarprogram"/>
    <n v="27258.3"/>
    <n v="25776.95"/>
    <n v="639193.19750000001"/>
    <n v="5800"/>
    <n v="75400"/>
    <n v="714593.19750000001"/>
    <n v="0"/>
    <n v="0"/>
    <n v="0"/>
    <n v="0"/>
    <n v="0"/>
    <n v="0"/>
    <n v="0.55000000000000004"/>
    <n v="0"/>
    <n v="0"/>
    <n v="0"/>
    <n v="0"/>
    <n v="0.45"/>
  </r>
  <r>
    <s v="6SY038"/>
    <s v="Beteendevetenskapliga grunder"/>
    <m/>
    <s v="LYSYV"/>
    <m/>
    <n v="2019"/>
    <m/>
    <m/>
    <m/>
    <m/>
    <m/>
    <m/>
    <m/>
    <m/>
    <m/>
    <m/>
    <n v="6.75"/>
    <n v="0.85"/>
    <n v="5.7374999999999998"/>
    <x v="12"/>
    <s v="TUV "/>
    <s v="Sam"/>
    <s v="Studie- och yrkesvägledarprogram"/>
    <n v="18405"/>
    <n v="15773"/>
    <n v="214731.33749999999"/>
    <n v="5800"/>
    <n v="39150"/>
    <n v="253881.33749999999"/>
    <n v="0"/>
    <n v="0"/>
    <n v="0"/>
    <n v="0"/>
    <n v="0"/>
    <n v="0"/>
    <n v="1"/>
    <n v="0"/>
    <n v="0"/>
    <n v="0"/>
    <n v="0"/>
    <n v="0"/>
  </r>
  <r>
    <s v="6TX016"/>
    <s v="Slöjd, textil 2a, distans"/>
    <m/>
    <s v="FRIST"/>
    <m/>
    <n v="2019"/>
    <m/>
    <m/>
    <m/>
    <m/>
    <m/>
    <m/>
    <m/>
    <m/>
    <m/>
    <m/>
    <n v="5.5"/>
    <n v="0.8"/>
    <n v="4.4000000000000004"/>
    <x v="9"/>
    <s v="Estetiska ämnen               "/>
    <s v="Hum"/>
    <s v="Fristående och övriga kurser"/>
    <n v="19473"/>
    <n v="34806"/>
    <n v="260247.90000000002"/>
    <n v="21800"/>
    <n v="119900"/>
    <n v="380147.9"/>
    <n v="0"/>
    <n v="0"/>
    <n v="0"/>
    <n v="0"/>
    <n v="0"/>
    <n v="0"/>
    <n v="0"/>
    <n v="1"/>
    <n v="0"/>
    <n v="0"/>
    <n v="0"/>
    <n v="0"/>
  </r>
  <r>
    <s v="6TX017"/>
    <s v="Slöjd textil 1 30 hp"/>
    <m/>
    <s v="LYAGR"/>
    <m/>
    <n v="2019"/>
    <m/>
    <m/>
    <m/>
    <m/>
    <m/>
    <m/>
    <m/>
    <m/>
    <m/>
    <m/>
    <n v="1"/>
    <n v="0.85"/>
    <n v="0.85"/>
    <x v="9"/>
    <s v="Estetiska ämnen               "/>
    <s v="Hum"/>
    <s v="Ämneslärarprogrammet - åk 7-9"/>
    <n v="19473"/>
    <n v="34806"/>
    <n v="49058.1"/>
    <n v="21800"/>
    <n v="21800"/>
    <n v="70858.100000000006"/>
    <n v="0"/>
    <n v="0"/>
    <n v="0"/>
    <n v="0"/>
    <n v="0"/>
    <n v="0"/>
    <n v="0"/>
    <n v="1"/>
    <n v="0"/>
    <n v="0"/>
    <n v="0"/>
    <n v="0"/>
  </r>
  <r>
    <s v="6TX020"/>
    <s v="Slöjd, textil 2b, distans"/>
    <m/>
    <s v="FRIST"/>
    <m/>
    <n v="2019"/>
    <m/>
    <m/>
    <m/>
    <m/>
    <m/>
    <m/>
    <m/>
    <m/>
    <m/>
    <m/>
    <n v="2.75"/>
    <n v="0.8"/>
    <n v="2.2000000000000002"/>
    <x v="9"/>
    <s v="Estetiska ämnen               "/>
    <s v="Hum"/>
    <s v="Fristående och övriga kurser"/>
    <n v="19473"/>
    <n v="34806"/>
    <n v="130123.95000000001"/>
    <n v="21800"/>
    <n v="59950"/>
    <n v="190073.95"/>
    <n v="0"/>
    <n v="0"/>
    <n v="0"/>
    <n v="0"/>
    <n v="0"/>
    <n v="0"/>
    <n v="0"/>
    <n v="1"/>
    <n v="0"/>
    <n v="0"/>
    <n v="0"/>
    <n v="0"/>
  </r>
  <r>
    <s v="6TX023"/>
    <s v="Slöjd textil 1 30 hp, fristående"/>
    <m/>
    <s v="FRIST"/>
    <m/>
    <n v="2019"/>
    <m/>
    <m/>
    <m/>
    <m/>
    <m/>
    <m/>
    <m/>
    <m/>
    <m/>
    <m/>
    <n v="1"/>
    <n v="0.8"/>
    <n v="0.8"/>
    <x v="9"/>
    <s v="Estetiska ämnen               "/>
    <s v="Hum"/>
    <s v="Fristående och övriga kurser"/>
    <n v="19473"/>
    <n v="34806"/>
    <n v="47317.8"/>
    <n v="21800"/>
    <n v="21800"/>
    <n v="69117.8"/>
    <n v="0"/>
    <n v="0"/>
    <n v="0"/>
    <n v="0"/>
    <n v="0"/>
    <n v="0"/>
    <n v="0"/>
    <n v="1"/>
    <n v="0"/>
    <n v="0"/>
    <n v="0"/>
    <n v="0"/>
  </r>
  <r>
    <s v="6TX025"/>
    <s v="Textila uttryck"/>
    <m/>
    <s v="FRIST"/>
    <m/>
    <n v="2019"/>
    <m/>
    <m/>
    <m/>
    <m/>
    <m/>
    <m/>
    <m/>
    <m/>
    <m/>
    <m/>
    <n v="6.75"/>
    <n v="0.8"/>
    <n v="5.4"/>
    <x v="9"/>
    <s v="Estetiska ämnen               "/>
    <s v="Hum"/>
    <s v="Fristående och övriga kurser"/>
    <n v="19473"/>
    <n v="34806"/>
    <n v="319395.15000000002"/>
    <n v="21800"/>
    <n v="147150"/>
    <n v="466545.15"/>
    <n v="0"/>
    <n v="0"/>
    <n v="0"/>
    <n v="0"/>
    <n v="0"/>
    <n v="0"/>
    <n v="0"/>
    <n v="1"/>
    <n v="0"/>
    <n v="0"/>
    <n v="0"/>
    <n v="0"/>
  </r>
  <r>
    <s v="6TX026"/>
    <s v="Slöjd 1, textil"/>
    <m/>
    <s v="FRIST"/>
    <m/>
    <n v="2019"/>
    <m/>
    <m/>
    <m/>
    <m/>
    <m/>
    <m/>
    <m/>
    <m/>
    <m/>
    <m/>
    <n v="16.75"/>
    <n v="0.8"/>
    <n v="13.4"/>
    <x v="9"/>
    <s v="Estetiska ämnen               "/>
    <s v="Hum"/>
    <s v="Fristående och övriga kurser"/>
    <n v="19473"/>
    <n v="34806"/>
    <n v="792573.15"/>
    <n v="21800"/>
    <n v="365150"/>
    <n v="1157723.1499999999"/>
    <n v="0"/>
    <n v="0"/>
    <n v="0"/>
    <n v="0"/>
    <n v="0"/>
    <n v="0"/>
    <n v="0"/>
    <n v="1"/>
    <n v="0"/>
    <n v="0"/>
    <n v="0"/>
    <n v="0"/>
  </r>
  <r>
    <s v="6TX027"/>
    <s v="Kläddesign"/>
    <m/>
    <s v="FRIST"/>
    <m/>
    <n v="2019"/>
    <m/>
    <m/>
    <m/>
    <m/>
    <m/>
    <m/>
    <m/>
    <m/>
    <m/>
    <m/>
    <n v="1.5"/>
    <n v="0.8"/>
    <n v="1.2000000000000002"/>
    <x v="9"/>
    <s v="Estetiska ämnen               "/>
    <s v="Hum"/>
    <s v="Fristående och övriga kurser"/>
    <n v="19473"/>
    <n v="34806"/>
    <n v="70976.700000000012"/>
    <n v="21800"/>
    <n v="32700"/>
    <n v="103676.70000000001"/>
    <n v="0"/>
    <n v="0"/>
    <n v="0"/>
    <n v="0"/>
    <n v="0"/>
    <n v="0"/>
    <n v="0"/>
    <n v="1"/>
    <n v="0"/>
    <n v="0"/>
    <n v="0"/>
    <n v="0"/>
  </r>
  <r>
    <s v="6TX028"/>
    <s v="Vävdesign"/>
    <m/>
    <s v="FRIST"/>
    <m/>
    <n v="2019"/>
    <m/>
    <m/>
    <m/>
    <m/>
    <m/>
    <m/>
    <m/>
    <m/>
    <m/>
    <m/>
    <n v="1.5"/>
    <n v="0.8"/>
    <n v="1.2000000000000002"/>
    <x v="9"/>
    <s v="Estetiska ämnen               "/>
    <s v="Hum"/>
    <s v="Fristående och övriga kurser"/>
    <n v="19473"/>
    <n v="34806"/>
    <n v="70976.700000000012"/>
    <n v="21800"/>
    <n v="32700"/>
    <n v="103676.70000000001"/>
    <n v="0"/>
    <n v="0"/>
    <n v="0"/>
    <n v="0"/>
    <n v="0"/>
    <n v="0"/>
    <n v="0"/>
    <n v="1"/>
    <n v="0"/>
    <n v="0"/>
    <n v="0"/>
    <n v="0"/>
  </r>
  <r>
    <s v="6TX029"/>
    <s v="Väv- och kläddesign: Estetiska skapandeprocesser"/>
    <m/>
    <s v="FRIST"/>
    <m/>
    <n v="2019"/>
    <m/>
    <m/>
    <m/>
    <m/>
    <m/>
    <m/>
    <m/>
    <m/>
    <m/>
    <m/>
    <n v="1.375"/>
    <n v="0.8"/>
    <n v="1.1000000000000001"/>
    <x v="9"/>
    <s v="Estetiska ämnen               "/>
    <s v="Hum"/>
    <s v="Fristående och övriga kurser"/>
    <n v="19473"/>
    <n v="34806"/>
    <n v="65061.975000000006"/>
    <n v="21800"/>
    <n v="29975"/>
    <n v="95036.975000000006"/>
    <n v="0"/>
    <n v="0"/>
    <n v="0"/>
    <n v="0"/>
    <n v="0"/>
    <n v="0"/>
    <n v="0"/>
    <n v="1"/>
    <n v="0"/>
    <n v="0"/>
    <n v="0"/>
    <n v="0"/>
  </r>
  <r>
    <s v="6TX030"/>
    <s v="Väv- och kläddesign fördjupning"/>
    <m/>
    <s v="FRIST"/>
    <m/>
    <n v="2019"/>
    <m/>
    <m/>
    <m/>
    <m/>
    <m/>
    <m/>
    <m/>
    <m/>
    <m/>
    <m/>
    <n v="1.5"/>
    <n v="0.8"/>
    <n v="1.2000000000000002"/>
    <x v="9"/>
    <s v="Estetiska ämnen               "/>
    <s v="Hum"/>
    <s v="Fristående och övriga kurser"/>
    <n v="18405"/>
    <n v="15773"/>
    <n v="46535.100000000006"/>
    <n v="5800"/>
    <n v="8700"/>
    <n v="55235.100000000006"/>
    <n v="0"/>
    <n v="1"/>
    <n v="0"/>
    <n v="0"/>
    <n v="0"/>
    <n v="0"/>
    <n v="0"/>
    <n v="0"/>
    <n v="0"/>
    <n v="0"/>
    <n v="0"/>
    <n v="0"/>
  </r>
  <r>
    <s v="6TX031"/>
    <s v="Slöjd - textil 3"/>
    <m/>
    <s v="LYAGR"/>
    <m/>
    <n v="2019"/>
    <m/>
    <m/>
    <m/>
    <m/>
    <m/>
    <m/>
    <m/>
    <m/>
    <m/>
    <m/>
    <n v="2"/>
    <n v="0.85"/>
    <n v="1.7"/>
    <x v="9"/>
    <s v="Estetiska ämnen               "/>
    <s v="Hum"/>
    <s v="Ämneslärarprogrammet - åk 7-9"/>
    <n v="19473"/>
    <n v="34806"/>
    <n v="98116.2"/>
    <n v="21800"/>
    <n v="43600"/>
    <n v="141716.20000000001"/>
    <n v="0"/>
    <n v="0"/>
    <n v="0"/>
    <n v="0"/>
    <n v="0"/>
    <n v="0"/>
    <n v="0"/>
    <n v="1"/>
    <n v="0"/>
    <n v="0"/>
    <n v="0"/>
    <n v="0"/>
  </r>
  <r>
    <s v="6TX033"/>
    <s v="Slöjd textil 2"/>
    <m/>
    <s v="LYAGR"/>
    <m/>
    <n v="2019"/>
    <m/>
    <m/>
    <m/>
    <m/>
    <m/>
    <m/>
    <m/>
    <m/>
    <m/>
    <m/>
    <n v="1"/>
    <n v="0.85"/>
    <n v="0.85"/>
    <x v="9"/>
    <s v="Estetiska ämnen               "/>
    <s v="Hum"/>
    <s v="Ämneslärarprogrammet - åk 7-9"/>
    <n v="19473"/>
    <n v="34806"/>
    <n v="49058.1"/>
    <n v="21800"/>
    <n v="21800"/>
    <n v="70858.100000000006"/>
    <n v="0"/>
    <n v="0"/>
    <n v="0"/>
    <n v="0"/>
    <n v="0"/>
    <n v="0"/>
    <n v="0"/>
    <n v="1"/>
    <n v="0"/>
    <n v="0"/>
    <n v="0"/>
    <n v="0"/>
  </r>
  <r>
    <s v="6TX035"/>
    <s v="Slöjd textil 2, fristående"/>
    <m/>
    <s v="FRIST"/>
    <m/>
    <n v="2019"/>
    <m/>
    <m/>
    <m/>
    <m/>
    <m/>
    <m/>
    <m/>
    <m/>
    <m/>
    <m/>
    <n v="1"/>
    <n v="0.8"/>
    <n v="0.8"/>
    <x v="9"/>
    <s v="Estetiska ämnen               "/>
    <s v="Hum"/>
    <s v="Fristående och övriga kurser"/>
    <n v="19473"/>
    <n v="34806"/>
    <n v="47317.8"/>
    <n v="21800"/>
    <n v="21800"/>
    <n v="69117.8"/>
    <n v="0"/>
    <n v="0"/>
    <n v="0"/>
    <n v="0"/>
    <n v="0"/>
    <n v="0"/>
    <n v="0"/>
    <n v="1"/>
    <n v="0"/>
    <n v="0"/>
    <n v="0"/>
    <n v="0"/>
  </r>
  <r>
    <s v="6TY014"/>
    <s v="Tyska III för ämneslärare med inriktning mot gymnasiet"/>
    <m/>
    <s v="LYAGY"/>
    <m/>
    <n v="2019"/>
    <m/>
    <m/>
    <m/>
    <m/>
    <m/>
    <m/>
    <m/>
    <m/>
    <m/>
    <m/>
    <n v="0.5"/>
    <n v="0.85"/>
    <n v="0.42499999999999999"/>
    <x v="8"/>
    <s v="Inst för språkstudier"/>
    <s v="Hum"/>
    <s v="Ämneslärarprogrammet - Gy"/>
    <n v="18405"/>
    <n v="15773"/>
    <n v="15906.025"/>
    <n v="5800"/>
    <n v="2900"/>
    <n v="18806.025000000001"/>
    <n v="0"/>
    <n v="1"/>
    <n v="0"/>
    <n v="0"/>
    <n v="0"/>
    <n v="0"/>
    <n v="0"/>
    <n v="0"/>
    <n v="0"/>
    <n v="0"/>
    <n v="0"/>
    <n v="0"/>
  </r>
  <r>
    <s v="6TY014"/>
    <s v="Tyska III för ämneslärare med inriktning mot gymnasiet"/>
    <m/>
    <s v="FRIST"/>
    <m/>
    <n v="2019"/>
    <m/>
    <m/>
    <m/>
    <m/>
    <m/>
    <m/>
    <m/>
    <m/>
    <m/>
    <m/>
    <n v="0.5"/>
    <n v="0.8"/>
    <n v="0.4"/>
    <x v="8"/>
    <s v="Inst för språkstudier"/>
    <s v="Hum"/>
    <s v="Fristående och övriga kurser"/>
    <n v="18405"/>
    <n v="15773"/>
    <n v="15511.7"/>
    <n v="5800"/>
    <n v="2900"/>
    <n v="18411.7"/>
    <n v="0"/>
    <n v="1"/>
    <n v="0"/>
    <n v="0"/>
    <n v="0"/>
    <n v="0"/>
    <n v="0"/>
    <n v="0"/>
    <n v="0"/>
    <n v="0"/>
    <n v="0"/>
    <n v="0"/>
  </r>
  <r>
    <s v="6TY020"/>
    <s v="Tyska C, Deutsch lernen und lehren III"/>
    <m/>
    <s v="FRIST"/>
    <m/>
    <n v="2019"/>
    <m/>
    <m/>
    <m/>
    <m/>
    <m/>
    <m/>
    <m/>
    <m/>
    <m/>
    <m/>
    <n v="0.125"/>
    <n v="0.8"/>
    <n v="0.1"/>
    <x v="8"/>
    <s v="Inst för språkstudier"/>
    <s v="Hum"/>
    <s v="Fristående och övriga kurser"/>
    <n v="18405"/>
    <n v="15773"/>
    <n v="3877.9250000000002"/>
    <n v="5800"/>
    <n v="725"/>
    <n v="4602.9250000000002"/>
    <n v="0"/>
    <n v="1"/>
    <n v="0"/>
    <n v="0"/>
    <n v="0"/>
    <n v="0"/>
    <n v="0"/>
    <n v="0"/>
    <n v="0"/>
    <n v="0"/>
    <n v="0"/>
    <n v="0"/>
  </r>
  <r>
    <s v="6TY021"/>
    <s v="Att undervisa i tyska (VFU)"/>
    <m/>
    <s v="LYAGY"/>
    <m/>
    <n v="2019"/>
    <m/>
    <m/>
    <m/>
    <m/>
    <m/>
    <m/>
    <m/>
    <m/>
    <m/>
    <m/>
    <n v="0.1"/>
    <n v="0.85"/>
    <n v="8.5000000000000006E-2"/>
    <x v="8"/>
    <s v="Inst för språkstudier"/>
    <s v="Hum"/>
    <s v="Ämneslärarprogrammet - Gy"/>
    <n v="21634"/>
    <n v="26986"/>
    <n v="4457.21"/>
    <n v="3400"/>
    <n v="340"/>
    <n v="4797.21"/>
    <n v="0"/>
    <n v="0"/>
    <n v="0"/>
    <n v="0"/>
    <n v="0"/>
    <n v="0"/>
    <n v="0"/>
    <n v="0"/>
    <n v="1"/>
    <n v="0"/>
    <n v="0"/>
    <n v="0"/>
  </r>
  <r>
    <s v="6ÖÄ003"/>
    <s v="Examensarbete"/>
    <m/>
    <s v="LLÄRY"/>
    <m/>
    <n v="2019"/>
    <m/>
    <m/>
    <m/>
    <m/>
    <m/>
    <m/>
    <m/>
    <m/>
    <m/>
    <m/>
    <n v="0.25"/>
    <n v="0.85"/>
    <n v="0.21249999999999999"/>
    <x v="12"/>
    <s v="TUV "/>
    <s v="Sam"/>
    <s v="Lärarprogram långa - före ht11"/>
    <n v="23641"/>
    <n v="28786"/>
    <n v="12027.275"/>
    <n v="5800"/>
    <n v="1450"/>
    <n v="13477.275"/>
    <n v="0"/>
    <n v="0"/>
    <n v="0"/>
    <n v="1"/>
    <n v="0"/>
    <n v="0"/>
    <n v="0"/>
    <n v="0"/>
    <n v="0"/>
    <n v="0"/>
    <n v="0"/>
    <n v="0"/>
  </r>
</pivotCacheRecords>
</file>

<file path=xl/pivotCache/pivotCacheRecords4.xml><?xml version="1.0" encoding="utf-8"?>
<pivotCacheRecords xmlns="http://schemas.openxmlformats.org/spreadsheetml/2006/main" xmlns:r="http://schemas.openxmlformats.org/officeDocument/2006/relationships" count="106">
  <r>
    <x v="0"/>
    <x v="0"/>
    <x v="0"/>
    <x v="0"/>
    <x v="0"/>
    <x v="0"/>
    <x v="0"/>
    <x v="0"/>
    <s v="Hum"/>
    <n v="10.125"/>
    <n v="2.0249999999999999"/>
    <n v="8.6062499999999993"/>
    <n v="1.7212499999999999"/>
    <n v="15846"/>
    <n v="26926"/>
    <n v="17300"/>
    <n v="78434.527499999997"/>
    <n v="-5490.4169250000004"/>
    <n v="72944.110574999999"/>
    <n v="35032.5"/>
  </r>
  <r>
    <x v="0"/>
    <x v="0"/>
    <x v="1"/>
    <x v="1"/>
    <x v="0"/>
    <x v="0"/>
    <x v="0"/>
    <x v="0"/>
    <s v="Hum"/>
    <n v="10.125"/>
    <n v="2.0249999999999999"/>
    <n v="8.6062499999999993"/>
    <n v="1.7212499999999999"/>
    <n v="15846"/>
    <n v="26926"/>
    <n v="17300"/>
    <n v="78434.527499999997"/>
    <n v="-5490.4169250000004"/>
    <n v="72944.110574999999"/>
    <n v="35032.5"/>
  </r>
  <r>
    <x v="1"/>
    <x v="1"/>
    <x v="0"/>
    <x v="0"/>
    <x v="0"/>
    <x v="1"/>
    <x v="0"/>
    <x v="0"/>
    <s v="Hum"/>
    <n v="21"/>
    <n v="2.1"/>
    <n v="17.849999999999998"/>
    <n v="1.7849999999999999"/>
    <n v="15846"/>
    <n v="26926"/>
    <n v="17300"/>
    <n v="81339.509999999995"/>
    <n v="-5693.7656999999999"/>
    <n v="75645.744299999991"/>
    <n v="36330"/>
  </r>
  <r>
    <x v="1"/>
    <x v="1"/>
    <x v="1"/>
    <x v="1"/>
    <x v="0"/>
    <x v="1"/>
    <x v="0"/>
    <x v="0"/>
    <s v="Hum"/>
    <n v="21"/>
    <n v="2.1"/>
    <n v="17.849999999999998"/>
    <n v="1.7849999999999999"/>
    <n v="15846"/>
    <n v="26926"/>
    <n v="17300"/>
    <n v="81339.509999999995"/>
    <n v="-5693.7656999999999"/>
    <n v="75645.744299999991"/>
    <n v="36330"/>
  </r>
  <r>
    <x v="2"/>
    <x v="2"/>
    <x v="2"/>
    <x v="2"/>
    <x v="0"/>
    <x v="2"/>
    <x v="1"/>
    <x v="1"/>
    <s v="Hum"/>
    <n v="12"/>
    <n v="3"/>
    <n v="10.199999999999999"/>
    <n v="2.5499999999999998"/>
    <n v="18405"/>
    <n v="15773"/>
    <n v="5800"/>
    <n v="95436.15"/>
    <n v="-6680.5304999999998"/>
    <n v="88755.619500000001"/>
    <n v="17400"/>
  </r>
  <r>
    <x v="3"/>
    <x v="3"/>
    <x v="3"/>
    <x v="3"/>
    <x v="1"/>
    <x v="2"/>
    <x v="2"/>
    <x v="2"/>
    <s v="Sam"/>
    <n v="14.5"/>
    <n v="3.625"/>
    <n v="12.225"/>
    <n v="3.0562499999999999"/>
    <n v="45034"/>
    <n v="31547"/>
    <n v="34500"/>
    <n v="259663.76874999999"/>
    <n v="-18176.463812500002"/>
    <n v="241487.30493749998"/>
    <n v="125062.5"/>
  </r>
  <r>
    <x v="3"/>
    <x v="3"/>
    <x v="4"/>
    <x v="4"/>
    <x v="0"/>
    <x v="3"/>
    <x v="2"/>
    <x v="2"/>
    <s v="Sam"/>
    <n v="14.5"/>
    <n v="2.1749999999999998"/>
    <n v="12.225"/>
    <n v="1.8337499999999998"/>
    <n v="45034"/>
    <n v="31547"/>
    <n v="34500"/>
    <n v="155798.26124999998"/>
    <n v="-10905.8782875"/>
    <n v="144892.38296249998"/>
    <n v="75037.5"/>
  </r>
  <r>
    <x v="4"/>
    <x v="4"/>
    <x v="5"/>
    <x v="5"/>
    <x v="1"/>
    <x v="4"/>
    <x v="2"/>
    <x v="2"/>
    <s v="Sam"/>
    <n v="11.5"/>
    <n v="1.9166666666666665"/>
    <n v="9.6749999999999989"/>
    <n v="1.6124999999999998"/>
    <n v="45034"/>
    <n v="31547"/>
    <n v="34500"/>
    <n v="137184.70416666666"/>
    <n v="-9602.9292916666673"/>
    <n v="127581.774875"/>
    <n v="66125"/>
  </r>
  <r>
    <x v="5"/>
    <x v="5"/>
    <x v="3"/>
    <x v="3"/>
    <x v="1"/>
    <x v="2"/>
    <x v="2"/>
    <x v="2"/>
    <s v="Sam"/>
    <n v="12.5"/>
    <n v="3.125"/>
    <n v="10.6"/>
    <n v="2.65"/>
    <n v="45034"/>
    <n v="31547"/>
    <n v="34500"/>
    <n v="224330.8"/>
    <n v="-15703.156000000001"/>
    <n v="208627.644"/>
    <n v="107812.5"/>
  </r>
  <r>
    <x v="6"/>
    <x v="6"/>
    <x v="6"/>
    <x v="6"/>
    <x v="2"/>
    <x v="5"/>
    <x v="3"/>
    <x v="3"/>
    <s v="Sam"/>
    <n v="0.75"/>
    <n v="0.375"/>
    <n v="0.63749999999999996"/>
    <n v="0.31874999999999998"/>
    <n v="18405"/>
    <n v="15773"/>
    <n v="5800"/>
    <n v="11929.518749999999"/>
    <n v="-835.06631249999998"/>
    <n v="11094.4524375"/>
    <n v="2175"/>
  </r>
  <r>
    <x v="7"/>
    <x v="7"/>
    <x v="6"/>
    <x v="6"/>
    <x v="2"/>
    <x v="5"/>
    <x v="3"/>
    <x v="3"/>
    <s v="Sam"/>
    <n v="0.75"/>
    <n v="0.375"/>
    <n v="0.63749999999999996"/>
    <n v="0.31874999999999998"/>
    <n v="18939"/>
    <n v="25289.5"/>
    <n v="13800"/>
    <n v="15163.153125000001"/>
    <n v="-1061.4207187500001"/>
    <n v="14101.732406250001"/>
    <n v="5175"/>
  </r>
  <r>
    <x v="8"/>
    <x v="8"/>
    <x v="7"/>
    <x v="7"/>
    <x v="2"/>
    <x v="5"/>
    <x v="4"/>
    <x v="4"/>
    <s v="Hum"/>
    <n v="8.25"/>
    <n v="4.125"/>
    <n v="7.0125000000000002"/>
    <n v="3.5062500000000001"/>
    <n v="18405"/>
    <n v="15773"/>
    <n v="5800"/>
    <n v="131224.70624999999"/>
    <n v="-9185.7294375000001"/>
    <n v="122038.97681249998"/>
    <n v="23925"/>
  </r>
  <r>
    <x v="9"/>
    <x v="9"/>
    <x v="8"/>
    <x v="8"/>
    <x v="3"/>
    <x v="5"/>
    <x v="1"/>
    <x v="1"/>
    <s v="Hum"/>
    <n v="13.33334"/>
    <n v="6.6666699999999999"/>
    <n v="11.333339"/>
    <n v="5.6666695000000002"/>
    <n v="23641"/>
    <n v="28786"/>
    <n v="5800"/>
    <n v="320727.49369699997"/>
    <n v="-22450.92455879"/>
    <n v="298276.56913820998"/>
    <n v="38666.686000000002"/>
  </r>
  <r>
    <x v="10"/>
    <x v="10"/>
    <x v="9"/>
    <x v="9"/>
    <x v="0"/>
    <x v="0"/>
    <x v="1"/>
    <x v="1"/>
    <s v="Hum"/>
    <n v="16.5"/>
    <n v="3.3000000000000003"/>
    <n v="14.024999999999999"/>
    <n v="2.8049999999999997"/>
    <n v="23641"/>
    <n v="28786"/>
    <n v="5800"/>
    <n v="158760.03"/>
    <n v="-11113.2021"/>
    <n v="147646.8279"/>
    <n v="19140"/>
  </r>
  <r>
    <x v="10"/>
    <x v="10"/>
    <x v="10"/>
    <x v="10"/>
    <x v="0"/>
    <x v="6"/>
    <x v="1"/>
    <x v="1"/>
    <s v="Hum"/>
    <n v="16.5"/>
    <n v="0.82500000000000007"/>
    <n v="14.024999999999999"/>
    <n v="0.70124999999999993"/>
    <n v="23641"/>
    <n v="28786"/>
    <n v="5800"/>
    <n v="39690.0075"/>
    <n v="-2778.3005250000001"/>
    <n v="36911.706975000001"/>
    <n v="4785"/>
  </r>
  <r>
    <x v="11"/>
    <x v="11"/>
    <x v="11"/>
    <x v="11"/>
    <x v="0"/>
    <x v="4"/>
    <x v="1"/>
    <x v="1"/>
    <s v="Hum"/>
    <n v="7"/>
    <n v="1.1666666666666665"/>
    <n v="5.95"/>
    <n v="0.9916666666666667"/>
    <n v="18405"/>
    <n v="15773"/>
    <n v="5800"/>
    <n v="37114.058333333334"/>
    <n v="-2597.9840833333337"/>
    <n v="34516.074249999998"/>
    <n v="6766.6666666666661"/>
  </r>
  <r>
    <x v="11"/>
    <x v="11"/>
    <x v="0"/>
    <x v="0"/>
    <x v="0"/>
    <x v="5"/>
    <x v="1"/>
    <x v="1"/>
    <s v="Hum"/>
    <n v="7"/>
    <n v="3.5"/>
    <n v="5.95"/>
    <n v="2.9750000000000001"/>
    <n v="18405"/>
    <n v="15773"/>
    <n v="5800"/>
    <n v="111342.175"/>
    <n v="-7793.9522500000012"/>
    <n v="103548.22275"/>
    <n v="20300"/>
  </r>
  <r>
    <x v="12"/>
    <x v="12"/>
    <x v="10"/>
    <x v="10"/>
    <x v="0"/>
    <x v="0"/>
    <x v="1"/>
    <x v="1"/>
    <s v="Hum"/>
    <n v="38.125"/>
    <n v="7.625"/>
    <n v="32.40625"/>
    <n v="6.4812500000000002"/>
    <n v="23641"/>
    <n v="28786"/>
    <n v="5800"/>
    <n v="366831.88750000001"/>
    <n v="-25678.232125000002"/>
    <n v="341153.65537500003"/>
    <n v="44225"/>
  </r>
  <r>
    <x v="12"/>
    <x v="12"/>
    <x v="0"/>
    <x v="0"/>
    <x v="0"/>
    <x v="7"/>
    <x v="1"/>
    <x v="1"/>
    <s v="Hum"/>
    <n v="38.125"/>
    <n v="5.083333333333333"/>
    <n v="32.40625"/>
    <n v="4.3208333333333329"/>
    <n v="23641"/>
    <n v="28786"/>
    <n v="5800"/>
    <n v="244554.59166666665"/>
    <n v="-17118.821416666666"/>
    <n v="227435.77024999997"/>
    <n v="29483.333333333332"/>
  </r>
  <r>
    <x v="13"/>
    <x v="13"/>
    <x v="8"/>
    <x v="8"/>
    <x v="3"/>
    <x v="8"/>
    <x v="1"/>
    <x v="1"/>
    <s v="Hum"/>
    <n v="36.75"/>
    <n v="17.149999999999999"/>
    <n v="31.237500000000001"/>
    <n v="14.577500000000001"/>
    <n v="23641"/>
    <n v="28786"/>
    <n v="5800"/>
    <n v="825071.06499999994"/>
    <n v="-57754.974549999999"/>
    <n v="767316.0904499999"/>
    <n v="99469.999999999985"/>
  </r>
  <r>
    <x v="14"/>
    <x v="14"/>
    <x v="7"/>
    <x v="7"/>
    <x v="2"/>
    <x v="9"/>
    <x v="4"/>
    <x v="4"/>
    <s v="Hum"/>
    <n v="2.9"/>
    <n v="0.96666666666666656"/>
    <n v="2.4649999999999999"/>
    <n v="0.82166666666666655"/>
    <n v="21634"/>
    <n v="26986"/>
    <n v="3400"/>
    <n v="43086.363333333327"/>
    <n v="-3016.0454333333332"/>
    <n v="40070.317899999995"/>
    <n v="3286.6666666666665"/>
  </r>
  <r>
    <x v="15"/>
    <x v="15"/>
    <x v="7"/>
    <x v="7"/>
    <x v="2"/>
    <x v="9"/>
    <x v="4"/>
    <x v="4"/>
    <s v="Hum"/>
    <n v="3.4"/>
    <n v="1.1333333333333333"/>
    <n v="2.8899999999999997"/>
    <n v="0.96333333333333315"/>
    <n v="21634"/>
    <n v="26986"/>
    <n v="3400"/>
    <n v="50515.046666666662"/>
    <n v="-3536.0532666666668"/>
    <n v="46978.993399999992"/>
    <n v="3853.333333333333"/>
  </r>
  <r>
    <x v="16"/>
    <x v="16"/>
    <x v="1"/>
    <x v="1"/>
    <x v="0"/>
    <x v="0"/>
    <x v="4"/>
    <x v="4"/>
    <s v="Hum"/>
    <n v="21.25"/>
    <n v="4.25"/>
    <n v="18.0625"/>
    <n v="3.6125000000000003"/>
    <n v="18405"/>
    <n v="15773"/>
    <n v="5800"/>
    <n v="135201.21249999999"/>
    <n v="-9464.0848750000005"/>
    <n v="125737.12762499999"/>
    <n v="24650"/>
  </r>
  <r>
    <x v="17"/>
    <x v="17"/>
    <x v="1"/>
    <x v="1"/>
    <x v="0"/>
    <x v="9"/>
    <x v="4"/>
    <x v="4"/>
    <s v="Hum"/>
    <n v="3.125"/>
    <n v="1.0416666666666665"/>
    <n v="2.65625"/>
    <n v="0.88541666666666663"/>
    <n v="18405"/>
    <n v="15773"/>
    <n v="5800"/>
    <n v="33137.552083333328"/>
    <n v="-2319.6286458333334"/>
    <n v="30817.923437499994"/>
    <n v="6041.6666666666661"/>
  </r>
  <r>
    <x v="18"/>
    <x v="18"/>
    <x v="12"/>
    <x v="12"/>
    <x v="2"/>
    <x v="9"/>
    <x v="5"/>
    <x v="5"/>
    <s v="TekNat"/>
    <n v="4"/>
    <n v="1.3333333333333333"/>
    <n v="3.4"/>
    <n v="1.1333333333333333"/>
    <n v="19473"/>
    <n v="34806"/>
    <n v="21800"/>
    <n v="65410.799999999996"/>
    <n v="-4578.7560000000003"/>
    <n v="60832.043999999994"/>
    <n v="29066.666666666664"/>
  </r>
  <r>
    <x v="19"/>
    <x v="19"/>
    <x v="12"/>
    <x v="12"/>
    <x v="2"/>
    <x v="9"/>
    <x v="5"/>
    <x v="5"/>
    <s v="TekNat"/>
    <n v="2.75"/>
    <n v="0.91666666666666663"/>
    <n v="2.3374999999999999"/>
    <n v="0.77916666666666656"/>
    <n v="19473"/>
    <n v="34806"/>
    <n v="21800"/>
    <n v="44969.924999999996"/>
    <n v="-3147.8947499999999"/>
    <n v="41822.030249999996"/>
    <n v="19983.333333333332"/>
  </r>
  <r>
    <x v="20"/>
    <x v="20"/>
    <x v="12"/>
    <x v="12"/>
    <x v="2"/>
    <x v="9"/>
    <x v="5"/>
    <x v="5"/>
    <s v="TekNat"/>
    <n v="3.5"/>
    <n v="1.1666666666666665"/>
    <n v="2.9750000000000001"/>
    <n v="0.9916666666666667"/>
    <n v="19473"/>
    <n v="34806"/>
    <n v="21800"/>
    <n v="57234.45"/>
    <n v="-4006.4115000000002"/>
    <n v="53228.038499999995"/>
    <n v="25433.333333333328"/>
  </r>
  <r>
    <x v="21"/>
    <x v="21"/>
    <x v="1"/>
    <x v="1"/>
    <x v="0"/>
    <x v="10"/>
    <x v="5"/>
    <x v="5"/>
    <s v="TekNat"/>
    <n v="10.375"/>
    <n v="2.7666666666666666"/>
    <n v="8.8187499999999996"/>
    <n v="2.3516666666666666"/>
    <n v="19473"/>
    <n v="34806"/>
    <n v="21800"/>
    <n v="135727.41"/>
    <n v="-9500.918700000002"/>
    <n v="126226.49129999999"/>
    <n v="60313.333333333328"/>
  </r>
  <r>
    <x v="22"/>
    <x v="22"/>
    <x v="1"/>
    <x v="1"/>
    <x v="0"/>
    <x v="0"/>
    <x v="5"/>
    <x v="5"/>
    <s v="TekNat"/>
    <n v="13.25"/>
    <n v="2.6500000000000004"/>
    <n v="11.262499999999999"/>
    <n v="2.2524999999999999"/>
    <n v="19473"/>
    <n v="34806"/>
    <n v="21800"/>
    <n v="130003.965"/>
    <n v="-9100.2775500000007"/>
    <n v="120903.68745"/>
    <n v="57770.000000000007"/>
  </r>
  <r>
    <x v="23"/>
    <x v="23"/>
    <x v="13"/>
    <x v="13"/>
    <x v="3"/>
    <x v="11"/>
    <x v="6"/>
    <x v="6"/>
    <s v="Sam"/>
    <n v="3.125"/>
    <n v="1.25"/>
    <n v="2.65625"/>
    <n v="1.0625"/>
    <n v="18405"/>
    <n v="15773"/>
    <n v="5800"/>
    <n v="39765.0625"/>
    <n v="-2783.5543750000002"/>
    <n v="36981.508125"/>
    <n v="7250"/>
  </r>
  <r>
    <x v="24"/>
    <x v="24"/>
    <x v="1"/>
    <x v="1"/>
    <x v="0"/>
    <x v="11"/>
    <x v="2"/>
    <x v="2"/>
    <s v="Sam"/>
    <n v="10.75"/>
    <n v="4.3"/>
    <n v="9.1374999999999993"/>
    <n v="3.6549999999999998"/>
    <n v="23641"/>
    <n v="28786"/>
    <n v="5800"/>
    <n v="206869.13"/>
    <n v="-14480.839100000001"/>
    <n v="192388.29089999999"/>
    <n v="24940"/>
  </r>
  <r>
    <x v="25"/>
    <x v="25"/>
    <x v="0"/>
    <x v="0"/>
    <x v="0"/>
    <x v="11"/>
    <x v="6"/>
    <x v="6"/>
    <s v="Sam"/>
    <n v="4.3333300000000001"/>
    <n v="1.7333320000000001"/>
    <n v="3.6833304999999998"/>
    <n v="1.4733322"/>
    <n v="23641"/>
    <n v="28786"/>
    <n v="5800"/>
    <n v="83389.042521199997"/>
    <n v="-5837.2329764840006"/>
    <n v="77551.809544716001"/>
    <n v="10053.3256"/>
  </r>
  <r>
    <x v="26"/>
    <x v="26"/>
    <x v="0"/>
    <x v="0"/>
    <x v="0"/>
    <x v="11"/>
    <x v="6"/>
    <x v="6"/>
    <s v="Sam"/>
    <n v="2.0833300000000001"/>
    <n v="0.83333200000000007"/>
    <n v="1.7708305"/>
    <n v="0.70833220000000008"/>
    <n v="23641"/>
    <n v="28786"/>
    <n v="5800"/>
    <n v="40090.852521200002"/>
    <n v="-2806.3596764840004"/>
    <n v="37284.492844716005"/>
    <n v="4833.3256000000001"/>
  </r>
  <r>
    <x v="27"/>
    <x v="27"/>
    <x v="14"/>
    <x v="14"/>
    <x v="0"/>
    <x v="2"/>
    <x v="6"/>
    <x v="6"/>
    <s v="Sam"/>
    <n v="7.8"/>
    <n v="1.95"/>
    <n v="6.63"/>
    <n v="1.6575"/>
    <n v="23641"/>
    <n v="28786"/>
    <n v="5800"/>
    <n v="93812.744999999995"/>
    <n v="-6566.8921500000006"/>
    <n v="87245.852849999996"/>
    <n v="11310"/>
  </r>
  <r>
    <x v="28"/>
    <x v="28"/>
    <x v="14"/>
    <x v="14"/>
    <x v="0"/>
    <x v="2"/>
    <x v="2"/>
    <x v="2"/>
    <s v="Sam"/>
    <n v="14.7"/>
    <n v="3.6749999999999998"/>
    <n v="12.494999999999999"/>
    <n v="3.1237499999999998"/>
    <n v="23641"/>
    <n v="28786"/>
    <n v="5800"/>
    <n v="176800.9425"/>
    <n v="-12376.065975000001"/>
    <n v="164424.876525"/>
    <n v="21315"/>
  </r>
  <r>
    <x v="29"/>
    <x v="29"/>
    <x v="9"/>
    <x v="9"/>
    <x v="0"/>
    <x v="11"/>
    <x v="2"/>
    <x v="2"/>
    <s v="Sam"/>
    <n v="38.625"/>
    <n v="15.450000000000001"/>
    <n v="32.831249999999997"/>
    <n v="13.1325"/>
    <n v="23641"/>
    <n v="28786"/>
    <n v="5800"/>
    <n v="743285.59499999997"/>
    <n v="-52029.991650000004"/>
    <n v="691255.60334999999"/>
    <n v="89610"/>
  </r>
  <r>
    <x v="30"/>
    <x v="30"/>
    <x v="0"/>
    <x v="0"/>
    <x v="0"/>
    <x v="0"/>
    <x v="6"/>
    <x v="6"/>
    <s v="Sam"/>
    <n v="16"/>
    <n v="3.2"/>
    <n v="13.6"/>
    <n v="2.72"/>
    <n v="18405"/>
    <n v="15773"/>
    <n v="5800"/>
    <n v="101798.56"/>
    <n v="-7125.8992000000007"/>
    <n v="94672.660799999998"/>
    <n v="18560"/>
  </r>
  <r>
    <x v="31"/>
    <x v="31"/>
    <x v="1"/>
    <x v="1"/>
    <x v="0"/>
    <x v="5"/>
    <x v="2"/>
    <x v="2"/>
    <s v="Sam"/>
    <n v="9.25"/>
    <n v="4.625"/>
    <n v="7.8624999999999998"/>
    <n v="3.9312499999999999"/>
    <n v="21634"/>
    <n v="26986"/>
    <n v="3400"/>
    <n v="206145.96249999999"/>
    <n v="-14430.217375"/>
    <n v="191715.74512499999"/>
    <n v="15725"/>
  </r>
  <r>
    <x v="32"/>
    <x v="32"/>
    <x v="1"/>
    <x v="1"/>
    <x v="0"/>
    <x v="10"/>
    <x v="5"/>
    <x v="5"/>
    <s v="TekNat"/>
    <n v="6"/>
    <n v="1.6"/>
    <n v="5.0999999999999996"/>
    <n v="1.3599999999999999"/>
    <n v="23641"/>
    <n v="28786"/>
    <n v="5800"/>
    <n v="76974.559999999998"/>
    <n v="-5388.2192000000005"/>
    <n v="71586.340799999991"/>
    <n v="9280"/>
  </r>
  <r>
    <x v="32"/>
    <x v="32"/>
    <x v="0"/>
    <x v="0"/>
    <x v="0"/>
    <x v="10"/>
    <x v="5"/>
    <x v="5"/>
    <s v="TekNat"/>
    <n v="6"/>
    <n v="1.6"/>
    <n v="5.0999999999999996"/>
    <n v="1.3599999999999999"/>
    <n v="23641"/>
    <n v="28786"/>
    <n v="5800"/>
    <n v="76974.559999999998"/>
    <n v="-5388.2192000000005"/>
    <n v="71586.340799999991"/>
    <n v="9280"/>
  </r>
  <r>
    <x v="33"/>
    <x v="33"/>
    <x v="15"/>
    <x v="15"/>
    <x v="0"/>
    <x v="0"/>
    <x v="6"/>
    <x v="6"/>
    <s v="Sam"/>
    <n v="6.875"/>
    <n v="1.375"/>
    <n v="5.84375"/>
    <n v="1.16875"/>
    <n v="23641"/>
    <n v="28786"/>
    <n v="5800"/>
    <n v="66150.012499999997"/>
    <n v="-4630.5008750000006"/>
    <n v="61519.511624999999"/>
    <n v="7975"/>
  </r>
  <r>
    <x v="34"/>
    <x v="34"/>
    <x v="0"/>
    <x v="0"/>
    <x v="0"/>
    <x v="10"/>
    <x v="6"/>
    <x v="6"/>
    <s v="Sam"/>
    <n v="5.75"/>
    <n v="1.5333333333333332"/>
    <n v="4.8874999999999993"/>
    <n v="1.3033333333333332"/>
    <n v="23641"/>
    <n v="28786"/>
    <n v="5800"/>
    <n v="73767.286666666667"/>
    <n v="-5163.7100666666674"/>
    <n v="68603.5766"/>
    <n v="8893.3333333333321"/>
  </r>
  <r>
    <x v="35"/>
    <x v="35"/>
    <x v="0"/>
    <x v="0"/>
    <x v="0"/>
    <x v="12"/>
    <x v="6"/>
    <x v="6"/>
    <s v="Sam"/>
    <n v="10"/>
    <n v="1.25"/>
    <n v="8.5"/>
    <n v="1.0625"/>
    <n v="23641"/>
    <n v="28786"/>
    <n v="5800"/>
    <n v="60136.375"/>
    <n v="-4209.5462500000003"/>
    <n v="55926.828750000001"/>
    <n v="7250"/>
  </r>
  <r>
    <x v="35"/>
    <x v="35"/>
    <x v="9"/>
    <x v="9"/>
    <x v="0"/>
    <x v="2"/>
    <x v="6"/>
    <x v="6"/>
    <s v="Sam"/>
    <n v="10"/>
    <n v="2.5"/>
    <n v="8.5"/>
    <n v="2.125"/>
    <n v="23641"/>
    <n v="28786"/>
    <n v="5800"/>
    <n v="120272.75"/>
    <n v="-8419.0925000000007"/>
    <n v="111853.6575"/>
    <n v="14500"/>
  </r>
  <r>
    <x v="36"/>
    <x v="36"/>
    <x v="0"/>
    <x v="0"/>
    <x v="0"/>
    <x v="13"/>
    <x v="6"/>
    <x v="6"/>
    <s v="Sam"/>
    <n v="7.3"/>
    <n v="3.0416666666666665"/>
    <n v="6.2050000000000001"/>
    <n v="2.5854166666666667"/>
    <n v="23641"/>
    <n v="28786"/>
    <n v="5800"/>
    <n v="146331.84583333333"/>
    <n v="-10243.229208333334"/>
    <n v="136088.616625"/>
    <n v="17641.666666666664"/>
  </r>
  <r>
    <x v="36"/>
    <x v="36"/>
    <x v="9"/>
    <x v="9"/>
    <x v="0"/>
    <x v="14"/>
    <x v="6"/>
    <x v="6"/>
    <s v="Sam"/>
    <n v="7.3"/>
    <n v="0.60833333333333328"/>
    <n v="6.2050000000000001"/>
    <n v="0.51708333333333334"/>
    <n v="23641"/>
    <n v="28786"/>
    <n v="5800"/>
    <n v="29266.369166666664"/>
    <n v="-2048.6458416666665"/>
    <n v="27217.723324999999"/>
    <n v="3528.333333333333"/>
  </r>
  <r>
    <x v="37"/>
    <x v="37"/>
    <x v="1"/>
    <x v="1"/>
    <x v="0"/>
    <x v="11"/>
    <x v="2"/>
    <x v="2"/>
    <s v="Sam"/>
    <n v="7.1666600000000003"/>
    <n v="2.8666640000000001"/>
    <n v="6.079161"/>
    <n v="2.4316644000000003"/>
    <n v="23641"/>
    <n v="28786"/>
    <n v="5800"/>
    <n v="137768.69504240001"/>
    <n v="-9643.8086529680022"/>
    <n v="128124.88638943201"/>
    <n v="16626.6512"/>
  </r>
  <r>
    <x v="37"/>
    <x v="37"/>
    <x v="9"/>
    <x v="9"/>
    <x v="0"/>
    <x v="1"/>
    <x v="2"/>
    <x v="2"/>
    <s v="Sam"/>
    <n v="7.1666600000000003"/>
    <n v="0.71666600000000003"/>
    <n v="6.079161"/>
    <n v="0.60791610000000007"/>
    <n v="23641"/>
    <n v="28786"/>
    <n v="5800"/>
    <n v="34442.173760600002"/>
    <n v="-2410.9521632420006"/>
    <n v="32031.221597358002"/>
    <n v="4156.6628000000001"/>
  </r>
  <r>
    <x v="38"/>
    <x v="38"/>
    <x v="1"/>
    <x v="1"/>
    <x v="0"/>
    <x v="11"/>
    <x v="2"/>
    <x v="2"/>
    <s v="Sam"/>
    <n v="8.8333333333333339"/>
    <n v="3.5333333333333337"/>
    <n v="7.5083333333333329"/>
    <n v="3.0033333333333334"/>
    <n v="23641"/>
    <n v="28786"/>
    <n v="5800"/>
    <n v="169985.48666666669"/>
    <n v="-11898.98406666667"/>
    <n v="158086.50260000004"/>
    <n v="20493.333333333336"/>
  </r>
  <r>
    <x v="38"/>
    <x v="38"/>
    <x v="9"/>
    <x v="9"/>
    <x v="0"/>
    <x v="1"/>
    <x v="2"/>
    <x v="2"/>
    <s v="Sam"/>
    <n v="8.8333333333333339"/>
    <n v="0.88333333333333341"/>
    <n v="7.5083333333333329"/>
    <n v="0.75083333333333335"/>
    <n v="23641"/>
    <n v="28786"/>
    <n v="5800"/>
    <n v="42496.371666666673"/>
    <n v="-2974.7460166666674"/>
    <n v="39521.625650000009"/>
    <n v="5123.3333333333339"/>
  </r>
  <r>
    <x v="39"/>
    <x v="39"/>
    <x v="1"/>
    <x v="1"/>
    <x v="0"/>
    <x v="15"/>
    <x v="2"/>
    <x v="2"/>
    <s v="Sam"/>
    <n v="2"/>
    <n v="0.75"/>
    <n v="1.7"/>
    <n v="0.63749999999999996"/>
    <n v="23641"/>
    <n v="28786"/>
    <n v="5800"/>
    <n v="36081.824999999997"/>
    <n v="-2525.72775"/>
    <n v="33556.097249999999"/>
    <n v="4350"/>
  </r>
  <r>
    <x v="39"/>
    <x v="39"/>
    <x v="9"/>
    <x v="9"/>
    <x v="0"/>
    <x v="2"/>
    <x v="2"/>
    <x v="2"/>
    <s v="Sam"/>
    <n v="2"/>
    <n v="0.5"/>
    <n v="1.7"/>
    <n v="0.42499999999999999"/>
    <n v="23641"/>
    <n v="28786"/>
    <n v="5800"/>
    <n v="24054.55"/>
    <n v="-1683.8185000000001"/>
    <n v="22370.731499999998"/>
    <n v="2900"/>
  </r>
  <r>
    <x v="40"/>
    <x v="40"/>
    <x v="7"/>
    <x v="7"/>
    <x v="2"/>
    <x v="15"/>
    <x v="2"/>
    <x v="2"/>
    <s v="Sam"/>
    <n v="9.6"/>
    <n v="3.5999999999999996"/>
    <n v="8.16"/>
    <n v="3.06"/>
    <n v="23641"/>
    <n v="28786"/>
    <n v="5800"/>
    <n v="173192.76"/>
    <n v="-12123.493200000003"/>
    <n v="161069.26680000001"/>
    <n v="20879.999999999996"/>
  </r>
  <r>
    <x v="40"/>
    <x v="40"/>
    <x v="9"/>
    <x v="9"/>
    <x v="0"/>
    <x v="2"/>
    <x v="2"/>
    <x v="2"/>
    <s v="Sam"/>
    <n v="9.6"/>
    <n v="2.4"/>
    <n v="8.16"/>
    <n v="2.04"/>
    <n v="23641"/>
    <n v="28786"/>
    <n v="5800"/>
    <n v="115461.84"/>
    <n v="-8082.3288000000002"/>
    <n v="107379.51119999999"/>
    <n v="13920"/>
  </r>
  <r>
    <x v="41"/>
    <x v="41"/>
    <x v="9"/>
    <x v="9"/>
    <x v="0"/>
    <x v="2"/>
    <x v="2"/>
    <x v="2"/>
    <s v="Sam"/>
    <n v="13.466659999999999"/>
    <n v="3.3666649999999998"/>
    <n v="11.446660999999999"/>
    <n v="2.8616652499999997"/>
    <n v="23641"/>
    <n v="28786"/>
    <n v="5800"/>
    <n v="161967.22315149999"/>
    <n v="-11337.705620605"/>
    <n v="150629.51753089498"/>
    <n v="19526.656999999999"/>
  </r>
  <r>
    <x v="41"/>
    <x v="41"/>
    <x v="7"/>
    <x v="7"/>
    <x v="2"/>
    <x v="12"/>
    <x v="2"/>
    <x v="2"/>
    <s v="Sam"/>
    <n v="13.466659999999999"/>
    <n v="1.6833324999999999"/>
    <n v="11.446660999999999"/>
    <n v="1.4308326249999999"/>
    <n v="23641"/>
    <n v="28786"/>
    <n v="5800"/>
    <n v="80983.611575749994"/>
    <n v="-5668.8528103025001"/>
    <n v="75314.758765447492"/>
    <n v="9763.3284999999996"/>
  </r>
  <r>
    <x v="42"/>
    <x v="42"/>
    <x v="1"/>
    <x v="1"/>
    <x v="0"/>
    <x v="10"/>
    <x v="2"/>
    <x v="2"/>
    <s v="Sam"/>
    <n v="6"/>
    <n v="1.6"/>
    <n v="5.0999999999999996"/>
    <n v="1.3599999999999999"/>
    <n v="23641"/>
    <n v="28786"/>
    <n v="5800"/>
    <n v="76974.559999999998"/>
    <n v="-5388.2192000000005"/>
    <n v="71586.340799999991"/>
    <n v="9280"/>
  </r>
  <r>
    <x v="43"/>
    <x v="43"/>
    <x v="0"/>
    <x v="0"/>
    <x v="0"/>
    <x v="0"/>
    <x v="6"/>
    <x v="6"/>
    <s v="Sam"/>
    <n v="6.5"/>
    <n v="1.3"/>
    <n v="5.5249999999999995"/>
    <n v="1.105"/>
    <n v="18405"/>
    <n v="15773"/>
    <n v="5800"/>
    <n v="41355.665000000001"/>
    <n v="-2894.8965500000004"/>
    <n v="38460.768450000003"/>
    <n v="7540"/>
  </r>
  <r>
    <x v="44"/>
    <x v="44"/>
    <x v="0"/>
    <x v="0"/>
    <x v="0"/>
    <x v="16"/>
    <x v="5"/>
    <x v="5"/>
    <s v="TekNat"/>
    <n v="15.033339999999999"/>
    <n v="3.4166681818181814"/>
    <n v="12.778338999999999"/>
    <n v="2.9041679545454544"/>
    <n v="23641"/>
    <n v="28786"/>
    <n v="5800"/>
    <n v="164372.83122590909"/>
    <n v="-11506.098185813637"/>
    <n v="152866.73304009545"/>
    <n v="19816.675454545453"/>
  </r>
  <r>
    <x v="44"/>
    <x v="44"/>
    <x v="1"/>
    <x v="1"/>
    <x v="0"/>
    <x v="16"/>
    <x v="5"/>
    <x v="5"/>
    <s v="TekNat"/>
    <n v="15.033339999999999"/>
    <n v="3.4166681818181814"/>
    <n v="12.778338999999999"/>
    <n v="2.9041679545454544"/>
    <n v="23641"/>
    <n v="28786"/>
    <n v="5800"/>
    <n v="164372.83122590909"/>
    <n v="-11506.098185813637"/>
    <n v="152866.73304009545"/>
    <n v="19816.675454545453"/>
  </r>
  <r>
    <x v="44"/>
    <x v="44"/>
    <x v="14"/>
    <x v="14"/>
    <x v="0"/>
    <x v="17"/>
    <x v="5"/>
    <x v="5"/>
    <s v="TekNat"/>
    <n v="15.033339999999999"/>
    <n v="1.3666672727272726"/>
    <n v="12.778338999999999"/>
    <n v="1.1616671818181818"/>
    <n v="23641"/>
    <n v="28786"/>
    <n v="5800"/>
    <n v="65749.132490363641"/>
    <n v="-4602.4392743254557"/>
    <n v="61146.693216038184"/>
    <n v="7926.6701818181809"/>
  </r>
  <r>
    <x v="45"/>
    <x v="45"/>
    <x v="1"/>
    <x v="1"/>
    <x v="0"/>
    <x v="18"/>
    <x v="5"/>
    <x v="5"/>
    <s v="TekNat"/>
    <n v="10.1"/>
    <n v="3.03"/>
    <n v="8.5849999999999991"/>
    <n v="2.5754999999999995"/>
    <n v="23641"/>
    <n v="28786"/>
    <n v="5800"/>
    <n v="145770.57299999997"/>
    <n v="-10203.94011"/>
    <n v="135566.63288999998"/>
    <n v="17574"/>
  </r>
  <r>
    <x v="45"/>
    <x v="45"/>
    <x v="14"/>
    <x v="14"/>
    <x v="0"/>
    <x v="1"/>
    <x v="5"/>
    <x v="5"/>
    <s v="TekNat"/>
    <n v="10.1"/>
    <n v="1.01"/>
    <n v="8.5849999999999991"/>
    <n v="0.85849999999999993"/>
    <n v="23641"/>
    <n v="28786"/>
    <n v="5800"/>
    <n v="48590.190999999999"/>
    <n v="-3401.3133700000003"/>
    <n v="45188.877629999995"/>
    <n v="5858"/>
  </r>
  <r>
    <x v="46"/>
    <x v="46"/>
    <x v="0"/>
    <x v="0"/>
    <x v="0"/>
    <x v="16"/>
    <x v="5"/>
    <x v="5"/>
    <s v="TekNat"/>
    <n v="18.149999999999999"/>
    <n v="4.1249999999999991"/>
    <n v="15.427499999999998"/>
    <n v="3.5062499999999996"/>
    <n v="23641"/>
    <n v="28786"/>
    <n v="5800"/>
    <n v="198450.03749999998"/>
    <n v="-13891.502624999999"/>
    <n v="184558.53487499998"/>
    <n v="23924.999999999996"/>
  </r>
  <r>
    <x v="46"/>
    <x v="46"/>
    <x v="1"/>
    <x v="1"/>
    <x v="0"/>
    <x v="16"/>
    <x v="5"/>
    <x v="5"/>
    <s v="TekNat"/>
    <n v="18.149999999999999"/>
    <n v="4.1249999999999991"/>
    <n v="15.427499999999998"/>
    <n v="3.5062499999999996"/>
    <n v="23641"/>
    <n v="28786"/>
    <n v="5800"/>
    <n v="198450.03749999998"/>
    <n v="-13891.502624999999"/>
    <n v="184558.53487499998"/>
    <n v="23924.999999999996"/>
  </r>
  <r>
    <x v="46"/>
    <x v="46"/>
    <x v="14"/>
    <x v="14"/>
    <x v="0"/>
    <x v="17"/>
    <x v="5"/>
    <x v="5"/>
    <s v="TekNat"/>
    <n v="18.149999999999999"/>
    <n v="1.65"/>
    <n v="15.427499999999998"/>
    <n v="1.4024999999999999"/>
    <n v="23641"/>
    <n v="28786"/>
    <n v="5800"/>
    <n v="79380.014999999999"/>
    <n v="-5556.6010500000002"/>
    <n v="73823.413950000002"/>
    <n v="9570"/>
  </r>
  <r>
    <x v="47"/>
    <x v="47"/>
    <x v="13"/>
    <x v="13"/>
    <x v="3"/>
    <x v="10"/>
    <x v="5"/>
    <x v="5"/>
    <s v="TekNat"/>
    <n v="5.75"/>
    <n v="1.5333333333333332"/>
    <n v="4.8875000000000002"/>
    <n v="1.3033333333333335"/>
    <n v="23641"/>
    <n v="28786"/>
    <n v="5800"/>
    <n v="73767.286666666667"/>
    <n v="-5163.7100666666674"/>
    <n v="68603.5766"/>
    <n v="8893.3333333333321"/>
  </r>
  <r>
    <x v="47"/>
    <x v="47"/>
    <x v="1"/>
    <x v="1"/>
    <x v="0"/>
    <x v="0"/>
    <x v="5"/>
    <x v="5"/>
    <s v="TekNat"/>
    <n v="5.75"/>
    <n v="1.1500000000000001"/>
    <n v="4.8875000000000002"/>
    <n v="0.97750000000000004"/>
    <n v="23641"/>
    <n v="28786"/>
    <n v="5800"/>
    <n v="55325.465000000004"/>
    <n v="-3872.7825500000008"/>
    <n v="51452.68245"/>
    <n v="6670.0000000000009"/>
  </r>
  <r>
    <x v="47"/>
    <x v="47"/>
    <x v="0"/>
    <x v="0"/>
    <x v="0"/>
    <x v="0"/>
    <x v="5"/>
    <x v="5"/>
    <s v="TekNat"/>
    <n v="5.75"/>
    <n v="1.1500000000000001"/>
    <n v="4.8875000000000002"/>
    <n v="0.97750000000000004"/>
    <n v="23641"/>
    <n v="28786"/>
    <n v="5800"/>
    <n v="55325.465000000004"/>
    <n v="-3872.7825500000008"/>
    <n v="51452.68245"/>
    <n v="6670.0000000000009"/>
  </r>
  <r>
    <x v="48"/>
    <x v="48"/>
    <x v="16"/>
    <x v="16"/>
    <x v="3"/>
    <x v="19"/>
    <x v="5"/>
    <x v="5"/>
    <s v="TekNat"/>
    <n v="15"/>
    <n v="5.3333333333333339"/>
    <n v="12.75"/>
    <n v="4.5333333333333332"/>
    <n v="21634"/>
    <n v="26986"/>
    <n v="3400"/>
    <n v="237717.86666666667"/>
    <n v="-16640.250666666667"/>
    <n v="221077.61600000001"/>
    <n v="18133.333333333336"/>
  </r>
  <r>
    <x v="48"/>
    <x v="48"/>
    <x v="0"/>
    <x v="0"/>
    <x v="0"/>
    <x v="7"/>
    <x v="5"/>
    <x v="5"/>
    <s v="TekNat"/>
    <n v="15"/>
    <n v="2"/>
    <n v="12.75"/>
    <n v="1.7"/>
    <n v="21634"/>
    <n v="26986"/>
    <n v="3400"/>
    <n v="89144.2"/>
    <n v="-6240.0940000000001"/>
    <n v="82904.106"/>
    <n v="6800"/>
  </r>
  <r>
    <x v="49"/>
    <x v="49"/>
    <x v="16"/>
    <x v="16"/>
    <x v="3"/>
    <x v="11"/>
    <x v="5"/>
    <x v="5"/>
    <s v="TekNat"/>
    <n v="9.375"/>
    <n v="3.75"/>
    <n v="7.96875"/>
    <n v="3.1875"/>
    <n v="21634"/>
    <n v="26986"/>
    <n v="3400"/>
    <n v="167145.375"/>
    <n v="-11700.17625"/>
    <n v="155445.19875000001"/>
    <n v="12750"/>
  </r>
  <r>
    <x v="50"/>
    <x v="50"/>
    <x v="0"/>
    <x v="0"/>
    <x v="0"/>
    <x v="18"/>
    <x v="6"/>
    <x v="6"/>
    <s v="Sam"/>
    <n v="21.25"/>
    <n v="6.375"/>
    <n v="18.0625"/>
    <n v="5.4187500000000002"/>
    <n v="18405"/>
    <n v="15773"/>
    <n v="5800"/>
    <n v="202801.81875000001"/>
    <n v="-14196.127312500003"/>
    <n v="188605.69143750001"/>
    <n v="36975"/>
  </r>
  <r>
    <x v="50"/>
    <x v="50"/>
    <x v="7"/>
    <x v="7"/>
    <x v="2"/>
    <x v="7"/>
    <x v="6"/>
    <x v="6"/>
    <s v="Sam"/>
    <n v="21.25"/>
    <n v="2.8333333333333335"/>
    <n v="18.0625"/>
    <n v="2.4083333333333332"/>
    <n v="18405"/>
    <n v="15773"/>
    <n v="5800"/>
    <n v="90134.141666666663"/>
    <n v="-6309.389916666667"/>
    <n v="83824.751749999996"/>
    <n v="16433.333333333336"/>
  </r>
  <r>
    <x v="51"/>
    <x v="51"/>
    <x v="0"/>
    <x v="0"/>
    <x v="0"/>
    <x v="8"/>
    <x v="6"/>
    <x v="6"/>
    <s v="Sam"/>
    <n v="10.625"/>
    <n v="4.958333333333333"/>
    <n v="9.03125"/>
    <n v="4.2145833333333336"/>
    <n v="23641"/>
    <n v="28786"/>
    <n v="5800"/>
    <n v="238540.95416666666"/>
    <n v="-16697.866791666667"/>
    <n v="221843.087375"/>
    <n v="28758.333333333332"/>
  </r>
  <r>
    <x v="52"/>
    <x v="52"/>
    <x v="0"/>
    <x v="0"/>
    <x v="0"/>
    <x v="8"/>
    <x v="6"/>
    <x v="6"/>
    <s v="Sam"/>
    <n v="2.75"/>
    <n v="1.2833333333333334"/>
    <n v="2.3374999999999999"/>
    <n v="1.0908333333333333"/>
    <n v="23641"/>
    <n v="28786"/>
    <n v="5800"/>
    <n v="61740.011666666673"/>
    <n v="-4321.8008166666677"/>
    <n v="57418.210850000003"/>
    <n v="7443.3333333333339"/>
  </r>
  <r>
    <x v="53"/>
    <x v="53"/>
    <x v="16"/>
    <x v="16"/>
    <x v="3"/>
    <x v="13"/>
    <x v="5"/>
    <x v="5"/>
    <s v="TekNat"/>
    <n v="11.3"/>
    <n v="4.7083333333333339"/>
    <n v="9.6050000000000004"/>
    <n v="4.0020833333333341"/>
    <n v="23641"/>
    <n v="28786"/>
    <n v="5800"/>
    <n v="226513.6791666667"/>
    <n v="-15855.95754166667"/>
    <n v="210657.72162500003"/>
    <n v="27308.333333333336"/>
  </r>
  <r>
    <x v="53"/>
    <x v="53"/>
    <x v="13"/>
    <x v="13"/>
    <x v="3"/>
    <x v="4"/>
    <x v="5"/>
    <x v="5"/>
    <s v="TekNat"/>
    <n v="11.3"/>
    <n v="1.8833333333333333"/>
    <n v="9.6050000000000004"/>
    <n v="1.6008333333333333"/>
    <n v="23641"/>
    <n v="28786"/>
    <n v="5800"/>
    <n v="90605.471666666665"/>
    <n v="-6342.3830166666676"/>
    <n v="84263.088649999991"/>
    <n v="10923.333333333334"/>
  </r>
  <r>
    <x v="54"/>
    <x v="54"/>
    <x v="16"/>
    <x v="16"/>
    <x v="3"/>
    <x v="11"/>
    <x v="5"/>
    <x v="5"/>
    <s v="TekNat"/>
    <n v="3.375"/>
    <n v="1.35"/>
    <n v="2.8687499999999999"/>
    <n v="1.1475"/>
    <n v="23641"/>
    <n v="28786"/>
    <n v="5800"/>
    <n v="64947.285000000003"/>
    <n v="-4546.3099500000008"/>
    <n v="60400.975050000001"/>
    <n v="7830.0000000000009"/>
  </r>
  <r>
    <x v="55"/>
    <x v="55"/>
    <x v="16"/>
    <x v="16"/>
    <x v="3"/>
    <x v="11"/>
    <x v="5"/>
    <x v="5"/>
    <s v="TekNat"/>
    <n v="6"/>
    <n v="2.4000000000000004"/>
    <n v="5.0999999999999996"/>
    <n v="2.04"/>
    <n v="23641"/>
    <n v="28786"/>
    <n v="5800"/>
    <n v="115461.84000000001"/>
    <n v="-8082.3288000000011"/>
    <n v="107379.51120000001"/>
    <n v="13920.000000000002"/>
  </r>
  <r>
    <x v="56"/>
    <x v="56"/>
    <x v="16"/>
    <x v="16"/>
    <x v="3"/>
    <x v="9"/>
    <x v="5"/>
    <x v="5"/>
    <s v="TekNat"/>
    <n v="2.5750000000000002"/>
    <n v="0.85833333333333339"/>
    <n v="2.1887499999999998"/>
    <n v="0.72958333333333325"/>
    <n v="21634"/>
    <n v="26986"/>
    <n v="3400"/>
    <n v="38257.719166666662"/>
    <n v="-2678.0403416666668"/>
    <n v="35579.678824999995"/>
    <n v="2918.3333333333335"/>
  </r>
  <r>
    <x v="56"/>
    <x v="56"/>
    <x v="13"/>
    <x v="13"/>
    <x v="3"/>
    <x v="9"/>
    <x v="5"/>
    <x v="5"/>
    <s v="TekNat"/>
    <n v="2.5750000000000002"/>
    <n v="0.85833333333333339"/>
    <n v="2.1887499999999998"/>
    <n v="0.72958333333333325"/>
    <n v="21634"/>
    <n v="26986"/>
    <n v="3400"/>
    <n v="38257.719166666662"/>
    <n v="-2678.0403416666668"/>
    <n v="35579.678824999995"/>
    <n v="2918.3333333333335"/>
  </r>
  <r>
    <x v="57"/>
    <x v="57"/>
    <x v="16"/>
    <x v="16"/>
    <x v="3"/>
    <x v="8"/>
    <x v="5"/>
    <x v="5"/>
    <s v="TekNat"/>
    <n v="4.75"/>
    <n v="2.2166666666666668"/>
    <n v="4.0374999999999996"/>
    <n v="1.8841666666666665"/>
    <n v="19473"/>
    <n v="34806"/>
    <n v="21800"/>
    <n v="108745.45499999999"/>
    <n v="-7612.1818499999999"/>
    <n v="101133.27314999999"/>
    <n v="48323.333333333336"/>
  </r>
  <r>
    <x v="58"/>
    <x v="58"/>
    <x v="1"/>
    <x v="1"/>
    <x v="0"/>
    <x v="11"/>
    <x v="2"/>
    <x v="2"/>
    <s v="Sam"/>
    <n v="11"/>
    <n v="4.4000000000000004"/>
    <n v="9.35"/>
    <n v="3.74"/>
    <n v="23641"/>
    <n v="28786"/>
    <n v="5800"/>
    <n v="211680.04"/>
    <n v="-14817.602800000002"/>
    <n v="196862.43720000001"/>
    <n v="25520.000000000004"/>
  </r>
  <r>
    <x v="59"/>
    <x v="59"/>
    <x v="8"/>
    <x v="8"/>
    <x v="3"/>
    <x v="5"/>
    <x v="4"/>
    <x v="4"/>
    <s v="Hum"/>
    <n v="6"/>
    <n v="3"/>
    <n v="5.0999999999999996"/>
    <n v="2.5499999999999998"/>
    <n v="18405"/>
    <n v="15773"/>
    <n v="5800"/>
    <n v="95436.15"/>
    <n v="-6680.5304999999998"/>
    <n v="88755.619500000001"/>
    <n v="17400"/>
  </r>
  <r>
    <x v="60"/>
    <x v="60"/>
    <x v="2"/>
    <x v="2"/>
    <x v="0"/>
    <x v="20"/>
    <x v="7"/>
    <x v="7"/>
    <s v="Sam"/>
    <n v="11"/>
    <n v="1.76"/>
    <n v="9.35"/>
    <n v="1.496"/>
    <n v="18405"/>
    <n v="15773"/>
    <n v="5800"/>
    <n v="55989.207999999999"/>
    <n v="-3919.2445600000001"/>
    <n v="52069.96344"/>
    <n v="10208"/>
  </r>
  <r>
    <x v="60"/>
    <x v="60"/>
    <x v="17"/>
    <x v="17"/>
    <x v="0"/>
    <x v="21"/>
    <x v="7"/>
    <x v="7"/>
    <s v="Sam"/>
    <n v="11"/>
    <n v="2.64"/>
    <n v="9.35"/>
    <n v="2.2440000000000002"/>
    <n v="18405"/>
    <n v="15773"/>
    <n v="5800"/>
    <n v="83983.812000000005"/>
    <n v="-5878.8668400000006"/>
    <n v="78104.945160000003"/>
    <n v="15312"/>
  </r>
  <r>
    <x v="60"/>
    <x v="60"/>
    <x v="0"/>
    <x v="0"/>
    <x v="0"/>
    <x v="0"/>
    <x v="7"/>
    <x v="7"/>
    <s v="Sam"/>
    <n v="11"/>
    <n v="2.2000000000000002"/>
    <n v="9.35"/>
    <n v="1.87"/>
    <n v="18405"/>
    <n v="15773"/>
    <n v="5800"/>
    <n v="69986.510000000009"/>
    <n v="-4899.0557000000008"/>
    <n v="65087.454300000012"/>
    <n v="12760.000000000002"/>
  </r>
  <r>
    <x v="61"/>
    <x v="61"/>
    <x v="18"/>
    <x v="18"/>
    <x v="0"/>
    <x v="11"/>
    <x v="7"/>
    <x v="7"/>
    <s v="Sam"/>
    <n v="9"/>
    <n v="3.6"/>
    <n v="7.6499999999999995"/>
    <n v="3.06"/>
    <n v="18405"/>
    <n v="15773"/>
    <n v="5800"/>
    <n v="114523.38"/>
    <n v="-8016.6366000000007"/>
    <n v="106506.74340000001"/>
    <n v="20880"/>
  </r>
  <r>
    <x v="61"/>
    <x v="61"/>
    <x v="0"/>
    <x v="0"/>
    <x v="0"/>
    <x v="0"/>
    <x v="7"/>
    <x v="7"/>
    <s v="Sam"/>
    <n v="9"/>
    <n v="1.8"/>
    <n v="7.6499999999999995"/>
    <n v="1.53"/>
    <n v="18405"/>
    <n v="15773"/>
    <n v="5800"/>
    <n v="57261.69"/>
    <n v="-4008.3183000000004"/>
    <n v="53253.371700000003"/>
    <n v="10440"/>
  </r>
  <r>
    <x v="62"/>
    <x v="62"/>
    <x v="2"/>
    <x v="2"/>
    <x v="0"/>
    <x v="22"/>
    <x v="7"/>
    <x v="7"/>
    <s v="Sam"/>
    <n v="6.5"/>
    <n v="1.1700000000000002"/>
    <n v="5.5249999999999995"/>
    <n v="0.99450000000000005"/>
    <n v="18405"/>
    <n v="15773"/>
    <n v="5800"/>
    <n v="37220.098500000007"/>
    <n v="-2605.406895000001"/>
    <n v="34614.691605000007"/>
    <n v="6786.0000000000009"/>
  </r>
  <r>
    <x v="62"/>
    <x v="62"/>
    <x v="17"/>
    <x v="17"/>
    <x v="0"/>
    <x v="23"/>
    <x v="7"/>
    <x v="7"/>
    <s v="Sam"/>
    <n v="6.5"/>
    <n v="1.7549999999999997"/>
    <n v="5.5249999999999995"/>
    <n v="1.4917499999999997"/>
    <n v="18405"/>
    <n v="15773"/>
    <n v="5800"/>
    <n v="55830.147749999989"/>
    <n v="-3908.1103424999997"/>
    <n v="51922.037407499993"/>
    <n v="10178.999999999998"/>
  </r>
  <r>
    <x v="62"/>
    <x v="62"/>
    <x v="0"/>
    <x v="0"/>
    <x v="0"/>
    <x v="6"/>
    <x v="7"/>
    <x v="7"/>
    <s v="Sam"/>
    <n v="6.5"/>
    <n v="0.32500000000000001"/>
    <n v="5.5249999999999995"/>
    <n v="0.27625"/>
    <n v="18405"/>
    <n v="15773"/>
    <n v="5800"/>
    <n v="10338.91625"/>
    <n v="-723.7241375000001"/>
    <n v="9615.1921125000008"/>
    <n v="1885"/>
  </r>
  <r>
    <x v="63"/>
    <x v="63"/>
    <x v="14"/>
    <x v="14"/>
    <x v="0"/>
    <x v="5"/>
    <x v="7"/>
    <x v="7"/>
    <s v="Sam"/>
    <n v="8.625"/>
    <n v="4.3125"/>
    <n v="7.3249999999999993"/>
    <n v="3.6624999999999996"/>
    <n v="23641"/>
    <n v="28786"/>
    <n v="5800"/>
    <n v="207380.53749999998"/>
    <n v="-14516.637624999999"/>
    <n v="192863.89987499997"/>
    <n v="25012.5"/>
  </r>
  <r>
    <x v="64"/>
    <x v="64"/>
    <x v="16"/>
    <x v="16"/>
    <x v="3"/>
    <x v="0"/>
    <x v="2"/>
    <x v="2"/>
    <s v="Sam"/>
    <n v="10.75"/>
    <n v="2.15"/>
    <n v="9.1374999999999993"/>
    <n v="1.8274999999999999"/>
    <n v="18405"/>
    <n v="15773"/>
    <n v="5800"/>
    <n v="68395.907500000001"/>
    <n v="-4787.7135250000001"/>
    <n v="63608.193975000002"/>
    <n v="12470"/>
  </r>
  <r>
    <x v="64"/>
    <x v="64"/>
    <x v="9"/>
    <x v="9"/>
    <x v="0"/>
    <x v="0"/>
    <x v="2"/>
    <x v="2"/>
    <s v="Sam"/>
    <n v="10.75"/>
    <n v="2.15"/>
    <n v="9.1374999999999993"/>
    <n v="1.8274999999999999"/>
    <n v="18405"/>
    <n v="15773"/>
    <n v="5800"/>
    <n v="68395.907500000001"/>
    <n v="-4787.7135250000001"/>
    <n v="63608.193975000002"/>
    <n v="12470"/>
  </r>
  <r>
    <x v="65"/>
    <x v="65"/>
    <x v="1"/>
    <x v="1"/>
    <x v="0"/>
    <x v="10"/>
    <x v="2"/>
    <x v="2"/>
    <s v="Sam"/>
    <n v="9.75"/>
    <n v="2.6"/>
    <n v="8.2562499999999996"/>
    <n v="2.2016666666666667"/>
    <n v="18405"/>
    <n v="15773"/>
    <n v="5800"/>
    <n v="82579.888333333336"/>
    <n v="-5780.5921833333341"/>
    <n v="76799.296150000009"/>
    <n v="15080"/>
  </r>
  <r>
    <x v="65"/>
    <x v="65"/>
    <x v="9"/>
    <x v="9"/>
    <x v="0"/>
    <x v="10"/>
    <x v="2"/>
    <x v="2"/>
    <s v="Sam"/>
    <n v="9.75"/>
    <n v="2.6"/>
    <n v="8.2562499999999996"/>
    <n v="2.2016666666666667"/>
    <n v="18405"/>
    <n v="15773"/>
    <n v="5800"/>
    <n v="82579.888333333336"/>
    <n v="-5780.5921833333341"/>
    <n v="76799.296150000009"/>
    <n v="15080"/>
  </r>
  <r>
    <x v="66"/>
    <x v="66"/>
    <x v="0"/>
    <x v="0"/>
    <x v="0"/>
    <x v="9"/>
    <x v="6"/>
    <x v="6"/>
    <s v="Sam"/>
    <n v="18.5"/>
    <n v="6.1666666666666661"/>
    <n v="15.724999999999998"/>
    <n v="5.2416666666666654"/>
    <n v="34144.199999999997"/>
    <n v="33557.800000000003"/>
    <n v="5800"/>
    <n v="386454.7016666666"/>
    <n v="-27051.829116666664"/>
    <n v="359402.87254999991"/>
    <n v="35766.666666666664"/>
  </r>
  <r>
    <x v="67"/>
    <x v="67"/>
    <x v="9"/>
    <x v="9"/>
    <x v="0"/>
    <x v="5"/>
    <x v="2"/>
    <x v="2"/>
    <s v="Sam"/>
    <n v="15"/>
    <n v="7.5"/>
    <n v="12.731250000000001"/>
    <n v="6.3656250000000005"/>
    <n v="18405"/>
    <n v="15773"/>
    <n v="5800"/>
    <n v="238442.50312499999"/>
    <n v="-16690.975218750002"/>
    <n v="221751.52790624998"/>
    <n v="43500"/>
  </r>
  <r>
    <x v="68"/>
    <x v="68"/>
    <x v="8"/>
    <x v="8"/>
    <x v="3"/>
    <x v="5"/>
    <x v="4"/>
    <x v="4"/>
    <s v="Hum"/>
    <n v="13.5"/>
    <n v="6.75"/>
    <n v="11.475"/>
    <n v="5.7374999999999998"/>
    <n v="18405"/>
    <n v="15773"/>
    <n v="5800"/>
    <n v="214731.33749999999"/>
    <n v="-15031.193625000002"/>
    <n v="199700.14387499998"/>
    <n v="39150"/>
  </r>
  <r>
    <x v="69"/>
    <x v="69"/>
    <x v="8"/>
    <x v="8"/>
    <x v="3"/>
    <x v="5"/>
    <x v="4"/>
    <x v="4"/>
    <s v="Hum"/>
    <n v="13"/>
    <n v="6.5"/>
    <n v="11.049999999999999"/>
    <n v="5.5249999999999995"/>
    <n v="18405"/>
    <n v="15773"/>
    <n v="5800"/>
    <n v="206778.32500000001"/>
    <n v="-14474.482750000003"/>
    <n v="192303.84225000002"/>
    <n v="37700"/>
  </r>
  <r>
    <x v="70"/>
    <x v="70"/>
    <x v="8"/>
    <x v="8"/>
    <x v="3"/>
    <x v="5"/>
    <x v="4"/>
    <x v="4"/>
    <s v="Hum"/>
    <n v="7"/>
    <n v="3.5"/>
    <n v="5.95"/>
    <n v="2.9750000000000001"/>
    <n v="18405"/>
    <n v="15773"/>
    <n v="5800"/>
    <n v="111342.175"/>
    <n v="-7793.9522500000012"/>
    <n v="103548.22275"/>
    <n v="20300"/>
  </r>
  <r>
    <x v="71"/>
    <x v="71"/>
    <x v="15"/>
    <x v="15"/>
    <x v="0"/>
    <x v="24"/>
    <x v="6"/>
    <x v="6"/>
    <s v="Sam"/>
    <n v="4.8333300000000001"/>
    <n v="3.3833310000000001"/>
    <n v="3.8666640000000001"/>
    <n v="2.7066648"/>
    <n v="18405"/>
    <n v="15773"/>
    <n v="5800"/>
    <n v="104962.4309454"/>
    <n v="-7347.3701661780005"/>
    <n v="97615.060779221996"/>
    <n v="19623.319800000001"/>
  </r>
  <r>
    <x v="71"/>
    <x v="71"/>
    <x v="0"/>
    <x v="0"/>
    <x v="0"/>
    <x v="18"/>
    <x v="6"/>
    <x v="6"/>
    <s v="Sam"/>
    <n v="4.8333300000000001"/>
    <n v="1.449999"/>
    <n v="3.8666640000000001"/>
    <n v="1.1599991999999999"/>
    <n v="18405"/>
    <n v="15773"/>
    <n v="5800"/>
    <n v="44983.898976600001"/>
    <n v="-3148.8729283620005"/>
    <n v="41835.026048238004"/>
    <n v="8409.994200000001"/>
  </r>
  <r>
    <x v="72"/>
    <x v="72"/>
    <x v="0"/>
    <x v="0"/>
    <x v="0"/>
    <x v="25"/>
    <x v="6"/>
    <x v="6"/>
    <s v="Sam"/>
    <n v="6.75"/>
    <n v="4.05"/>
    <n v="5.7374999999999998"/>
    <n v="3.4424999999999999"/>
    <n v="18405"/>
    <n v="15773"/>
    <n v="5800"/>
    <n v="128838.80249999999"/>
    <n v="-9018.7161749999996"/>
    <n v="119820.086325"/>
    <n v="2349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ell1" cacheId="3"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AH26:AL47" firstHeaderRow="1" firstDataRow="2" firstDataCol="1"/>
  <pivotFields count="20">
    <pivotField compact="0" outline="0" showAll="0"/>
    <pivotField compact="0" outline="0" showAll="0"/>
    <pivotField axis="axisRow" compact="0" outline="0" showAll="0" sortType="ascending" defaultSubtotal="0">
      <items count="21">
        <item x="16"/>
        <item m="1" x="19"/>
        <item x="8"/>
        <item x="13"/>
        <item x="0"/>
        <item x="1"/>
        <item x="9"/>
        <item x="18"/>
        <item x="17"/>
        <item x="10"/>
        <item x="14"/>
        <item x="15"/>
        <item x="2"/>
        <item x="11"/>
        <item x="4"/>
        <item x="3"/>
        <item m="1" x="20"/>
        <item x="5"/>
        <item x="6"/>
        <item x="12"/>
        <item x="7"/>
      </items>
    </pivotField>
    <pivotField compact="0" outline="0" showAll="0" sortType="ascending"/>
    <pivotField compact="0" outline="0" showAll="0"/>
    <pivotField compact="0" numFmtId="9" outline="0" showAll="0" defaultSubtotal="0"/>
    <pivotField compact="0" outline="0" showAll="0"/>
    <pivotField compact="0" outline="0" showAll="0"/>
    <pivotField compact="0" outline="0" showAll="0"/>
    <pivotField compact="0" numFmtId="168" outline="0" showAll="0"/>
    <pivotField dataField="1" compact="0" numFmtId="168" outline="0" showAll="0"/>
    <pivotField compact="0" numFmtId="168" outline="0" showAll="0"/>
    <pivotField dataField="1" compact="0" numFmtId="168" outline="0" showAll="0"/>
    <pivotField compact="0" numFmtId="168" outline="0" showAll="0"/>
    <pivotField compact="0" numFmtId="168" outline="0" showAll="0"/>
    <pivotField compact="0" numFmtId="168" outline="0" showAll="0"/>
    <pivotField compact="0" numFmtId="168" outline="0" showAll="0" defaultSubtotal="0"/>
    <pivotField compact="0" numFmtId="168" outline="0" showAll="0"/>
    <pivotField dataField="1" compact="0" numFmtId="168" outline="0" showAll="0" defaultSubtotal="0"/>
    <pivotField dataField="1" compact="0" numFmtId="168" outline="0" showAll="0"/>
  </pivotFields>
  <rowFields count="1">
    <field x="2"/>
  </rowFields>
  <rowItems count="20">
    <i>
      <x/>
    </i>
    <i>
      <x v="2"/>
    </i>
    <i>
      <x v="3"/>
    </i>
    <i>
      <x v="4"/>
    </i>
    <i>
      <x v="5"/>
    </i>
    <i>
      <x v="6"/>
    </i>
    <i>
      <x v="7"/>
    </i>
    <i>
      <x v="8"/>
    </i>
    <i>
      <x v="9"/>
    </i>
    <i>
      <x v="10"/>
    </i>
    <i>
      <x v="11"/>
    </i>
    <i>
      <x v="12"/>
    </i>
    <i>
      <x v="13"/>
    </i>
    <i>
      <x v="14"/>
    </i>
    <i>
      <x v="15"/>
    </i>
    <i>
      <x v="17"/>
    </i>
    <i>
      <x v="18"/>
    </i>
    <i>
      <x v="19"/>
    </i>
    <i>
      <x v="20"/>
    </i>
    <i t="grand">
      <x/>
    </i>
  </rowItems>
  <colFields count="1">
    <field x="-2"/>
  </colFields>
  <colItems count="4">
    <i>
      <x/>
    </i>
    <i i="1">
      <x v="1"/>
    </i>
    <i i="2">
      <x v="2"/>
    </i>
    <i i="3">
      <x v="3"/>
    </i>
  </colItems>
  <dataFields count="4">
    <dataField name="Summa av Lokalintäkt" fld="19" baseField="2" baseItem="5" numFmtId="171"/>
    <dataField name=" Kursintäkt efter avdrag" fld="18" baseField="0" baseItem="0" numFmtId="171"/>
    <dataField name=" HST medv" fld="10" baseField="0" baseItem="0" numFmtId="3"/>
    <dataField name=" HPr medv" fld="12" baseField="0" baseItem="0" numFmtId="3"/>
  </dataFields>
  <formats count="1">
    <format dxfId="72">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2.xml><?xml version="1.0" encoding="utf-8"?>
<pivotTableDefinition xmlns="http://schemas.openxmlformats.org/spreadsheetml/2006/main" name="Pivottabell2" cacheId="3" applyNumberFormats="0" applyBorderFormats="0" applyFontFormats="0" applyPatternFormats="0" applyAlignmentFormats="0" applyWidthHeightFormats="1" dataCaption="Värden" updatedVersion="6" minRefreshableVersion="3" showCalcMbrs="0" useAutoFormatting="1" itemPrintTitles="1" createdVersion="3" indent="0" compact="0" compactData="0" multipleFieldFilters="0">
  <location ref="AH51:AL61" firstHeaderRow="1" firstDataRow="2" firstDataCol="1"/>
  <pivotFields count="20">
    <pivotField compact="0" outline="0" showAll="0"/>
    <pivotField compact="0" outline="0" showAll="0"/>
    <pivotField compact="0" outline="0" showAll="0" defaultSubtotal="0"/>
    <pivotField compact="0" outline="0" showAll="0"/>
    <pivotField compact="0" outline="0" showAll="0"/>
    <pivotField compact="0" numFmtId="9" outline="0" showAll="0" defaultSubtotal="0"/>
    <pivotField axis="axisRow" compact="0" outline="0" showAll="0" sortType="ascending">
      <items count="10">
        <item x="4"/>
        <item x="1"/>
        <item x="0"/>
        <item x="2"/>
        <item x="6"/>
        <item x="7"/>
        <item x="3"/>
        <item m="1" x="8"/>
        <item x="5"/>
        <item t="default"/>
      </items>
    </pivotField>
    <pivotField compact="0" outline="0" showAll="0"/>
    <pivotField compact="0" outline="0" showAll="0"/>
    <pivotField compact="0" numFmtId="168" outline="0" showAll="0"/>
    <pivotField dataField="1" compact="0" numFmtId="168" outline="0" showAll="0"/>
    <pivotField compact="0" numFmtId="168" outline="0" showAll="0"/>
    <pivotField dataField="1" compact="0" numFmtId="168" outline="0" showAll="0"/>
    <pivotField compact="0" numFmtId="168" outline="0" showAll="0"/>
    <pivotField compact="0" numFmtId="168" outline="0" showAll="0"/>
    <pivotField compact="0" numFmtId="168" outline="0" showAll="0"/>
    <pivotField compact="0" numFmtId="168" outline="0" showAll="0" defaultSubtotal="0"/>
    <pivotField compact="0" numFmtId="168" outline="0" showAll="0"/>
    <pivotField dataField="1" compact="0" numFmtId="168" outline="0" showAll="0" defaultSubtotal="0"/>
    <pivotField dataField="1" compact="0" numFmtId="168" outline="0" showAll="0"/>
  </pivotFields>
  <rowFields count="1">
    <field x="6"/>
  </rowFields>
  <rowItems count="9">
    <i>
      <x/>
    </i>
    <i>
      <x v="1"/>
    </i>
    <i>
      <x v="2"/>
    </i>
    <i>
      <x v="3"/>
    </i>
    <i>
      <x v="4"/>
    </i>
    <i>
      <x v="5"/>
    </i>
    <i>
      <x v="6"/>
    </i>
    <i>
      <x v="8"/>
    </i>
    <i t="grand">
      <x/>
    </i>
  </rowItems>
  <colFields count="1">
    <field x="-2"/>
  </colFields>
  <colItems count="4">
    <i>
      <x/>
    </i>
    <i i="1">
      <x v="1"/>
    </i>
    <i i="2">
      <x v="2"/>
    </i>
    <i i="3">
      <x v="3"/>
    </i>
  </colItems>
  <dataFields count="4">
    <dataField name="Summa av Lokalintäkt" fld="19" baseField="6" baseItem="4" numFmtId="171"/>
    <dataField name=" Kursintäkt efter avdrag" fld="18" baseField="0" baseItem="0" numFmtId="171"/>
    <dataField name=" HST medv" fld="10" baseField="0" baseItem="0" numFmtId="3"/>
    <dataField name=" HPR medv" fld="12" baseField="0" baseItem="0" numFmtId="3"/>
  </dataFields>
  <formats count="3">
    <format dxfId="75">
      <pivotArea outline="0" fieldPosition="0">
        <references count="1">
          <reference field="4294967294" count="1">
            <x v="1"/>
          </reference>
        </references>
      </pivotArea>
    </format>
    <format dxfId="74">
      <pivotArea outline="0" fieldPosition="0">
        <references count="1">
          <reference field="4294967294" count="1">
            <x v="0"/>
          </reference>
        </references>
      </pivotArea>
    </format>
    <format dxfId="73">
      <pivotArea outline="0" collapsedLevelsAreSubtotals="1" fieldPosition="0">
        <references count="1">
          <reference field="4294967294" count="1" selected="0">
            <x v="0"/>
          </reference>
        </references>
      </pivotArea>
    </format>
  </formats>
  <pivotTableStyleInfo name="PivotStyleMedium14" showRowHeaders="1" showColHeaders="1" showRowStripes="0" showColStripes="0" showLastColumn="1"/>
</pivotTableDefinition>
</file>

<file path=xl/pivotTables/pivotTable3.xml><?xml version="1.0" encoding="utf-8"?>
<pivotTableDefinition xmlns="http://schemas.openxmlformats.org/spreadsheetml/2006/main" name="Pivottabell3" cacheId="2"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H1:AL20" firstHeaderRow="1" firstDataRow="2" firstDataCol="1"/>
  <pivotFields count="4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axis="axisRow" compact="0" outline="0" subtotalTop="0" showAll="0" includeNewItemsInFilter="1" sortType="ascending">
      <items count="19">
        <item x="8"/>
        <item x="10"/>
        <item x="9"/>
        <item x="11"/>
        <item x="12"/>
        <item x="15"/>
        <item x="16"/>
        <item x="13"/>
        <item x="14"/>
        <item x="1"/>
        <item x="0"/>
        <item x="3"/>
        <item x="2"/>
        <item x="4"/>
        <item x="7"/>
        <item x="5"/>
        <item x="6"/>
        <item m="1" x="17"/>
        <item t="default"/>
      </items>
    </pivotField>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s>
  <rowFields count="1">
    <field x="19"/>
  </rowFields>
  <rowItems count="18">
    <i>
      <x/>
    </i>
    <i>
      <x v="1"/>
    </i>
    <i>
      <x v="2"/>
    </i>
    <i>
      <x v="3"/>
    </i>
    <i>
      <x v="4"/>
    </i>
    <i>
      <x v="5"/>
    </i>
    <i>
      <x v="6"/>
    </i>
    <i>
      <x v="7"/>
    </i>
    <i>
      <x v="8"/>
    </i>
    <i>
      <x v="9"/>
    </i>
    <i>
      <x v="10"/>
    </i>
    <i>
      <x v="11"/>
    </i>
    <i>
      <x v="12"/>
    </i>
    <i>
      <x v="13"/>
    </i>
    <i>
      <x v="14"/>
    </i>
    <i>
      <x v="15"/>
    </i>
    <i>
      <x v="16"/>
    </i>
    <i t="grand">
      <x/>
    </i>
  </rowItems>
  <colFields count="1">
    <field x="-2"/>
  </colFields>
  <colItems count="4">
    <i>
      <x/>
    </i>
    <i i="1">
      <x v="1"/>
    </i>
    <i i="2">
      <x v="2"/>
    </i>
    <i i="3">
      <x v="3"/>
    </i>
  </colItems>
  <dataFields count="4">
    <dataField name=" Lokalintäkt" fld="27" baseField="0" baseItem="0" numFmtId="171"/>
    <dataField name=" Kursintäkt" fld="25" baseField="0" baseItem="0" numFmtId="171"/>
    <dataField name=" HST" fld="16" baseField="0" baseItem="0" numFmtId="3"/>
    <dataField name=" HPR" fld="18" baseField="0" baseItem="0" numFmtId="3"/>
  </dataFields>
  <pivotTableStyleInfo showRowHeaders="1" showColHeaders="1" showRowStripes="0" showColStripes="0" showLastColumn="1"/>
</pivotTableDefinition>
</file>

<file path=xl/pivotTables/pivotTable4.xml><?xml version="1.0" encoding="utf-8"?>
<pivotTableDefinition xmlns="http://schemas.openxmlformats.org/spreadsheetml/2006/main" name="Pivottabell2" cacheId="3"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2:K133" firstHeaderRow="1" firstDataRow="2" firstDataCol="7"/>
  <pivotFields count="20">
    <pivotField axis="axisRow" compact="0" outline="0" subtotalTop="0" showAll="0" includeNewItemsInFilter="1" defaultSubtotal="0">
      <items count="122">
        <item m="1" x="105"/>
        <item x="9"/>
        <item x="10"/>
        <item m="1" x="95"/>
        <item m="1" x="121"/>
        <item m="1" x="76"/>
        <item m="1" x="83"/>
        <item m="1" x="86"/>
        <item m="1" x="90"/>
        <item m="1" x="106"/>
        <item m="1" x="78"/>
        <item x="23"/>
        <item m="1" x="85"/>
        <item m="1" x="87"/>
        <item x="60"/>
        <item x="61"/>
        <item x="62"/>
        <item x="68"/>
        <item x="69"/>
        <item x="70"/>
        <item x="5"/>
        <item x="14"/>
        <item x="15"/>
        <item x="24"/>
        <item m="1" x="114"/>
        <item m="1" x="94"/>
        <item m="1" x="82"/>
        <item m="1" x="119"/>
        <item m="1" x="74"/>
        <item m="1" x="75"/>
        <item m="1" x="77"/>
        <item m="1" x="80"/>
        <item m="1" x="102"/>
        <item x="11"/>
        <item m="1" x="93"/>
        <item m="1" x="97"/>
        <item m="1" x="88"/>
        <item m="1" x="92"/>
        <item m="1" x="99"/>
        <item m="1" x="103"/>
        <item m="1" x="111"/>
        <item x="71"/>
        <item x="26"/>
        <item m="1" x="117"/>
        <item m="1" x="112"/>
        <item m="1" x="110"/>
        <item m="1" x="98"/>
        <item m="1" x="120"/>
        <item m="1" x="73"/>
        <item m="1" x="101"/>
        <item m="1" x="104"/>
        <item m="1" x="107"/>
        <item m="1" x="113"/>
        <item m="1" x="116"/>
        <item m="1" x="81"/>
        <item m="1" x="109"/>
        <item x="27"/>
        <item x="12"/>
        <item x="13"/>
        <item m="1" x="89"/>
        <item x="28"/>
        <item x="29"/>
        <item m="1" x="91"/>
        <item x="25"/>
        <item m="1" x="115"/>
        <item x="58"/>
        <item x="63"/>
        <item x="18"/>
        <item x="19"/>
        <item x="20"/>
        <item m="1" x="79"/>
        <item x="30"/>
        <item m="1" x="84"/>
        <item x="0"/>
        <item x="3"/>
        <item x="16"/>
        <item m="1" x="96"/>
        <item x="21"/>
        <item x="32"/>
        <item x="33"/>
        <item x="34"/>
        <item x="35"/>
        <item x="36"/>
        <item x="37"/>
        <item x="39"/>
        <item x="40"/>
        <item x="42"/>
        <item x="44"/>
        <item x="45"/>
        <item x="59"/>
        <item x="72"/>
        <item x="38"/>
        <item x="41"/>
        <item x="46"/>
        <item x="17"/>
        <item x="43"/>
        <item x="47"/>
        <item x="48"/>
        <item x="49"/>
        <item m="1" x="100"/>
        <item m="1" x="108"/>
        <item x="6"/>
        <item x="4"/>
        <item x="54"/>
        <item x="55"/>
        <item x="53"/>
        <item x="56"/>
        <item x="50"/>
        <item x="31"/>
        <item m="1" x="118"/>
        <item x="7"/>
        <item x="8"/>
        <item x="51"/>
        <item x="52"/>
        <item x="64"/>
        <item x="65"/>
        <item x="66"/>
        <item x="22"/>
        <item x="2"/>
        <item x="67"/>
        <item x="57"/>
        <item x="1"/>
      </items>
    </pivotField>
    <pivotField axis="axisRow" compact="0" outline="0" subtotalTop="0" showAll="0" includeNewItemsInFilter="1" defaultSubtotal="0">
      <items count="115">
        <item x="67"/>
        <item x="9"/>
        <item x="10"/>
        <item x="58"/>
        <item m="1" x="97"/>
        <item m="1" x="81"/>
        <item m="1" x="84"/>
        <item m="1" x="82"/>
        <item m="1" x="99"/>
        <item m="1" x="114"/>
        <item x="23"/>
        <item m="1" x="89"/>
        <item m="1" x="86"/>
        <item x="60"/>
        <item x="61"/>
        <item x="62"/>
        <item x="68"/>
        <item x="69"/>
        <item x="70"/>
        <item m="1" x="85"/>
        <item x="5"/>
        <item x="14"/>
        <item x="15"/>
        <item m="1" x="111"/>
        <item m="1" x="94"/>
        <item m="1" x="79"/>
        <item m="1" x="92"/>
        <item m="1" x="73"/>
        <item m="1" x="100"/>
        <item m="1" x="109"/>
        <item m="1" x="105"/>
        <item x="12"/>
        <item x="13"/>
        <item m="1" x="80"/>
        <item m="1" x="88"/>
        <item x="8"/>
        <item x="11"/>
        <item m="1" x="104"/>
        <item m="1" x="110"/>
        <item x="24"/>
        <item x="26"/>
        <item m="1" x="107"/>
        <item m="1" x="102"/>
        <item m="1" x="90"/>
        <item m="1" x="76"/>
        <item m="1" x="83"/>
        <item m="1" x="108"/>
        <item m="1" x="95"/>
        <item m="1" x="74"/>
        <item m="1" x="112"/>
        <item x="54"/>
        <item x="55"/>
        <item m="1" x="113"/>
        <item m="1" x="106"/>
        <item x="27"/>
        <item m="1" x="103"/>
        <item x="72"/>
        <item x="71"/>
        <item x="28"/>
        <item x="29"/>
        <item m="1" x="101"/>
        <item m="1" x="77"/>
        <item x="25"/>
        <item m="1" x="87"/>
        <item x="63"/>
        <item x="30"/>
        <item x="21"/>
        <item x="18"/>
        <item x="19"/>
        <item x="20"/>
        <item m="1" x="93"/>
        <item m="1" x="78"/>
        <item x="51"/>
        <item x="56"/>
        <item x="0"/>
        <item x="3"/>
        <item x="16"/>
        <item m="1" x="91"/>
        <item x="32"/>
        <item x="33"/>
        <item x="34"/>
        <item x="35"/>
        <item x="36"/>
        <item x="37"/>
        <item x="39"/>
        <item x="40"/>
        <item x="42"/>
        <item x="44"/>
        <item x="45"/>
        <item x="59"/>
        <item x="38"/>
        <item x="41"/>
        <item x="46"/>
        <item x="17"/>
        <item x="43"/>
        <item m="1" x="98"/>
        <item x="47"/>
        <item x="48"/>
        <item x="49"/>
        <item x="6"/>
        <item x="7"/>
        <item x="4"/>
        <item x="53"/>
        <item x="50"/>
        <item x="31"/>
        <item m="1" x="75"/>
        <item x="52"/>
        <item x="64"/>
        <item x="65"/>
        <item x="66"/>
        <item x="22"/>
        <item m="1" x="96"/>
        <item x="2"/>
        <item x="57"/>
        <item x="1"/>
      </items>
    </pivotField>
    <pivotField axis="axisRow" compact="0" outline="0" showAll="0">
      <items count="22">
        <item x="16"/>
        <item m="1" x="19"/>
        <item x="8"/>
        <item x="13"/>
        <item x="0"/>
        <item x="1"/>
        <item x="9"/>
        <item x="18"/>
        <item x="17"/>
        <item x="10"/>
        <item x="14"/>
        <item x="15"/>
        <item x="2"/>
        <item x="11"/>
        <item x="4"/>
        <item x="3"/>
        <item m="1" x="20"/>
        <item x="6"/>
        <item x="12"/>
        <item x="7"/>
        <item x="5"/>
        <item t="default"/>
      </items>
    </pivotField>
    <pivotField axis="axisRow" compact="0" outline="0" subtotalTop="0" showAll="0" includeNewItemsInFilter="1" defaultSubtotal="0">
      <items count="21">
        <item x="2"/>
        <item x="13"/>
        <item x="3"/>
        <item m="1" x="20"/>
        <item x="8"/>
        <item x="12"/>
        <item x="16"/>
        <item x="4"/>
        <item x="17"/>
        <item x="0"/>
        <item x="18"/>
        <item x="9"/>
        <item x="7"/>
        <item x="10"/>
        <item m="1" x="19"/>
        <item x="5"/>
        <item x="6"/>
        <item x="15"/>
        <item x="1"/>
        <item x="14"/>
        <item x="11"/>
      </items>
    </pivotField>
    <pivotField axis="axisRow" compact="0" outline="0" subtotalTop="0" showAll="0" includeNewItemsInFilter="1">
      <items count="5">
        <item x="3"/>
        <item x="1"/>
        <item x="0"/>
        <item x="2"/>
        <item t="default"/>
      </items>
    </pivotField>
    <pivotField axis="axisRow" compact="0" outline="0" showAll="0" defaultSubtotal="0">
      <items count="35">
        <item x="1"/>
        <item x="3"/>
        <item x="0"/>
        <item x="2"/>
        <item x="18"/>
        <item x="11"/>
        <item x="5"/>
        <item x="6"/>
        <item m="1" x="33"/>
        <item m="1" x="27"/>
        <item x="9"/>
        <item m="1" x="29"/>
        <item x="25"/>
        <item x="10"/>
        <item m="1" x="28"/>
        <item m="1" x="32"/>
        <item x="24"/>
        <item x="19"/>
        <item x="7"/>
        <item x="8"/>
        <item m="1" x="34"/>
        <item m="1" x="26"/>
        <item x="4"/>
        <item m="1" x="30"/>
        <item x="12"/>
        <item x="15"/>
        <item x="16"/>
        <item x="17"/>
        <item m="1" x="31"/>
        <item x="13"/>
        <item x="14"/>
        <item x="20"/>
        <item x="21"/>
        <item x="22"/>
        <item x="23"/>
      </items>
    </pivotField>
    <pivotField compact="0" outline="0" subtotalTop="0" showAll="0" includeNewItemsInFilter="1">
      <items count="10">
        <item x="4"/>
        <item x="1"/>
        <item sd="0" x="2"/>
        <item x="0"/>
        <item x="5"/>
        <item x="6"/>
        <item x="7"/>
        <item x="3"/>
        <item m="1" x="8"/>
        <item t="default"/>
      </items>
    </pivotField>
    <pivotField axis="axisRow" compact="0" outline="0" subtotalTop="0" showAll="0" includeNewItemsInFilter="1" defaultSubtotal="0">
      <items count="11">
        <item x="0"/>
        <item x="1"/>
        <item x="4"/>
        <item x="2"/>
        <item x="7"/>
        <item x="5"/>
        <item m="1" x="9"/>
        <item x="6"/>
        <item m="1" x="8"/>
        <item m="1" x="10"/>
        <item x="3"/>
      </items>
    </pivotField>
    <pivotField compact="0" outline="0" subtotalTop="0" showAll="0" includeNewItemsInFilter="1"/>
    <pivotField compact="0" outline="0" subtotalTop="0" showAll="0" includeNewItemsInFilter="1"/>
    <pivotField dataField="1" compact="0" numFmtId="168" outline="0" subtotalTop="0" showAll="0" includeNewItemsInFilter="1"/>
    <pivotField compact="0" outline="0" subtotalTop="0" showAll="0" includeNewItemsInFilter="1"/>
    <pivotField dataField="1" compact="0" numFmtId="168" outline="0" subtotalTop="0" showAll="0" includeNewItemsInFilter="1"/>
    <pivotField compact="0" outline="0" subtotalTop="0" showAll="0" includeNewItemsInFilter="1"/>
    <pivotField compact="0" outline="0" subtotalTop="0" showAll="0" includeNewItemsInFilter="1"/>
    <pivotField compact="0" outline="0" subtotalTop="0" showAll="0"/>
    <pivotField compact="0" outline="0" showAll="0" defaultSubtotal="0"/>
    <pivotField compact="0" outline="0" subtotalTop="0" showAll="0" includeNewItemsInFilter="1"/>
    <pivotField dataField="1" compact="0" outline="0" showAll="0" defaultSubtotal="0"/>
    <pivotField dataField="1" compact="0" outline="0" subtotalTop="0" showAll="0"/>
  </pivotFields>
  <rowFields count="7">
    <field x="4"/>
    <field x="2"/>
    <field x="3"/>
    <field x="0"/>
    <field x="1"/>
    <field x="7"/>
    <field x="5"/>
  </rowFields>
  <rowItems count="130">
    <i>
      <x/>
      <x/>
      <x v="6"/>
      <x v="97"/>
      <x v="97"/>
      <x v="5"/>
      <x v="17"/>
    </i>
    <i r="3">
      <x v="98"/>
      <x v="98"/>
      <x v="5"/>
      <x v="5"/>
    </i>
    <i r="3">
      <x v="103"/>
      <x v="50"/>
      <x v="5"/>
      <x v="5"/>
    </i>
    <i r="3">
      <x v="104"/>
      <x v="51"/>
      <x v="5"/>
      <x v="5"/>
    </i>
    <i r="3">
      <x v="105"/>
      <x v="102"/>
      <x v="5"/>
      <x v="29"/>
    </i>
    <i r="3">
      <x v="106"/>
      <x v="73"/>
      <x v="5"/>
      <x v="10"/>
    </i>
    <i r="3">
      <x v="114"/>
      <x v="107"/>
      <x v="3"/>
      <x v="2"/>
    </i>
    <i r="3">
      <x v="120"/>
      <x v="113"/>
      <x v="5"/>
      <x v="19"/>
    </i>
    <i t="default" r="1">
      <x/>
    </i>
    <i r="1">
      <x v="2"/>
      <x v="4"/>
      <x v="1"/>
      <x v="1"/>
      <x v="1"/>
      <x v="6"/>
    </i>
    <i r="3">
      <x v="17"/>
      <x v="16"/>
      <x v="2"/>
      <x v="6"/>
    </i>
    <i r="3">
      <x v="18"/>
      <x v="17"/>
      <x v="2"/>
      <x v="6"/>
    </i>
    <i r="3">
      <x v="19"/>
      <x v="18"/>
      <x v="2"/>
      <x v="6"/>
    </i>
    <i r="3">
      <x v="58"/>
      <x v="32"/>
      <x v="1"/>
      <x v="19"/>
    </i>
    <i r="3">
      <x v="89"/>
      <x v="89"/>
      <x v="2"/>
      <x v="6"/>
    </i>
    <i t="default" r="1">
      <x v="2"/>
    </i>
    <i r="1">
      <x v="3"/>
      <x v="1"/>
      <x v="11"/>
      <x v="10"/>
      <x v="7"/>
      <x v="5"/>
    </i>
    <i r="3">
      <x v="96"/>
      <x v="96"/>
      <x v="5"/>
      <x v="13"/>
    </i>
    <i r="3">
      <x v="105"/>
      <x v="102"/>
      <x v="5"/>
      <x v="22"/>
    </i>
    <i r="3">
      <x v="106"/>
      <x v="73"/>
      <x v="5"/>
      <x v="10"/>
    </i>
    <i t="default" r="1">
      <x v="3"/>
    </i>
    <i t="default">
      <x/>
    </i>
    <i>
      <x v="1"/>
      <x v="15"/>
      <x v="2"/>
      <x v="20"/>
      <x v="20"/>
      <x v="3"/>
      <x v="3"/>
    </i>
    <i r="3">
      <x v="74"/>
      <x v="75"/>
      <x v="3"/>
      <x v="3"/>
    </i>
    <i t="default" r="1">
      <x v="15"/>
    </i>
    <i r="1">
      <x v="20"/>
      <x v="15"/>
      <x v="102"/>
      <x v="101"/>
      <x v="3"/>
      <x v="22"/>
    </i>
    <i t="default" r="1">
      <x v="20"/>
    </i>
    <i t="default">
      <x v="1"/>
    </i>
    <i>
      <x v="2"/>
      <x v="4"/>
      <x v="9"/>
      <x v="14"/>
      <x v="13"/>
      <x v="4"/>
      <x v="2"/>
    </i>
    <i r="3">
      <x v="15"/>
      <x v="14"/>
      <x v="4"/>
      <x v="2"/>
    </i>
    <i r="3">
      <x v="16"/>
      <x v="15"/>
      <x v="4"/>
      <x v="7"/>
    </i>
    <i r="3">
      <x v="33"/>
      <x v="36"/>
      <x v="1"/>
      <x v="6"/>
    </i>
    <i r="3">
      <x v="41"/>
      <x v="57"/>
      <x v="7"/>
      <x v="4"/>
    </i>
    <i r="3">
      <x v="42"/>
      <x v="40"/>
      <x v="7"/>
      <x v="5"/>
    </i>
    <i r="3">
      <x v="57"/>
      <x v="31"/>
      <x v="1"/>
      <x v="18"/>
    </i>
    <i r="3">
      <x v="63"/>
      <x v="62"/>
      <x v="7"/>
      <x v="5"/>
    </i>
    <i r="3">
      <x v="71"/>
      <x v="65"/>
      <x v="7"/>
      <x v="2"/>
    </i>
    <i r="3">
      <x v="73"/>
      <x v="74"/>
      <x/>
      <x v="2"/>
    </i>
    <i r="3">
      <x v="78"/>
      <x v="78"/>
      <x v="5"/>
      <x v="13"/>
    </i>
    <i r="3">
      <x v="80"/>
      <x v="80"/>
      <x v="7"/>
      <x v="13"/>
    </i>
    <i r="3">
      <x v="81"/>
      <x v="81"/>
      <x v="7"/>
      <x v="24"/>
    </i>
    <i r="3">
      <x v="82"/>
      <x v="82"/>
      <x v="7"/>
      <x v="29"/>
    </i>
    <i r="3">
      <x v="87"/>
      <x v="87"/>
      <x v="5"/>
      <x v="26"/>
    </i>
    <i r="3">
      <x v="90"/>
      <x v="56"/>
      <x v="7"/>
      <x v="12"/>
    </i>
    <i r="3">
      <x v="93"/>
      <x v="92"/>
      <x v="5"/>
      <x v="26"/>
    </i>
    <i r="3">
      <x v="95"/>
      <x v="94"/>
      <x v="7"/>
      <x v="2"/>
    </i>
    <i r="3">
      <x v="96"/>
      <x v="96"/>
      <x v="5"/>
      <x v="2"/>
    </i>
    <i r="3">
      <x v="97"/>
      <x v="97"/>
      <x v="5"/>
      <x v="18"/>
    </i>
    <i r="3">
      <x v="107"/>
      <x v="103"/>
      <x v="7"/>
      <x v="4"/>
    </i>
    <i r="3">
      <x v="112"/>
      <x v="72"/>
      <x v="7"/>
      <x v="19"/>
    </i>
    <i r="3">
      <x v="113"/>
      <x v="106"/>
      <x v="7"/>
      <x v="19"/>
    </i>
    <i r="3">
      <x v="116"/>
      <x v="109"/>
      <x v="7"/>
      <x v="10"/>
    </i>
    <i r="3">
      <x v="121"/>
      <x v="114"/>
      <x/>
      <x/>
    </i>
    <i t="default" r="1">
      <x v="4"/>
    </i>
    <i r="1">
      <x v="5"/>
      <x v="18"/>
      <x v="23"/>
      <x v="39"/>
      <x v="3"/>
      <x v="5"/>
    </i>
    <i r="3">
      <x v="65"/>
      <x v="3"/>
      <x v="3"/>
      <x v="5"/>
    </i>
    <i r="3">
      <x v="73"/>
      <x v="74"/>
      <x/>
      <x v="2"/>
    </i>
    <i r="3">
      <x v="75"/>
      <x v="76"/>
      <x v="2"/>
      <x v="2"/>
    </i>
    <i r="3">
      <x v="77"/>
      <x v="66"/>
      <x v="5"/>
      <x v="13"/>
    </i>
    <i r="3">
      <x v="78"/>
      <x v="78"/>
      <x v="5"/>
      <x v="13"/>
    </i>
    <i r="3">
      <x v="83"/>
      <x v="83"/>
      <x v="3"/>
      <x v="5"/>
    </i>
    <i r="3">
      <x v="84"/>
      <x v="84"/>
      <x v="3"/>
      <x v="25"/>
    </i>
    <i r="3">
      <x v="86"/>
      <x v="86"/>
      <x v="3"/>
      <x v="13"/>
    </i>
    <i r="3">
      <x v="87"/>
      <x v="87"/>
      <x v="5"/>
      <x v="26"/>
    </i>
    <i r="3">
      <x v="88"/>
      <x v="88"/>
      <x v="5"/>
      <x v="4"/>
    </i>
    <i r="3">
      <x v="91"/>
      <x v="90"/>
      <x v="3"/>
      <x v="5"/>
    </i>
    <i r="3">
      <x v="93"/>
      <x v="92"/>
      <x v="5"/>
      <x v="26"/>
    </i>
    <i r="3">
      <x v="94"/>
      <x v="93"/>
      <x v="2"/>
      <x v="10"/>
    </i>
    <i r="3">
      <x v="96"/>
      <x v="96"/>
      <x v="5"/>
      <x v="2"/>
    </i>
    <i r="3">
      <x v="108"/>
      <x v="104"/>
      <x v="3"/>
      <x v="6"/>
    </i>
    <i r="3">
      <x v="115"/>
      <x v="108"/>
      <x v="3"/>
      <x v="13"/>
    </i>
    <i r="3">
      <x v="117"/>
      <x v="110"/>
      <x v="5"/>
      <x v="2"/>
    </i>
    <i r="3">
      <x v="121"/>
      <x v="114"/>
      <x/>
      <x/>
    </i>
    <i t="default" r="1">
      <x v="5"/>
    </i>
    <i r="1">
      <x v="6"/>
      <x v="11"/>
      <x v="2"/>
      <x v="2"/>
      <x v="1"/>
      <x v="2"/>
    </i>
    <i r="3">
      <x v="61"/>
      <x v="59"/>
      <x v="3"/>
      <x v="5"/>
    </i>
    <i r="3">
      <x v="81"/>
      <x v="81"/>
      <x v="7"/>
      <x v="3"/>
    </i>
    <i r="3">
      <x v="82"/>
      <x v="82"/>
      <x v="7"/>
      <x v="30"/>
    </i>
    <i r="3">
      <x v="83"/>
      <x v="83"/>
      <x v="3"/>
      <x/>
    </i>
    <i r="3">
      <x v="84"/>
      <x v="84"/>
      <x v="3"/>
      <x v="3"/>
    </i>
    <i r="3">
      <x v="85"/>
      <x v="85"/>
      <x v="3"/>
      <x v="3"/>
    </i>
    <i r="3">
      <x v="91"/>
      <x v="90"/>
      <x v="3"/>
      <x/>
    </i>
    <i r="3">
      <x v="92"/>
      <x v="91"/>
      <x v="3"/>
      <x v="3"/>
    </i>
    <i r="3">
      <x v="114"/>
      <x v="107"/>
      <x v="3"/>
      <x v="2"/>
    </i>
    <i r="3">
      <x v="115"/>
      <x v="108"/>
      <x v="3"/>
      <x v="13"/>
    </i>
    <i r="3">
      <x v="119"/>
      <x/>
      <x v="3"/>
      <x v="6"/>
    </i>
    <i t="default" r="1">
      <x v="6"/>
    </i>
    <i r="1">
      <x v="7"/>
      <x v="10"/>
      <x v="15"/>
      <x v="14"/>
      <x v="4"/>
      <x v="5"/>
    </i>
    <i t="default" r="1">
      <x v="7"/>
    </i>
    <i r="1">
      <x v="8"/>
      <x v="8"/>
      <x v="14"/>
      <x v="13"/>
      <x v="4"/>
      <x v="32"/>
    </i>
    <i r="3">
      <x v="16"/>
      <x v="15"/>
      <x v="4"/>
      <x v="34"/>
    </i>
    <i t="default" r="1">
      <x v="8"/>
    </i>
    <i r="1">
      <x v="9"/>
      <x v="13"/>
      <x v="2"/>
      <x v="2"/>
      <x v="1"/>
      <x v="7"/>
    </i>
    <i r="3">
      <x v="57"/>
      <x v="31"/>
      <x v="1"/>
      <x v="2"/>
    </i>
    <i t="default" r="1">
      <x v="9"/>
    </i>
    <i r="1">
      <x v="10"/>
      <x v="19"/>
      <x v="56"/>
      <x v="54"/>
      <x v="7"/>
      <x v="3"/>
    </i>
    <i r="3">
      <x v="60"/>
      <x v="58"/>
      <x v="3"/>
      <x v="3"/>
    </i>
    <i r="3">
      <x v="66"/>
      <x v="64"/>
      <x v="4"/>
      <x v="6"/>
    </i>
    <i r="3">
      <x v="87"/>
      <x v="87"/>
      <x v="5"/>
      <x v="27"/>
    </i>
    <i r="3">
      <x v="88"/>
      <x v="88"/>
      <x v="5"/>
      <x/>
    </i>
    <i r="3">
      <x v="93"/>
      <x v="92"/>
      <x v="5"/>
      <x v="27"/>
    </i>
    <i t="default" r="1">
      <x v="10"/>
    </i>
    <i r="1">
      <x v="11"/>
      <x v="17"/>
      <x v="41"/>
      <x v="57"/>
      <x v="7"/>
      <x v="16"/>
    </i>
    <i r="3">
      <x v="79"/>
      <x v="79"/>
      <x v="7"/>
      <x v="2"/>
    </i>
    <i t="default" r="1">
      <x v="11"/>
    </i>
    <i r="1">
      <x v="12"/>
      <x/>
      <x v="14"/>
      <x v="13"/>
      <x v="4"/>
      <x v="31"/>
    </i>
    <i r="3">
      <x v="16"/>
      <x v="15"/>
      <x v="4"/>
      <x v="33"/>
    </i>
    <i r="3">
      <x v="118"/>
      <x v="112"/>
      <x v="1"/>
      <x v="3"/>
    </i>
    <i t="default" r="1">
      <x v="12"/>
    </i>
    <i r="1">
      <x v="13"/>
      <x v="20"/>
      <x v="33"/>
      <x v="36"/>
      <x v="1"/>
      <x v="22"/>
    </i>
    <i t="default" r="1">
      <x v="13"/>
    </i>
    <i r="1">
      <x v="14"/>
      <x v="7"/>
      <x v="74"/>
      <x v="75"/>
      <x v="3"/>
      <x v="1"/>
    </i>
    <i t="default" r="1">
      <x v="14"/>
    </i>
    <i t="default">
      <x v="2"/>
    </i>
    <i>
      <x v="3"/>
      <x v="17"/>
      <x v="16"/>
      <x v="101"/>
      <x v="99"/>
      <x v="10"/>
      <x v="6"/>
    </i>
    <i r="3">
      <x v="110"/>
      <x v="100"/>
      <x v="10"/>
      <x v="6"/>
    </i>
    <i t="default" r="1">
      <x v="17"/>
    </i>
    <i r="1">
      <x v="18"/>
      <x v="5"/>
      <x v="67"/>
      <x v="67"/>
      <x v="5"/>
      <x v="10"/>
    </i>
    <i r="3">
      <x v="68"/>
      <x v="68"/>
      <x v="5"/>
      <x v="10"/>
    </i>
    <i r="3">
      <x v="69"/>
      <x v="69"/>
      <x v="5"/>
      <x v="10"/>
    </i>
    <i t="default" r="1">
      <x v="18"/>
    </i>
    <i r="1">
      <x v="19"/>
      <x v="12"/>
      <x v="21"/>
      <x v="21"/>
      <x v="2"/>
      <x v="10"/>
    </i>
    <i r="3">
      <x v="22"/>
      <x v="22"/>
      <x v="2"/>
      <x v="10"/>
    </i>
    <i r="3">
      <x v="85"/>
      <x v="85"/>
      <x v="3"/>
      <x v="25"/>
    </i>
    <i r="3">
      <x v="92"/>
      <x v="91"/>
      <x v="3"/>
      <x v="24"/>
    </i>
    <i r="3">
      <x v="107"/>
      <x v="103"/>
      <x v="7"/>
      <x v="18"/>
    </i>
    <i r="3">
      <x v="111"/>
      <x v="35"/>
      <x v="2"/>
      <x v="6"/>
    </i>
    <i t="default" r="1">
      <x v="19"/>
    </i>
    <i t="default">
      <x v="3"/>
    </i>
    <i t="grand">
      <x/>
    </i>
  </rowItems>
  <colFields count="1">
    <field x="-2"/>
  </colFields>
  <colItems count="4">
    <i>
      <x/>
    </i>
    <i i="1">
      <x v="1"/>
    </i>
    <i i="2">
      <x v="2"/>
    </i>
    <i i="3">
      <x v="3"/>
    </i>
  </colItems>
  <dataFields count="4">
    <dataField name=" HST medv" fld="10" baseField="5" baseItem="2" numFmtId="165"/>
    <dataField name="Summa av HPR Medv" fld="12" baseField="5" baseItem="30" numFmtId="165"/>
    <dataField name=" Kursintäkt efter avdrag" fld="18" baseField="0" baseItem="0" numFmtId="171"/>
    <dataField name="Summa av Lokalintäkt" fld="19" baseField="5" baseItem="4" numFmtId="171"/>
  </dataFields>
  <formats count="49">
    <format dxfId="71">
      <pivotArea dataOnly="0" labelOnly="1" grandRow="1" outline="0" fieldPosition="0"/>
    </format>
    <format dxfId="70">
      <pivotArea field="7" type="button" dataOnly="0" labelOnly="1" outline="0" axis="axisRow" fieldPosition="5"/>
    </format>
    <format dxfId="69">
      <pivotArea field="0" type="button" dataOnly="0" labelOnly="1" outline="0" axis="axisRow" fieldPosition="3"/>
    </format>
    <format dxfId="68">
      <pivotArea field="1" type="button" dataOnly="0" labelOnly="1" outline="0" axis="axisRow" fieldPosition="4"/>
    </format>
    <format dxfId="67">
      <pivotArea type="origin" dataOnly="0" labelOnly="1" outline="0" fieldPosition="0"/>
    </format>
    <format dxfId="66">
      <pivotArea dataOnly="0" labelOnly="1" outline="0" fieldPosition="0">
        <references count="1">
          <reference field="3" count="0"/>
        </references>
      </pivotArea>
    </format>
    <format dxfId="65">
      <pivotArea dataOnly="0" labelOnly="1" grandRow="1" outline="0" fieldPosition="0"/>
    </format>
    <format dxfId="64">
      <pivotArea field="3" type="button" dataOnly="0" labelOnly="1" outline="0" axis="axisRow" fieldPosition="2"/>
    </format>
    <format dxfId="63">
      <pivotArea field="6" type="button" dataOnly="0" labelOnly="1" outline="0"/>
    </format>
    <format dxfId="62">
      <pivotArea field="7" type="button" dataOnly="0" labelOnly="1" outline="0" axis="axisRow" fieldPosition="5"/>
    </format>
    <format dxfId="61">
      <pivotArea field="0" type="button" dataOnly="0" labelOnly="1" outline="0" axis="axisRow" fieldPosition="3"/>
    </format>
    <format dxfId="60">
      <pivotArea field="1" type="button" dataOnly="0" labelOnly="1" outline="0" axis="axisRow" fieldPosition="4"/>
    </format>
    <format dxfId="59">
      <pivotArea outline="0" fieldPosition="0">
        <references count="1">
          <reference field="4294967294" count="1">
            <x v="2"/>
          </reference>
        </references>
      </pivotArea>
    </format>
    <format dxfId="58">
      <pivotArea field="4" type="button" dataOnly="0" labelOnly="1" outline="0" axis="axisRow" fieldPosition="0"/>
    </format>
    <format dxfId="57">
      <pivotArea field="3" type="button" dataOnly="0" labelOnly="1" outline="0" axis="axisRow" fieldPosition="2"/>
    </format>
    <format dxfId="56">
      <pivotArea field="0" type="button" dataOnly="0" labelOnly="1" outline="0" axis="axisRow" fieldPosition="3"/>
    </format>
    <format dxfId="55">
      <pivotArea field="7" type="button" dataOnly="0" labelOnly="1" outline="0" axis="axisRow" fieldPosition="5"/>
    </format>
    <format dxfId="54">
      <pivotArea field="5" type="button" dataOnly="0" labelOnly="1" outline="0" axis="axisRow" fieldPosition="6"/>
    </format>
    <format dxfId="53">
      <pivotArea dataOnly="0" labelOnly="1" outline="0" fieldPosition="0">
        <references count="1">
          <reference field="4294967294" count="2">
            <x v="0"/>
            <x v="2"/>
          </reference>
        </references>
      </pivotArea>
    </format>
    <format dxfId="52">
      <pivotArea dataOnly="0" labelOnly="1" outline="0" fieldPosition="0">
        <references count="1">
          <reference field="4294967294" count="1">
            <x v="1"/>
          </reference>
        </references>
      </pivotArea>
    </format>
    <format dxfId="51">
      <pivotArea dataOnly="0" labelOnly="1" outline="0" fieldPosition="0">
        <references count="1">
          <reference field="4" count="1" defaultSubtotal="1">
            <x v="0"/>
          </reference>
        </references>
      </pivotArea>
    </format>
    <format dxfId="50">
      <pivotArea dataOnly="0" labelOnly="1" outline="0" fieldPosition="0">
        <references count="1">
          <reference field="4" count="1" defaultSubtotal="1">
            <x v="1"/>
          </reference>
        </references>
      </pivotArea>
    </format>
    <format dxfId="49">
      <pivotArea dataOnly="0" labelOnly="1" outline="0" fieldPosition="0">
        <references count="1">
          <reference field="4" count="1" defaultSubtotal="1">
            <x v="2"/>
          </reference>
        </references>
      </pivotArea>
    </format>
    <format dxfId="48">
      <pivotArea dataOnly="0" labelOnly="1" outline="0" fieldPosition="0">
        <references count="1">
          <reference field="4" count="1" defaultSubtotal="1">
            <x v="3"/>
          </reference>
        </references>
      </pivotArea>
    </format>
    <format dxfId="47">
      <pivotArea dataOnly="0" labelOnly="1" grandRow="1" outline="0" fieldPosition="0"/>
    </format>
    <format dxfId="46">
      <pivotArea dataOnly="0" labelOnly="1" outline="0" fieldPosition="0">
        <references count="2">
          <reference field="3" count="1" defaultSubtotal="1">
            <x v="1"/>
          </reference>
          <reference field="4" count="1" selected="0">
            <x v="0"/>
          </reference>
        </references>
      </pivotArea>
    </format>
    <format dxfId="45">
      <pivotArea dataOnly="0" labelOnly="1" outline="0" fieldPosition="0">
        <references count="2">
          <reference field="3" count="1" defaultSubtotal="1">
            <x v="3"/>
          </reference>
          <reference field="4" count="1" selected="0">
            <x v="0"/>
          </reference>
        </references>
      </pivotArea>
    </format>
    <format dxfId="44">
      <pivotArea dataOnly="0" labelOnly="1" outline="0" fieldPosition="0">
        <references count="2">
          <reference field="3" count="1" defaultSubtotal="1">
            <x v="4"/>
          </reference>
          <reference field="4" count="1" selected="0">
            <x v="0"/>
          </reference>
        </references>
      </pivotArea>
    </format>
    <format dxfId="43">
      <pivotArea dataOnly="0" labelOnly="1" outline="0" fieldPosition="0">
        <references count="2">
          <reference field="3" count="1" defaultSubtotal="1">
            <x v="6"/>
          </reference>
          <reference field="4" count="1" selected="0">
            <x v="0"/>
          </reference>
        </references>
      </pivotArea>
    </format>
    <format dxfId="42">
      <pivotArea dataOnly="0" labelOnly="1" outline="0" fieldPosition="0">
        <references count="2">
          <reference field="3" count="1" defaultSubtotal="1">
            <x v="2"/>
          </reference>
          <reference field="4" count="1" selected="0">
            <x v="1"/>
          </reference>
        </references>
      </pivotArea>
    </format>
    <format dxfId="41">
      <pivotArea dataOnly="0" labelOnly="1" outline="0" fieldPosition="0">
        <references count="2">
          <reference field="3" count="1" defaultSubtotal="1">
            <x v="15"/>
          </reference>
          <reference field="4" count="1" selected="0">
            <x v="1"/>
          </reference>
        </references>
      </pivotArea>
    </format>
    <format dxfId="40">
      <pivotArea dataOnly="0" labelOnly="1" outline="0" fieldPosition="0">
        <references count="2">
          <reference field="3" count="1" defaultSubtotal="1">
            <x v="0"/>
          </reference>
          <reference field="4" count="1" selected="0">
            <x v="2"/>
          </reference>
        </references>
      </pivotArea>
    </format>
    <format dxfId="39">
      <pivotArea dataOnly="0" labelOnly="1" outline="0" fieldPosition="0">
        <references count="2">
          <reference field="3" count="1" defaultSubtotal="1">
            <x v="7"/>
          </reference>
          <reference field="4" count="1" selected="0">
            <x v="2"/>
          </reference>
        </references>
      </pivotArea>
    </format>
    <format dxfId="38">
      <pivotArea dataOnly="0" labelOnly="1" outline="0" fieldPosition="0">
        <references count="2">
          <reference field="3" count="1" defaultSubtotal="1">
            <x v="8"/>
          </reference>
          <reference field="4" count="1" selected="0">
            <x v="2"/>
          </reference>
        </references>
      </pivotArea>
    </format>
    <format dxfId="37">
      <pivotArea dataOnly="0" labelOnly="1" outline="0" fieldPosition="0">
        <references count="2">
          <reference field="3" count="1" defaultSubtotal="1">
            <x v="9"/>
          </reference>
          <reference field="4" count="1" selected="0">
            <x v="2"/>
          </reference>
        </references>
      </pivotArea>
    </format>
    <format dxfId="36">
      <pivotArea dataOnly="0" labelOnly="1" outline="0" fieldPosition="0">
        <references count="2">
          <reference field="3" count="1" defaultSubtotal="1">
            <x v="10"/>
          </reference>
          <reference field="4" count="1" selected="0">
            <x v="2"/>
          </reference>
        </references>
      </pivotArea>
    </format>
    <format dxfId="35">
      <pivotArea dataOnly="0" labelOnly="1" outline="0" fieldPosition="0">
        <references count="2">
          <reference field="3" count="1" defaultSubtotal="1">
            <x v="11"/>
          </reference>
          <reference field="4" count="1" selected="0">
            <x v="2"/>
          </reference>
        </references>
      </pivotArea>
    </format>
    <format dxfId="34">
      <pivotArea dataOnly="0" labelOnly="1" outline="0" fieldPosition="0">
        <references count="2">
          <reference field="3" count="1" defaultSubtotal="1">
            <x v="13"/>
          </reference>
          <reference field="4" count="1" selected="0">
            <x v="2"/>
          </reference>
        </references>
      </pivotArea>
    </format>
    <format dxfId="33">
      <pivotArea dataOnly="0" labelOnly="1" outline="0" fieldPosition="0">
        <references count="2">
          <reference field="3" count="1" defaultSubtotal="1">
            <x v="14"/>
          </reference>
          <reference field="4" count="1" selected="0">
            <x v="2"/>
          </reference>
        </references>
      </pivotArea>
    </format>
    <format dxfId="32">
      <pivotArea dataOnly="0" labelOnly="1" outline="0" fieldPosition="0">
        <references count="2">
          <reference field="3" count="1" defaultSubtotal="1">
            <x v="17"/>
          </reference>
          <reference field="4" count="1" selected="0">
            <x v="2"/>
          </reference>
        </references>
      </pivotArea>
    </format>
    <format dxfId="31">
      <pivotArea dataOnly="0" labelOnly="1" outline="0" fieldPosition="0">
        <references count="2">
          <reference field="3" count="1" defaultSubtotal="1">
            <x v="18"/>
          </reference>
          <reference field="4" count="1" selected="0">
            <x v="2"/>
          </reference>
        </references>
      </pivotArea>
    </format>
    <format dxfId="30">
      <pivotArea dataOnly="0" labelOnly="1" outline="0" fieldPosition="0">
        <references count="2">
          <reference field="3" count="1" defaultSubtotal="1">
            <x v="5"/>
          </reference>
          <reference field="4" count="1" selected="0">
            <x v="3"/>
          </reference>
        </references>
      </pivotArea>
    </format>
    <format dxfId="29">
      <pivotArea dataOnly="0" labelOnly="1" outline="0" fieldPosition="0">
        <references count="2">
          <reference field="3" count="1" defaultSubtotal="1">
            <x v="12"/>
          </reference>
          <reference field="4" count="1" selected="0">
            <x v="3"/>
          </reference>
        </references>
      </pivotArea>
    </format>
    <format dxfId="28">
      <pivotArea dataOnly="0" labelOnly="1" outline="0" fieldPosition="0">
        <references count="2">
          <reference field="3" count="1" defaultSubtotal="1">
            <x v="16"/>
          </reference>
          <reference field="4" count="1" selected="0">
            <x v="3"/>
          </reference>
        </references>
      </pivotArea>
    </format>
    <format dxfId="27">
      <pivotArea dataOnly="0" labelOnly="1" outline="0" fieldPosition="0">
        <references count="1">
          <reference field="5" count="0"/>
        </references>
      </pivotArea>
    </format>
    <format dxfId="26">
      <pivotArea outline="0" fieldPosition="0">
        <references count="1">
          <reference field="4294967294" count="1">
            <x v="3"/>
          </reference>
        </references>
      </pivotArea>
    </format>
    <format dxfId="25">
      <pivotArea dataOnly="0" labelOnly="1" outline="0" fieldPosition="0">
        <references count="1">
          <reference field="4294967294" count="1">
            <x v="3"/>
          </reference>
        </references>
      </pivotArea>
    </format>
    <format dxfId="24">
      <pivotArea outline="0" fieldPosition="0">
        <references count="1">
          <reference field="4294967294" count="1">
            <x v="0"/>
          </reference>
        </references>
      </pivotArea>
    </format>
    <format dxfId="23">
      <pivotArea outline="0" fieldPosition="0">
        <references count="1">
          <reference field="4294967294" count="1">
            <x v="1"/>
          </reference>
        </references>
      </pivotArea>
    </format>
  </formats>
  <pivotTableStyleInfo name="PivotStyleMedium1" showRowHeaders="1" showColHeaders="1" showRowStripes="0" showColStripes="0" showLastColumn="1"/>
</pivotTableDefinition>
</file>

<file path=xl/pivotTables/pivotTable5.xml><?xml version="1.0" encoding="utf-8"?>
<pivotTableDefinition xmlns="http://schemas.openxmlformats.org/spreadsheetml/2006/main" name="Pivottabell3" cacheId="3" applyNumberFormats="0" applyBorderFormats="0" applyFontFormats="0" applyPatternFormats="0" applyAlignmentFormats="0" applyWidthHeightFormats="1" dataCaption="Data" updatedVersion="6" minRefreshableVersion="3" asteriskTotals="1" showMemberPropertyTips="0" useAutoFormatting="1" itemPrintTitles="1" createdVersion="3" indent="0" compact="0" compactData="0" gridDropZones="1">
  <location ref="A3:K119" firstHeaderRow="1" firstDataRow="2" firstDataCol="5"/>
  <pivotFields count="20">
    <pivotField axis="axisRow" compact="0" outline="0" subtotalTop="0" showAll="0" includeNewItemsInFilter="1" defaultSubtotal="0">
      <items count="122">
        <item m="1" x="105"/>
        <item x="9"/>
        <item x="10"/>
        <item m="1" x="95"/>
        <item m="1" x="121"/>
        <item m="1" x="76"/>
        <item m="1" x="83"/>
        <item m="1" x="86"/>
        <item m="1" x="90"/>
        <item m="1" x="106"/>
        <item m="1" x="78"/>
        <item x="23"/>
        <item m="1" x="85"/>
        <item m="1" x="87"/>
        <item x="60"/>
        <item x="61"/>
        <item x="62"/>
        <item x="68"/>
        <item x="69"/>
        <item x="70"/>
        <item x="5"/>
        <item x="14"/>
        <item x="15"/>
        <item x="24"/>
        <item m="1" x="114"/>
        <item m="1" x="94"/>
        <item m="1" x="82"/>
        <item m="1" x="119"/>
        <item m="1" x="74"/>
        <item m="1" x="75"/>
        <item m="1" x="77"/>
        <item m="1" x="80"/>
        <item m="1" x="102"/>
        <item x="11"/>
        <item m="1" x="93"/>
        <item m="1" x="97"/>
        <item m="1" x="88"/>
        <item m="1" x="92"/>
        <item m="1" x="99"/>
        <item m="1" x="103"/>
        <item m="1" x="111"/>
        <item x="71"/>
        <item x="26"/>
        <item m="1" x="117"/>
        <item m="1" x="112"/>
        <item m="1" x="110"/>
        <item m="1" x="98"/>
        <item m="1" x="120"/>
        <item m="1" x="73"/>
        <item m="1" x="101"/>
        <item m="1" x="104"/>
        <item m="1" x="107"/>
        <item m="1" x="113"/>
        <item m="1" x="116"/>
        <item m="1" x="81"/>
        <item m="1" x="109"/>
        <item x="27"/>
        <item x="12"/>
        <item x="13"/>
        <item m="1" x="89"/>
        <item x="28"/>
        <item x="29"/>
        <item m="1" x="91"/>
        <item x="25"/>
        <item m="1" x="115"/>
        <item x="58"/>
        <item x="63"/>
        <item x="18"/>
        <item x="19"/>
        <item x="20"/>
        <item m="1" x="79"/>
        <item x="30"/>
        <item m="1" x="84"/>
        <item x="0"/>
        <item x="3"/>
        <item x="16"/>
        <item m="1" x="96"/>
        <item x="21"/>
        <item x="32"/>
        <item x="33"/>
        <item x="34"/>
        <item x="35"/>
        <item x="36"/>
        <item x="37"/>
        <item x="39"/>
        <item x="40"/>
        <item x="42"/>
        <item x="44"/>
        <item x="45"/>
        <item x="59"/>
        <item x="72"/>
        <item x="38"/>
        <item x="41"/>
        <item x="46"/>
        <item x="17"/>
        <item x="43"/>
        <item x="47"/>
        <item x="48"/>
        <item x="49"/>
        <item m="1" x="100"/>
        <item m="1" x="108"/>
        <item x="6"/>
        <item x="4"/>
        <item x="54"/>
        <item x="55"/>
        <item x="53"/>
        <item x="56"/>
        <item x="50"/>
        <item x="31"/>
        <item m="1" x="118"/>
        <item x="7"/>
        <item x="8"/>
        <item x="51"/>
        <item x="52"/>
        <item x="64"/>
        <item x="65"/>
        <item x="66"/>
        <item x="22"/>
        <item x="2"/>
        <item x="67"/>
        <item x="57"/>
        <item x="1"/>
      </items>
    </pivotField>
    <pivotField axis="axisRow" compact="0" outline="0" subtotalTop="0" showAll="0" includeNewItemsInFilter="1" defaultSubtotal="0">
      <items count="115">
        <item x="15"/>
        <item x="14"/>
        <item m="1" x="99"/>
        <item m="1" x="114"/>
        <item m="1" x="111"/>
        <item m="1" x="86"/>
        <item x="9"/>
        <item x="23"/>
        <item x="5"/>
        <item m="1" x="97"/>
        <item x="10"/>
        <item m="1" x="89"/>
        <item m="1" x="79"/>
        <item m="1" x="92"/>
        <item m="1" x="73"/>
        <item m="1" x="94"/>
        <item m="1" x="85"/>
        <item m="1" x="84"/>
        <item m="1" x="82"/>
        <item m="1" x="81"/>
        <item x="58"/>
        <item x="60"/>
        <item x="61"/>
        <item x="62"/>
        <item x="68"/>
        <item x="69"/>
        <item x="70"/>
        <item x="67"/>
        <item m="1" x="100"/>
        <item m="1" x="109"/>
        <item m="1" x="105"/>
        <item x="12"/>
        <item x="13"/>
        <item m="1" x="80"/>
        <item m="1" x="88"/>
        <item x="8"/>
        <item x="11"/>
        <item m="1" x="104"/>
        <item m="1" x="110"/>
        <item x="24"/>
        <item x="26"/>
        <item m="1" x="107"/>
        <item m="1" x="102"/>
        <item m="1" x="90"/>
        <item m="1" x="76"/>
        <item m="1" x="83"/>
        <item m="1" x="108"/>
        <item m="1" x="95"/>
        <item m="1" x="74"/>
        <item m="1" x="112"/>
        <item x="54"/>
        <item x="55"/>
        <item m="1" x="113"/>
        <item m="1" x="106"/>
        <item x="27"/>
        <item m="1" x="103"/>
        <item x="72"/>
        <item x="71"/>
        <item x="28"/>
        <item x="29"/>
        <item m="1" x="101"/>
        <item m="1" x="77"/>
        <item x="25"/>
        <item m="1" x="87"/>
        <item x="63"/>
        <item x="30"/>
        <item x="21"/>
        <item x="18"/>
        <item x="19"/>
        <item x="20"/>
        <item m="1" x="93"/>
        <item m="1" x="78"/>
        <item x="51"/>
        <item x="56"/>
        <item x="0"/>
        <item x="3"/>
        <item x="16"/>
        <item m="1" x="91"/>
        <item x="32"/>
        <item x="33"/>
        <item x="34"/>
        <item x="35"/>
        <item x="36"/>
        <item x="37"/>
        <item x="39"/>
        <item x="40"/>
        <item x="42"/>
        <item x="44"/>
        <item x="45"/>
        <item x="59"/>
        <item x="38"/>
        <item x="41"/>
        <item x="46"/>
        <item x="17"/>
        <item x="43"/>
        <item m="1" x="98"/>
        <item x="47"/>
        <item x="48"/>
        <item x="49"/>
        <item x="6"/>
        <item x="7"/>
        <item x="4"/>
        <item x="53"/>
        <item x="50"/>
        <item x="31"/>
        <item m="1" x="75"/>
        <item x="52"/>
        <item x="64"/>
        <item x="65"/>
        <item x="66"/>
        <item x="22"/>
        <item m="1" x="96"/>
        <item x="2"/>
        <item x="57"/>
        <item x="1"/>
      </items>
    </pivotField>
    <pivotField compact="0" outline="0" showAll="0" defaultSubtotal="0"/>
    <pivotField axis="axisRow" compact="0" outline="0" subtotalTop="0" showAll="0" includeNewItemsInFilter="1" defaultSubtotal="0">
      <items count="21">
        <item x="2"/>
        <item x="13"/>
        <item x="3"/>
        <item m="1" x="20"/>
        <item x="8"/>
        <item x="12"/>
        <item x="16"/>
        <item x="4"/>
        <item x="17"/>
        <item x="0"/>
        <item x="18"/>
        <item x="9"/>
        <item x="7"/>
        <item x="10"/>
        <item m="1" x="19"/>
        <item x="5"/>
        <item x="6"/>
        <item x="15"/>
        <item x="1"/>
        <item x="14"/>
        <item x="11"/>
      </items>
    </pivotField>
    <pivotField compact="0" outline="0" subtotalTop="0" multipleItemSelectionAllowed="1" showAll="0" includeNewItemsInFilter="1"/>
    <pivotField compact="0" outline="0" showAll="0" defaultSubtotal="0"/>
    <pivotField axis="axisRow" compact="0" outline="0" subtotalTop="0" showAll="0" includeNewItemsInFilter="1" sortType="ascending">
      <items count="10">
        <item x="4"/>
        <item x="1"/>
        <item x="0"/>
        <item x="2"/>
        <item x="6"/>
        <item x="7"/>
        <item x="3"/>
        <item m="1" x="8"/>
        <item x="5"/>
        <item t="default"/>
      </items>
    </pivotField>
    <pivotField axis="axisRow" compact="0" outline="0" subtotalTop="0" showAll="0" includeNewItemsInFilter="1" defaultSubtotal="0">
      <items count="11">
        <item x="0"/>
        <item x="1"/>
        <item x="4"/>
        <item x="2"/>
        <item x="7"/>
        <item x="5"/>
        <item m="1" x="9"/>
        <item x="6"/>
        <item m="1" x="8"/>
        <item m="1" x="10"/>
        <item x="3"/>
      </items>
    </pivotField>
    <pivotField compact="0" outline="0" subtotalTop="0" showAll="0" includeNewItemsInFilter="1"/>
    <pivotField compact="0" outline="0" subtotalTop="0" showAll="0" includeNewItemsInFilter="1"/>
    <pivotField dataField="1" compact="0" numFmtId="168" outline="0" subtotalTop="0" showAll="0" includeNewItemsInFilter="1"/>
    <pivotField compact="0" outline="0" subtotalTop="0" showAll="0" includeNewItemsInFilter="1"/>
    <pivotField dataField="1" compact="0" numFmtId="168" outline="0" subtotalTop="0" showAll="0" includeNewItemsInFilter="1"/>
    <pivotField compact="0" outline="0" subtotalTop="0" showAll="0" includeNewItemsInFilter="1"/>
    <pivotField compact="0" outline="0" subtotalTop="0" showAll="0" includeNewItemsInFilter="1"/>
    <pivotField compact="0" outline="0" showAll="0" defaultSubtotal="0"/>
    <pivotField name="Kursintäkt2" dataField="1" compact="0" outline="0" showAll="0" defaultSubtotal="0"/>
    <pivotField dataField="1" compact="0" outline="0" subtotalTop="0" showAll="0" includeNewItemsInFilter="1"/>
    <pivotField dataField="1" compact="0" outline="0" showAll="0" defaultSubtotal="0"/>
    <pivotField dataField="1" compact="0" numFmtId="168" outline="0" subtotalTop="0" showAll="0" includeNewItemsInFilter="1"/>
  </pivotFields>
  <rowFields count="5">
    <field x="6"/>
    <field x="7"/>
    <field x="0"/>
    <field x="1"/>
    <field x="3"/>
  </rowFields>
  <rowItems count="115">
    <i>
      <x/>
      <x v="2"/>
      <x v="17"/>
      <x v="24"/>
      <x v="4"/>
    </i>
    <i r="2">
      <x v="18"/>
      <x v="25"/>
      <x v="4"/>
    </i>
    <i r="2">
      <x v="19"/>
      <x v="26"/>
      <x v="4"/>
    </i>
    <i r="2">
      <x v="21"/>
      <x v="1"/>
      <x v="12"/>
    </i>
    <i r="2">
      <x v="22"/>
      <x/>
      <x v="12"/>
    </i>
    <i r="2">
      <x v="75"/>
      <x v="76"/>
      <x v="18"/>
    </i>
    <i r="2">
      <x v="89"/>
      <x v="89"/>
      <x v="4"/>
    </i>
    <i r="2">
      <x v="94"/>
      <x v="93"/>
      <x v="18"/>
    </i>
    <i r="2">
      <x v="111"/>
      <x v="35"/>
      <x v="12"/>
    </i>
    <i t="default">
      <x/>
    </i>
    <i>
      <x v="1"/>
      <x v="1"/>
      <x v="1"/>
      <x v="6"/>
      <x v="4"/>
    </i>
    <i r="2">
      <x v="2"/>
      <x v="10"/>
      <x v="11"/>
    </i>
    <i r="4">
      <x v="13"/>
    </i>
    <i r="2">
      <x v="33"/>
      <x v="36"/>
      <x v="9"/>
    </i>
    <i r="4">
      <x v="20"/>
    </i>
    <i r="2">
      <x v="57"/>
      <x v="31"/>
      <x v="9"/>
    </i>
    <i r="4">
      <x v="13"/>
    </i>
    <i r="2">
      <x v="58"/>
      <x v="32"/>
      <x v="4"/>
    </i>
    <i r="2">
      <x v="118"/>
      <x v="112"/>
      <x/>
    </i>
    <i t="default">
      <x v="1"/>
    </i>
    <i>
      <x v="2"/>
      <x/>
      <x v="73"/>
      <x v="74"/>
      <x v="9"/>
    </i>
    <i r="4">
      <x v="18"/>
    </i>
    <i r="2">
      <x v="121"/>
      <x v="114"/>
      <x v="9"/>
    </i>
    <i r="4">
      <x v="18"/>
    </i>
    <i t="default">
      <x v="2"/>
    </i>
    <i>
      <x v="3"/>
      <x v="3"/>
      <x v="20"/>
      <x v="8"/>
      <x v="2"/>
    </i>
    <i r="2">
      <x v="23"/>
      <x v="39"/>
      <x v="18"/>
    </i>
    <i r="2">
      <x v="60"/>
      <x v="58"/>
      <x v="19"/>
    </i>
    <i r="2">
      <x v="61"/>
      <x v="59"/>
      <x v="11"/>
    </i>
    <i r="2">
      <x v="65"/>
      <x v="20"/>
      <x v="18"/>
    </i>
    <i r="2">
      <x v="74"/>
      <x v="75"/>
      <x v="2"/>
    </i>
    <i r="4">
      <x v="7"/>
    </i>
    <i r="2">
      <x v="83"/>
      <x v="83"/>
      <x v="11"/>
    </i>
    <i r="4">
      <x v="18"/>
    </i>
    <i r="2">
      <x v="84"/>
      <x v="84"/>
      <x v="11"/>
    </i>
    <i r="4">
      <x v="18"/>
    </i>
    <i r="2">
      <x v="85"/>
      <x v="85"/>
      <x v="11"/>
    </i>
    <i r="4">
      <x v="12"/>
    </i>
    <i r="2">
      <x v="86"/>
      <x v="86"/>
      <x v="18"/>
    </i>
    <i r="2">
      <x v="91"/>
      <x v="90"/>
      <x v="11"/>
    </i>
    <i r="4">
      <x v="18"/>
    </i>
    <i r="2">
      <x v="92"/>
      <x v="91"/>
      <x v="11"/>
    </i>
    <i r="4">
      <x v="12"/>
    </i>
    <i r="2">
      <x v="102"/>
      <x v="101"/>
      <x v="15"/>
    </i>
    <i r="2">
      <x v="108"/>
      <x v="104"/>
      <x v="18"/>
    </i>
    <i r="2">
      <x v="114"/>
      <x v="107"/>
      <x v="6"/>
    </i>
    <i r="4">
      <x v="11"/>
    </i>
    <i r="2">
      <x v="115"/>
      <x v="108"/>
      <x v="11"/>
    </i>
    <i r="4">
      <x v="18"/>
    </i>
    <i r="2">
      <x v="119"/>
      <x v="27"/>
      <x v="11"/>
    </i>
    <i t="default">
      <x v="3"/>
    </i>
    <i>
      <x v="4"/>
      <x v="7"/>
      <x v="11"/>
      <x v="7"/>
      <x v="1"/>
    </i>
    <i r="2">
      <x v="41"/>
      <x v="57"/>
      <x v="9"/>
    </i>
    <i r="4">
      <x v="17"/>
    </i>
    <i r="2">
      <x v="42"/>
      <x v="40"/>
      <x v="9"/>
    </i>
    <i r="2">
      <x v="56"/>
      <x v="54"/>
      <x v="19"/>
    </i>
    <i r="2">
      <x v="63"/>
      <x v="62"/>
      <x v="9"/>
    </i>
    <i r="2">
      <x v="71"/>
      <x v="65"/>
      <x v="9"/>
    </i>
    <i r="2">
      <x v="79"/>
      <x v="79"/>
      <x v="17"/>
    </i>
    <i r="2">
      <x v="80"/>
      <x v="80"/>
      <x v="9"/>
    </i>
    <i r="2">
      <x v="81"/>
      <x v="81"/>
      <x v="9"/>
    </i>
    <i r="4">
      <x v="11"/>
    </i>
    <i r="2">
      <x v="82"/>
      <x v="82"/>
      <x v="9"/>
    </i>
    <i r="4">
      <x v="11"/>
    </i>
    <i r="2">
      <x v="90"/>
      <x v="56"/>
      <x v="9"/>
    </i>
    <i r="2">
      <x v="95"/>
      <x v="94"/>
      <x v="9"/>
    </i>
    <i r="2">
      <x v="107"/>
      <x v="103"/>
      <x v="9"/>
    </i>
    <i r="4">
      <x v="12"/>
    </i>
    <i r="2">
      <x v="112"/>
      <x v="72"/>
      <x v="9"/>
    </i>
    <i r="2">
      <x v="113"/>
      <x v="106"/>
      <x v="9"/>
    </i>
    <i r="2">
      <x v="116"/>
      <x v="109"/>
      <x v="9"/>
    </i>
    <i t="default">
      <x v="4"/>
    </i>
    <i>
      <x v="5"/>
      <x v="4"/>
      <x v="14"/>
      <x v="21"/>
      <x/>
    </i>
    <i r="4">
      <x v="8"/>
    </i>
    <i r="4">
      <x v="9"/>
    </i>
    <i r="2">
      <x v="15"/>
      <x v="22"/>
      <x v="9"/>
    </i>
    <i r="4">
      <x v="10"/>
    </i>
    <i r="2">
      <x v="16"/>
      <x v="23"/>
      <x/>
    </i>
    <i r="4">
      <x v="8"/>
    </i>
    <i r="4">
      <x v="9"/>
    </i>
    <i r="2">
      <x v="66"/>
      <x v="64"/>
      <x v="19"/>
    </i>
    <i t="default">
      <x v="5"/>
    </i>
    <i>
      <x v="6"/>
      <x v="10"/>
      <x v="101"/>
      <x v="99"/>
      <x v="16"/>
    </i>
    <i r="2">
      <x v="110"/>
      <x v="100"/>
      <x v="16"/>
    </i>
    <i t="default">
      <x v="6"/>
    </i>
    <i>
      <x v="8"/>
      <x v="5"/>
      <x v="67"/>
      <x v="67"/>
      <x v="5"/>
    </i>
    <i r="2">
      <x v="68"/>
      <x v="68"/>
      <x v="5"/>
    </i>
    <i r="2">
      <x v="69"/>
      <x v="69"/>
      <x v="5"/>
    </i>
    <i r="2">
      <x v="77"/>
      <x v="66"/>
      <x v="18"/>
    </i>
    <i r="2">
      <x v="78"/>
      <x v="78"/>
      <x v="9"/>
    </i>
    <i r="4">
      <x v="18"/>
    </i>
    <i r="2">
      <x v="87"/>
      <x v="87"/>
      <x v="9"/>
    </i>
    <i r="4">
      <x v="18"/>
    </i>
    <i r="4">
      <x v="19"/>
    </i>
    <i r="2">
      <x v="88"/>
      <x v="88"/>
      <x v="18"/>
    </i>
    <i r="4">
      <x v="19"/>
    </i>
    <i r="2">
      <x v="93"/>
      <x v="92"/>
      <x v="9"/>
    </i>
    <i r="4">
      <x v="18"/>
    </i>
    <i r="4">
      <x v="19"/>
    </i>
    <i r="2">
      <x v="96"/>
      <x v="96"/>
      <x v="1"/>
    </i>
    <i r="4">
      <x v="9"/>
    </i>
    <i r="4">
      <x v="18"/>
    </i>
    <i r="2">
      <x v="97"/>
      <x v="97"/>
      <x v="6"/>
    </i>
    <i r="4">
      <x v="9"/>
    </i>
    <i r="2">
      <x v="98"/>
      <x v="98"/>
      <x v="6"/>
    </i>
    <i r="2">
      <x v="103"/>
      <x v="50"/>
      <x v="6"/>
    </i>
    <i r="2">
      <x v="104"/>
      <x v="51"/>
      <x v="6"/>
    </i>
    <i r="2">
      <x v="105"/>
      <x v="102"/>
      <x v="1"/>
    </i>
    <i r="4">
      <x v="6"/>
    </i>
    <i r="2">
      <x v="106"/>
      <x v="73"/>
      <x v="1"/>
    </i>
    <i r="4">
      <x v="6"/>
    </i>
    <i r="2">
      <x v="117"/>
      <x v="110"/>
      <x v="18"/>
    </i>
    <i r="2">
      <x v="120"/>
      <x v="113"/>
      <x v="6"/>
    </i>
    <i t="default">
      <x v="8"/>
    </i>
    <i t="grand">
      <x/>
    </i>
  </rowItems>
  <colFields count="1">
    <field x="-2"/>
  </colFields>
  <colItems count="6">
    <i>
      <x/>
    </i>
    <i i="1">
      <x v="1"/>
    </i>
    <i i="2">
      <x v="2"/>
    </i>
    <i i="3">
      <x v="3"/>
    </i>
    <i i="4">
      <x v="4"/>
    </i>
    <i i="5">
      <x v="5"/>
    </i>
  </colItems>
  <dataFields count="6">
    <dataField name=" Kursintäkt" fld="16" baseField="0" baseItem="0" numFmtId="171"/>
    <dataField name="Kurs-ansvar" fld="17" baseField="0" baseItem="0" numFmtId="171"/>
    <dataField name=" Kursintäkt efter avdrag" fld="18" baseField="0" baseItem="0" numFmtId="171"/>
    <dataField name="Summa av Lokalintäkt" fld="19" baseField="3" baseItem="4" numFmtId="171"/>
    <dataField name="HST" fld="10" baseField="0" baseItem="0" numFmtId="172"/>
    <dataField name="HPR" fld="12" baseField="0" baseItem="0" numFmtId="172"/>
  </dataFields>
  <formats count="13">
    <format dxfId="22">
      <pivotArea type="all" dataOnly="0" outline="0" fieldPosition="0"/>
    </format>
    <format dxfId="21">
      <pivotArea type="all" dataOnly="0" outline="0" fieldPosition="0"/>
    </format>
    <format dxfId="20">
      <pivotArea field="0" type="button" dataOnly="0" labelOnly="1" outline="0" axis="axisRow" fieldPosition="2"/>
    </format>
    <format dxfId="19">
      <pivotArea field="6" type="button" dataOnly="0" labelOnly="1" outline="0" axis="axisRow" fieldPosition="0"/>
    </format>
    <format dxfId="18">
      <pivotArea field="7" type="button" dataOnly="0" labelOnly="1" outline="0" axis="axisRow" fieldPosition="1"/>
    </format>
    <format dxfId="17">
      <pivotArea field="3" type="button" dataOnly="0" labelOnly="1" outline="0" axis="axisRow" fieldPosition="4"/>
    </format>
    <format dxfId="16">
      <pivotArea dataOnly="0" labelOnly="1" outline="0" fieldPosition="0">
        <references count="1">
          <reference field="4294967294" count="0"/>
        </references>
      </pivotArea>
    </format>
    <format dxfId="15">
      <pivotArea outline="0" fieldPosition="0">
        <references count="1">
          <reference field="4294967294" count="1">
            <x v="1"/>
          </reference>
        </references>
      </pivotArea>
    </format>
    <format dxfId="14">
      <pivotArea outline="0" fieldPosition="0">
        <references count="1">
          <reference field="4294967294" count="1">
            <x v="4"/>
          </reference>
        </references>
      </pivotArea>
    </format>
    <format dxfId="13">
      <pivotArea outline="0" fieldPosition="0">
        <references count="1">
          <reference field="4294967294" count="1">
            <x v="5"/>
          </reference>
        </references>
      </pivotArea>
    </format>
    <format dxfId="12">
      <pivotArea outline="0" fieldPosition="0">
        <references count="1">
          <reference field="4294967294" count="1">
            <x v="0"/>
          </reference>
        </references>
      </pivotArea>
    </format>
    <format dxfId="11">
      <pivotArea outline="0" fieldPosition="0">
        <references count="1">
          <reference field="4294967294" count="1">
            <x v="2"/>
          </reference>
        </references>
      </pivotArea>
    </format>
    <format dxfId="10">
      <pivotArea outline="0" fieldPosition="0">
        <references count="1">
          <reference field="4294967294" count="1">
            <x v="3"/>
          </reference>
        </references>
      </pivotArea>
    </format>
  </formats>
  <pivotTableStyleInfo name="PivotStyleMedium1" showRowHeaders="1" showColHeaders="1" showRowStripes="0" showColStripes="0" showLastColumn="1"/>
</pivotTableDefinition>
</file>

<file path=xl/pivotTables/pivotTable6.xml><?xml version="1.0" encoding="utf-8"?>
<pivotTableDefinition xmlns="http://schemas.openxmlformats.org/spreadsheetml/2006/main" name="Pivottabell1" cacheId="1" applyNumberFormats="0" applyBorderFormats="0" applyFontFormats="0" applyPatternFormats="0" applyAlignmentFormats="0" applyWidthHeightFormats="1" dataCaption="Värden" updatedVersion="6" minRefreshableVersion="3" useAutoFormatting="1" itemPrintTitles="1" createdVersion="5" indent="0" compact="0" compactData="0" multipleFieldFilters="0">
  <location ref="A3:J71" firstHeaderRow="0" firstDataRow="1" firstDataCol="6" rowPageCount="1" colPageCount="1"/>
  <pivotFields count="66">
    <pivotField axis="axisRow" compact="0" outline="0" showAll="0" defaultSubtotal="0">
      <items count="456">
        <item x="0"/>
        <item x="2"/>
        <item x="5"/>
        <item x="6"/>
        <item x="10"/>
        <item m="1" x="424"/>
        <item x="13"/>
        <item x="17"/>
        <item m="1" x="400"/>
        <item x="21"/>
        <item m="1" x="446"/>
        <item m="1" x="413"/>
        <item m="1" x="402"/>
        <item x="28"/>
        <item x="32"/>
        <item x="33"/>
        <item x="35"/>
        <item x="36"/>
        <item x="37"/>
        <item x="47"/>
        <item x="48"/>
        <item x="49"/>
        <item x="50"/>
        <item x="51"/>
        <item x="52"/>
        <item x="53"/>
        <item x="54"/>
        <item x="55"/>
        <item x="56"/>
        <item m="1" x="399"/>
        <item m="1" x="403"/>
        <item m="1" x="407"/>
        <item x="79"/>
        <item x="81"/>
        <item x="82"/>
        <item m="1" x="409"/>
        <item m="1" x="388"/>
        <item x="87"/>
        <item x="93"/>
        <item x="94"/>
        <item x="95"/>
        <item x="96"/>
        <item x="99"/>
        <item x="102"/>
        <item x="103"/>
        <item x="111"/>
        <item x="122"/>
        <item x="123"/>
        <item x="124"/>
        <item x="125"/>
        <item x="126"/>
        <item x="127"/>
        <item x="128"/>
        <item x="129"/>
        <item x="130"/>
        <item x="131"/>
        <item x="132"/>
        <item x="133"/>
        <item x="134"/>
        <item x="135"/>
        <item x="136"/>
        <item x="149"/>
        <item x="150"/>
        <item x="151"/>
        <item x="152"/>
        <item x="153"/>
        <item x="154"/>
        <item x="155"/>
        <item x="165"/>
        <item m="1" x="378"/>
        <item x="166"/>
        <item m="1" x="419"/>
        <item x="168"/>
        <item x="174"/>
        <item x="179"/>
        <item x="180"/>
        <item x="181"/>
        <item x="185"/>
        <item m="1" x="423"/>
        <item x="186"/>
        <item x="187"/>
        <item x="188"/>
        <item x="190"/>
        <item x="191"/>
        <item x="193"/>
        <item x="194"/>
        <item x="195"/>
        <item x="196"/>
        <item x="197"/>
        <item x="198"/>
        <item x="199"/>
        <item x="204"/>
        <item x="205"/>
        <item x="206"/>
        <item x="207"/>
        <item x="208"/>
        <item x="209"/>
        <item x="210"/>
        <item x="211"/>
        <item x="212"/>
        <item x="214"/>
        <item x="215"/>
        <item x="216"/>
        <item x="217"/>
        <item x="218"/>
        <item x="219"/>
        <item x="220"/>
        <item x="221"/>
        <item x="222"/>
        <item x="223"/>
        <item x="224"/>
        <item x="225"/>
        <item x="226"/>
        <item x="227"/>
        <item x="228"/>
        <item x="229"/>
        <item x="230"/>
        <item x="231"/>
        <item x="232"/>
        <item x="233"/>
        <item x="234"/>
        <item x="235"/>
        <item x="242"/>
        <item x="243"/>
        <item x="244"/>
        <item x="245"/>
        <item x="246"/>
        <item x="247"/>
        <item x="249"/>
        <item x="250"/>
        <item x="251"/>
        <item x="271"/>
        <item m="1" x="451"/>
        <item x="272"/>
        <item x="279"/>
        <item x="280"/>
        <item m="1" x="436"/>
        <item x="283"/>
        <item x="284"/>
        <item x="291"/>
        <item x="292"/>
        <item x="293"/>
        <item x="294"/>
        <item x="295"/>
        <item x="312"/>
        <item x="313"/>
        <item x="316"/>
        <item x="317"/>
        <item x="318"/>
        <item x="319"/>
        <item x="320"/>
        <item x="321"/>
        <item x="322"/>
        <item x="323"/>
        <item x="324"/>
        <item x="340"/>
        <item x="341"/>
        <item x="342"/>
        <item x="343"/>
        <item x="344"/>
        <item x="345"/>
        <item x="346"/>
        <item x="347"/>
        <item x="348"/>
        <item x="349"/>
        <item x="350"/>
        <item x="351"/>
        <item x="352"/>
        <item x="353"/>
        <item x="354"/>
        <item x="356"/>
        <item m="1" x="392"/>
        <item m="1" x="454"/>
        <item m="1" x="374"/>
        <item x="368"/>
        <item x="11"/>
        <item x="12"/>
        <item x="18"/>
        <item x="97"/>
        <item x="177"/>
        <item x="178"/>
        <item x="248"/>
        <item x="273"/>
        <item x="252"/>
        <item x="23"/>
        <item x="80"/>
        <item x="84"/>
        <item x="105"/>
        <item x="106"/>
        <item x="137"/>
        <item x="138"/>
        <item x="139"/>
        <item x="183"/>
        <item x="253"/>
        <item x="254"/>
        <item x="255"/>
        <item x="365"/>
        <item x="257"/>
        <item x="258"/>
        <item x="256"/>
        <item x="38"/>
        <item x="260"/>
        <item x="281"/>
        <item m="1" x="452"/>
        <item x="325"/>
        <item x="370"/>
        <item x="145"/>
        <item x="259"/>
        <item x="39"/>
        <item x="40"/>
        <item x="213"/>
        <item x="7"/>
        <item x="9"/>
        <item m="1" x="429"/>
        <item x="24"/>
        <item x="29"/>
        <item x="30"/>
        <item x="31"/>
        <item m="1" x="441"/>
        <item m="1" x="401"/>
        <item x="83"/>
        <item x="85"/>
        <item x="89"/>
        <item x="90"/>
        <item x="107"/>
        <item x="108"/>
        <item x="121"/>
        <item x="140"/>
        <item x="141"/>
        <item x="142"/>
        <item x="143"/>
        <item x="146"/>
        <item x="148"/>
        <item x="159"/>
        <item x="160"/>
        <item x="161"/>
        <item x="262"/>
        <item x="263"/>
        <item x="274"/>
        <item x="275"/>
        <item x="301"/>
        <item x="302"/>
        <item x="303"/>
        <item x="41"/>
        <item x="42"/>
        <item x="43"/>
        <item m="1" x="395"/>
        <item m="1" x="384"/>
        <item x="34"/>
        <item m="1" x="427"/>
        <item m="1" x="430"/>
        <item m="1" x="447"/>
        <item m="1" x="382"/>
        <item x="110"/>
        <item x="144"/>
        <item x="147"/>
        <item x="156"/>
        <item x="157"/>
        <item x="158"/>
        <item x="162"/>
        <item m="1" x="414"/>
        <item m="1" x="393"/>
        <item x="285"/>
        <item x="326"/>
        <item x="329"/>
        <item x="332"/>
        <item x="333"/>
        <item x="334"/>
        <item x="335"/>
        <item x="336"/>
        <item x="369"/>
        <item m="1" x="434"/>
        <item x="57"/>
        <item m="1" x="406"/>
        <item m="1" x="410"/>
        <item x="46"/>
        <item m="1" x="418"/>
        <item x="164"/>
        <item m="1" x="448"/>
        <item x="167"/>
        <item x="163"/>
        <item x="360"/>
        <item x="355"/>
        <item x="357"/>
        <item m="1" x="387"/>
        <item x="361"/>
        <item x="362"/>
        <item x="363"/>
        <item m="1" x="433"/>
        <item x="298"/>
        <item x="296"/>
        <item x="297"/>
        <item x="299"/>
        <item x="300"/>
        <item m="1" x="431"/>
        <item m="1" x="455"/>
        <item x="358"/>
        <item m="1" x="426"/>
        <item m="1" x="439"/>
        <item m="1" x="450"/>
        <item m="1" x="372"/>
        <item m="1" x="417"/>
        <item m="1" x="453"/>
        <item x="59"/>
        <item m="1" x="380"/>
        <item m="1" x="391"/>
        <item m="1" x="412"/>
        <item m="1" x="394"/>
        <item m="1" x="375"/>
        <item m="1" x="397"/>
        <item m="1" x="408"/>
        <item m="1" x="373"/>
        <item x="58"/>
        <item x="60"/>
        <item x="100"/>
        <item x="101"/>
        <item x="182"/>
        <item x="189"/>
        <item x="192"/>
        <item m="1" x="438"/>
        <item m="1" x="442"/>
        <item x="236"/>
        <item x="237"/>
        <item x="238"/>
        <item x="239"/>
        <item m="1" x="383"/>
        <item x="286"/>
        <item x="287"/>
        <item m="1" x="404"/>
        <item m="1" x="440"/>
        <item x="200"/>
        <item x="201"/>
        <item x="202"/>
        <item x="203"/>
        <item m="1" x="385"/>
        <item m="1" x="411"/>
        <item x="118"/>
        <item x="119"/>
        <item x="120"/>
        <item m="1" x="376"/>
        <item m="1" x="432"/>
        <item m="1" x="435"/>
        <item m="1" x="416"/>
        <item m="1" x="379"/>
        <item m="1" x="428"/>
        <item m="1" x="422"/>
        <item m="1" x="389"/>
        <item m="1" x="377"/>
        <item m="1" x="386"/>
        <item m="1" x="396"/>
        <item m="1" x="421"/>
        <item m="1" x="420"/>
        <item m="1" x="390"/>
        <item x="4"/>
        <item x="3"/>
        <item x="304"/>
        <item x="305"/>
        <item x="306"/>
        <item x="308"/>
        <item x="288"/>
        <item x="72"/>
        <item x="1"/>
        <item x="8"/>
        <item x="63"/>
        <item x="64"/>
        <item x="65"/>
        <item x="66"/>
        <item x="67"/>
        <item x="86"/>
        <item x="91"/>
        <item x="92"/>
        <item x="104"/>
        <item x="109"/>
        <item x="176"/>
        <item x="261"/>
        <item x="276"/>
        <item x="277"/>
        <item m="1" x="445"/>
        <item m="1" x="381"/>
        <item x="112"/>
        <item x="309"/>
        <item x="311"/>
        <item x="310"/>
        <item x="268"/>
        <item x="269"/>
        <item x="270"/>
        <item x="289"/>
        <item x="290"/>
        <item x="69"/>
        <item m="1" x="405"/>
        <item m="1" x="449"/>
        <item m="1" x="437"/>
        <item m="1" x="444"/>
        <item x="278"/>
        <item x="68"/>
        <item x="71"/>
        <item x="73"/>
        <item m="1" x="398"/>
        <item x="172"/>
        <item x="173"/>
        <item x="264"/>
        <item x="265"/>
        <item m="1" x="415"/>
        <item x="307"/>
        <item x="366"/>
        <item x="16"/>
        <item x="25"/>
        <item x="26"/>
        <item x="62"/>
        <item x="70"/>
        <item x="74"/>
        <item x="76"/>
        <item x="240"/>
        <item x="241"/>
        <item x="266"/>
        <item x="267"/>
        <item x="359"/>
        <item x="364"/>
        <item x="337"/>
        <item x="338"/>
        <item x="14"/>
        <item x="15"/>
        <item m="1" x="425"/>
        <item x="19"/>
        <item x="20"/>
        <item x="22"/>
        <item x="78"/>
        <item x="175"/>
        <item x="282"/>
        <item m="1" x="443"/>
        <item x="44"/>
        <item x="116"/>
        <item x="117"/>
        <item x="184"/>
        <item x="339"/>
        <item x="27"/>
        <item x="45"/>
        <item x="61"/>
        <item x="75"/>
        <item x="77"/>
        <item x="88"/>
        <item x="98"/>
        <item x="113"/>
        <item x="114"/>
        <item x="115"/>
        <item x="169"/>
        <item x="170"/>
        <item x="171"/>
        <item x="314"/>
        <item x="315"/>
        <item x="327"/>
        <item x="328"/>
        <item x="330"/>
        <item x="331"/>
        <item x="367"/>
        <item x="371"/>
      </items>
    </pivotField>
    <pivotField axis="axisRow" compact="0" outline="0" showAll="0" defaultSubtotal="0">
      <items count="426">
        <item x="16"/>
        <item x="133"/>
        <item x="5"/>
        <item x="20"/>
        <item x="6"/>
        <item x="344"/>
        <item x="76"/>
        <item x="124"/>
        <item x="207"/>
        <item x="236"/>
        <item x="123"/>
        <item x="297"/>
        <item x="191"/>
        <item x="252"/>
        <item x="193"/>
        <item x="224"/>
        <item x="203"/>
        <item x="213"/>
        <item x="229"/>
        <item x="230"/>
        <item x="228"/>
        <item x="346"/>
        <item x="68"/>
        <item x="62"/>
        <item x="63"/>
        <item x="46"/>
        <item x="17"/>
        <item x="31"/>
        <item x="32"/>
        <item m="1" x="404"/>
        <item x="118"/>
        <item x="215"/>
        <item x="223"/>
        <item m="1" x="374"/>
        <item x="138"/>
        <item x="3"/>
        <item x="4"/>
        <item x="235"/>
        <item x="36"/>
        <item x="35"/>
        <item x="38"/>
        <item x="40"/>
        <item x="39"/>
        <item x="41"/>
        <item x="42"/>
        <item x="34"/>
        <item x="122"/>
        <item x="286"/>
        <item x="48"/>
        <item x="210"/>
        <item x="211"/>
        <item x="180"/>
        <item x="27"/>
        <item x="83"/>
        <item x="264"/>
        <item x="182"/>
        <item x="89"/>
        <item x="107"/>
        <item x="276"/>
        <item x="275"/>
        <item x="51"/>
        <item x="227"/>
        <item x="139"/>
        <item m="1" x="418"/>
        <item m="1" x="382"/>
        <item m="1" x="377"/>
        <item x="78"/>
        <item x="79"/>
        <item x="0"/>
        <item x="12"/>
        <item x="204"/>
        <item x="237"/>
        <item x="190"/>
        <item x="2"/>
        <item x="181"/>
        <item x="339"/>
        <item x="206"/>
        <item x="208"/>
        <item m="1" x="393"/>
        <item x="200"/>
        <item x="92"/>
        <item x="95"/>
        <item x="341"/>
        <item x="338"/>
        <item x="336"/>
        <item x="337"/>
        <item x="98"/>
        <item x="99"/>
        <item x="8"/>
        <item x="128"/>
        <item x="340"/>
        <item x="241"/>
        <item x="183"/>
        <item x="119"/>
        <item x="121"/>
        <item m="1" x="402"/>
        <item x="130"/>
        <item x="194"/>
        <item m="1" x="384"/>
        <item x="125"/>
        <item x="202"/>
        <item x="129"/>
        <item x="205"/>
        <item x="126"/>
        <item x="47"/>
        <item x="225"/>
        <item x="55"/>
        <item x="238"/>
        <item x="239"/>
        <item x="242"/>
        <item x="243"/>
        <item x="169"/>
        <item x="144"/>
        <item x="132"/>
        <item x="131"/>
        <item x="147"/>
        <item x="145"/>
        <item x="148"/>
        <item x="146"/>
        <item x="149"/>
        <item x="150"/>
        <item x="174"/>
        <item x="199"/>
        <item x="135"/>
        <item x="77"/>
        <item x="160"/>
        <item x="167"/>
        <item x="161"/>
        <item x="163"/>
        <item x="168"/>
        <item x="1"/>
        <item x="175"/>
        <item x="176"/>
        <item x="263"/>
        <item x="304"/>
        <item x="53"/>
        <item x="54"/>
        <item x="91"/>
        <item x="90"/>
        <item x="287"/>
        <item x="250"/>
        <item x="246"/>
        <item x="186"/>
        <item x="249"/>
        <item m="1" x="367"/>
        <item x="283"/>
        <item x="284"/>
        <item x="285"/>
        <item x="120"/>
        <item x="188"/>
        <item x="343"/>
        <item x="189"/>
        <item x="52"/>
        <item x="348"/>
        <item m="1" x="394"/>
        <item m="1" x="395"/>
        <item x="272"/>
        <item x="271"/>
        <item x="219"/>
        <item x="217"/>
        <item x="218"/>
        <item x="117"/>
        <item x="300"/>
        <item x="127"/>
        <item x="280"/>
        <item x="156"/>
        <item m="1" x="415"/>
        <item x="332"/>
        <item x="335"/>
        <item x="201"/>
        <item x="309"/>
        <item x="310"/>
        <item x="311"/>
        <item x="312"/>
        <item x="313"/>
        <item x="314"/>
        <item x="308"/>
        <item x="315"/>
        <item x="316"/>
        <item x="342"/>
        <item x="345"/>
        <item x="9"/>
        <item m="1" x="417"/>
        <item m="1" x="369"/>
        <item x="360"/>
        <item x="212"/>
        <item x="298"/>
        <item x="305"/>
        <item x="214"/>
        <item x="334"/>
        <item x="222"/>
        <item x="216"/>
        <item x="220"/>
        <item x="221"/>
        <item x="296"/>
        <item x="226"/>
        <item x="209"/>
        <item x="333"/>
        <item x="185"/>
        <item x="49"/>
        <item x="50"/>
        <item x="192"/>
        <item x="10"/>
        <item x="11"/>
        <item x="253"/>
        <item x="101"/>
        <item x="80"/>
        <item x="102"/>
        <item x="103"/>
        <item x="81"/>
        <item x="104"/>
        <item x="93"/>
        <item x="172"/>
        <item x="173"/>
        <item x="240"/>
        <item x="265"/>
        <item x="357"/>
        <item x="245"/>
        <item x="64"/>
        <item x="244"/>
        <item x="22"/>
        <item x="134"/>
        <item x="178"/>
        <item x="247"/>
        <item x="248"/>
        <item x="37"/>
        <item x="273"/>
        <item m="1" x="386"/>
        <item x="317"/>
        <item x="362"/>
        <item x="140"/>
        <item x="251"/>
        <item x="7"/>
        <item x="13"/>
        <item x="23"/>
        <item x="28"/>
        <item x="29"/>
        <item x="30"/>
        <item x="71"/>
        <item m="1" x="365"/>
        <item m="1" x="375"/>
        <item x="105"/>
        <item x="100"/>
        <item x="82"/>
        <item x="85"/>
        <item x="86"/>
        <item x="136"/>
        <item x="137"/>
        <item x="26"/>
        <item x="141"/>
        <item x="143"/>
        <item x="154"/>
        <item x="254"/>
        <item x="255"/>
        <item x="266"/>
        <item x="267"/>
        <item x="293"/>
        <item x="294"/>
        <item x="295"/>
        <item x="260"/>
        <item x="94"/>
        <item m="1" x="396"/>
        <item x="33"/>
        <item m="1" x="407"/>
        <item m="1" x="366"/>
        <item x="108"/>
        <item m="1" x="398"/>
        <item m="1" x="399"/>
        <item x="106"/>
        <item x="142"/>
        <item x="151"/>
        <item x="152"/>
        <item x="153"/>
        <item x="157"/>
        <item m="1" x="388"/>
        <item m="1" x="408"/>
        <item x="277"/>
        <item x="318"/>
        <item x="321"/>
        <item x="324"/>
        <item x="325"/>
        <item x="326"/>
        <item x="327"/>
        <item x="328"/>
        <item x="361"/>
        <item m="1" x="422"/>
        <item x="56"/>
        <item x="60"/>
        <item x="61"/>
        <item x="45"/>
        <item m="1" x="410"/>
        <item x="159"/>
        <item m="1" x="370"/>
        <item x="162"/>
        <item x="158"/>
        <item x="352"/>
        <item x="347"/>
        <item x="349"/>
        <item m="1" x="390"/>
        <item x="353"/>
        <item x="354"/>
        <item x="355"/>
        <item m="1" x="409"/>
        <item x="290"/>
        <item x="288"/>
        <item x="289"/>
        <item x="291"/>
        <item x="292"/>
        <item m="1" x="400"/>
        <item m="1" x="373"/>
        <item x="350"/>
        <item m="1" x="401"/>
        <item m="1" x="421"/>
        <item m="1" x="372"/>
        <item m="1" x="368"/>
        <item x="69"/>
        <item m="1" x="391"/>
        <item x="58"/>
        <item m="1" x="424"/>
        <item m="1" x="425"/>
        <item x="72"/>
        <item x="70"/>
        <item m="1" x="412"/>
        <item m="1" x="405"/>
        <item m="1" x="419"/>
        <item m="1" x="414"/>
        <item x="57"/>
        <item x="59"/>
        <item x="96"/>
        <item x="97"/>
        <item x="177"/>
        <item x="184"/>
        <item x="187"/>
        <item x="233"/>
        <item x="234"/>
        <item x="67"/>
        <item x="231"/>
        <item x="232"/>
        <item m="1" x="387"/>
        <item x="278"/>
        <item x="279"/>
        <item x="299"/>
        <item m="1" x="420"/>
        <item x="195"/>
        <item x="196"/>
        <item x="197"/>
        <item x="198"/>
        <item m="1" x="379"/>
        <item m="1" x="383"/>
        <item x="114"/>
        <item x="115"/>
        <item x="116"/>
        <item x="257"/>
        <item m="1" x="411"/>
        <item m="1" x="364"/>
        <item m="1" x="397"/>
        <item m="1" x="363"/>
        <item m="1" x="371"/>
        <item m="1" x="378"/>
        <item m="1" x="385"/>
        <item m="1" x="380"/>
        <item m="1" x="381"/>
        <item m="1" x="416"/>
        <item m="1" x="389"/>
        <item x="256"/>
        <item m="1" x="406"/>
        <item x="65"/>
        <item x="66"/>
        <item x="87"/>
        <item x="88"/>
        <item x="155"/>
        <item x="171"/>
        <item x="268"/>
        <item x="269"/>
        <item m="1" x="423"/>
        <item m="1" x="376"/>
        <item x="301"/>
        <item x="303"/>
        <item x="302"/>
        <item x="261"/>
        <item x="262"/>
        <item x="281"/>
        <item x="282"/>
        <item x="14"/>
        <item m="1" x="403"/>
        <item x="25"/>
        <item m="1" x="392"/>
        <item x="270"/>
        <item x="358"/>
        <item x="15"/>
        <item x="24"/>
        <item x="73"/>
        <item x="258"/>
        <item x="259"/>
        <item x="351"/>
        <item x="356"/>
        <item x="329"/>
        <item x="330"/>
        <item x="18"/>
        <item x="19"/>
        <item x="21"/>
        <item x="75"/>
        <item x="170"/>
        <item x="274"/>
        <item m="1" x="413"/>
        <item x="43"/>
        <item x="112"/>
        <item x="113"/>
        <item x="179"/>
        <item x="331"/>
        <item x="44"/>
        <item x="74"/>
        <item x="84"/>
        <item x="109"/>
        <item x="110"/>
        <item x="111"/>
        <item x="164"/>
        <item x="165"/>
        <item x="166"/>
        <item x="306"/>
        <item x="307"/>
        <item x="319"/>
        <item x="320"/>
        <item x="322"/>
        <item x="323"/>
        <item x="359"/>
      </items>
    </pivotField>
    <pivotField compact="0" outline="0" showAll="0"/>
    <pivotField axis="axisRow" compact="0" outline="0" showAll="0" defaultSubtotal="0">
      <items count="18">
        <item x="1"/>
        <item x="4"/>
        <item x="0"/>
        <item x="7"/>
        <item x="8"/>
        <item x="2"/>
        <item x="3"/>
        <item x="14"/>
        <item x="5"/>
        <item m="1" x="17"/>
        <item x="6"/>
        <item x="15"/>
        <item x="13"/>
        <item x="12"/>
        <item x="9"/>
        <item x="10"/>
        <item x="11"/>
        <item x="16"/>
      </items>
    </pivotField>
    <pivotField compact="0" outline="0" showAll="0"/>
    <pivotField axis="axisRow" compact="0" outline="0" showAll="0" sortType="descending">
      <items count="2">
        <item x="0"/>
        <item t="default"/>
      </items>
    </pivotField>
    <pivotField compact="0" outline="0" showAll="0"/>
    <pivotField compact="0" outline="0" showAll="0"/>
    <pivotField compact="0" outline="0" showAll="0"/>
    <pivotField compact="0" outline="0" showAll="0"/>
    <pivotField compact="0" outline="0" showAll="0"/>
    <pivotField compact="0" outline="0" showAll="0"/>
    <pivotField axis="axisRow" compact="0" outline="0" showAll="0">
      <items count="23">
        <item m="1" x="19"/>
        <item m="1" x="11"/>
        <item m="1" x="15"/>
        <item m="1" x="20"/>
        <item x="1"/>
        <item m="1" x="8"/>
        <item x="2"/>
        <item m="1" x="13"/>
        <item m="1" x="14"/>
        <item m="1" x="16"/>
        <item m="1" x="17"/>
        <item m="1" x="21"/>
        <item m="1" x="3"/>
        <item m="1" x="7"/>
        <item m="1" x="12"/>
        <item m="1" x="6"/>
        <item m="1" x="9"/>
        <item m="1" x="18"/>
        <item m="1" x="10"/>
        <item m="1" x="5"/>
        <item m="1" x="4"/>
        <item x="0"/>
        <item t="default"/>
      </items>
    </pivotField>
    <pivotField compact="0" outline="0" showAll="0"/>
    <pivotField compact="0" outline="0" showAll="0"/>
    <pivotField dataField="1" compact="0" outline="0" showAll="0"/>
    <pivotField dataField="1" compact="0" numFmtId="2" outline="0" showAll="0"/>
    <pivotField compact="0" numFmtId="9" outline="0" showAll="0"/>
    <pivotField dataField="1" compact="0" numFmtId="2" outline="0" showAll="0"/>
    <pivotField compact="0" outline="0" showAll="0"/>
    <pivotField axis="axisPage" compact="0" outline="0" multipleItemSelectionAllowed="1" showAll="0">
      <items count="20">
        <item h="1" x="1"/>
        <item h="1" x="9"/>
        <item h="1" m="1" x="18"/>
        <item h="1" x="3"/>
        <item h="1" x="0"/>
        <item h="1" x="10"/>
        <item h="1" x="5"/>
        <item x="8"/>
        <item h="1" x="4"/>
        <item h="1" x="14"/>
        <item h="1" x="15"/>
        <item h="1" x="6"/>
        <item h="1" x="11"/>
        <item h="1" x="16"/>
        <item h="1" x="2"/>
        <item h="1" x="12"/>
        <item h="1" m="1" x="17"/>
        <item h="1" x="7"/>
        <item h="1" x="13"/>
        <item t="default"/>
      </items>
    </pivotField>
    <pivotField compact="0" outline="0" showAll="0"/>
    <pivotField axis="axisRow" compact="0" outline="0" showAll="0" defaultSubtotal="0">
      <items count="17">
        <item x="1"/>
        <item x="7"/>
        <item x="8"/>
        <item x="2"/>
        <item x="3"/>
        <item x="14"/>
        <item x="6"/>
        <item x="5"/>
        <item x="13"/>
        <item x="15"/>
        <item x="12"/>
        <item x="9"/>
        <item x="0"/>
        <item x="4"/>
        <item m="1" x="16"/>
        <item x="10"/>
        <item x="11"/>
      </items>
    </pivotField>
    <pivotField compact="0" numFmtId="3" outline="0" showAll="0"/>
    <pivotField compact="0" numFmtId="3" outline="0" showAll="0"/>
    <pivotField compact="0" numFmtId="3" outline="0" showAll="0"/>
    <pivotField compact="0" numFmtId="3" outline="0" showAll="0"/>
    <pivotField compact="0" numFmtId="3" outline="0" showAll="0"/>
    <pivotField dataField="1" compact="0" numFmtId="3"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numFmtId="167" outline="0" showAll="0"/>
    <pivotField compact="0" outline="0" showAll="0"/>
    <pivotField compact="0" numFmtId="167" outline="0" showAll="0"/>
    <pivotField compact="0" outline="0" showAll="0"/>
    <pivotField compact="0" outline="0" showAll="0"/>
    <pivotField compact="0" outline="0" showAll="0"/>
    <pivotField compact="0" numFmtId="167" outline="0" showAll="0"/>
    <pivotField compact="0" numFmtId="2" outline="0" showAll="0"/>
    <pivotField compact="0" numFmtId="167" outline="0" showAll="0"/>
    <pivotField compact="0" outline="0" showAll="0"/>
    <pivotField compact="0" numFmtId="167" outline="0" showAll="0"/>
    <pivotField compact="0" outline="0" showAll="0"/>
    <pivotField compact="0" numFmtId="167" outline="0" showAll="0"/>
    <pivotField compact="0" outline="0" showAll="0"/>
    <pivotField compact="0" numFmtId="167" outline="0" showAll="0"/>
    <pivotField compact="0" outline="0" showAll="0"/>
    <pivotField compact="0" numFmtId="167" outline="0" showAll="0"/>
    <pivotField compact="0" outline="0" showAll="0"/>
    <pivotField compact="0" outline="0" showAll="0"/>
    <pivotField compact="0" numFmtId="167" outline="0" showAll="0"/>
    <pivotField compact="0" outline="0" showAll="0"/>
    <pivotField compact="0" numFmtId="167" outline="0" showAll="0"/>
  </pivotFields>
  <rowFields count="6">
    <field x="5"/>
    <field x="3"/>
    <field x="22"/>
    <field x="0"/>
    <field x="1"/>
    <field x="12"/>
  </rowFields>
  <rowItems count="68">
    <i>
      <x/>
      <x/>
      <x/>
      <x v="16"/>
      <x v="45"/>
      <x v="21"/>
    </i>
    <i r="3">
      <x v="17"/>
      <x v="39"/>
      <x v="21"/>
    </i>
    <i r="3">
      <x v="134"/>
      <x v="157"/>
      <x v="21"/>
    </i>
    <i r="3">
      <x v="174"/>
      <x v="184"/>
      <x v="21"/>
    </i>
    <i r="3">
      <x v="262"/>
      <x v="276"/>
      <x v="21"/>
    </i>
    <i r="3">
      <x v="263"/>
      <x v="277"/>
      <x v="21"/>
    </i>
    <i r="3">
      <x v="264"/>
      <x v="278"/>
      <x v="21"/>
    </i>
    <i r="3">
      <x v="265"/>
      <x v="279"/>
      <x v="21"/>
    </i>
    <i r="3">
      <x v="266"/>
      <x v="280"/>
      <x v="21"/>
    </i>
    <i r="3">
      <x v="270"/>
      <x v="284"/>
      <x v="21"/>
    </i>
    <i r="3">
      <x v="326"/>
      <x v="339"/>
      <x v="21"/>
    </i>
    <i r="3">
      <x v="327"/>
      <x v="340"/>
      <x v="21"/>
    </i>
    <i r="3">
      <x v="336"/>
      <x v="349"/>
      <x v="21"/>
    </i>
    <i r="3">
      <x v="337"/>
      <x v="350"/>
      <x v="21"/>
    </i>
    <i r="3">
      <x v="338"/>
      <x v="351"/>
      <x v="21"/>
    </i>
    <i r="3">
      <x v="411"/>
      <x v="391"/>
      <x v="21"/>
    </i>
    <i r="3">
      <x v="418"/>
      <x v="396"/>
      <x v="21"/>
    </i>
    <i r="3">
      <x v="419"/>
      <x v="397"/>
      <x v="21"/>
    </i>
    <i r="3">
      <x v="428"/>
      <x v="403"/>
      <x v="21"/>
    </i>
    <i r="3">
      <x v="430"/>
      <x v="405"/>
      <x v="21"/>
    </i>
    <i r="3">
      <x v="434"/>
      <x v="409"/>
      <x v="21"/>
    </i>
    <i r="3">
      <x v="439"/>
      <x v="411"/>
      <x v="21"/>
    </i>
    <i r="3">
      <x v="450"/>
      <x v="421"/>
      <x v="21"/>
    </i>
    <i r="3">
      <x v="451"/>
      <x v="422"/>
      <x v="21"/>
    </i>
    <i r="3">
      <x v="452"/>
      <x v="423"/>
      <x v="21"/>
    </i>
    <i r="3">
      <x v="453"/>
      <x v="424"/>
      <x v="21"/>
    </i>
    <i r="1">
      <x v="2"/>
      <x v="12"/>
      <x v="16"/>
      <x v="45"/>
      <x v="21"/>
    </i>
    <i r="3">
      <x v="17"/>
      <x v="39"/>
      <x v="21"/>
    </i>
    <i r="3">
      <x v="18"/>
      <x v="38"/>
      <x v="21"/>
    </i>
    <i r="3">
      <x v="53"/>
      <x v="99"/>
      <x v="21"/>
    </i>
    <i r="3">
      <x v="54"/>
      <x v="103"/>
      <x v="21"/>
    </i>
    <i r="3">
      <x v="134"/>
      <x v="157"/>
      <x v="21"/>
    </i>
    <i r="3">
      <x v="135"/>
      <x v="156"/>
      <x v="21"/>
    </i>
    <i r="3">
      <x v="137"/>
      <x v="59"/>
      <x v="21"/>
    </i>
    <i r="3">
      <x v="138"/>
      <x v="58"/>
      <x v="21"/>
    </i>
    <i r="3">
      <x v="146"/>
      <x v="176"/>
      <x v="21"/>
    </i>
    <i r="3">
      <x v="153"/>
      <x v="177"/>
      <x v="21"/>
    </i>
    <i r="3">
      <x v="154"/>
      <x v="178"/>
      <x v="21"/>
    </i>
    <i r="3">
      <x v="174"/>
      <x v="184"/>
      <x v="21"/>
    </i>
    <i r="3">
      <x v="200"/>
      <x v="225"/>
      <x v="21"/>
    </i>
    <i r="3">
      <x v="202"/>
      <x v="226"/>
      <x v="21"/>
    </i>
    <i r="3">
      <x v="204"/>
      <x v="228"/>
      <x v="21"/>
    </i>
    <i r="3">
      <x v="205"/>
      <x v="229"/>
      <x v="21"/>
    </i>
    <i r="3">
      <x v="267"/>
      <x v="281"/>
      <x v="21"/>
    </i>
    <i r="3">
      <x v="268"/>
      <x v="282"/>
      <x v="21"/>
    </i>
    <i r="3">
      <x v="269"/>
      <x v="283"/>
      <x v="21"/>
    </i>
    <i r="3">
      <x v="428"/>
      <x v="403"/>
      <x v="21"/>
    </i>
    <i r="1">
      <x v="3"/>
      <x v="1"/>
      <x v="55"/>
      <x v="163"/>
      <x v="21"/>
    </i>
    <i r="1">
      <x v="4"/>
      <x v="2"/>
      <x v="56"/>
      <x v="89"/>
      <x v="21"/>
    </i>
    <i r="1">
      <x v="5"/>
      <x v="3"/>
      <x v="52"/>
      <x v="7"/>
      <x v="21"/>
    </i>
    <i r="3">
      <x v="147"/>
      <x v="170"/>
      <x v="21"/>
    </i>
    <i r="3">
      <x v="148"/>
      <x v="171"/>
      <x v="21"/>
    </i>
    <i r="3">
      <x v="149"/>
      <x v="172"/>
      <x v="21"/>
    </i>
    <i r="3">
      <x v="208"/>
      <x v="40"/>
      <x v="21"/>
    </i>
    <i r="3">
      <x v="226"/>
      <x v="161"/>
      <x v="21"/>
    </i>
    <i r="3">
      <x v="243"/>
      <x v="41"/>
      <x v="21"/>
    </i>
    <i r="1">
      <x v="6"/>
      <x v="4"/>
      <x v="51"/>
      <x v="10"/>
      <x v="21"/>
    </i>
    <i r="3">
      <x v="150"/>
      <x v="173"/>
      <x v="21"/>
    </i>
    <i r="3">
      <x v="151"/>
      <x v="174"/>
      <x v="21"/>
    </i>
    <i r="3">
      <x v="152"/>
      <x v="175"/>
      <x v="21"/>
    </i>
    <i r="3">
      <x v="209"/>
      <x v="42"/>
      <x v="21"/>
    </i>
    <i r="3">
      <x v="244"/>
      <x v="43"/>
      <x v="21"/>
    </i>
    <i r="3">
      <x v="245"/>
      <x v="44"/>
      <x v="21"/>
    </i>
    <i r="1">
      <x v="12"/>
      <x v="8"/>
      <x v="359"/>
      <x v="164"/>
      <x v="21"/>
    </i>
    <i r="3">
      <x v="386"/>
      <x v="381"/>
      <x v="21"/>
    </i>
    <i r="3">
      <x v="387"/>
      <x v="382"/>
      <x v="21"/>
    </i>
    <i t="default">
      <x/>
    </i>
    <i t="grand">
      <x/>
    </i>
  </rowItems>
  <colFields count="1">
    <field x="-2"/>
  </colFields>
  <colItems count="4">
    <i>
      <x/>
    </i>
    <i i="1">
      <x v="1"/>
    </i>
    <i i="2">
      <x v="2"/>
    </i>
    <i i="3">
      <x v="3"/>
    </i>
  </colItems>
  <pageFields count="1">
    <pageField fld="20" hier="-1"/>
  </pageFields>
  <dataFields count="4">
    <dataField name="Summa av Ant" fld="15" baseField="0" baseItem="0"/>
    <dataField name="Summa av HST" fld="16" baseField="12" baseItem="24" numFmtId="174"/>
    <dataField name="Summa av HPR" fld="18" baseField="12" baseItem="24" numFmtId="174"/>
    <dataField name="Summa av Totala intäkter" fld="28" baseField="12" baseItem="20" numFmtId="3"/>
  </dataFields>
  <formats count="9">
    <format dxfId="9">
      <pivotArea field="5" type="button" dataOnly="0" labelOnly="1" outline="0" axis="axisRow" fieldPosition="0"/>
    </format>
    <format dxfId="8">
      <pivotArea field="3" type="button" dataOnly="0" labelOnly="1" outline="0" axis="axisRow" fieldPosition="1"/>
    </format>
    <format dxfId="7">
      <pivotArea field="22" type="button" dataOnly="0" labelOnly="1" outline="0" axis="axisRow" fieldPosition="2"/>
    </format>
    <format dxfId="6">
      <pivotArea field="0" type="button" dataOnly="0" labelOnly="1" outline="0" axis="axisRow" fieldPosition="3"/>
    </format>
    <format dxfId="5">
      <pivotArea field="1" type="button" dataOnly="0" labelOnly="1" outline="0" axis="axisRow" fieldPosition="4"/>
    </format>
    <format dxfId="4">
      <pivotArea field="12" type="button" dataOnly="0" labelOnly="1" outline="0" axis="axisRow" fieldPosition="5"/>
    </format>
    <format dxfId="3">
      <pivotArea dataOnly="0" labelOnly="1" outline="0" fieldPosition="0">
        <references count="1">
          <reference field="4294967294" count="3">
            <x v="0"/>
            <x v="1"/>
            <x v="2"/>
          </reference>
        </references>
      </pivotArea>
    </format>
    <format dxfId="2">
      <pivotArea outline="0" fieldPosition="0">
        <references count="1">
          <reference field="4294967294" count="1">
            <x v="3"/>
          </reference>
        </references>
      </pivotArea>
    </format>
    <format dxfId="1">
      <pivotArea dataOnly="0" labelOnly="1"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Pivottabell1" cacheId="1" applyNumberFormats="0" applyBorderFormats="0" applyFontFormats="0" applyPatternFormats="0" applyAlignmentFormats="0" applyWidthHeightFormats="1" dataCaption="Data" updatedVersion="6" minRefreshableVersion="3" showMemberPropertyTips="0" useAutoFormatting="1" itemPrintTitles="1" createdVersion="3" indent="0" compact="0" compactData="0" gridDropZones="1">
  <location ref="A4:D378" firstHeaderRow="1" firstDataRow="2" firstDataCol="1"/>
  <pivotFields count="66">
    <pivotField axis="axisRow" compact="0" outline="0" subtotalTop="0" showAll="0" includeNewItemsInFilter="1" sortType="ascending" defaultSubtotal="0">
      <items count="456">
        <item m="1" x="390"/>
        <item m="1" x="421"/>
        <item x="0"/>
        <item x="1"/>
        <item x="2"/>
        <item x="3"/>
        <item x="4"/>
        <item m="1" x="425"/>
        <item x="5"/>
        <item x="6"/>
        <item x="7"/>
        <item x="8"/>
        <item x="9"/>
        <item x="10"/>
        <item x="11"/>
        <item x="12"/>
        <item m="1" x="405"/>
        <item m="1" x="424"/>
        <item x="13"/>
        <item m="1" x="429"/>
        <item x="14"/>
        <item x="15"/>
        <item x="16"/>
        <item x="17"/>
        <item m="1" x="400"/>
        <item x="18"/>
        <item x="19"/>
        <item x="20"/>
        <item x="21"/>
        <item x="22"/>
        <item x="23"/>
        <item x="24"/>
        <item x="25"/>
        <item m="1" x="446"/>
        <item x="26"/>
        <item m="1" x="413"/>
        <item x="27"/>
        <item m="1" x="402"/>
        <item x="28"/>
        <item x="29"/>
        <item x="30"/>
        <item x="31"/>
        <item m="1" x="384"/>
        <item x="32"/>
        <item x="33"/>
        <item x="34"/>
        <item x="35"/>
        <item x="36"/>
        <item x="37"/>
        <item x="38"/>
        <item x="39"/>
        <item x="40"/>
        <item x="41"/>
        <item x="42"/>
        <item x="43"/>
        <item x="44"/>
        <item x="45"/>
        <item x="46"/>
        <item x="47"/>
        <item x="48"/>
        <item x="49"/>
        <item m="1" x="406"/>
        <item m="1" x="410"/>
        <item x="50"/>
        <item x="51"/>
        <item x="52"/>
        <item m="1" x="417"/>
        <item m="1" x="453"/>
        <item m="1" x="373"/>
        <item x="53"/>
        <item x="54"/>
        <item m="1" x="397"/>
        <item x="55"/>
        <item m="1" x="408"/>
        <item x="56"/>
        <item x="57"/>
        <item x="58"/>
        <item x="59"/>
        <item m="1" x="380"/>
        <item x="60"/>
        <item m="1" x="391"/>
        <item x="61"/>
        <item x="62"/>
        <item x="63"/>
        <item x="64"/>
        <item x="65"/>
        <item x="66"/>
        <item x="67"/>
        <item x="68"/>
        <item x="69"/>
        <item x="70"/>
        <item x="71"/>
        <item x="72"/>
        <item x="73"/>
        <item x="74"/>
        <item x="75"/>
        <item m="1" x="441"/>
        <item m="1" x="399"/>
        <item m="1" x="403"/>
        <item m="1" x="407"/>
        <item x="76"/>
        <item x="77"/>
        <item m="1" x="412"/>
        <item m="1" x="394"/>
        <item m="1" x="375"/>
        <item m="1" x="395"/>
        <item m="1" x="376"/>
        <item m="1" x="434"/>
        <item m="1" x="440"/>
        <item m="1" x="445"/>
        <item m="1" x="404"/>
        <item m="1" x="381"/>
        <item x="78"/>
        <item x="79"/>
        <item x="80"/>
        <item m="1" x="427"/>
        <item x="81"/>
        <item x="82"/>
        <item m="1" x="401"/>
        <item x="83"/>
        <item x="84"/>
        <item x="85"/>
        <item x="86"/>
        <item m="1" x="409"/>
        <item m="1" x="388"/>
        <item x="87"/>
        <item x="88"/>
        <item x="89"/>
        <item x="90"/>
        <item x="91"/>
        <item x="92"/>
        <item x="93"/>
        <item x="94"/>
        <item x="95"/>
        <item x="96"/>
        <item x="97"/>
        <item x="98"/>
        <item x="99"/>
        <item x="100"/>
        <item x="101"/>
        <item m="1" x="449"/>
        <item m="1" x="430"/>
        <item x="102"/>
        <item x="103"/>
        <item x="104"/>
        <item x="105"/>
        <item x="106"/>
        <item x="107"/>
        <item x="108"/>
        <item x="109"/>
        <item m="1" x="398"/>
        <item m="1" x="447"/>
        <item m="1" x="382"/>
        <item x="110"/>
        <item x="111"/>
        <item x="112"/>
        <item x="113"/>
        <item x="114"/>
        <item x="115"/>
        <item x="116"/>
        <item x="117"/>
        <item x="118"/>
        <item x="119"/>
        <item x="120"/>
        <item x="121"/>
        <item x="122"/>
        <item x="123"/>
        <item x="124"/>
        <item x="125"/>
        <item x="126"/>
        <item x="127"/>
        <item x="128"/>
        <item x="129"/>
        <item x="130"/>
        <item x="131"/>
        <item x="132"/>
        <item m="1" x="437"/>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m="1" x="418"/>
        <item x="164"/>
        <item x="165"/>
        <item m="1" x="378"/>
        <item x="166"/>
        <item m="1" x="448"/>
        <item x="167"/>
        <item m="1" x="439"/>
        <item m="1" x="450"/>
        <item m="1" x="372"/>
        <item m="1" x="419"/>
        <item x="168"/>
        <item x="169"/>
        <item x="170"/>
        <item x="171"/>
        <item x="172"/>
        <item x="173"/>
        <item x="174"/>
        <item x="175"/>
        <item x="176"/>
        <item x="177"/>
        <item x="178"/>
        <item m="1" x="414"/>
        <item m="1" x="393"/>
        <item x="179"/>
        <item x="180"/>
        <item x="181"/>
        <item m="1" x="379"/>
        <item x="182"/>
        <item x="183"/>
        <item x="184"/>
        <item x="185"/>
        <item m="1" x="423"/>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m="1" x="432"/>
        <item m="1" x="435"/>
        <item m="1" x="438"/>
        <item m="1" x="442"/>
        <item x="231"/>
        <item x="232"/>
        <item x="233"/>
        <item x="234"/>
        <item x="235"/>
        <item m="1" x="385"/>
        <item m="1" x="422"/>
        <item x="236"/>
        <item x="237"/>
        <item x="238"/>
        <item x="239"/>
        <item x="240"/>
        <item x="241"/>
        <item x="242"/>
        <item x="243"/>
        <item x="244"/>
        <item x="245"/>
        <item x="246"/>
        <item x="247"/>
        <item x="248"/>
        <item x="249"/>
        <item x="250"/>
        <item x="251"/>
        <item x="252"/>
        <item x="253"/>
        <item x="254"/>
        <item x="255"/>
        <item m="1" x="411"/>
        <item x="256"/>
        <item x="257"/>
        <item x="258"/>
        <item x="259"/>
        <item x="260"/>
        <item x="261"/>
        <item x="262"/>
        <item x="263"/>
        <item x="264"/>
        <item x="265"/>
        <item x="266"/>
        <item x="267"/>
        <item x="268"/>
        <item m="1" x="415"/>
        <item x="269"/>
        <item x="270"/>
        <item x="271"/>
        <item m="1" x="444"/>
        <item m="1" x="451"/>
        <item x="272"/>
        <item x="273"/>
        <item x="274"/>
        <item x="275"/>
        <item x="276"/>
        <item x="277"/>
        <item x="278"/>
        <item x="279"/>
        <item x="280"/>
        <item m="1" x="436"/>
        <item x="281"/>
        <item x="282"/>
        <item x="283"/>
        <item x="284"/>
        <item m="1" x="383"/>
        <item x="285"/>
        <item x="286"/>
        <item x="287"/>
        <item x="288"/>
        <item x="289"/>
        <item x="290"/>
        <item x="291"/>
        <item x="292"/>
        <item x="293"/>
        <item x="294"/>
        <item x="295"/>
        <item x="296"/>
        <item x="297"/>
        <item m="1" x="431"/>
        <item x="298"/>
        <item x="299"/>
        <item m="1" x="455"/>
        <item x="300"/>
        <item m="1" x="416"/>
        <item m="1" x="389"/>
        <item m="1" x="420"/>
        <item m="1" x="377"/>
        <item m="1" x="386"/>
        <item m="1" x="396"/>
        <item x="301"/>
        <item x="302"/>
        <item x="303"/>
        <item x="304"/>
        <item x="305"/>
        <item x="306"/>
        <item x="307"/>
        <item x="308"/>
        <item x="309"/>
        <item x="310"/>
        <item x="311"/>
        <item x="312"/>
        <item x="313"/>
        <item x="314"/>
        <item x="315"/>
        <item x="316"/>
        <item x="317"/>
        <item x="318"/>
        <item x="319"/>
        <item x="320"/>
        <item x="321"/>
        <item x="322"/>
        <item x="323"/>
        <item x="324"/>
        <item m="1" x="452"/>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m="1" x="428"/>
        <item m="1" x="387"/>
        <item x="355"/>
        <item x="356"/>
        <item m="1" x="392"/>
        <item x="357"/>
        <item m="1" x="433"/>
        <item x="358"/>
        <item x="359"/>
        <item x="360"/>
        <item x="361"/>
        <item x="362"/>
        <item x="363"/>
        <item x="364"/>
        <item x="365"/>
        <item m="1" x="426"/>
        <item x="366"/>
        <item x="367"/>
        <item m="1" x="454"/>
        <item m="1" x="374"/>
        <item x="368"/>
        <item x="369"/>
        <item x="370"/>
        <item m="1" x="443"/>
        <item x="371"/>
      </items>
    </pivotField>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defaultSubtotal="0"/>
    <pivotField compact="0" outline="0" subtotalTop="0" showAll="0" includeNewItemsInFilter="1"/>
    <pivotField compact="0" outline="0" subtotalTop="0" multipleItemSelectionAllowed="1"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numFmtId="3"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1">
    <field x="0"/>
  </rowFields>
  <rowItems count="373">
    <i>
      <x v="2"/>
    </i>
    <i>
      <x v="3"/>
    </i>
    <i>
      <x v="4"/>
    </i>
    <i>
      <x v="5"/>
    </i>
    <i>
      <x v="6"/>
    </i>
    <i>
      <x v="8"/>
    </i>
    <i>
      <x v="9"/>
    </i>
    <i>
      <x v="10"/>
    </i>
    <i>
      <x v="11"/>
    </i>
    <i>
      <x v="12"/>
    </i>
    <i>
      <x v="13"/>
    </i>
    <i>
      <x v="14"/>
    </i>
    <i>
      <x v="15"/>
    </i>
    <i>
      <x v="18"/>
    </i>
    <i>
      <x v="20"/>
    </i>
    <i>
      <x v="21"/>
    </i>
    <i>
      <x v="22"/>
    </i>
    <i>
      <x v="23"/>
    </i>
    <i>
      <x v="25"/>
    </i>
    <i>
      <x v="26"/>
    </i>
    <i>
      <x v="27"/>
    </i>
    <i>
      <x v="28"/>
    </i>
    <i>
      <x v="29"/>
    </i>
    <i>
      <x v="30"/>
    </i>
    <i>
      <x v="31"/>
    </i>
    <i>
      <x v="32"/>
    </i>
    <i>
      <x v="34"/>
    </i>
    <i>
      <x v="36"/>
    </i>
    <i>
      <x v="38"/>
    </i>
    <i>
      <x v="39"/>
    </i>
    <i>
      <x v="40"/>
    </i>
    <i>
      <x v="41"/>
    </i>
    <i>
      <x v="43"/>
    </i>
    <i>
      <x v="44"/>
    </i>
    <i>
      <x v="45"/>
    </i>
    <i>
      <x v="46"/>
    </i>
    <i>
      <x v="47"/>
    </i>
    <i>
      <x v="48"/>
    </i>
    <i>
      <x v="49"/>
    </i>
    <i>
      <x v="50"/>
    </i>
    <i>
      <x v="51"/>
    </i>
    <i>
      <x v="52"/>
    </i>
    <i>
      <x v="53"/>
    </i>
    <i>
      <x v="54"/>
    </i>
    <i>
      <x v="55"/>
    </i>
    <i>
      <x v="56"/>
    </i>
    <i>
      <x v="57"/>
    </i>
    <i>
      <x v="58"/>
    </i>
    <i>
      <x v="59"/>
    </i>
    <i>
      <x v="60"/>
    </i>
    <i>
      <x v="63"/>
    </i>
    <i>
      <x v="64"/>
    </i>
    <i>
      <x v="65"/>
    </i>
    <i>
      <x v="69"/>
    </i>
    <i>
      <x v="70"/>
    </i>
    <i>
      <x v="72"/>
    </i>
    <i>
      <x v="74"/>
    </i>
    <i>
      <x v="75"/>
    </i>
    <i>
      <x v="76"/>
    </i>
    <i>
      <x v="77"/>
    </i>
    <i>
      <x v="79"/>
    </i>
    <i>
      <x v="81"/>
    </i>
    <i>
      <x v="82"/>
    </i>
    <i>
      <x v="83"/>
    </i>
    <i>
      <x v="84"/>
    </i>
    <i>
      <x v="85"/>
    </i>
    <i>
      <x v="86"/>
    </i>
    <i>
      <x v="87"/>
    </i>
    <i>
      <x v="88"/>
    </i>
    <i>
      <x v="89"/>
    </i>
    <i>
      <x v="90"/>
    </i>
    <i>
      <x v="91"/>
    </i>
    <i>
      <x v="92"/>
    </i>
    <i>
      <x v="93"/>
    </i>
    <i>
      <x v="94"/>
    </i>
    <i>
      <x v="95"/>
    </i>
    <i>
      <x v="100"/>
    </i>
    <i>
      <x v="101"/>
    </i>
    <i>
      <x v="112"/>
    </i>
    <i>
      <x v="113"/>
    </i>
    <i>
      <x v="114"/>
    </i>
    <i>
      <x v="116"/>
    </i>
    <i>
      <x v="117"/>
    </i>
    <i>
      <x v="119"/>
    </i>
    <i>
      <x v="120"/>
    </i>
    <i>
      <x v="121"/>
    </i>
    <i>
      <x v="122"/>
    </i>
    <i>
      <x v="125"/>
    </i>
    <i>
      <x v="126"/>
    </i>
    <i>
      <x v="127"/>
    </i>
    <i>
      <x v="128"/>
    </i>
    <i>
      <x v="129"/>
    </i>
    <i>
      <x v="130"/>
    </i>
    <i>
      <x v="131"/>
    </i>
    <i>
      <x v="132"/>
    </i>
    <i>
      <x v="133"/>
    </i>
    <i>
      <x v="134"/>
    </i>
    <i>
      <x v="135"/>
    </i>
    <i>
      <x v="136"/>
    </i>
    <i>
      <x v="137"/>
    </i>
    <i>
      <x v="138"/>
    </i>
    <i>
      <x v="139"/>
    </i>
    <i>
      <x v="142"/>
    </i>
    <i>
      <x v="143"/>
    </i>
    <i>
      <x v="144"/>
    </i>
    <i>
      <x v="145"/>
    </i>
    <i>
      <x v="146"/>
    </i>
    <i>
      <x v="147"/>
    </i>
    <i>
      <x v="148"/>
    </i>
    <i>
      <x v="149"/>
    </i>
    <i>
      <x v="153"/>
    </i>
    <i>
      <x v="154"/>
    </i>
    <i>
      <x v="155"/>
    </i>
    <i>
      <x v="156"/>
    </i>
    <i>
      <x v="157"/>
    </i>
    <i>
      <x v="158"/>
    </i>
    <i>
      <x v="159"/>
    </i>
    <i>
      <x v="160"/>
    </i>
    <i>
      <x v="161"/>
    </i>
    <i>
      <x v="162"/>
    </i>
    <i>
      <x v="163"/>
    </i>
    <i>
      <x v="164"/>
    </i>
    <i>
      <x v="165"/>
    </i>
    <i>
      <x v="166"/>
    </i>
    <i>
      <x v="167"/>
    </i>
    <i>
      <x v="168"/>
    </i>
    <i>
      <x v="169"/>
    </i>
    <i>
      <x v="170"/>
    </i>
    <i>
      <x v="171"/>
    </i>
    <i>
      <x v="172"/>
    </i>
    <i>
      <x v="173"/>
    </i>
    <i>
      <x v="174"/>
    </i>
    <i>
      <x v="175"/>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9"/>
    </i>
    <i>
      <x v="210"/>
    </i>
    <i>
      <x v="212"/>
    </i>
    <i>
      <x v="214"/>
    </i>
    <i>
      <x v="219"/>
    </i>
    <i>
      <x v="220"/>
    </i>
    <i>
      <x v="221"/>
    </i>
    <i>
      <x v="222"/>
    </i>
    <i>
      <x v="223"/>
    </i>
    <i>
      <x v="224"/>
    </i>
    <i>
      <x v="225"/>
    </i>
    <i>
      <x v="226"/>
    </i>
    <i>
      <x v="227"/>
    </i>
    <i>
      <x v="228"/>
    </i>
    <i>
      <x v="229"/>
    </i>
    <i>
      <x v="232"/>
    </i>
    <i>
      <x v="233"/>
    </i>
    <i>
      <x v="234"/>
    </i>
    <i>
      <x v="236"/>
    </i>
    <i>
      <x v="237"/>
    </i>
    <i>
      <x v="238"/>
    </i>
    <i>
      <x v="239"/>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90"/>
    </i>
    <i>
      <x v="291"/>
    </i>
    <i>
      <x v="292"/>
    </i>
    <i>
      <x v="293"/>
    </i>
    <i>
      <x v="294"/>
    </i>
    <i>
      <x v="297"/>
    </i>
    <i>
      <x v="298"/>
    </i>
    <i>
      <x v="299"/>
    </i>
    <i>
      <x v="300"/>
    </i>
    <i>
      <x v="301"/>
    </i>
    <i>
      <x v="302"/>
    </i>
    <i>
      <x v="303"/>
    </i>
    <i>
      <x v="304"/>
    </i>
    <i>
      <x v="305"/>
    </i>
    <i>
      <x v="306"/>
    </i>
    <i>
      <x v="307"/>
    </i>
    <i>
      <x v="308"/>
    </i>
    <i>
      <x v="309"/>
    </i>
    <i>
      <x v="310"/>
    </i>
    <i>
      <x v="311"/>
    </i>
    <i>
      <x v="312"/>
    </i>
    <i>
      <x v="313"/>
    </i>
    <i>
      <x v="314"/>
    </i>
    <i>
      <x v="315"/>
    </i>
    <i>
      <x v="316"/>
    </i>
    <i>
      <x v="318"/>
    </i>
    <i>
      <x v="319"/>
    </i>
    <i>
      <x v="320"/>
    </i>
    <i>
      <x v="321"/>
    </i>
    <i>
      <x v="322"/>
    </i>
    <i>
      <x v="323"/>
    </i>
    <i>
      <x v="324"/>
    </i>
    <i>
      <x v="325"/>
    </i>
    <i>
      <x v="326"/>
    </i>
    <i>
      <x v="327"/>
    </i>
    <i>
      <x v="328"/>
    </i>
    <i>
      <x v="329"/>
    </i>
    <i>
      <x v="330"/>
    </i>
    <i>
      <x v="332"/>
    </i>
    <i>
      <x v="333"/>
    </i>
    <i>
      <x v="334"/>
    </i>
    <i>
      <x v="337"/>
    </i>
    <i>
      <x v="338"/>
    </i>
    <i>
      <x v="339"/>
    </i>
    <i>
      <x v="340"/>
    </i>
    <i>
      <x v="341"/>
    </i>
    <i>
      <x v="342"/>
    </i>
    <i>
      <x v="343"/>
    </i>
    <i>
      <x v="344"/>
    </i>
    <i>
      <x v="345"/>
    </i>
    <i>
      <x v="347"/>
    </i>
    <i>
      <x v="348"/>
    </i>
    <i>
      <x v="349"/>
    </i>
    <i>
      <x v="350"/>
    </i>
    <i>
      <x v="352"/>
    </i>
    <i>
      <x v="353"/>
    </i>
    <i>
      <x v="354"/>
    </i>
    <i>
      <x v="355"/>
    </i>
    <i>
      <x v="356"/>
    </i>
    <i>
      <x v="357"/>
    </i>
    <i>
      <x v="358"/>
    </i>
    <i>
      <x v="359"/>
    </i>
    <i>
      <x v="360"/>
    </i>
    <i>
      <x v="361"/>
    </i>
    <i>
      <x v="362"/>
    </i>
    <i>
      <x v="363"/>
    </i>
    <i>
      <x v="364"/>
    </i>
    <i>
      <x v="366"/>
    </i>
    <i>
      <x v="367"/>
    </i>
    <i>
      <x v="369"/>
    </i>
    <i>
      <x v="376"/>
    </i>
    <i>
      <x v="377"/>
    </i>
    <i>
      <x v="378"/>
    </i>
    <i>
      <x v="379"/>
    </i>
    <i>
      <x v="380"/>
    </i>
    <i>
      <x v="381"/>
    </i>
    <i>
      <x v="382"/>
    </i>
    <i>
      <x v="383"/>
    </i>
    <i>
      <x v="384"/>
    </i>
    <i>
      <x v="385"/>
    </i>
    <i>
      <x v="386"/>
    </i>
    <i>
      <x v="387"/>
    </i>
    <i>
      <x v="388"/>
    </i>
    <i>
      <x v="389"/>
    </i>
    <i>
      <x v="390"/>
    </i>
    <i>
      <x v="391"/>
    </i>
    <i>
      <x v="392"/>
    </i>
    <i>
      <x v="393"/>
    </i>
    <i>
      <x v="394"/>
    </i>
    <i>
      <x v="395"/>
    </i>
    <i>
      <x v="396"/>
    </i>
    <i>
      <x v="397"/>
    </i>
    <i>
      <x v="398"/>
    </i>
    <i>
      <x v="399"/>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3"/>
    </i>
    <i>
      <x v="434"/>
    </i>
    <i>
      <x v="436"/>
    </i>
    <i>
      <x v="438"/>
    </i>
    <i>
      <x v="439"/>
    </i>
    <i>
      <x v="440"/>
    </i>
    <i>
      <x v="441"/>
    </i>
    <i>
      <x v="442"/>
    </i>
    <i>
      <x v="443"/>
    </i>
    <i>
      <x v="444"/>
    </i>
    <i>
      <x v="445"/>
    </i>
    <i>
      <x v="447"/>
    </i>
    <i>
      <x v="448"/>
    </i>
    <i>
      <x v="451"/>
    </i>
    <i>
      <x v="452"/>
    </i>
    <i>
      <x v="453"/>
    </i>
    <i>
      <x v="455"/>
    </i>
    <i t="grand">
      <x/>
    </i>
  </rowItems>
  <colFields count="1">
    <field x="-2"/>
  </colFields>
  <colItems count="3">
    <i>
      <x/>
    </i>
    <i i="1">
      <x v="1"/>
    </i>
    <i i="2">
      <x v="2"/>
    </i>
  </colItems>
  <dataFields count="3">
    <dataField name=" HST" fld="16" baseField="0" baseItem="342" numFmtId="2"/>
    <dataField name=" HPR" fld="18" baseField="0" baseItem="342" numFmtId="2"/>
    <dataField name="Summa av Totala intäkter" fld="28" baseField="0" baseItem="89" numFmtId="3"/>
  </dataFields>
  <pivotTableStyleInfo showRowHeaders="1" showColHeaders="1" showRowStripes="0" showColStripes="0" showLastColumn="1"/>
</pivotTableDefinition>
</file>

<file path=xl/pivotTables/pivotTable8.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itemPrintTitles="1" createdVersion="4" indent="0" compact="0" compactData="0" multipleFieldFilters="0">
  <location ref="A3:E111" firstHeaderRow="1" firstDataRow="1" firstDataCol="5"/>
  <pivotFields count="20">
    <pivotField axis="axisRow" compact="0" outline="0" showAll="0" sortType="ascending" defaultSubtotal="0">
      <items count="123">
        <item x="0"/>
        <item x="1"/>
        <item m="1" x="101"/>
        <item m="1" x="109"/>
        <item m="1" x="119"/>
        <item m="1" x="90"/>
        <item x="2"/>
        <item x="3"/>
        <item x="4"/>
        <item m="1" x="96"/>
        <item x="5"/>
        <item m="1" x="118"/>
        <item x="6"/>
        <item x="7"/>
        <item m="1" x="103"/>
        <item x="8"/>
        <item x="9"/>
        <item x="10"/>
        <item x="11"/>
        <item x="12"/>
        <item x="13"/>
        <item m="1" x="94"/>
        <item x="14"/>
        <item m="1" x="98"/>
        <item x="15"/>
        <item x="16"/>
        <item x="17"/>
        <item m="1" x="122"/>
        <item m="1" x="77"/>
        <item x="18"/>
        <item m="1" x="97"/>
        <item x="19"/>
        <item x="20"/>
        <item x="21"/>
        <item x="22"/>
        <item m="1" x="84"/>
        <item m="1" x="87"/>
        <item m="1" x="89"/>
        <item m="1" x="91"/>
        <item m="1" x="93"/>
        <item m="1" x="100"/>
        <item m="1" x="104"/>
        <item m="1" x="107"/>
        <item m="1" x="79"/>
        <item x="23"/>
        <item m="1" x="86"/>
        <item m="1" x="88"/>
        <item x="24"/>
        <item m="1" x="112"/>
        <item m="1" x="115"/>
        <item x="25"/>
        <item x="26"/>
        <item m="1" x="111"/>
        <item m="1" x="113"/>
        <item m="1" x="116"/>
        <item m="1" x="121"/>
        <item m="1" x="74"/>
        <item m="1" x="99"/>
        <item m="1" x="102"/>
        <item m="1" x="105"/>
        <item m="1" x="108"/>
        <item m="1" x="114"/>
        <item m="1" x="117"/>
        <item m="1" x="110"/>
        <item m="1" x="82"/>
        <item x="27"/>
        <item x="28"/>
        <item x="29"/>
        <item m="1" x="92"/>
        <item m="1" x="80"/>
        <item x="30"/>
        <item x="31"/>
        <item m="1" x="85"/>
        <item x="32"/>
        <item x="33"/>
        <item x="34"/>
        <item x="35"/>
        <item x="36"/>
        <item x="37"/>
        <item x="38"/>
        <item x="39"/>
        <item x="40"/>
        <item x="41"/>
        <item x="42"/>
        <item x="43"/>
        <item x="44"/>
        <item x="45"/>
        <item x="46"/>
        <item x="47"/>
        <item x="48"/>
        <item x="49"/>
        <item x="50"/>
        <item x="51"/>
        <item x="52"/>
        <item x="53"/>
        <item x="54"/>
        <item x="55"/>
        <item x="56"/>
        <item x="57"/>
        <item x="58"/>
        <item m="1" x="83"/>
        <item m="1" x="120"/>
        <item m="1" x="75"/>
        <item m="1" x="76"/>
        <item m="1" x="78"/>
        <item m="1" x="81"/>
        <item x="59"/>
        <item x="60"/>
        <item x="61"/>
        <item x="62"/>
        <item x="63"/>
        <item m="1" x="106"/>
        <item x="64"/>
        <item x="65"/>
        <item x="66"/>
        <item x="67"/>
        <item x="68"/>
        <item x="69"/>
        <item x="70"/>
        <item m="1" x="95"/>
        <item x="71"/>
        <item x="72"/>
        <item x="73"/>
      </items>
    </pivotField>
    <pivotField axis="axisRow" compact="0" outline="0" showAll="0" sortType="ascending" defaultSubtotal="0">
      <items count="116">
        <item x="15"/>
        <item x="14"/>
        <item x="56"/>
        <item m="1" x="100"/>
        <item x="43"/>
        <item x="30"/>
        <item m="1" x="115"/>
        <item m="1" x="109"/>
        <item x="32"/>
        <item m="1" x="79"/>
        <item m="1" x="106"/>
        <item m="1" x="112"/>
        <item m="1" x="87"/>
        <item x="45"/>
        <item x="46"/>
        <item x="44"/>
        <item x="72"/>
        <item x="9"/>
        <item x="34"/>
        <item x="42"/>
        <item m="1" x="96"/>
        <item m="1" x="113"/>
        <item x="13"/>
        <item m="1" x="114"/>
        <item x="59"/>
        <item x="27"/>
        <item m="1" x="89"/>
        <item m="1" x="102"/>
        <item x="53"/>
        <item x="23"/>
        <item x="2"/>
        <item m="1" x="81"/>
        <item x="3"/>
        <item x="4"/>
        <item x="5"/>
        <item m="1" x="98"/>
        <item x="64"/>
        <item x="6"/>
        <item x="7"/>
        <item x="17"/>
        <item m="1" x="91"/>
        <item m="1" x="105"/>
        <item x="47"/>
        <item m="1" x="94"/>
        <item x="24"/>
        <item x="10"/>
        <item m="1" x="90"/>
        <item m="1" x="78"/>
        <item m="1" x="80"/>
        <item m="1" x="93"/>
        <item m="1" x="74"/>
        <item m="1" x="95"/>
        <item m="1" x="104"/>
        <item m="1" x="86"/>
        <item x="12"/>
        <item x="29"/>
        <item m="1" x="85"/>
        <item m="1" x="83"/>
        <item m="1" x="101"/>
        <item m="1" x="103"/>
        <item x="48"/>
        <item x="49"/>
        <item m="1" x="108"/>
        <item m="1" x="92"/>
        <item x="19"/>
        <item x="18"/>
        <item x="20"/>
        <item x="21"/>
        <item m="1" x="82"/>
        <item m="1" x="111"/>
        <item x="22"/>
        <item x="65"/>
        <item x="58"/>
        <item x="63"/>
        <item x="55"/>
        <item x="52"/>
        <item x="51"/>
        <item x="26"/>
        <item x="54"/>
        <item m="1" x="110"/>
        <item x="60"/>
        <item x="61"/>
        <item x="62"/>
        <item x="50"/>
        <item x="11"/>
        <item x="71"/>
        <item x="0"/>
        <item x="1"/>
        <item x="66"/>
        <item x="38"/>
        <item x="36"/>
        <item x="37"/>
        <item x="8"/>
        <item x="57"/>
        <item x="16"/>
        <item x="68"/>
        <item x="69"/>
        <item x="70"/>
        <item m="1" x="75"/>
        <item x="33"/>
        <item x="41"/>
        <item x="35"/>
        <item x="39"/>
        <item x="40"/>
        <item x="67"/>
        <item m="1" x="107"/>
        <item m="1" x="88"/>
        <item x="31"/>
        <item m="1" x="84"/>
        <item m="1" x="99"/>
        <item m="1" x="76"/>
        <item x="25"/>
        <item m="1" x="77"/>
        <item x="28"/>
        <item m="1" x="97"/>
        <item x="73"/>
      </items>
    </pivotField>
    <pivotField compact="0" outline="0" showAll="0"/>
    <pivotField axis="axisRow" compact="0" outline="0" showAll="0" defaultSubtotal="0">
      <items count="22">
        <item x="2"/>
        <item x="5"/>
        <item x="13"/>
        <item m="1" x="20"/>
        <item x="3"/>
        <item m="1" x="21"/>
        <item x="8"/>
        <item x="12"/>
        <item x="9"/>
        <item x="16"/>
        <item x="4"/>
        <item x="17"/>
        <item x="7"/>
        <item x="0"/>
        <item x="18"/>
        <item x="10"/>
        <item x="6"/>
        <item x="15"/>
        <item x="1"/>
        <item x="14"/>
        <item x="19"/>
        <item x="11"/>
      </items>
    </pivotField>
    <pivotField compact="0" outline="0" showAll="0"/>
    <pivotField axis="axisRow" compact="0" numFmtId="10" outline="0" showAll="0">
      <items count="37">
        <item x="6"/>
        <item x="1"/>
        <item x="3"/>
        <item x="0"/>
        <item x="2"/>
        <item m="1" x="28"/>
        <item x="18"/>
        <item x="11"/>
        <item x="5"/>
        <item m="1" x="34"/>
        <item x="9"/>
        <item m="1" x="30"/>
        <item x="10"/>
        <item x="25"/>
        <item m="1" x="29"/>
        <item m="1" x="33"/>
        <item x="19"/>
        <item x="7"/>
        <item x="24"/>
        <item x="8"/>
        <item m="1" x="35"/>
        <item m="1" x="27"/>
        <item x="4"/>
        <item m="1" x="31"/>
        <item x="12"/>
        <item x="15"/>
        <item x="16"/>
        <item x="17"/>
        <item m="1" x="32"/>
        <item x="26"/>
        <item x="13"/>
        <item x="14"/>
        <item x="20"/>
        <item x="21"/>
        <item x="22"/>
        <item x="23"/>
        <item t="default"/>
      </items>
    </pivotField>
    <pivotField compact="0" outline="0" showAll="0"/>
    <pivotField axis="axisRow" compact="0" outline="0" showAll="0" defaultSubtotal="0">
      <items count="12">
        <item x="1"/>
        <item x="4"/>
        <item x="5"/>
        <item x="2"/>
        <item x="7"/>
        <item m="1" x="10"/>
        <item x="6"/>
        <item x="0"/>
        <item x="8"/>
        <item m="1" x="9"/>
        <item m="1" x="11"/>
        <item x="3"/>
      </items>
    </pivotField>
    <pivotField compact="0" outline="0" showAll="0"/>
    <pivotField compact="0" numFmtId="166" outline="0" showAll="0"/>
    <pivotField compact="0" numFmtId="166" outline="0" showAll="0"/>
    <pivotField compact="0" numFmtId="166" outline="0" showAll="0"/>
    <pivotField compact="0" numFmtId="166" outline="0" showAll="0"/>
    <pivotField compact="0" numFmtId="168" outline="0" showAll="0"/>
    <pivotField compact="0" numFmtId="168" outline="0" showAll="0"/>
    <pivotField compact="0" numFmtId="168" outline="0" showAll="0"/>
    <pivotField compact="0" numFmtId="168" outline="0" showAll="0"/>
    <pivotField compact="0" numFmtId="168" outline="0" showAll="0"/>
    <pivotField compact="0" numFmtId="168" outline="0" showAll="0"/>
    <pivotField compact="0" numFmtId="168" outline="0" showAll="0"/>
  </pivotFields>
  <rowFields count="5">
    <field x="0"/>
    <field x="1"/>
    <field x="7"/>
    <field x="3"/>
    <field x="5"/>
  </rowFields>
  <rowItems count="108">
    <i>
      <x/>
      <x v="86"/>
      <x v="7"/>
      <x v="13"/>
      <x v="3"/>
    </i>
    <i r="3">
      <x v="18"/>
      <x v="3"/>
    </i>
    <i>
      <x v="1"/>
      <x v="87"/>
      <x v="7"/>
      <x v="13"/>
      <x v="1"/>
    </i>
    <i r="3">
      <x v="18"/>
      <x v="1"/>
    </i>
    <i>
      <x v="6"/>
      <x v="30"/>
      <x/>
      <x/>
      <x v="4"/>
    </i>
    <i>
      <x v="7"/>
      <x v="32"/>
      <x v="3"/>
      <x v="4"/>
      <x v="4"/>
    </i>
    <i r="3">
      <x v="10"/>
      <x v="2"/>
    </i>
    <i>
      <x v="8"/>
      <x v="33"/>
      <x v="3"/>
      <x v="1"/>
      <x v="22"/>
    </i>
    <i>
      <x v="10"/>
      <x v="34"/>
      <x v="3"/>
      <x v="4"/>
      <x v="4"/>
    </i>
    <i>
      <x v="12"/>
      <x v="37"/>
      <x v="11"/>
      <x v="16"/>
      <x v="8"/>
    </i>
    <i>
      <x v="13"/>
      <x v="38"/>
      <x v="11"/>
      <x v="16"/>
      <x v="8"/>
    </i>
    <i>
      <x v="15"/>
      <x v="92"/>
      <x v="1"/>
      <x v="12"/>
      <x v="8"/>
    </i>
    <i>
      <x v="16"/>
      <x v="17"/>
      <x/>
      <x v="6"/>
      <x v="8"/>
    </i>
    <i>
      <x v="17"/>
      <x v="45"/>
      <x/>
      <x v="8"/>
      <x v="3"/>
    </i>
    <i r="3">
      <x v="15"/>
      <x/>
    </i>
    <i>
      <x v="18"/>
      <x v="84"/>
      <x/>
      <x v="13"/>
      <x v="8"/>
    </i>
    <i r="3">
      <x v="21"/>
      <x v="22"/>
    </i>
    <i>
      <x v="19"/>
      <x v="54"/>
      <x/>
      <x v="13"/>
      <x v="17"/>
    </i>
    <i r="3">
      <x v="15"/>
      <x v="3"/>
    </i>
    <i>
      <x v="20"/>
      <x v="22"/>
      <x/>
      <x v="6"/>
      <x v="19"/>
    </i>
    <i>
      <x v="22"/>
      <x v="1"/>
      <x v="1"/>
      <x v="12"/>
      <x v="10"/>
    </i>
    <i>
      <x v="24"/>
      <x/>
      <x v="1"/>
      <x v="12"/>
      <x v="10"/>
    </i>
    <i>
      <x v="25"/>
      <x v="94"/>
      <x v="1"/>
      <x v="18"/>
      <x v="3"/>
    </i>
    <i>
      <x v="26"/>
      <x v="39"/>
      <x v="1"/>
      <x v="18"/>
      <x v="10"/>
    </i>
    <i>
      <x v="29"/>
      <x v="65"/>
      <x v="2"/>
      <x v="7"/>
      <x v="10"/>
    </i>
    <i>
      <x v="31"/>
      <x v="64"/>
      <x v="2"/>
      <x v="7"/>
      <x v="10"/>
    </i>
    <i>
      <x v="32"/>
      <x v="66"/>
      <x v="2"/>
      <x v="7"/>
      <x v="10"/>
    </i>
    <i>
      <x v="33"/>
      <x v="67"/>
      <x v="2"/>
      <x v="18"/>
      <x v="12"/>
    </i>
    <i>
      <x v="34"/>
      <x v="70"/>
      <x v="2"/>
      <x v="18"/>
      <x v="3"/>
    </i>
    <i>
      <x v="44"/>
      <x v="29"/>
      <x v="6"/>
      <x v="2"/>
      <x v="7"/>
    </i>
    <i>
      <x v="47"/>
      <x v="44"/>
      <x v="3"/>
      <x v="18"/>
      <x v="7"/>
    </i>
    <i>
      <x v="50"/>
      <x v="111"/>
      <x v="6"/>
      <x v="13"/>
      <x v="7"/>
    </i>
    <i>
      <x v="51"/>
      <x v="77"/>
      <x v="6"/>
      <x v="13"/>
      <x v="7"/>
    </i>
    <i>
      <x v="65"/>
      <x v="25"/>
      <x v="6"/>
      <x v="19"/>
      <x v="4"/>
    </i>
    <i>
      <x v="66"/>
      <x v="113"/>
      <x v="3"/>
      <x v="19"/>
      <x v="4"/>
    </i>
    <i>
      <x v="67"/>
      <x v="55"/>
      <x v="3"/>
      <x v="8"/>
      <x v="7"/>
    </i>
    <i>
      <x v="70"/>
      <x v="5"/>
      <x v="6"/>
      <x v="13"/>
      <x v="3"/>
    </i>
    <i>
      <x v="71"/>
      <x v="107"/>
      <x v="3"/>
      <x v="18"/>
      <x v="8"/>
    </i>
    <i>
      <x v="73"/>
      <x v="8"/>
      <x v="2"/>
      <x v="13"/>
      <x v="12"/>
    </i>
    <i r="3">
      <x v="18"/>
      <x v="12"/>
    </i>
    <i>
      <x v="74"/>
      <x v="99"/>
      <x v="6"/>
      <x v="17"/>
      <x v="3"/>
    </i>
    <i>
      <x v="75"/>
      <x v="18"/>
      <x v="6"/>
      <x v="13"/>
      <x v="12"/>
    </i>
    <i>
      <x v="76"/>
      <x v="101"/>
      <x v="6"/>
      <x v="8"/>
      <x v="4"/>
    </i>
    <i r="3">
      <x v="13"/>
      <x v="24"/>
    </i>
    <i>
      <x v="77"/>
      <x v="90"/>
      <x v="6"/>
      <x v="8"/>
      <x v="31"/>
    </i>
    <i r="3">
      <x v="13"/>
      <x v="30"/>
    </i>
    <i>
      <x v="78"/>
      <x v="91"/>
      <x v="3"/>
      <x v="8"/>
      <x v="1"/>
    </i>
    <i r="3">
      <x v="18"/>
      <x v="7"/>
    </i>
    <i>
      <x v="79"/>
      <x v="89"/>
      <x v="3"/>
      <x v="8"/>
      <x v="1"/>
    </i>
    <i r="3">
      <x v="18"/>
      <x v="7"/>
    </i>
    <i>
      <x v="80"/>
      <x v="102"/>
      <x v="3"/>
      <x v="8"/>
      <x v="4"/>
    </i>
    <i r="3">
      <x v="18"/>
      <x v="25"/>
    </i>
    <i>
      <x v="81"/>
      <x v="103"/>
      <x v="3"/>
      <x v="8"/>
      <x v="4"/>
    </i>
    <i r="3">
      <x v="12"/>
      <x v="25"/>
    </i>
    <i>
      <x v="82"/>
      <x v="100"/>
      <x v="3"/>
      <x v="8"/>
      <x v="4"/>
    </i>
    <i r="3">
      <x v="12"/>
      <x v="24"/>
    </i>
    <i>
      <x v="83"/>
      <x v="19"/>
      <x v="3"/>
      <x v="18"/>
      <x v="12"/>
    </i>
    <i>
      <x v="84"/>
      <x v="4"/>
      <x v="6"/>
      <x v="13"/>
      <x v="3"/>
    </i>
    <i>
      <x v="85"/>
      <x v="15"/>
      <x v="2"/>
      <x v="13"/>
      <x v="26"/>
    </i>
    <i r="3">
      <x v="18"/>
      <x v="26"/>
    </i>
    <i r="3">
      <x v="19"/>
      <x v="27"/>
    </i>
    <i>
      <x v="86"/>
      <x v="13"/>
      <x v="2"/>
      <x v="18"/>
      <x v="6"/>
    </i>
    <i r="3">
      <x v="19"/>
      <x v="1"/>
    </i>
    <i>
      <x v="87"/>
      <x v="14"/>
      <x v="2"/>
      <x v="13"/>
      <x v="26"/>
    </i>
    <i r="3">
      <x v="18"/>
      <x v="26"/>
    </i>
    <i r="3">
      <x v="19"/>
      <x v="27"/>
    </i>
    <i>
      <x v="88"/>
      <x v="42"/>
      <x v="2"/>
      <x v="2"/>
      <x v="12"/>
    </i>
    <i r="3">
      <x v="13"/>
      <x v="3"/>
    </i>
    <i r="3">
      <x v="18"/>
      <x v="3"/>
    </i>
    <i>
      <x v="89"/>
      <x v="60"/>
      <x v="2"/>
      <x v="9"/>
      <x v="16"/>
    </i>
    <i r="3">
      <x v="13"/>
      <x v="17"/>
    </i>
    <i>
      <x v="90"/>
      <x v="61"/>
      <x v="2"/>
      <x v="9"/>
      <x v="7"/>
    </i>
    <i>
      <x v="91"/>
      <x v="83"/>
      <x v="6"/>
      <x v="12"/>
      <x v="17"/>
    </i>
    <i r="3">
      <x v="13"/>
      <x v="6"/>
    </i>
    <i>
      <x v="92"/>
      <x v="76"/>
      <x v="6"/>
      <x v="13"/>
      <x v="19"/>
    </i>
    <i>
      <x v="93"/>
      <x v="75"/>
      <x v="6"/>
      <x v="13"/>
      <x v="19"/>
    </i>
    <i>
      <x v="94"/>
      <x v="28"/>
      <x v="2"/>
      <x v="2"/>
      <x v="22"/>
    </i>
    <i r="3">
      <x v="9"/>
      <x v="30"/>
    </i>
    <i>
      <x v="95"/>
      <x v="78"/>
      <x v="2"/>
      <x v="9"/>
      <x v="7"/>
    </i>
    <i>
      <x v="96"/>
      <x v="74"/>
      <x v="2"/>
      <x v="9"/>
      <x v="7"/>
    </i>
    <i>
      <x v="97"/>
      <x v="2"/>
      <x v="2"/>
      <x v="2"/>
      <x v="10"/>
    </i>
    <i r="3">
      <x v="9"/>
      <x v="10"/>
    </i>
    <i>
      <x v="98"/>
      <x v="93"/>
      <x v="2"/>
      <x v="9"/>
      <x v="19"/>
    </i>
    <i>
      <x v="99"/>
      <x v="72"/>
      <x v="3"/>
      <x v="18"/>
      <x v="7"/>
    </i>
    <i>
      <x v="106"/>
      <x v="24"/>
      <x v="1"/>
      <x v="6"/>
      <x v="8"/>
    </i>
    <i>
      <x v="107"/>
      <x v="80"/>
      <x v="4"/>
      <x/>
      <x v="32"/>
    </i>
    <i r="3">
      <x v="11"/>
      <x v="33"/>
    </i>
    <i r="3">
      <x v="13"/>
      <x v="3"/>
    </i>
    <i>
      <x v="108"/>
      <x v="81"/>
      <x v="4"/>
      <x v="13"/>
      <x v="3"/>
    </i>
    <i r="3">
      <x v="14"/>
      <x v="7"/>
    </i>
    <i>
      <x v="109"/>
      <x v="82"/>
      <x v="4"/>
      <x/>
      <x v="34"/>
    </i>
    <i r="3">
      <x v="11"/>
      <x v="35"/>
    </i>
    <i r="3">
      <x v="13"/>
      <x/>
    </i>
    <i>
      <x v="110"/>
      <x v="73"/>
      <x v="4"/>
      <x v="19"/>
      <x v="8"/>
    </i>
    <i>
      <x v="112"/>
      <x v="36"/>
      <x v="3"/>
      <x v="8"/>
      <x v="3"/>
    </i>
    <i r="3">
      <x v="9"/>
      <x v="3"/>
    </i>
    <i>
      <x v="113"/>
      <x v="71"/>
      <x v="3"/>
      <x v="8"/>
      <x v="12"/>
    </i>
    <i r="3">
      <x v="18"/>
      <x v="12"/>
    </i>
    <i>
      <x v="114"/>
      <x v="88"/>
      <x v="6"/>
      <x v="13"/>
      <x v="10"/>
    </i>
    <i>
      <x v="115"/>
      <x v="104"/>
      <x v="3"/>
      <x v="8"/>
      <x v="8"/>
    </i>
    <i>
      <x v="116"/>
      <x v="95"/>
      <x v="1"/>
      <x v="6"/>
      <x v="8"/>
    </i>
    <i>
      <x v="117"/>
      <x v="96"/>
      <x v="1"/>
      <x v="6"/>
      <x v="8"/>
    </i>
    <i>
      <x v="118"/>
      <x v="97"/>
      <x v="1"/>
      <x v="6"/>
      <x v="8"/>
    </i>
    <i>
      <x v="120"/>
      <x v="85"/>
      <x v="6"/>
      <x v="13"/>
      <x v="6"/>
    </i>
    <i r="3">
      <x v="17"/>
      <x v="18"/>
    </i>
    <i>
      <x v="121"/>
      <x v="16"/>
      <x v="6"/>
      <x v="13"/>
      <x v="13"/>
    </i>
    <i>
      <x v="122"/>
      <x v="115"/>
      <x v="8"/>
      <x v="20"/>
      <x v="29"/>
    </i>
    <i t="grand">
      <x/>
    </i>
  </rowItems>
  <colItems count="1">
    <i/>
  </colItem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Pivottabell1" cacheId="0" applyNumberFormats="0" applyBorderFormats="0" applyFontFormats="0" applyPatternFormats="0" applyAlignmentFormats="0" applyWidthHeightFormats="1" dataCaption="Värden" updatedVersion="6" minRefreshableVersion="3" useAutoFormatting="1" itemPrintTitles="1" createdVersion="4" indent="0" compact="0" compactData="0" multipleFieldFilters="0">
  <location ref="A3:E108" firstHeaderRow="1" firstDataRow="1" firstDataCol="5"/>
  <pivotFields count="20">
    <pivotField axis="axisRow" compact="0" outline="0" showAll="0" defaultSubtotal="0">
      <items count="123">
        <item m="1" x="96"/>
        <item x="5"/>
        <item x="9"/>
        <item x="10"/>
        <item m="1" x="122"/>
        <item m="1" x="77"/>
        <item m="1" x="84"/>
        <item m="1" x="87"/>
        <item m="1" x="91"/>
        <item m="1" x="107"/>
        <item m="1" x="79"/>
        <item x="23"/>
        <item m="1" x="86"/>
        <item m="1" x="88"/>
        <item x="60"/>
        <item x="61"/>
        <item x="62"/>
        <item m="1" x="106"/>
        <item x="68"/>
        <item x="69"/>
        <item x="70"/>
        <item x="14"/>
        <item x="15"/>
        <item x="24"/>
        <item m="1" x="115"/>
        <item m="1" x="83"/>
        <item m="1" x="120"/>
        <item m="1" x="75"/>
        <item m="1" x="76"/>
        <item m="1" x="78"/>
        <item m="1" x="81"/>
        <item m="1" x="103"/>
        <item x="11"/>
        <item m="1" x="94"/>
        <item m="1" x="98"/>
        <item m="1" x="89"/>
        <item m="1" x="93"/>
        <item m="1" x="100"/>
        <item m="1" x="104"/>
        <item m="1" x="112"/>
        <item x="26"/>
        <item m="1" x="118"/>
        <item m="1" x="113"/>
        <item m="1" x="111"/>
        <item m="1" x="99"/>
        <item m="1" x="121"/>
        <item m="1" x="74"/>
        <item m="1" x="102"/>
        <item m="1" x="105"/>
        <item m="1" x="108"/>
        <item m="1" x="114"/>
        <item m="1" x="117"/>
        <item m="1" x="82"/>
        <item m="1" x="110"/>
        <item m="1" x="95"/>
        <item x="71"/>
        <item x="27"/>
        <item x="12"/>
        <item x="13"/>
        <item m="1" x="90"/>
        <item x="28"/>
        <item x="29"/>
        <item m="1" x="92"/>
        <item x="25"/>
        <item m="1" x="116"/>
        <item x="58"/>
        <item x="63"/>
        <item x="18"/>
        <item x="19"/>
        <item x="20"/>
        <item m="1" x="80"/>
        <item x="30"/>
        <item m="1" x="85"/>
        <item x="0"/>
        <item x="3"/>
        <item x="16"/>
        <item m="1" x="97"/>
        <item x="21"/>
        <item x="32"/>
        <item x="33"/>
        <item x="34"/>
        <item x="35"/>
        <item x="36"/>
        <item x="37"/>
        <item x="39"/>
        <item x="40"/>
        <item x="42"/>
        <item x="44"/>
        <item x="45"/>
        <item x="59"/>
        <item x="72"/>
        <item x="73"/>
        <item x="38"/>
        <item x="41"/>
        <item x="46"/>
        <item x="17"/>
        <item x="43"/>
        <item x="47"/>
        <item x="48"/>
        <item x="49"/>
        <item m="1" x="101"/>
        <item m="1" x="109"/>
        <item x="4"/>
        <item x="6"/>
        <item x="50"/>
        <item x="53"/>
        <item x="54"/>
        <item x="55"/>
        <item x="56"/>
        <item x="31"/>
        <item m="1" x="119"/>
        <item x="7"/>
        <item x="8"/>
        <item x="51"/>
        <item x="52"/>
        <item x="64"/>
        <item x="65"/>
        <item x="66"/>
        <item x="22"/>
        <item x="2"/>
        <item x="67"/>
        <item x="57"/>
        <item x="1"/>
      </items>
    </pivotField>
    <pivotField axis="axisRow" compact="0" outline="0" showAll="0" sortType="ascending" defaultSubtotal="0">
      <items count="116">
        <item x="15"/>
        <item x="14"/>
        <item x="56"/>
        <item m="1" x="100"/>
        <item x="43"/>
        <item x="30"/>
        <item m="1" x="115"/>
        <item m="1" x="109"/>
        <item x="32"/>
        <item m="1" x="79"/>
        <item m="1" x="106"/>
        <item m="1" x="112"/>
        <item m="1" x="87"/>
        <item x="45"/>
        <item x="46"/>
        <item x="44"/>
        <item x="72"/>
        <item x="9"/>
        <item x="34"/>
        <item x="42"/>
        <item m="1" x="96"/>
        <item m="1" x="113"/>
        <item x="13"/>
        <item m="1" x="114"/>
        <item x="59"/>
        <item x="27"/>
        <item m="1" x="89"/>
        <item m="1" x="102"/>
        <item x="53"/>
        <item x="23"/>
        <item x="2"/>
        <item m="1" x="81"/>
        <item x="3"/>
        <item x="4"/>
        <item x="5"/>
        <item m="1" x="98"/>
        <item x="64"/>
        <item x="6"/>
        <item x="7"/>
        <item x="17"/>
        <item m="1" x="91"/>
        <item m="1" x="105"/>
        <item x="47"/>
        <item m="1" x="94"/>
        <item x="24"/>
        <item x="10"/>
        <item m="1" x="90"/>
        <item m="1" x="78"/>
        <item m="1" x="80"/>
        <item m="1" x="93"/>
        <item m="1" x="74"/>
        <item m="1" x="95"/>
        <item m="1" x="104"/>
        <item m="1" x="86"/>
        <item x="12"/>
        <item x="29"/>
        <item m="1" x="85"/>
        <item m="1" x="83"/>
        <item m="1" x="101"/>
        <item m="1" x="103"/>
        <item x="48"/>
        <item x="49"/>
        <item m="1" x="108"/>
        <item m="1" x="92"/>
        <item x="19"/>
        <item x="18"/>
        <item x="20"/>
        <item x="21"/>
        <item m="1" x="82"/>
        <item m="1" x="111"/>
        <item x="22"/>
        <item x="65"/>
        <item x="58"/>
        <item x="63"/>
        <item x="55"/>
        <item x="52"/>
        <item x="51"/>
        <item x="26"/>
        <item x="54"/>
        <item m="1" x="110"/>
        <item x="60"/>
        <item x="61"/>
        <item x="62"/>
        <item x="50"/>
        <item x="11"/>
        <item x="71"/>
        <item x="0"/>
        <item x="1"/>
        <item x="66"/>
        <item x="38"/>
        <item x="36"/>
        <item x="37"/>
        <item x="8"/>
        <item x="57"/>
        <item x="16"/>
        <item x="68"/>
        <item x="69"/>
        <item x="70"/>
        <item m="1" x="75"/>
        <item x="33"/>
        <item x="41"/>
        <item x="35"/>
        <item x="39"/>
        <item x="40"/>
        <item x="67"/>
        <item m="1" x="107"/>
        <item m="1" x="88"/>
        <item x="31"/>
        <item m="1" x="84"/>
        <item m="1" x="99"/>
        <item m="1" x="76"/>
        <item x="25"/>
        <item m="1" x="77"/>
        <item x="28"/>
        <item m="1" x="97"/>
        <item x="73"/>
      </items>
    </pivotField>
    <pivotField compact="0" outline="0" showAll="0"/>
    <pivotField axis="axisRow" compact="0" outline="0" showAll="0" defaultSubtotal="0">
      <items count="22">
        <item x="2"/>
        <item x="5"/>
        <item x="13"/>
        <item m="1" x="20"/>
        <item x="3"/>
        <item m="1" x="21"/>
        <item x="8"/>
        <item x="12"/>
        <item x="9"/>
        <item x="16"/>
        <item x="4"/>
        <item x="17"/>
        <item x="7"/>
        <item x="0"/>
        <item x="18"/>
        <item x="10"/>
        <item x="6"/>
        <item x="15"/>
        <item x="1"/>
        <item x="14"/>
        <item x="19"/>
        <item x="11"/>
      </items>
    </pivotField>
    <pivotField compact="0" outline="0" showAll="0"/>
    <pivotField axis="axisRow" compact="0" numFmtId="173" outline="0" showAll="0">
      <items count="37">
        <item x="6"/>
        <item x="1"/>
        <item x="3"/>
        <item x="0"/>
        <item x="2"/>
        <item m="1" x="28"/>
        <item x="18"/>
        <item x="11"/>
        <item x="5"/>
        <item m="1" x="34"/>
        <item x="9"/>
        <item m="1" x="30"/>
        <item x="10"/>
        <item x="25"/>
        <item m="1" x="29"/>
        <item m="1" x="33"/>
        <item x="19"/>
        <item x="7"/>
        <item x="24"/>
        <item x="8"/>
        <item m="1" x="35"/>
        <item m="1" x="27"/>
        <item x="4"/>
        <item m="1" x="31"/>
        <item x="12"/>
        <item x="15"/>
        <item x="16"/>
        <item x="17"/>
        <item m="1" x="32"/>
        <item x="26"/>
        <item x="13"/>
        <item x="14"/>
        <item x="20"/>
        <item x="21"/>
        <item x="22"/>
        <item x="23"/>
        <item t="default"/>
      </items>
    </pivotField>
    <pivotField compact="0" outline="0" showAll="0"/>
    <pivotField axis="axisRow" compact="0" outline="0" showAll="0" defaultSubtotal="0">
      <items count="12">
        <item sd="0" x="1"/>
        <item x="4"/>
        <item x="5"/>
        <item x="2"/>
        <item x="7"/>
        <item m="1" x="10"/>
        <item x="6"/>
        <item x="0"/>
        <item x="8"/>
        <item m="1" x="9"/>
        <item m="1" x="11"/>
        <item x="3"/>
      </items>
    </pivotField>
    <pivotField compact="0" outline="0" showAll="0"/>
    <pivotField compact="0" numFmtId="166" outline="0" showAll="0"/>
    <pivotField compact="0" numFmtId="166" outline="0" showAll="0"/>
    <pivotField compact="0" numFmtId="166" outline="0" showAll="0"/>
    <pivotField compact="0" numFmtId="166" outline="0" showAll="0"/>
    <pivotField compact="0" numFmtId="168" outline="0" showAll="0"/>
    <pivotField compact="0" numFmtId="168" outline="0" showAll="0"/>
    <pivotField compact="0" numFmtId="168" outline="0" showAll="0"/>
    <pivotField compact="0" numFmtId="168" outline="0" showAll="0"/>
    <pivotField compact="0" numFmtId="168" outline="0" showAll="0"/>
    <pivotField compact="0" numFmtId="168" outline="0" showAll="0"/>
    <pivotField compact="0" numFmtId="168" outline="0" showAll="0"/>
  </pivotFields>
  <rowFields count="5">
    <field x="1"/>
    <field x="0"/>
    <field x="7"/>
    <field x="3"/>
    <field x="5"/>
  </rowFields>
  <rowItems count="105">
    <i>
      <x/>
      <x v="22"/>
      <x v="1"/>
      <x v="12"/>
      <x v="10"/>
    </i>
    <i>
      <x v="1"/>
      <x v="21"/>
      <x v="1"/>
      <x v="12"/>
      <x v="10"/>
    </i>
    <i>
      <x v="2"/>
      <x v="108"/>
      <x v="2"/>
      <x v="2"/>
      <x v="10"/>
    </i>
    <i r="3">
      <x v="9"/>
      <x v="10"/>
    </i>
    <i>
      <x v="4"/>
      <x v="96"/>
      <x v="6"/>
      <x v="13"/>
      <x v="3"/>
    </i>
    <i>
      <x v="5"/>
      <x v="71"/>
      <x v="6"/>
      <x v="13"/>
      <x v="3"/>
    </i>
    <i>
      <x v="8"/>
      <x v="78"/>
      <x v="2"/>
      <x v="13"/>
      <x v="12"/>
    </i>
    <i r="3">
      <x v="18"/>
      <x v="12"/>
    </i>
    <i>
      <x v="13"/>
      <x v="88"/>
      <x v="2"/>
      <x v="18"/>
      <x v="6"/>
    </i>
    <i r="3">
      <x v="19"/>
      <x v="1"/>
    </i>
    <i>
      <x v="14"/>
      <x v="94"/>
      <x v="2"/>
      <x v="13"/>
      <x v="26"/>
    </i>
    <i r="3">
      <x v="18"/>
      <x v="26"/>
    </i>
    <i r="3">
      <x v="19"/>
      <x v="27"/>
    </i>
    <i>
      <x v="15"/>
      <x v="87"/>
      <x v="2"/>
      <x v="13"/>
      <x v="26"/>
    </i>
    <i r="3">
      <x v="18"/>
      <x v="26"/>
    </i>
    <i r="3">
      <x v="19"/>
      <x v="27"/>
    </i>
    <i>
      <x v="16"/>
      <x v="90"/>
      <x v="6"/>
      <x v="13"/>
      <x v="13"/>
    </i>
    <i>
      <x v="17"/>
      <x v="2"/>
      <x/>
    </i>
    <i>
      <x v="18"/>
      <x v="80"/>
      <x v="6"/>
      <x v="13"/>
      <x v="12"/>
    </i>
    <i>
      <x v="19"/>
      <x v="86"/>
      <x v="3"/>
      <x v="18"/>
      <x v="12"/>
    </i>
    <i>
      <x v="22"/>
      <x v="58"/>
      <x/>
    </i>
    <i>
      <x v="24"/>
      <x v="89"/>
      <x v="1"/>
      <x v="6"/>
      <x v="8"/>
    </i>
    <i>
      <x v="25"/>
      <x v="56"/>
      <x v="6"/>
      <x v="19"/>
      <x v="4"/>
    </i>
    <i>
      <x v="28"/>
      <x v="105"/>
      <x v="2"/>
      <x v="2"/>
      <x v="22"/>
    </i>
    <i r="3">
      <x v="9"/>
      <x v="30"/>
    </i>
    <i>
      <x v="29"/>
      <x v="11"/>
      <x v="6"/>
      <x v="2"/>
      <x v="7"/>
    </i>
    <i>
      <x v="30"/>
      <x v="119"/>
      <x/>
    </i>
    <i>
      <x v="32"/>
      <x v="74"/>
      <x v="3"/>
      <x v="4"/>
      <x v="4"/>
    </i>
    <i r="3">
      <x v="10"/>
      <x v="2"/>
    </i>
    <i>
      <x v="33"/>
      <x v="102"/>
      <x v="3"/>
      <x v="1"/>
      <x v="22"/>
    </i>
    <i>
      <x v="34"/>
      <x v="1"/>
      <x v="3"/>
      <x v="4"/>
      <x v="4"/>
    </i>
    <i>
      <x v="36"/>
      <x v="115"/>
      <x v="3"/>
      <x v="8"/>
      <x v="3"/>
    </i>
    <i r="3">
      <x v="9"/>
      <x v="3"/>
    </i>
    <i>
      <x v="37"/>
      <x v="103"/>
      <x v="11"/>
      <x v="16"/>
      <x v="8"/>
    </i>
    <i>
      <x v="38"/>
      <x v="111"/>
      <x v="11"/>
      <x v="16"/>
      <x v="8"/>
    </i>
    <i>
      <x v="39"/>
      <x v="95"/>
      <x v="1"/>
      <x v="18"/>
      <x v="10"/>
    </i>
    <i>
      <x v="42"/>
      <x v="97"/>
      <x v="2"/>
      <x v="2"/>
      <x v="12"/>
    </i>
    <i r="3">
      <x v="13"/>
      <x v="3"/>
    </i>
    <i r="3">
      <x v="18"/>
      <x v="3"/>
    </i>
    <i>
      <x v="44"/>
      <x v="23"/>
      <x v="3"/>
      <x v="18"/>
      <x v="7"/>
    </i>
    <i>
      <x v="45"/>
      <x v="3"/>
      <x/>
    </i>
    <i>
      <x v="54"/>
      <x v="57"/>
      <x/>
    </i>
    <i>
      <x v="55"/>
      <x v="61"/>
      <x v="3"/>
      <x v="8"/>
      <x v="7"/>
    </i>
    <i>
      <x v="60"/>
      <x v="98"/>
      <x v="2"/>
      <x v="9"/>
      <x v="16"/>
    </i>
    <i r="3">
      <x v="13"/>
      <x v="17"/>
    </i>
    <i>
      <x v="61"/>
      <x v="99"/>
      <x v="2"/>
      <x v="9"/>
      <x v="7"/>
    </i>
    <i>
      <x v="64"/>
      <x v="68"/>
      <x v="2"/>
      <x v="7"/>
      <x v="10"/>
    </i>
    <i>
      <x v="65"/>
      <x v="67"/>
      <x v="2"/>
      <x v="7"/>
      <x v="10"/>
    </i>
    <i>
      <x v="66"/>
      <x v="69"/>
      <x v="2"/>
      <x v="7"/>
      <x v="10"/>
    </i>
    <i>
      <x v="67"/>
      <x v="77"/>
      <x v="2"/>
      <x v="18"/>
      <x v="12"/>
    </i>
    <i>
      <x v="70"/>
      <x v="118"/>
      <x v="2"/>
      <x v="18"/>
      <x v="3"/>
    </i>
    <i>
      <x v="71"/>
      <x v="116"/>
      <x v="3"/>
      <x v="8"/>
      <x v="12"/>
    </i>
    <i r="3">
      <x v="18"/>
      <x v="12"/>
    </i>
    <i>
      <x v="72"/>
      <x v="65"/>
      <x v="3"/>
      <x v="18"/>
      <x v="7"/>
    </i>
    <i>
      <x v="73"/>
      <x v="66"/>
      <x v="4"/>
      <x v="19"/>
      <x v="8"/>
    </i>
    <i>
      <x v="74"/>
      <x v="107"/>
      <x v="2"/>
      <x v="9"/>
      <x v="7"/>
    </i>
    <i>
      <x v="75"/>
      <x v="114"/>
      <x v="6"/>
      <x v="13"/>
      <x v="19"/>
    </i>
    <i>
      <x v="76"/>
      <x v="113"/>
      <x v="6"/>
      <x v="13"/>
      <x v="19"/>
    </i>
    <i>
      <x v="77"/>
      <x v="40"/>
      <x v="6"/>
      <x v="13"/>
      <x v="7"/>
    </i>
    <i>
      <x v="78"/>
      <x v="106"/>
      <x v="2"/>
      <x v="9"/>
      <x v="7"/>
    </i>
    <i>
      <x v="80"/>
      <x v="14"/>
      <x v="4"/>
      <x/>
      <x v="32"/>
    </i>
    <i r="3">
      <x v="11"/>
      <x v="33"/>
    </i>
    <i r="3">
      <x v="13"/>
      <x v="3"/>
    </i>
    <i>
      <x v="81"/>
      <x v="15"/>
      <x v="4"/>
      <x v="13"/>
      <x v="3"/>
    </i>
    <i r="3">
      <x v="14"/>
      <x v="7"/>
    </i>
    <i>
      <x v="82"/>
      <x v="16"/>
      <x v="4"/>
      <x/>
      <x v="34"/>
    </i>
    <i r="3">
      <x v="11"/>
      <x v="35"/>
    </i>
    <i r="3">
      <x v="13"/>
      <x/>
    </i>
    <i>
      <x v="83"/>
      <x v="104"/>
      <x v="6"/>
      <x v="12"/>
      <x v="17"/>
    </i>
    <i r="3">
      <x v="13"/>
      <x v="6"/>
    </i>
    <i>
      <x v="84"/>
      <x v="32"/>
      <x/>
    </i>
    <i>
      <x v="85"/>
      <x v="55"/>
      <x v="6"/>
      <x v="13"/>
      <x v="6"/>
    </i>
    <i r="3">
      <x v="17"/>
      <x v="18"/>
    </i>
    <i>
      <x v="86"/>
      <x v="73"/>
      <x v="7"/>
      <x v="13"/>
      <x v="3"/>
    </i>
    <i r="3">
      <x v="18"/>
      <x v="3"/>
    </i>
    <i>
      <x v="87"/>
      <x v="122"/>
      <x v="7"/>
      <x v="13"/>
      <x v="1"/>
    </i>
    <i r="3">
      <x v="18"/>
      <x v="1"/>
    </i>
    <i>
      <x v="88"/>
      <x v="117"/>
      <x v="6"/>
      <x v="13"/>
      <x v="10"/>
    </i>
    <i>
      <x v="89"/>
      <x v="92"/>
      <x v="3"/>
      <x v="8"/>
      <x v="1"/>
    </i>
    <i r="3">
      <x v="18"/>
      <x v="7"/>
    </i>
    <i>
      <x v="90"/>
      <x v="82"/>
      <x v="6"/>
      <x v="8"/>
      <x v="31"/>
    </i>
    <i r="3">
      <x v="13"/>
      <x v="30"/>
    </i>
    <i>
      <x v="91"/>
      <x v="83"/>
      <x v="3"/>
      <x v="8"/>
      <x v="1"/>
    </i>
    <i r="3">
      <x v="18"/>
      <x v="7"/>
    </i>
    <i>
      <x v="92"/>
      <x v="112"/>
      <x v="1"/>
      <x v="12"/>
      <x v="8"/>
    </i>
    <i>
      <x v="93"/>
      <x v="121"/>
      <x v="2"/>
      <x v="9"/>
      <x v="19"/>
    </i>
    <i>
      <x v="94"/>
      <x v="75"/>
      <x v="1"/>
      <x v="18"/>
      <x v="3"/>
    </i>
    <i>
      <x v="95"/>
      <x v="18"/>
      <x v="1"/>
      <x v="6"/>
      <x v="8"/>
    </i>
    <i>
      <x v="96"/>
      <x v="19"/>
      <x v="1"/>
      <x v="6"/>
      <x v="8"/>
    </i>
    <i>
      <x v="97"/>
      <x v="20"/>
      <x v="1"/>
      <x v="6"/>
      <x v="8"/>
    </i>
    <i>
      <x v="99"/>
      <x v="79"/>
      <x v="6"/>
      <x v="17"/>
      <x v="3"/>
    </i>
    <i>
      <x v="100"/>
      <x v="93"/>
      <x v="3"/>
      <x v="8"/>
      <x v="4"/>
    </i>
    <i r="3">
      <x v="12"/>
      <x v="24"/>
    </i>
    <i>
      <x v="101"/>
      <x v="81"/>
      <x v="6"/>
      <x v="8"/>
      <x v="4"/>
    </i>
    <i r="3">
      <x v="13"/>
      <x v="24"/>
    </i>
    <i>
      <x v="102"/>
      <x v="84"/>
      <x v="3"/>
      <x v="8"/>
      <x v="4"/>
    </i>
    <i r="3">
      <x v="18"/>
      <x v="25"/>
    </i>
    <i>
      <x v="103"/>
      <x v="85"/>
      <x v="3"/>
      <x v="8"/>
      <x v="4"/>
    </i>
    <i r="3">
      <x v="12"/>
      <x v="25"/>
    </i>
    <i>
      <x v="104"/>
      <x v="120"/>
      <x v="3"/>
      <x v="8"/>
      <x v="8"/>
    </i>
    <i>
      <x v="107"/>
      <x v="109"/>
      <x v="3"/>
      <x v="18"/>
      <x v="8"/>
    </i>
    <i>
      <x v="111"/>
      <x v="63"/>
      <x v="6"/>
      <x v="13"/>
      <x v="7"/>
    </i>
    <i>
      <x v="113"/>
      <x v="60"/>
      <x v="3"/>
      <x v="19"/>
      <x v="4"/>
    </i>
    <i>
      <x v="115"/>
      <x v="91"/>
      <x v="8"/>
      <x v="20"/>
      <x v="29"/>
    </i>
    <i t="grand">
      <x/>
    </i>
  </rowItems>
  <colItems count="1">
    <i/>
  </colItems>
  <pivotTableStyleInfo name="PivotStyleLight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6.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19.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irgitta.wilhelmsson@umu.se" TargetMode="External"/><Relationship Id="rId1" Type="http://schemas.openxmlformats.org/officeDocument/2006/relationships/hyperlink" Target="mailto:agnetha.simm@umu.se" TargetMode="External"/></Relationships>
</file>

<file path=xl/worksheets/_rels/sheet2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ivotTable" Target="../pivotTables/pivotTable7.x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ivotTable" Target="../pivotTables/pivotTable8.xm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ivotTable" Target="../pivotTables/pivotTable9.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32"/>
  <sheetViews>
    <sheetView zoomScaleNormal="100" workbookViewId="0">
      <selection activeCell="B54" sqref="B54"/>
    </sheetView>
  </sheetViews>
  <sheetFormatPr defaultColWidth="8.85546875" defaultRowHeight="15" x14ac:dyDescent="0.25"/>
  <cols>
    <col min="1" max="1" width="14.5703125" style="31" customWidth="1"/>
    <col min="2" max="2" width="68.42578125" customWidth="1"/>
    <col min="3" max="3" width="8.5703125" style="31" bestFit="1" customWidth="1"/>
    <col min="4" max="4" width="24" customWidth="1"/>
    <col min="5" max="5" width="9.42578125" customWidth="1"/>
    <col min="6" max="6" width="12.5703125" style="31" customWidth="1"/>
    <col min="7" max="7" width="9.85546875" customWidth="1"/>
    <col min="8" max="8" width="26.85546875" customWidth="1"/>
    <col min="9" max="9" width="15.42578125" customWidth="1"/>
    <col min="10" max="10" width="11.42578125" bestFit="1" customWidth="1"/>
    <col min="11" max="11" width="11.42578125" customWidth="1"/>
    <col min="12" max="12" width="15.140625" bestFit="1" customWidth="1"/>
    <col min="13" max="13" width="15.140625" customWidth="1"/>
    <col min="14" max="14" width="13.42578125" bestFit="1" customWidth="1"/>
    <col min="15" max="20" width="12.42578125" customWidth="1"/>
    <col min="22" max="22" width="18.5703125" customWidth="1"/>
    <col min="24" max="24" width="10.5703125" customWidth="1"/>
  </cols>
  <sheetData>
    <row r="1" spans="1:22" x14ac:dyDescent="0.25">
      <c r="A1" s="32" t="s">
        <v>59</v>
      </c>
      <c r="B1" s="1" t="s">
        <v>158</v>
      </c>
      <c r="C1" s="32" t="s">
        <v>399</v>
      </c>
      <c r="D1" s="1" t="s">
        <v>326</v>
      </c>
      <c r="E1" s="1" t="s">
        <v>78</v>
      </c>
      <c r="F1" s="32" t="s">
        <v>10</v>
      </c>
      <c r="G1" s="1" t="s">
        <v>327</v>
      </c>
      <c r="H1" s="1" t="s">
        <v>2</v>
      </c>
      <c r="I1" s="1" t="s">
        <v>79</v>
      </c>
      <c r="J1" s="1" t="s">
        <v>3</v>
      </c>
      <c r="K1" s="1" t="s">
        <v>324</v>
      </c>
      <c r="L1" s="1" t="s">
        <v>5</v>
      </c>
      <c r="M1" s="1" t="s">
        <v>325</v>
      </c>
      <c r="N1" s="1" t="s">
        <v>6</v>
      </c>
      <c r="O1" s="1" t="s">
        <v>7</v>
      </c>
      <c r="P1" s="1" t="s">
        <v>407</v>
      </c>
      <c r="Q1" s="1" t="s">
        <v>375</v>
      </c>
      <c r="R1" s="1" t="s">
        <v>8</v>
      </c>
      <c r="S1" s="1" t="s">
        <v>459</v>
      </c>
      <c r="T1" s="1" t="s">
        <v>149</v>
      </c>
      <c r="V1" s="1" t="s">
        <v>433</v>
      </c>
    </row>
    <row r="2" spans="1:22" x14ac:dyDescent="0.25">
      <c r="A2" s="31" t="s">
        <v>1559</v>
      </c>
      <c r="B2" t="str">
        <f>VLOOKUP(A2,kurspris!$A$1:$Q$809,2,FALSE)</f>
        <v>Skapande lek i förskolan 1</v>
      </c>
      <c r="C2" s="31">
        <v>2180</v>
      </c>
      <c r="D2" t="str">
        <f>VLOOKUP(C2,Orgenheter!$A$1:$B$213,2)</f>
        <v xml:space="preserve">Pedagogik                     </v>
      </c>
      <c r="E2" t="str">
        <f>VLOOKUP(C2,Orgenheter!$A$1:$C$165,3,FALSE)</f>
        <v>Sam</v>
      </c>
      <c r="F2" s="294">
        <f>1.5/7.5</f>
        <v>0.2</v>
      </c>
      <c r="G2">
        <f>VLOOKUP(A2,'Ansvar kurs'!$A$85:$C$976,2,FALSE)</f>
        <v>1650</v>
      </c>
      <c r="H2" t="str">
        <f>VLOOKUP(G2,Orgenheter!$A$1:$B$213,2)</f>
        <v xml:space="preserve">Estetiska ämnen               </v>
      </c>
      <c r="I2" t="str">
        <f>VLOOKUP(G2,Orgenheter!$A$1:$C$165,3,FALSE)</f>
        <v>Hum</v>
      </c>
      <c r="J2" s="210">
        <f>IF(ISERROR(VLOOKUP(A2,'Totalt pivot'!$A$5:$C$397,2,FALSE)),0,(VLOOKUP(A2,'Totalt pivot'!$A$5:$C$397,2,FALSE)))</f>
        <v>10.125</v>
      </c>
      <c r="K2" s="210">
        <f t="shared" ref="K2:K65" si="0">F2*J2</f>
        <v>2.0249999999999999</v>
      </c>
      <c r="L2" s="210">
        <f>IF(ISERROR(VLOOKUP(A2,'Totalt pivot'!$A$5:$C$397,3,FALSE)),0,(VLOOKUP(A2,'Totalt pivot'!$A$5:$C$397,3,FALSE)))</f>
        <v>8.6062499999999993</v>
      </c>
      <c r="M2" s="210">
        <f t="shared" ref="M2:M65" si="1">F2*L2</f>
        <v>1.7212499999999999</v>
      </c>
      <c r="N2" s="26">
        <f>VLOOKUP(A2,kurspris!$A$1:$Q$809,15)</f>
        <v>15846</v>
      </c>
      <c r="O2" s="26">
        <f>VLOOKUP(A2,kurspris!$A$1:$Q$809,16)</f>
        <v>26926</v>
      </c>
      <c r="P2" s="26">
        <f>VLOOKUP(A2,kurspris!$A$1:$Q$809,17)</f>
        <v>17300</v>
      </c>
      <c r="Q2" s="26">
        <f t="shared" ref="Q2:Q65" si="2">K2*N2+M2*O2</f>
        <v>78434.527499999997</v>
      </c>
      <c r="R2" s="26">
        <f>(Q2*Prislapp!$R$5)*-1</f>
        <v>-5490.4169250000004</v>
      </c>
      <c r="S2" s="26">
        <f t="shared" ref="S2:S65" si="3">Q2+R2</f>
        <v>72944.110574999999</v>
      </c>
      <c r="T2" s="26">
        <f t="shared" ref="T2:T65" si="4">K2*P2</f>
        <v>35032.5</v>
      </c>
    </row>
    <row r="3" spans="1:22" x14ac:dyDescent="0.25">
      <c r="A3" s="31" t="s">
        <v>1559</v>
      </c>
      <c r="B3" t="str">
        <f>VLOOKUP(A3,kurspris!$A$1:$Q$809,2,FALSE)</f>
        <v>Skapande lek i förskolan 1</v>
      </c>
      <c r="C3" s="31">
        <v>2193</v>
      </c>
      <c r="D3" t="str">
        <f>VLOOKUP(C3,Orgenheter!$A$1:$B$213,2)</f>
        <v xml:space="preserve">TUV </v>
      </c>
      <c r="E3" t="str">
        <f>VLOOKUP(C3,Orgenheter!$A$1:$C$165,3,FALSE)</f>
        <v>Sam</v>
      </c>
      <c r="F3" s="294">
        <f>1.5/7.5</f>
        <v>0.2</v>
      </c>
      <c r="G3">
        <f>VLOOKUP(A3,'Ansvar kurs'!$A$85:$C$976,2,FALSE)</f>
        <v>1650</v>
      </c>
      <c r="H3" t="str">
        <f>VLOOKUP(G3,Orgenheter!$A$1:$B$213,2)</f>
        <v xml:space="preserve">Estetiska ämnen               </v>
      </c>
      <c r="I3" t="str">
        <f>VLOOKUP(G3,Orgenheter!$A$1:$C$165,3,FALSE)</f>
        <v>Hum</v>
      </c>
      <c r="J3" s="210">
        <f>IF(ISERROR(VLOOKUP(A3,'Totalt pivot'!$A$5:$C$397,2,FALSE)),0,(VLOOKUP(A3,'Totalt pivot'!$A$5:$C$397,2,FALSE)))</f>
        <v>10.125</v>
      </c>
      <c r="K3" s="210">
        <f t="shared" si="0"/>
        <v>2.0249999999999999</v>
      </c>
      <c r="L3" s="210">
        <f>IF(ISERROR(VLOOKUP(A3,'Totalt pivot'!$A$5:$C$397,3,FALSE)),0,(VLOOKUP(A3,'Totalt pivot'!$A$5:$C$397,3,FALSE)))</f>
        <v>8.6062499999999993</v>
      </c>
      <c r="M3" s="210">
        <f t="shared" si="1"/>
        <v>1.7212499999999999</v>
      </c>
      <c r="N3" s="26">
        <f>VLOOKUP(A3,kurspris!$A$1:$Q$809,15)</f>
        <v>15846</v>
      </c>
      <c r="O3" s="26">
        <f>VLOOKUP(A3,kurspris!$A$1:$Q$809,16)</f>
        <v>26926</v>
      </c>
      <c r="P3" s="26">
        <f>VLOOKUP(A3,kurspris!$A$1:$Q$809,17)</f>
        <v>17300</v>
      </c>
      <c r="Q3" s="26">
        <f t="shared" si="2"/>
        <v>78434.527499999997</v>
      </c>
      <c r="R3" s="26">
        <f>(Q3*Prislapp!$R$5)*-1</f>
        <v>-5490.4169250000004</v>
      </c>
      <c r="S3" s="26">
        <f t="shared" si="3"/>
        <v>72944.110574999999</v>
      </c>
      <c r="T3" s="26">
        <f t="shared" si="4"/>
        <v>35032.5</v>
      </c>
    </row>
    <row r="4" spans="1:22" x14ac:dyDescent="0.25">
      <c r="A4" s="31" t="s">
        <v>775</v>
      </c>
      <c r="B4" t="str">
        <f>VLOOKUP(A4,kurspris!$A$1:$Q$809,2,FALSE)</f>
        <v>Historia III forts.</v>
      </c>
      <c r="C4" s="31">
        <v>2360</v>
      </c>
      <c r="D4" t="str">
        <f>VLOOKUP(C4,Orgenheter!$A$1:$B$213,2)</f>
        <v xml:space="preserve">Ekonomisk historia            </v>
      </c>
      <c r="E4" t="str">
        <f>VLOOKUP(C4,Orgenheter!$A$1:$C$165,3,FALSE)</f>
        <v>Sam</v>
      </c>
      <c r="F4" s="294">
        <f>7.5/30</f>
        <v>0.25</v>
      </c>
      <c r="G4">
        <f>VLOOKUP(A4,'Ansvar kurs'!$A$85:$C$976,2,FALSE)</f>
        <v>1630</v>
      </c>
      <c r="H4" t="str">
        <f>VLOOKUP(G4,Orgenheter!$A$1:$B$213,2)</f>
        <v>Inst för ide- o samhällsstudier</v>
      </c>
      <c r="I4" t="str">
        <f>VLOOKUP(G4,Orgenheter!$A$1:$C$165,3,FALSE)</f>
        <v>Hum</v>
      </c>
      <c r="J4" s="210">
        <f>IF(ISERROR(VLOOKUP(A4,'Totalt pivot'!$A$5:$C$397,2,FALSE)),0,(VLOOKUP(A4,'Totalt pivot'!$A$5:$C$397,2,FALSE)))</f>
        <v>0</v>
      </c>
      <c r="K4" s="210">
        <f t="shared" si="0"/>
        <v>0</v>
      </c>
      <c r="L4" s="210">
        <f>IF(ISERROR(VLOOKUP(A4,'Totalt pivot'!$A$5:$C$397,3,FALSE)),0,(VLOOKUP(A4,'Totalt pivot'!$A$5:$C$397,3,FALSE)))</f>
        <v>0</v>
      </c>
      <c r="M4" s="210">
        <f t="shared" si="1"/>
        <v>0</v>
      </c>
      <c r="N4" s="26">
        <f>VLOOKUP(A4,kurspris!$A$1:$Q$809,15)</f>
        <v>18405</v>
      </c>
      <c r="O4" s="26">
        <f>VLOOKUP(A4,kurspris!$A$1:$Q$809,16)</f>
        <v>15773</v>
      </c>
      <c r="P4" s="26">
        <f>VLOOKUP(A4,kurspris!$A$1:$Q$809,17)</f>
        <v>5800</v>
      </c>
      <c r="Q4" s="26">
        <f t="shared" si="2"/>
        <v>0</v>
      </c>
      <c r="R4" s="26">
        <f>(Q4*Prislapp!$R$5)*-1</f>
        <v>0</v>
      </c>
      <c r="S4" s="26">
        <f t="shared" si="3"/>
        <v>0</v>
      </c>
      <c r="T4" s="26">
        <f t="shared" si="4"/>
        <v>0</v>
      </c>
      <c r="V4" t="s">
        <v>1146</v>
      </c>
    </row>
    <row r="5" spans="1:22" x14ac:dyDescent="0.25">
      <c r="A5" s="31" t="s">
        <v>2057</v>
      </c>
      <c r="B5" t="s">
        <v>2072</v>
      </c>
      <c r="C5" s="31">
        <v>2360</v>
      </c>
      <c r="D5" t="str">
        <f>VLOOKUP(C5,Orgenheter!$A$1:$B$213,2)</f>
        <v xml:space="preserve">Ekonomisk historia            </v>
      </c>
      <c r="E5" t="str">
        <f>VLOOKUP(C5,Orgenheter!$A$1:$C$165,3,FALSE)</f>
        <v>Sam</v>
      </c>
      <c r="F5" s="294">
        <f>7.5/30</f>
        <v>0.25</v>
      </c>
      <c r="G5">
        <f>VLOOKUP(A5,'Ansvar kurs'!$A$85:$C$976,2,FALSE)</f>
        <v>1630</v>
      </c>
      <c r="H5" t="str">
        <f>VLOOKUP(G5,Orgenheter!$A$1:$B$213,2)</f>
        <v>Inst för ide- o samhällsstudier</v>
      </c>
      <c r="I5" t="str">
        <f>VLOOKUP(G5,Orgenheter!$A$1:$C$165,3,FALSE)</f>
        <v>Hum</v>
      </c>
      <c r="J5" s="210">
        <f>IF(ISERROR(VLOOKUP(A5,'Totalt pivot'!$A$5:$C$397,2,FALSE)),0,(VLOOKUP(A5,'Totalt pivot'!$A$5:$C$397,2,FALSE)))</f>
        <v>12</v>
      </c>
      <c r="K5" s="210">
        <f t="shared" si="0"/>
        <v>3</v>
      </c>
      <c r="L5" s="210">
        <f>IF(ISERROR(VLOOKUP(A5,'Totalt pivot'!$A$5:$C$397,3,FALSE)),0,(VLOOKUP(A5,'Totalt pivot'!$A$5:$C$397,3,FALSE)))</f>
        <v>10.199999999999999</v>
      </c>
      <c r="M5" s="210">
        <f t="shared" si="1"/>
        <v>2.5499999999999998</v>
      </c>
      <c r="N5" s="26">
        <f>VLOOKUP(A5,kurspris!$A$1:$Q$809,15)</f>
        <v>18405</v>
      </c>
      <c r="O5" s="26">
        <f>VLOOKUP(A5,kurspris!$A$1:$Q$809,16)</f>
        <v>15773</v>
      </c>
      <c r="P5" s="26">
        <f>VLOOKUP(A5,kurspris!$A$1:$Q$809,17)</f>
        <v>5800</v>
      </c>
      <c r="Q5" s="26">
        <f t="shared" si="2"/>
        <v>95436.15</v>
      </c>
      <c r="R5" s="26">
        <f>(Q5*Prislapp!$R$5)*-1</f>
        <v>-6680.5304999999998</v>
      </c>
      <c r="S5" s="26">
        <f t="shared" si="3"/>
        <v>88755.619500000001</v>
      </c>
      <c r="T5" s="26">
        <f t="shared" si="4"/>
        <v>17400</v>
      </c>
    </row>
    <row r="6" spans="1:22" x14ac:dyDescent="0.25">
      <c r="A6" s="59" t="s">
        <v>1577</v>
      </c>
      <c r="B6" t="str">
        <f>VLOOKUP(A6,kurspris!$A$1:$Q$809,2,FALSE)</f>
        <v>Idrott och hälsa 1</v>
      </c>
      <c r="C6" s="31">
        <v>3306</v>
      </c>
      <c r="D6" t="str">
        <f>VLOOKUP(C6,Orgenheter!$A$1:$B$213,2)</f>
        <v xml:space="preserve">Idrottsmedicin                </v>
      </c>
      <c r="E6" t="str">
        <f>VLOOKUP(C6,Orgenheter!$A$1:$C$165,3,FALSE)</f>
        <v>Med</v>
      </c>
      <c r="F6" s="294">
        <v>0.25</v>
      </c>
      <c r="G6">
        <f>VLOOKUP(A6,'Ansvar kurs'!$A$85:$C$976,2,FALSE)</f>
        <v>2180</v>
      </c>
      <c r="H6" t="str">
        <f>VLOOKUP(G6,Orgenheter!$A$1:$B$213,2)</f>
        <v xml:space="preserve">Pedagogik                     </v>
      </c>
      <c r="I6" t="str">
        <f>VLOOKUP(G6,Orgenheter!$A$1:$C$165,3,FALSE)</f>
        <v>Sam</v>
      </c>
      <c r="J6" s="210">
        <f>IF(ISERROR(VLOOKUP(A6,'Totalt pivot'!$A$5:$C$397,2,FALSE)),0,(VLOOKUP(A6,'Totalt pivot'!$A$5:$C$397,2,FALSE)))</f>
        <v>14.5</v>
      </c>
      <c r="K6" s="210">
        <f t="shared" si="0"/>
        <v>3.625</v>
      </c>
      <c r="L6" s="210">
        <f>IF(ISERROR(VLOOKUP(A6,'Totalt pivot'!$A$5:$C$397,3,FALSE)),0,(VLOOKUP(A6,'Totalt pivot'!$A$5:$C$397,3,FALSE)))</f>
        <v>12.225</v>
      </c>
      <c r="M6" s="210">
        <f t="shared" si="1"/>
        <v>3.0562499999999999</v>
      </c>
      <c r="N6" s="26">
        <f>VLOOKUP(A6,kurspris!$A$1:$Q$809,15)</f>
        <v>45034</v>
      </c>
      <c r="O6" s="26">
        <f>VLOOKUP(A6,kurspris!$A$1:$Q$809,16)</f>
        <v>31547</v>
      </c>
      <c r="P6" s="26">
        <f>VLOOKUP(A6,kurspris!$A$1:$Q$809,17)</f>
        <v>34500</v>
      </c>
      <c r="Q6" s="26">
        <f t="shared" si="2"/>
        <v>259663.76874999999</v>
      </c>
      <c r="R6" s="26">
        <f>(Q6*Prislapp!$R$5)*-1</f>
        <v>-18176.463812500002</v>
      </c>
      <c r="S6" s="26">
        <f t="shared" si="3"/>
        <v>241487.30493749998</v>
      </c>
      <c r="T6" s="26">
        <f t="shared" si="4"/>
        <v>125062.5</v>
      </c>
    </row>
    <row r="7" spans="1:22" x14ac:dyDescent="0.25">
      <c r="A7" s="59" t="s">
        <v>1577</v>
      </c>
      <c r="B7" t="str">
        <f>VLOOKUP(A7,kurspris!$A$1:$Q$809,2,FALSE)</f>
        <v>Idrott och hälsa 1</v>
      </c>
      <c r="C7" s="31">
        <v>2750</v>
      </c>
      <c r="D7" t="str">
        <f>VLOOKUP(C7,Orgenheter!$A$1:$B$213,2)</f>
        <v xml:space="preserve">Kostvetenskap                 </v>
      </c>
      <c r="E7" t="str">
        <f>VLOOKUP(C7,Orgenheter!$A$1:$C$165,3,FALSE)</f>
        <v>Sam</v>
      </c>
      <c r="F7" s="294">
        <v>0.15</v>
      </c>
      <c r="G7">
        <f>VLOOKUP(A7,'Ansvar kurs'!$A$85:$C$976,2,FALSE)</f>
        <v>2180</v>
      </c>
      <c r="H7" t="str">
        <f>VLOOKUP(G7,Orgenheter!$A$1:$B$213,2)</f>
        <v xml:space="preserve">Pedagogik                     </v>
      </c>
      <c r="I7" t="str">
        <f>VLOOKUP(G7,Orgenheter!$A$1:$C$165,3,FALSE)</f>
        <v>Sam</v>
      </c>
      <c r="J7" s="210">
        <f>IF(ISERROR(VLOOKUP(A7,'Totalt pivot'!$A$5:$C$397,2,FALSE)),0,(VLOOKUP(A7,'Totalt pivot'!$A$5:$C$397,2,FALSE)))</f>
        <v>14.5</v>
      </c>
      <c r="K7" s="210">
        <f t="shared" si="0"/>
        <v>2.1749999999999998</v>
      </c>
      <c r="L7" s="210">
        <f>IF(ISERROR(VLOOKUP(A7,'Totalt pivot'!$A$5:$C$397,3,FALSE)),0,(VLOOKUP(A7,'Totalt pivot'!$A$5:$C$397,3,FALSE)))</f>
        <v>12.225</v>
      </c>
      <c r="M7" s="210">
        <f t="shared" si="1"/>
        <v>1.8337499999999998</v>
      </c>
      <c r="N7" s="26">
        <f>VLOOKUP(A7,kurspris!$A$1:$Q$809,15)</f>
        <v>45034</v>
      </c>
      <c r="O7" s="26">
        <f>VLOOKUP(A7,kurspris!$A$1:$Q$809,16)</f>
        <v>31547</v>
      </c>
      <c r="P7" s="26">
        <f>VLOOKUP(A7,kurspris!$A$1:$Q$809,17)</f>
        <v>34500</v>
      </c>
      <c r="Q7" s="26">
        <f t="shared" si="2"/>
        <v>155798.26124999998</v>
      </c>
      <c r="R7" s="26">
        <f>(Q7*Prislapp!$R$5)*-1</f>
        <v>-10905.8782875</v>
      </c>
      <c r="S7" s="26">
        <f t="shared" si="3"/>
        <v>144892.38296249998</v>
      </c>
      <c r="T7" s="26">
        <f t="shared" si="4"/>
        <v>75037.5</v>
      </c>
    </row>
    <row r="8" spans="1:22" x14ac:dyDescent="0.25">
      <c r="A8" s="59" t="s">
        <v>1821</v>
      </c>
      <c r="B8" t="str">
        <f>VLOOKUP(A8,kurspris!$A$1:$Q$809,2,FALSE)</f>
        <v>Idrott och hälsa 3</v>
      </c>
      <c r="C8" s="31">
        <v>3850</v>
      </c>
      <c r="D8" t="str">
        <f>VLOOKUP(C8,Orgenheter!$A$1:$B$213,2)</f>
        <v>Epidemiologi och global hälsa</v>
      </c>
      <c r="E8" t="str">
        <f>VLOOKUP(C8,Orgenheter!$A$1:$C$165,3,FALSE)</f>
        <v>Med</v>
      </c>
      <c r="F8" s="294">
        <f>5/30</f>
        <v>0.16666666666666666</v>
      </c>
      <c r="G8">
        <f>VLOOKUP(A8,'Ansvar kurs'!$A$85:$C$976,2,FALSE)</f>
        <v>2180</v>
      </c>
      <c r="H8" t="str">
        <f>VLOOKUP(G8,Orgenheter!$A$1:$B$213,2)</f>
        <v xml:space="preserve">Pedagogik                     </v>
      </c>
      <c r="I8" t="str">
        <f>VLOOKUP(G8,Orgenheter!$A$1:$C$165,3,FALSE)</f>
        <v>Sam</v>
      </c>
      <c r="J8" s="210">
        <f>IF(ISERROR(VLOOKUP(A8,'Totalt pivot'!$A$5:$C$397,2,FALSE)),0,(VLOOKUP(A8,'Totalt pivot'!$A$5:$C$397,2,FALSE)))</f>
        <v>11.5</v>
      </c>
      <c r="K8" s="210">
        <f t="shared" si="0"/>
        <v>1.9166666666666665</v>
      </c>
      <c r="L8" s="210">
        <f>IF(ISERROR(VLOOKUP(A8,'Totalt pivot'!$A$5:$C$397,3,FALSE)),0,(VLOOKUP(A8,'Totalt pivot'!$A$5:$C$397,3,FALSE)))</f>
        <v>9.6749999999999989</v>
      </c>
      <c r="M8" s="210">
        <f t="shared" si="1"/>
        <v>1.6124999999999998</v>
      </c>
      <c r="N8" s="26">
        <f>VLOOKUP(A8,kurspris!$A$1:$Q$809,15)</f>
        <v>45034</v>
      </c>
      <c r="O8" s="26">
        <f>VLOOKUP(A8,kurspris!$A$1:$Q$809,16)</f>
        <v>31547</v>
      </c>
      <c r="P8" s="26">
        <f>VLOOKUP(A8,kurspris!$A$1:$Q$809,17)</f>
        <v>34500</v>
      </c>
      <c r="Q8" s="26">
        <f t="shared" si="2"/>
        <v>137184.70416666666</v>
      </c>
      <c r="R8" s="26">
        <f>(Q8*Prislapp!$R$5)*-1</f>
        <v>-9602.9292916666673</v>
      </c>
      <c r="S8" s="26">
        <f t="shared" si="3"/>
        <v>127581.774875</v>
      </c>
      <c r="T8" s="26">
        <f t="shared" si="4"/>
        <v>66125</v>
      </c>
      <c r="V8" t="s">
        <v>1882</v>
      </c>
    </row>
    <row r="9" spans="1:22" x14ac:dyDescent="0.25">
      <c r="A9" s="31" t="s">
        <v>584</v>
      </c>
      <c r="B9" t="str">
        <f>VLOOKUP(A9,kurspris!$A$1:$Q$809,2,FALSE)</f>
        <v>Idrott och hälsa III</v>
      </c>
      <c r="C9" s="31">
        <v>3850</v>
      </c>
      <c r="D9" t="str">
        <f>VLOOKUP(C9,Orgenheter!$A$1:$B$213,2)</f>
        <v>Epidemiologi och global hälsa</v>
      </c>
      <c r="E9" t="str">
        <f>VLOOKUP(C9,Orgenheter!$A$1:$C$165,3,FALSE)</f>
        <v>Med</v>
      </c>
      <c r="F9" s="294">
        <f>5/30</f>
        <v>0.16666666666666666</v>
      </c>
      <c r="G9">
        <f>VLOOKUP(A9,'Ansvar kurs'!$A$85:$C$976,2,FALSE)</f>
        <v>2180</v>
      </c>
      <c r="H9" t="str">
        <f>VLOOKUP(G9,Orgenheter!$A$1:$B$213,2)</f>
        <v xml:space="preserve">Pedagogik                     </v>
      </c>
      <c r="I9" t="str">
        <f>VLOOKUP(G9,Orgenheter!$A$1:$C$165,3,FALSE)</f>
        <v>Sam</v>
      </c>
      <c r="J9" s="210">
        <f>IF(ISERROR(VLOOKUP(A9,'Totalt pivot'!$A$5:$C$397,2,FALSE)),0,(VLOOKUP(A9,'Totalt pivot'!$A$5:$C$397,2,FALSE)))</f>
        <v>0</v>
      </c>
      <c r="K9" s="210">
        <f t="shared" si="0"/>
        <v>0</v>
      </c>
      <c r="L9" s="210">
        <f>IF(ISERROR(VLOOKUP(A9,'Totalt pivot'!$A$5:$C$397,3,FALSE)),0,(VLOOKUP(A9,'Totalt pivot'!$A$5:$C$397,3,FALSE)))</f>
        <v>0</v>
      </c>
      <c r="M9" s="210">
        <f t="shared" si="1"/>
        <v>0</v>
      </c>
      <c r="N9" s="26">
        <f>VLOOKUP(A9,kurspris!$A$1:$Q$809,15)</f>
        <v>45034</v>
      </c>
      <c r="O9" s="26">
        <f>VLOOKUP(A9,kurspris!$A$1:$Q$809,16)</f>
        <v>31547</v>
      </c>
      <c r="P9" s="26">
        <f>VLOOKUP(A9,kurspris!$A$1:$Q$809,17)</f>
        <v>34500</v>
      </c>
      <c r="Q9" s="26">
        <f t="shared" si="2"/>
        <v>0</v>
      </c>
      <c r="R9" s="26">
        <f>(Q9*Prislapp!$R$5)*-1</f>
        <v>0</v>
      </c>
      <c r="S9" s="26">
        <f t="shared" si="3"/>
        <v>0</v>
      </c>
      <c r="T9" s="26">
        <f t="shared" si="4"/>
        <v>0</v>
      </c>
    </row>
    <row r="10" spans="1:22" x14ac:dyDescent="0.25">
      <c r="A10" s="31" t="s">
        <v>586</v>
      </c>
      <c r="B10" t="str">
        <f>VLOOKUP(A10,kurspris!$A$1:$Q$809,2,FALSE)</f>
        <v>Idrott och hälsa II för gymnasieskolan</v>
      </c>
      <c r="C10" s="31">
        <v>3306</v>
      </c>
      <c r="D10" t="str">
        <f>VLOOKUP(C10,Orgenheter!$A$1:$B$213,2)</f>
        <v xml:space="preserve">Idrottsmedicin                </v>
      </c>
      <c r="E10" t="str">
        <f>VLOOKUP(C10,Orgenheter!$A$1:$C$165,3,FALSE)</f>
        <v>Med</v>
      </c>
      <c r="F10" s="294">
        <v>0.25</v>
      </c>
      <c r="G10">
        <f>VLOOKUP(A10,'Ansvar kurs'!$A$85:$C$976,2,FALSE)</f>
        <v>2180</v>
      </c>
      <c r="H10" t="str">
        <f>VLOOKUP(G10,Orgenheter!$A$1:$B$213,2)</f>
        <v xml:space="preserve">Pedagogik                     </v>
      </c>
      <c r="I10" t="str">
        <f>VLOOKUP(G10,Orgenheter!$A$1:$C$165,3,FALSE)</f>
        <v>Sam</v>
      </c>
      <c r="J10" s="210">
        <f>IF(ISERROR(VLOOKUP(A10,'Totalt pivot'!$A$5:$C$397,2,FALSE)),0,(VLOOKUP(A10,'Totalt pivot'!$A$5:$C$397,2,FALSE)))</f>
        <v>12.5</v>
      </c>
      <c r="K10" s="210">
        <f t="shared" si="0"/>
        <v>3.125</v>
      </c>
      <c r="L10" s="210">
        <f>IF(ISERROR(VLOOKUP(A10,'Totalt pivot'!$A$5:$C$397,3,FALSE)),0,(VLOOKUP(A10,'Totalt pivot'!$A$5:$C$397,3,FALSE)))</f>
        <v>10.6</v>
      </c>
      <c r="M10" s="210">
        <f t="shared" si="1"/>
        <v>2.65</v>
      </c>
      <c r="N10" s="26">
        <f>VLOOKUP(A10,kurspris!$A$1:$Q$809,15)</f>
        <v>45034</v>
      </c>
      <c r="O10" s="26">
        <f>VLOOKUP(A10,kurspris!$A$1:$Q$809,16)</f>
        <v>31547</v>
      </c>
      <c r="P10" s="26">
        <f>VLOOKUP(A10,kurspris!$A$1:$Q$809,17)</f>
        <v>34500</v>
      </c>
      <c r="Q10" s="26">
        <f t="shared" si="2"/>
        <v>224330.8</v>
      </c>
      <c r="R10" s="26">
        <f>(Q10*Prislapp!$R$5)*-1</f>
        <v>-15703.156000000001</v>
      </c>
      <c r="S10" s="26">
        <f t="shared" si="3"/>
        <v>208627.644</v>
      </c>
      <c r="T10" s="26">
        <f t="shared" si="4"/>
        <v>107812.5</v>
      </c>
    </row>
    <row r="11" spans="1:22" x14ac:dyDescent="0.25">
      <c r="A11" s="31" t="s">
        <v>940</v>
      </c>
      <c r="B11" t="str">
        <f>VLOOKUP(A11,kurspris!$A$1:$Q$809,2,FALSE)</f>
        <v>Geografi II</v>
      </c>
      <c r="C11" s="31">
        <v>5100</v>
      </c>
      <c r="D11" t="str">
        <f>VLOOKUP(C11,Orgenheter!$A$1:$B$213,2)</f>
        <v>EMG</v>
      </c>
      <c r="E11" t="str">
        <f>VLOOKUP(C11,Orgenheter!$A$1:$C$165,3,FALSE)</f>
        <v>TekNat</v>
      </c>
      <c r="F11" s="294">
        <v>0.5</v>
      </c>
      <c r="G11">
        <f>VLOOKUP(A11,'Ansvar kurs'!$A$85:$C$976,2,FALSE)</f>
        <v>2500</v>
      </c>
      <c r="H11" t="str">
        <f>VLOOKUP(G11,Orgenheter!$A$1:$B$213,2)</f>
        <v>Geografi</v>
      </c>
      <c r="I11" t="str">
        <f>VLOOKUP(G11,Orgenheter!$A$1:$C$165,3,FALSE)</f>
        <v>Sam</v>
      </c>
      <c r="J11" s="210">
        <f>IF(ISERROR(VLOOKUP(A11,'Totalt pivot'!$A$5:$C$397,2,FALSE)),0,(VLOOKUP(A11,'Totalt pivot'!$A$5:$C$397,2,FALSE)))</f>
        <v>0</v>
      </c>
      <c r="K11" s="210">
        <f t="shared" si="0"/>
        <v>0</v>
      </c>
      <c r="L11" s="210">
        <f>IF(ISERROR(VLOOKUP(A11,'Totalt pivot'!$A$5:$C$397,3,FALSE)),0,(VLOOKUP(A11,'Totalt pivot'!$A$5:$C$397,3,FALSE)))</f>
        <v>0</v>
      </c>
      <c r="M11" s="210">
        <f t="shared" si="1"/>
        <v>0</v>
      </c>
      <c r="N11" s="26">
        <f>VLOOKUP(A11,kurspris!$A$1:$Q$809,15)</f>
        <v>18939</v>
      </c>
      <c r="O11" s="26">
        <f>VLOOKUP(A11,kurspris!$A$1:$Q$809,16)</f>
        <v>25289.5</v>
      </c>
      <c r="P11" s="26">
        <f>VLOOKUP(A11,kurspris!$A$1:$Q$809,17)</f>
        <v>13800</v>
      </c>
      <c r="Q11" s="26">
        <f t="shared" si="2"/>
        <v>0</v>
      </c>
      <c r="R11" s="26">
        <f>(Q11*Prislapp!$R$5)*-1</f>
        <v>0</v>
      </c>
      <c r="S11" s="26">
        <f t="shared" si="3"/>
        <v>0</v>
      </c>
      <c r="T11" s="26">
        <f t="shared" si="4"/>
        <v>0</v>
      </c>
      <c r="V11" t="s">
        <v>959</v>
      </c>
    </row>
    <row r="12" spans="1:22" x14ac:dyDescent="0.25">
      <c r="A12" s="31" t="s">
        <v>1857</v>
      </c>
      <c r="B12" t="str">
        <f>VLOOKUP(A12,kurspris!$A$1:$Q$809,2,FALSE)</f>
        <v>Introduktion till geografi</v>
      </c>
      <c r="C12" s="31">
        <v>5100</v>
      </c>
      <c r="D12" t="str">
        <f>VLOOKUP(C12,Orgenheter!$A$1:$B$213,2)</f>
        <v>EMG</v>
      </c>
      <c r="E12" t="str">
        <f>VLOOKUP(C12,Orgenheter!$A$1:$C$165,3,FALSE)</f>
        <v>TekNat</v>
      </c>
      <c r="F12" s="294">
        <v>0.5</v>
      </c>
      <c r="G12">
        <f>VLOOKUP(A12,'Ansvar kurs'!$A$85:$C$976,2,FALSE)</f>
        <v>2500</v>
      </c>
      <c r="H12" t="str">
        <f>VLOOKUP(G12,Orgenheter!$A$1:$B$213,2)</f>
        <v>Geografi</v>
      </c>
      <c r="I12" t="str">
        <f>VLOOKUP(G12,Orgenheter!$A$1:$C$165,3,FALSE)</f>
        <v>Sam</v>
      </c>
      <c r="J12" s="210">
        <f>IF(ISERROR(VLOOKUP(A12,'Totalt pivot'!$A$5:$C$397,2,FALSE)),0,(VLOOKUP(A12,'Totalt pivot'!$A$5:$C$397,2,FALSE)))</f>
        <v>0.75</v>
      </c>
      <c r="K12" s="210">
        <f t="shared" si="0"/>
        <v>0.375</v>
      </c>
      <c r="L12" s="210">
        <f>IF(ISERROR(VLOOKUP(A12,'Totalt pivot'!$A$5:$C$397,3,FALSE)),0,(VLOOKUP(A12,'Totalt pivot'!$A$5:$C$397,3,FALSE)))</f>
        <v>0.63749999999999996</v>
      </c>
      <c r="M12" s="210">
        <f t="shared" si="1"/>
        <v>0.31874999999999998</v>
      </c>
      <c r="N12" s="26">
        <f>VLOOKUP(A12,kurspris!$A$1:$Q$809,15)</f>
        <v>18405</v>
      </c>
      <c r="O12" s="26">
        <f>VLOOKUP(A12,kurspris!$A$1:$Q$809,16)</f>
        <v>15773</v>
      </c>
      <c r="P12" s="26">
        <f>VLOOKUP(A12,kurspris!$A$1:$Q$809,17)</f>
        <v>5800</v>
      </c>
      <c r="Q12" s="26">
        <f t="shared" si="2"/>
        <v>11929.518749999999</v>
      </c>
      <c r="R12" s="26">
        <f>(Q12*Prislapp!$R$5)*-1</f>
        <v>-835.06631249999998</v>
      </c>
      <c r="S12" s="26">
        <f t="shared" si="3"/>
        <v>11094.4524375</v>
      </c>
      <c r="T12" s="26">
        <f t="shared" si="4"/>
        <v>2175</v>
      </c>
    </row>
    <row r="13" spans="1:22" x14ac:dyDescent="0.25">
      <c r="A13" s="31" t="s">
        <v>1934</v>
      </c>
      <c r="B13" t="str">
        <f>VLOOKUP(A13,kurspris!$A$1:$Q$809,2,FALSE)</f>
        <v>Kartor och GIS</v>
      </c>
      <c r="C13" s="31">
        <v>5100</v>
      </c>
      <c r="D13" t="str">
        <f>VLOOKUP(C13,Orgenheter!$A$1:$B$213,2)</f>
        <v>EMG</v>
      </c>
      <c r="E13" t="str">
        <f>VLOOKUP(C13,Orgenheter!$A$1:$C$165,3,FALSE)</f>
        <v>TekNat</v>
      </c>
      <c r="F13" s="294">
        <v>0.5</v>
      </c>
      <c r="G13">
        <f>VLOOKUP(A13,'Ansvar kurs'!$A$85:$C$976,2,FALSE)</f>
        <v>2500</v>
      </c>
      <c r="H13" t="str">
        <f>VLOOKUP(G13,Orgenheter!$A$1:$B$213,2)</f>
        <v>Geografi</v>
      </c>
      <c r="I13" t="str">
        <f>VLOOKUP(G13,Orgenheter!$A$1:$C$165,3,FALSE)</f>
        <v>Sam</v>
      </c>
      <c r="J13" s="210">
        <f>IF(ISERROR(VLOOKUP(A13,'Totalt pivot'!$A$5:$C$397,2,FALSE)),0,(VLOOKUP(A13,'Totalt pivot'!$A$5:$C$397,2,FALSE)))</f>
        <v>0.75</v>
      </c>
      <c r="K13" s="210">
        <f t="shared" si="0"/>
        <v>0.375</v>
      </c>
      <c r="L13" s="210">
        <f>IF(ISERROR(VLOOKUP(A13,'Totalt pivot'!$A$5:$C$397,3,FALSE)),0,(VLOOKUP(A13,'Totalt pivot'!$A$5:$C$397,3,FALSE)))</f>
        <v>0.63749999999999996</v>
      </c>
      <c r="M13" s="210">
        <f t="shared" si="1"/>
        <v>0.31874999999999998</v>
      </c>
      <c r="N13" s="26">
        <f>VLOOKUP(A13,kurspris!$A$1:$Q$809,15)</f>
        <v>18939</v>
      </c>
      <c r="O13" s="26">
        <f>VLOOKUP(A13,kurspris!$A$1:$Q$809,16)</f>
        <v>25289.5</v>
      </c>
      <c r="P13" s="26">
        <f>VLOOKUP(A13,kurspris!$A$1:$Q$809,17)</f>
        <v>13800</v>
      </c>
      <c r="Q13" s="26">
        <f t="shared" si="2"/>
        <v>15163.153125000001</v>
      </c>
      <c r="R13" s="26">
        <f>(Q13*Prislapp!$R$5)*-1</f>
        <v>-1061.4207187500001</v>
      </c>
      <c r="S13" s="26">
        <f t="shared" si="3"/>
        <v>14101.732406250001</v>
      </c>
      <c r="T13" s="26">
        <f t="shared" si="4"/>
        <v>5175</v>
      </c>
    </row>
    <row r="14" spans="1:22" x14ac:dyDescent="0.25">
      <c r="A14" s="31" t="s">
        <v>771</v>
      </c>
      <c r="B14" t="str">
        <f>VLOOKUP(A14,kurspris!$A$1:$Q$809,2,FALSE)</f>
        <v>Specialpedagogik med fokus på svenska och matematik för F-3</v>
      </c>
      <c r="C14" s="31">
        <v>5740</v>
      </c>
      <c r="D14" t="str">
        <f>VLOOKUP(C14,Orgenheter!$A$1:$B$213,2)</f>
        <v>NMD</v>
      </c>
      <c r="E14" t="str">
        <f>VLOOKUP(C14,Orgenheter!$A$1:$C$165,3,FALSE)</f>
        <v>TekNat</v>
      </c>
      <c r="F14" s="294">
        <v>0.5</v>
      </c>
      <c r="G14">
        <f>VLOOKUP(A14,'Ansvar kurs'!$A$85:$C$976,2,FALSE)</f>
        <v>1620</v>
      </c>
      <c r="H14" t="str">
        <f>VLOOKUP(G14,Orgenheter!$A$1:$B$213,2)</f>
        <v>Inst för språkstudier</v>
      </c>
      <c r="I14" t="str">
        <f>VLOOKUP(G14,Orgenheter!$A$1:$C$165,3,FALSE)</f>
        <v>Hum</v>
      </c>
      <c r="J14" s="210">
        <f>IF(ISERROR(VLOOKUP(A14,'Totalt pivot'!$A$5:$C$397,2,FALSE)),0,(VLOOKUP(A14,'Totalt pivot'!$A$5:$C$397,2,FALSE)))</f>
        <v>0</v>
      </c>
      <c r="K14" s="210">
        <f t="shared" si="0"/>
        <v>0</v>
      </c>
      <c r="L14" s="210">
        <f>IF(ISERROR(VLOOKUP(A14,'Totalt pivot'!$A$5:$C$397,3,FALSE)),0,(VLOOKUP(A14,'Totalt pivot'!$A$5:$C$397,3,FALSE)))</f>
        <v>0</v>
      </c>
      <c r="M14" s="210">
        <f t="shared" si="1"/>
        <v>0</v>
      </c>
      <c r="N14" s="26">
        <f>VLOOKUP(A14,kurspris!$A$1:$Q$809,15)</f>
        <v>18405</v>
      </c>
      <c r="O14" s="26">
        <f>VLOOKUP(A14,kurspris!$A$1:$Q$809,16)</f>
        <v>15773</v>
      </c>
      <c r="P14" s="26">
        <f>VLOOKUP(A14,kurspris!$A$1:$Q$809,17)</f>
        <v>5800</v>
      </c>
      <c r="Q14" s="26">
        <f t="shared" si="2"/>
        <v>0</v>
      </c>
      <c r="R14" s="26">
        <f>(Q14*Prislapp!$R$5)*-1</f>
        <v>0</v>
      </c>
      <c r="S14" s="26">
        <f t="shared" si="3"/>
        <v>0</v>
      </c>
      <c r="T14" s="26">
        <f t="shared" si="4"/>
        <v>0</v>
      </c>
      <c r="V14" t="s">
        <v>820</v>
      </c>
    </row>
    <row r="15" spans="1:22" x14ac:dyDescent="0.25">
      <c r="A15" s="245" t="s">
        <v>1950</v>
      </c>
      <c r="B15" t="str">
        <f>VLOOKUP(A15,kurspris!$A$1:$Q$809,2,FALSE)</f>
        <v>Specialpedagogik med fokus på svenska och matematik för F-3</v>
      </c>
      <c r="C15" s="31">
        <v>5740</v>
      </c>
      <c r="D15" t="str">
        <f>VLOOKUP(C15,Orgenheter!$A$1:$B$213,2)</f>
        <v>NMD</v>
      </c>
      <c r="E15" t="str">
        <f>VLOOKUP(C15,Orgenheter!$A$1:$C$165,3,FALSE)</f>
        <v>TekNat</v>
      </c>
      <c r="F15" s="294">
        <v>0.5</v>
      </c>
      <c r="G15">
        <f>VLOOKUP(A15,'Ansvar kurs'!$A$85:$C$976,2,FALSE)</f>
        <v>1620</v>
      </c>
      <c r="H15" t="str">
        <f>VLOOKUP(G15,Orgenheter!$A$1:$B$213,2)</f>
        <v>Inst för språkstudier</v>
      </c>
      <c r="I15" t="str">
        <f>VLOOKUP(G15,Orgenheter!$A$1:$C$165,3,FALSE)</f>
        <v>Hum</v>
      </c>
      <c r="J15" s="210">
        <f>IF(ISERROR(VLOOKUP(A15,'Totalt pivot'!$A$5:$C$397,2,FALSE)),0,(VLOOKUP(A15,'Totalt pivot'!$A$5:$C$397,2,FALSE)))</f>
        <v>8.25</v>
      </c>
      <c r="K15" s="210">
        <f t="shared" si="0"/>
        <v>4.125</v>
      </c>
      <c r="L15" s="210">
        <f>IF(ISERROR(VLOOKUP(A15,'Totalt pivot'!$A$5:$C$397,3,FALSE)),0,(VLOOKUP(A15,'Totalt pivot'!$A$5:$C$397,3,FALSE)))</f>
        <v>7.0125000000000002</v>
      </c>
      <c r="M15" s="210">
        <f t="shared" si="1"/>
        <v>3.5062500000000001</v>
      </c>
      <c r="N15" s="26">
        <f>VLOOKUP(A15,kurspris!$A$1:$Q$809,15)</f>
        <v>18405</v>
      </c>
      <c r="O15" s="26">
        <f>VLOOKUP(A15,kurspris!$A$1:$Q$809,16)</f>
        <v>15773</v>
      </c>
      <c r="P15" s="26">
        <f>VLOOKUP(A15,kurspris!$A$1:$Q$809,17)</f>
        <v>5800</v>
      </c>
      <c r="Q15" s="26">
        <f t="shared" si="2"/>
        <v>131224.70624999999</v>
      </c>
      <c r="R15" s="26">
        <f>(Q15*Prislapp!$R$5)*-1</f>
        <v>-9185.7294375000001</v>
      </c>
      <c r="S15" s="26">
        <f t="shared" si="3"/>
        <v>122038.97681249998</v>
      </c>
      <c r="T15" s="26">
        <f t="shared" si="4"/>
        <v>23925</v>
      </c>
    </row>
    <row r="16" spans="1:22" x14ac:dyDescent="0.25">
      <c r="A16" s="31" t="s">
        <v>470</v>
      </c>
      <c r="B16" t="str">
        <f>VLOOKUP(A16,kurspris!$A$1:$Q$809,2,FALSE)</f>
        <v>Demokrati, individ och samhälle</v>
      </c>
      <c r="C16" s="31">
        <v>1640</v>
      </c>
      <c r="D16" t="str">
        <f>VLOOKUP(C16,Orgenheter!$A$1:$B$213,2)</f>
        <v>Inst för kultur- o medievetenskap</v>
      </c>
      <c r="E16" t="str">
        <f>VLOOKUP(C16,Orgenheter!$A$1:$C$165,3,FALSE)</f>
        <v>Hum</v>
      </c>
      <c r="F16" s="294">
        <v>0.5</v>
      </c>
      <c r="G16">
        <f>VLOOKUP(A16,'Ansvar kurs'!$A$85:$C$976,2,FALSE)</f>
        <v>1630</v>
      </c>
      <c r="H16" t="str">
        <f>VLOOKUP(G16,Orgenheter!$A$1:$B$213,2)</f>
        <v>Inst för ide- o samhällsstudier</v>
      </c>
      <c r="I16" t="str">
        <f>VLOOKUP(G16,Orgenheter!$A$1:$C$165,3,FALSE)</f>
        <v>Hum</v>
      </c>
      <c r="J16" s="210">
        <f>IF(ISERROR(VLOOKUP(A16,'Totalt pivot'!$A$5:$C$397,2,FALSE)),0,(VLOOKUP(A16,'Totalt pivot'!$A$5:$C$397,2,FALSE)))</f>
        <v>13.33334</v>
      </c>
      <c r="K16" s="210">
        <f t="shared" si="0"/>
        <v>6.6666699999999999</v>
      </c>
      <c r="L16" s="210">
        <f>IF(ISERROR(VLOOKUP(A16,'Totalt pivot'!$A$5:$C$397,3,FALSE)),0,(VLOOKUP(A16,'Totalt pivot'!$A$5:$C$397,3,FALSE)))</f>
        <v>11.333339</v>
      </c>
      <c r="M16" s="210">
        <f t="shared" si="1"/>
        <v>5.6666695000000002</v>
      </c>
      <c r="N16" s="26">
        <f>VLOOKUP(A16,kurspris!$A$1:$Q$809,15)</f>
        <v>23641</v>
      </c>
      <c r="O16" s="26">
        <f>VLOOKUP(A16,kurspris!$A$1:$Q$809,16)</f>
        <v>28786</v>
      </c>
      <c r="P16" s="26">
        <f>VLOOKUP(A16,kurspris!$A$1:$Q$809,17)</f>
        <v>5800</v>
      </c>
      <c r="Q16" s="26">
        <f t="shared" si="2"/>
        <v>320727.49369699997</v>
      </c>
      <c r="R16" s="26">
        <f>(Q16*Prislapp!$R$5)*-1</f>
        <v>-22450.92455879</v>
      </c>
      <c r="S16" s="26">
        <f t="shared" si="3"/>
        <v>298276.56913820998</v>
      </c>
      <c r="T16" s="26">
        <f t="shared" si="4"/>
        <v>38666.686000000002</v>
      </c>
    </row>
    <row r="17" spans="1:22" x14ac:dyDescent="0.25">
      <c r="A17" s="62" t="s">
        <v>471</v>
      </c>
      <c r="B17" t="str">
        <f>VLOOKUP(A17,kurspris!$A$1:$Q$809,2,FALSE)</f>
        <v>Kunskap, undervisning och lärande I</v>
      </c>
      <c r="C17" s="31">
        <v>2200</v>
      </c>
      <c r="D17" t="str">
        <f>VLOOKUP(C17,Orgenheter!$A$1:$B$213,2)</f>
        <v xml:space="preserve">Inst för psykologi            </v>
      </c>
      <c r="E17" t="str">
        <f>VLOOKUP(C17,Orgenheter!$A$1:$C$165,3,FALSE)</f>
        <v>Sam</v>
      </c>
      <c r="F17" s="294">
        <v>0.2</v>
      </c>
      <c r="G17">
        <f>VLOOKUP(A17,'Ansvar kurs'!$A$85:$C$976,2,FALSE)</f>
        <v>1630</v>
      </c>
      <c r="H17" t="str">
        <f>VLOOKUP(G17,Orgenheter!$A$1:$B$213,2)</f>
        <v>Inst för ide- o samhällsstudier</v>
      </c>
      <c r="I17" t="str">
        <f>VLOOKUP(G17,Orgenheter!$A$1:$C$165,3,FALSE)</f>
        <v>Hum</v>
      </c>
      <c r="J17" s="210">
        <f>IF(ISERROR(VLOOKUP(A17,'Totalt pivot'!$A$5:$C$397,2,FALSE)),0,(VLOOKUP(A17,'Totalt pivot'!$A$5:$C$397,2,FALSE)))</f>
        <v>16.5</v>
      </c>
      <c r="K17" s="210">
        <f t="shared" si="0"/>
        <v>3.3000000000000003</v>
      </c>
      <c r="L17" s="210">
        <f>IF(ISERROR(VLOOKUP(A17,'Totalt pivot'!$A$5:$C$397,3,FALSE)),0,(VLOOKUP(A17,'Totalt pivot'!$A$5:$C$397,3,FALSE)))</f>
        <v>14.024999999999999</v>
      </c>
      <c r="M17" s="210">
        <f t="shared" si="1"/>
        <v>2.8049999999999997</v>
      </c>
      <c r="N17" s="26">
        <f>VLOOKUP(A17,kurspris!$A$1:$Q$809,15)</f>
        <v>23641</v>
      </c>
      <c r="O17" s="26">
        <f>VLOOKUP(A17,kurspris!$A$1:$Q$809,16)</f>
        <v>28786</v>
      </c>
      <c r="P17" s="26">
        <f>VLOOKUP(A17,kurspris!$A$1:$Q$809,17)</f>
        <v>5800</v>
      </c>
      <c r="Q17" s="26">
        <f t="shared" si="2"/>
        <v>158760.03</v>
      </c>
      <c r="R17" s="26">
        <f>(Q17*Prislapp!$R$5)*-1</f>
        <v>-11113.2021</v>
      </c>
      <c r="S17" s="26">
        <f t="shared" si="3"/>
        <v>147646.8279</v>
      </c>
      <c r="T17" s="26">
        <f t="shared" si="4"/>
        <v>19140</v>
      </c>
    </row>
    <row r="18" spans="1:22" x14ac:dyDescent="0.25">
      <c r="A18" s="62" t="s">
        <v>471</v>
      </c>
      <c r="B18" t="str">
        <f>VLOOKUP(A18,kurspris!$A$1:$Q$809,2,FALSE)</f>
        <v>Kunskap, undervisning och lärande I</v>
      </c>
      <c r="C18" s="31">
        <v>2272</v>
      </c>
      <c r="D18" t="str">
        <f>VLOOKUP(C18,Orgenheter!$A$1:$B$213,2)</f>
        <v xml:space="preserve">Statistik                     </v>
      </c>
      <c r="E18" t="str">
        <f>VLOOKUP(C18,Orgenheter!$A$1:$C$165,3,FALSE)</f>
        <v>Sam</v>
      </c>
      <c r="F18" s="294">
        <v>0.05</v>
      </c>
      <c r="G18">
        <f>VLOOKUP(A18,'Ansvar kurs'!$A$85:$C$976,2,FALSE)</f>
        <v>1630</v>
      </c>
      <c r="H18" t="str">
        <f>VLOOKUP(G18,Orgenheter!$A$1:$B$213,2)</f>
        <v>Inst för ide- o samhällsstudier</v>
      </c>
      <c r="I18" t="str">
        <f>VLOOKUP(G18,Orgenheter!$A$1:$C$165,3,FALSE)</f>
        <v>Hum</v>
      </c>
      <c r="J18" s="210">
        <f>IF(ISERROR(VLOOKUP(A18,'Totalt pivot'!$A$5:$C$397,2,FALSE)),0,(VLOOKUP(A18,'Totalt pivot'!$A$5:$C$397,2,FALSE)))</f>
        <v>16.5</v>
      </c>
      <c r="K18" s="210">
        <f t="shared" si="0"/>
        <v>0.82500000000000007</v>
      </c>
      <c r="L18" s="210">
        <f>IF(ISERROR(VLOOKUP(A18,'Totalt pivot'!$A$5:$C$397,3,FALSE)),0,(VLOOKUP(A18,'Totalt pivot'!$A$5:$C$397,3,FALSE)))</f>
        <v>14.024999999999999</v>
      </c>
      <c r="M18" s="210">
        <f t="shared" si="1"/>
        <v>0.70124999999999993</v>
      </c>
      <c r="N18" s="26">
        <f>VLOOKUP(A18,kurspris!$A$1:$Q$809,15)</f>
        <v>23641</v>
      </c>
      <c r="O18" s="26">
        <f>VLOOKUP(A18,kurspris!$A$1:$Q$809,16)</f>
        <v>28786</v>
      </c>
      <c r="P18" s="26">
        <f>VLOOKUP(A18,kurspris!$A$1:$Q$809,17)</f>
        <v>5800</v>
      </c>
      <c r="Q18" s="26">
        <f t="shared" si="2"/>
        <v>39690.0075</v>
      </c>
      <c r="R18" s="26">
        <f>(Q18*Prislapp!$R$5)*-1</f>
        <v>-2778.3005250000001</v>
      </c>
      <c r="S18" s="26">
        <f t="shared" si="3"/>
        <v>36911.706975000001</v>
      </c>
      <c r="T18" s="26">
        <f t="shared" si="4"/>
        <v>4785</v>
      </c>
    </row>
    <row r="19" spans="1:22" x14ac:dyDescent="0.25">
      <c r="A19" s="62" t="s">
        <v>864</v>
      </c>
      <c r="B19" t="str">
        <f>VLOOKUP(A19,kurspris!$A$1:$Q$809,2,FALSE)</f>
        <v>Samhällsorientering åk 4-6</v>
      </c>
      <c r="C19" s="31">
        <v>2500</v>
      </c>
      <c r="D19" t="str">
        <f>VLOOKUP(C19,Orgenheter!$A$1:$B$213,2)</f>
        <v>Geografi</v>
      </c>
      <c r="E19" t="str">
        <f>VLOOKUP(C19,Orgenheter!$A$1:$C$165,3,FALSE)</f>
        <v>Sam</v>
      </c>
      <c r="F19" s="294">
        <f>5/30</f>
        <v>0.16666666666666666</v>
      </c>
      <c r="G19">
        <f>VLOOKUP(A19,'Ansvar kurs'!$A$85:$C$976,2,FALSE)</f>
        <v>1630</v>
      </c>
      <c r="H19" t="str">
        <f>VLOOKUP(G19,Orgenheter!$A$1:$B$213,2)</f>
        <v>Inst för ide- o samhällsstudier</v>
      </c>
      <c r="I19" t="str">
        <f>VLOOKUP(G19,Orgenheter!$A$1:$C$165,3,FALSE)</f>
        <v>Hum</v>
      </c>
      <c r="J19" s="210">
        <f>IF(ISERROR(VLOOKUP(A19,'Totalt pivot'!$A$5:$C$397,2,FALSE)),0,(VLOOKUP(A19,'Totalt pivot'!$A$5:$C$397,2,FALSE)))</f>
        <v>7</v>
      </c>
      <c r="K19" s="210">
        <f t="shared" si="0"/>
        <v>1.1666666666666665</v>
      </c>
      <c r="L19" s="210">
        <f>IF(ISERROR(VLOOKUP(A19,'Totalt pivot'!$A$5:$C$397,3,FALSE)),0,(VLOOKUP(A19,'Totalt pivot'!$A$5:$C$397,3,FALSE)))</f>
        <v>5.95</v>
      </c>
      <c r="M19" s="210">
        <f t="shared" si="1"/>
        <v>0.9916666666666667</v>
      </c>
      <c r="N19" s="26">
        <f>VLOOKUP(A19,kurspris!$A$1:$Q$809,15)</f>
        <v>18405</v>
      </c>
      <c r="O19" s="26">
        <f>VLOOKUP(A19,kurspris!$A$1:$Q$809,16)</f>
        <v>15773</v>
      </c>
      <c r="P19" s="26">
        <f>VLOOKUP(A19,kurspris!$A$1:$Q$809,17)</f>
        <v>5800</v>
      </c>
      <c r="Q19" s="26">
        <f t="shared" si="2"/>
        <v>37114.058333333334</v>
      </c>
      <c r="R19" s="26">
        <f>(Q19*Prislapp!$R$5)*-1</f>
        <v>-2597.9840833333337</v>
      </c>
      <c r="S19" s="26">
        <f t="shared" si="3"/>
        <v>34516.074249999998</v>
      </c>
      <c r="T19" s="26">
        <f t="shared" si="4"/>
        <v>6766.6666666666661</v>
      </c>
      <c r="V19" s="39" t="s">
        <v>889</v>
      </c>
    </row>
    <row r="20" spans="1:22" x14ac:dyDescent="0.25">
      <c r="A20" s="62" t="s">
        <v>864</v>
      </c>
      <c r="B20" t="str">
        <f>VLOOKUP(A20,kurspris!$A$1:$Q$809,2,FALSE)</f>
        <v>Samhällsorientering åk 4-6</v>
      </c>
      <c r="C20" s="31">
        <v>2180</v>
      </c>
      <c r="D20" t="str">
        <f>VLOOKUP(C20,Orgenheter!$A$1:$B$213,2)</f>
        <v xml:space="preserve">Pedagogik                     </v>
      </c>
      <c r="E20" t="str">
        <f>VLOOKUP(C20,Orgenheter!$A$1:$C$165,3,FALSE)</f>
        <v>Sam</v>
      </c>
      <c r="F20" s="294">
        <v>0.5</v>
      </c>
      <c r="G20">
        <f>VLOOKUP(A20,'Ansvar kurs'!$A$85:$C$976,2,FALSE)</f>
        <v>1630</v>
      </c>
      <c r="H20" t="str">
        <f>VLOOKUP(G20,Orgenheter!$A$1:$B$213,2)</f>
        <v>Inst för ide- o samhällsstudier</v>
      </c>
      <c r="I20" t="str">
        <f>VLOOKUP(G20,Orgenheter!$A$1:$C$165,3,FALSE)</f>
        <v>Hum</v>
      </c>
      <c r="J20" s="210">
        <f>IF(ISERROR(VLOOKUP(A20,'Totalt pivot'!$A$5:$C$397,2,FALSE)),0,(VLOOKUP(A20,'Totalt pivot'!$A$5:$C$397,2,FALSE)))</f>
        <v>7</v>
      </c>
      <c r="K20" s="210">
        <f t="shared" si="0"/>
        <v>3.5</v>
      </c>
      <c r="L20" s="210">
        <f>IF(ISERROR(VLOOKUP(A20,'Totalt pivot'!$A$5:$C$397,3,FALSE)),0,(VLOOKUP(A20,'Totalt pivot'!$A$5:$C$397,3,FALSE)))</f>
        <v>5.95</v>
      </c>
      <c r="M20" s="210">
        <f t="shared" si="1"/>
        <v>2.9750000000000001</v>
      </c>
      <c r="N20" s="26">
        <f>VLOOKUP(A20,kurspris!$A$1:$Q$809,15)</f>
        <v>18405</v>
      </c>
      <c r="O20" s="26">
        <f>VLOOKUP(A20,kurspris!$A$1:$Q$809,16)</f>
        <v>15773</v>
      </c>
      <c r="P20" s="26">
        <f>VLOOKUP(A20,kurspris!$A$1:$Q$809,17)</f>
        <v>5800</v>
      </c>
      <c r="Q20" s="26">
        <f t="shared" si="2"/>
        <v>111342.175</v>
      </c>
      <c r="R20" s="26">
        <f>(Q20*Prislapp!$R$5)*-1</f>
        <v>-7793.9522500000012</v>
      </c>
      <c r="S20" s="26">
        <f t="shared" si="3"/>
        <v>103548.22275</v>
      </c>
      <c r="T20" s="26">
        <f t="shared" si="4"/>
        <v>20300</v>
      </c>
    </row>
    <row r="21" spans="1:22" x14ac:dyDescent="0.25">
      <c r="A21" s="62" t="s">
        <v>1143</v>
      </c>
      <c r="B21" t="str">
        <f>VLOOKUP(A21,kurspris!$A$1:$Q$809,2,FALSE)</f>
        <v>Kunskap, vetenskap och forskningsmetodik, 7,5 hp</v>
      </c>
      <c r="C21" s="31">
        <v>2272</v>
      </c>
      <c r="D21" t="str">
        <f>VLOOKUP(C21,Orgenheter!$A$1:$B$213,2)</f>
        <v xml:space="preserve">Statistik                     </v>
      </c>
      <c r="E21" t="str">
        <f>VLOOKUP(C21,Orgenheter!$A$1:$C$165,3,FALSE)</f>
        <v>Sam</v>
      </c>
      <c r="F21" s="294">
        <f>1.5/7.5</f>
        <v>0.2</v>
      </c>
      <c r="G21">
        <f>VLOOKUP(A21,'Ansvar kurs'!$A$85:$C$976,2,FALSE)</f>
        <v>1630</v>
      </c>
      <c r="H21" t="str">
        <f>VLOOKUP(G21,Orgenheter!$A$1:$B$213,2)</f>
        <v>Inst för ide- o samhällsstudier</v>
      </c>
      <c r="I21" t="str">
        <f>VLOOKUP(G21,Orgenheter!$A$1:$C$165,3,FALSE)</f>
        <v>Hum</v>
      </c>
      <c r="J21" s="210">
        <f>IF(ISERROR(VLOOKUP(A21,'Totalt pivot'!$A$5:$C$397,2,FALSE)),0,(VLOOKUP(A21,'Totalt pivot'!$A$5:$C$397,2,FALSE)))</f>
        <v>38.125</v>
      </c>
      <c r="K21" s="210">
        <f t="shared" si="0"/>
        <v>7.625</v>
      </c>
      <c r="L21" s="210">
        <f>IF(ISERROR(VLOOKUP(A21,'Totalt pivot'!$A$5:$C$397,3,FALSE)),0,(VLOOKUP(A21,'Totalt pivot'!$A$5:$C$397,3,FALSE)))</f>
        <v>32.40625</v>
      </c>
      <c r="M21" s="210">
        <f t="shared" si="1"/>
        <v>6.4812500000000002</v>
      </c>
      <c r="N21" s="26">
        <f>VLOOKUP(A21,kurspris!$A$1:$Q$809,15)</f>
        <v>23641</v>
      </c>
      <c r="O21" s="26">
        <f>VLOOKUP(A21,kurspris!$A$1:$Q$809,16)</f>
        <v>28786</v>
      </c>
      <c r="P21" s="26">
        <f>VLOOKUP(A21,kurspris!$A$1:$Q$809,17)</f>
        <v>5800</v>
      </c>
      <c r="Q21" s="26">
        <f t="shared" si="2"/>
        <v>366831.88750000001</v>
      </c>
      <c r="R21" s="26">
        <f>(Q21*Prislapp!$R$5)*-1</f>
        <v>-25678.232125000002</v>
      </c>
      <c r="S21" s="26">
        <f t="shared" si="3"/>
        <v>341153.65537500003</v>
      </c>
      <c r="T21" s="26">
        <f t="shared" si="4"/>
        <v>44225</v>
      </c>
      <c r="V21" t="s">
        <v>1131</v>
      </c>
    </row>
    <row r="22" spans="1:22" x14ac:dyDescent="0.25">
      <c r="A22" s="62" t="s">
        <v>1143</v>
      </c>
      <c r="B22" t="str">
        <f>VLOOKUP(A22,kurspris!$A$1:$Q$809,2,FALSE)</f>
        <v>Kunskap, vetenskap och forskningsmetodik, 7,5 hp</v>
      </c>
      <c r="C22" s="31">
        <v>2180</v>
      </c>
      <c r="D22" t="str">
        <f>VLOOKUP(C22,Orgenheter!$A$1:$B$213,2)</f>
        <v xml:space="preserve">Pedagogik                     </v>
      </c>
      <c r="E22" t="str">
        <f>VLOOKUP(C22,Orgenheter!$A$1:$C$165,3,FALSE)</f>
        <v>Sam</v>
      </c>
      <c r="F22" s="294">
        <f>1/7.5</f>
        <v>0.13333333333333333</v>
      </c>
      <c r="G22">
        <f>VLOOKUP(A22,'Ansvar kurs'!$A$85:$C$976,2,FALSE)</f>
        <v>1630</v>
      </c>
      <c r="H22" t="str">
        <f>VLOOKUP(G22,Orgenheter!$A$1:$B$213,2)</f>
        <v>Inst för ide- o samhällsstudier</v>
      </c>
      <c r="I22" t="str">
        <f>VLOOKUP(G22,Orgenheter!$A$1:$C$165,3,FALSE)</f>
        <v>Hum</v>
      </c>
      <c r="J22" s="210">
        <f>IF(ISERROR(VLOOKUP(A22,'Totalt pivot'!$A$5:$C$397,2,FALSE)),0,(VLOOKUP(A22,'Totalt pivot'!$A$5:$C$397,2,FALSE)))</f>
        <v>38.125</v>
      </c>
      <c r="K22" s="210">
        <f t="shared" si="0"/>
        <v>5.083333333333333</v>
      </c>
      <c r="L22" s="210">
        <f>IF(ISERROR(VLOOKUP(A22,'Totalt pivot'!$A$5:$C$397,3,FALSE)),0,(VLOOKUP(A22,'Totalt pivot'!$A$5:$C$397,3,FALSE)))</f>
        <v>32.40625</v>
      </c>
      <c r="M22" s="210">
        <f t="shared" si="1"/>
        <v>4.3208333333333329</v>
      </c>
      <c r="N22" s="26">
        <f>VLOOKUP(A22,kurspris!$A$1:$Q$809,15)</f>
        <v>23641</v>
      </c>
      <c r="O22" s="26">
        <f>VLOOKUP(A22,kurspris!$A$1:$Q$809,16)</f>
        <v>28786</v>
      </c>
      <c r="P22" s="26">
        <f>VLOOKUP(A22,kurspris!$A$1:$Q$809,17)</f>
        <v>5800</v>
      </c>
      <c r="Q22" s="26">
        <f t="shared" si="2"/>
        <v>244554.59166666665</v>
      </c>
      <c r="R22" s="26">
        <f>(Q22*Prislapp!$R$5)*-1</f>
        <v>-17118.821416666666</v>
      </c>
      <c r="S22" s="26">
        <f t="shared" si="3"/>
        <v>227435.77024999997</v>
      </c>
      <c r="T22" s="26">
        <f t="shared" si="4"/>
        <v>29483.333333333332</v>
      </c>
      <c r="V22" t="s">
        <v>1131</v>
      </c>
    </row>
    <row r="23" spans="1:22" x14ac:dyDescent="0.25">
      <c r="A23" s="62" t="s">
        <v>1145</v>
      </c>
      <c r="B23" t="str">
        <f>VLOOKUP(A23,kurspris!$A$1:$Q$809,2,FALSE)</f>
        <v>Etik, demokrati och det heterogena klassrummet, 7,5 hp</v>
      </c>
      <c r="C23" s="31">
        <v>1640</v>
      </c>
      <c r="D23" t="str">
        <f>VLOOKUP(C23,Orgenheter!$A$1:$B$213,2)</f>
        <v>Inst för kultur- o medievetenskap</v>
      </c>
      <c r="E23" t="str">
        <f>VLOOKUP(C23,Orgenheter!$A$1:$C$165,3,FALSE)</f>
        <v>Hum</v>
      </c>
      <c r="F23" s="294">
        <f>3.5/7.5</f>
        <v>0.46666666666666667</v>
      </c>
      <c r="G23">
        <f>VLOOKUP(A23,'Ansvar kurs'!$A$85:$C$976,2,FALSE)</f>
        <v>1630</v>
      </c>
      <c r="H23" t="str">
        <f>VLOOKUP(G23,Orgenheter!$A$1:$B$213,2)</f>
        <v>Inst för ide- o samhällsstudier</v>
      </c>
      <c r="I23" t="str">
        <f>VLOOKUP(G23,Orgenheter!$A$1:$C$165,3,FALSE)</f>
        <v>Hum</v>
      </c>
      <c r="J23" s="210">
        <f>IF(ISERROR(VLOOKUP(A23,'Totalt pivot'!$A$5:$C$397,2,FALSE)),0,(VLOOKUP(A23,'Totalt pivot'!$A$5:$C$397,2,FALSE)))</f>
        <v>36.75</v>
      </c>
      <c r="K23" s="210">
        <f t="shared" si="0"/>
        <v>17.149999999999999</v>
      </c>
      <c r="L23" s="210">
        <f>IF(ISERROR(VLOOKUP(A23,'Totalt pivot'!$A$5:$C$397,3,FALSE)),0,(VLOOKUP(A23,'Totalt pivot'!$A$5:$C$397,3,FALSE)))</f>
        <v>31.237500000000001</v>
      </c>
      <c r="M23" s="210">
        <f t="shared" si="1"/>
        <v>14.577500000000001</v>
      </c>
      <c r="N23" s="26">
        <f>VLOOKUP(A23,kurspris!$A$1:$Q$809,15)</f>
        <v>23641</v>
      </c>
      <c r="O23" s="26">
        <f>VLOOKUP(A23,kurspris!$A$1:$Q$809,16)</f>
        <v>28786</v>
      </c>
      <c r="P23" s="26">
        <f>VLOOKUP(A23,kurspris!$A$1:$Q$809,17)</f>
        <v>5800</v>
      </c>
      <c r="Q23" s="26">
        <f t="shared" si="2"/>
        <v>825071.06499999994</v>
      </c>
      <c r="R23" s="26">
        <f>(Q23*Prislapp!$R$5)*-1</f>
        <v>-57754.974549999999</v>
      </c>
      <c r="S23" s="26">
        <f t="shared" si="3"/>
        <v>767316.0904499999</v>
      </c>
      <c r="T23" s="26">
        <f t="shared" si="4"/>
        <v>99469.999999999985</v>
      </c>
      <c r="V23" t="s">
        <v>1131</v>
      </c>
    </row>
    <row r="24" spans="1:22" x14ac:dyDescent="0.25">
      <c r="A24" s="62" t="s">
        <v>819</v>
      </c>
      <c r="B24" t="str">
        <f>VLOOKUP(A24,kurspris!$A$1:$Q$809,2,FALSE)</f>
        <v>Att undervisa i åk 4-6</v>
      </c>
      <c r="C24" s="31">
        <v>5740</v>
      </c>
      <c r="D24" t="str">
        <f>VLOOKUP(C24,Orgenheter!$A$1:$B$213,2)</f>
        <v>NMD</v>
      </c>
      <c r="E24" t="str">
        <f>VLOOKUP(C24,Orgenheter!$A$1:$C$165,3,FALSE)</f>
        <v>TekNat</v>
      </c>
      <c r="F24" s="294">
        <f>2/6</f>
        <v>0.33333333333333331</v>
      </c>
      <c r="G24">
        <f>VLOOKUP(A24,'Ansvar kurs'!$A$85:$C$976,2,FALSE)</f>
        <v>1620</v>
      </c>
      <c r="H24" t="str">
        <f>VLOOKUP(G24,Orgenheter!$A$1:$B$213,2)</f>
        <v>Inst för språkstudier</v>
      </c>
      <c r="I24" t="str">
        <f>VLOOKUP(G24,Orgenheter!$A$1:$C$165,3,FALSE)</f>
        <v>Hum</v>
      </c>
      <c r="J24" s="210">
        <f>IF(ISERROR(VLOOKUP(A24,'Totalt pivot'!$A$5:$C$397,2,FALSE)),0,(VLOOKUP(A24,'Totalt pivot'!$A$5:$C$397,2,FALSE)))</f>
        <v>2.9</v>
      </c>
      <c r="K24" s="210">
        <f t="shared" si="0"/>
        <v>0.96666666666666656</v>
      </c>
      <c r="L24" s="210">
        <f>IF(ISERROR(VLOOKUP(A24,'Totalt pivot'!$A$5:$C$397,3,FALSE)),0,(VLOOKUP(A24,'Totalt pivot'!$A$5:$C$397,3,FALSE)))</f>
        <v>2.4649999999999999</v>
      </c>
      <c r="M24" s="210">
        <f t="shared" si="1"/>
        <v>0.82166666666666655</v>
      </c>
      <c r="N24" s="26">
        <f>VLOOKUP(A24,kurspris!$A$1:$Q$809,15)</f>
        <v>21634</v>
      </c>
      <c r="O24" s="26">
        <f>VLOOKUP(A24,kurspris!$A$1:$Q$809,16)</f>
        <v>26986</v>
      </c>
      <c r="P24" s="26">
        <f>VLOOKUP(A24,kurspris!$A$1:$Q$809,17)</f>
        <v>3400</v>
      </c>
      <c r="Q24" s="26">
        <f t="shared" si="2"/>
        <v>43086.363333333327</v>
      </c>
      <c r="R24" s="26">
        <f>(Q24*Prislapp!$R$5)*-1</f>
        <v>-3016.0454333333332</v>
      </c>
      <c r="S24" s="26">
        <f t="shared" si="3"/>
        <v>40070.317899999995</v>
      </c>
      <c r="T24" s="26">
        <f t="shared" si="4"/>
        <v>3286.6666666666665</v>
      </c>
      <c r="V24" s="39" t="s">
        <v>820</v>
      </c>
    </row>
    <row r="25" spans="1:22" x14ac:dyDescent="0.25">
      <c r="A25" s="62" t="s">
        <v>818</v>
      </c>
      <c r="B25" t="str">
        <f>VLOOKUP(A25,kurspris!$A$1:$Q$809,2,FALSE)</f>
        <v>Att undervisa i F-3</v>
      </c>
      <c r="C25" s="31">
        <v>5740</v>
      </c>
      <c r="D25" t="str">
        <f>VLOOKUP(C25,Orgenheter!$A$1:$B$213,2)</f>
        <v>NMD</v>
      </c>
      <c r="E25" t="str">
        <f>VLOOKUP(C25,Orgenheter!$A$1:$C$165,3,FALSE)</f>
        <v>TekNat</v>
      </c>
      <c r="F25" s="294">
        <f>2/6</f>
        <v>0.33333333333333331</v>
      </c>
      <c r="G25">
        <f>VLOOKUP(A25,'Ansvar kurs'!$A$85:$C$976,2,FALSE)</f>
        <v>1620</v>
      </c>
      <c r="H25" t="str">
        <f>VLOOKUP(G25,Orgenheter!$A$1:$B$213,2)</f>
        <v>Inst för språkstudier</v>
      </c>
      <c r="I25" t="str">
        <f>VLOOKUP(G25,Orgenheter!$A$1:$C$165,3,FALSE)</f>
        <v>Hum</v>
      </c>
      <c r="J25" s="210">
        <f>IF(ISERROR(VLOOKUP(A25,'Totalt pivot'!$A$5:$C$397,2,FALSE)),0,(VLOOKUP(A25,'Totalt pivot'!$A$5:$C$397,2,FALSE)))</f>
        <v>3.4</v>
      </c>
      <c r="K25" s="210">
        <f t="shared" si="0"/>
        <v>1.1333333333333333</v>
      </c>
      <c r="L25" s="210">
        <f>IF(ISERROR(VLOOKUP(A25,'Totalt pivot'!$A$5:$C$397,3,FALSE)),0,(VLOOKUP(A25,'Totalt pivot'!$A$5:$C$397,3,FALSE)))</f>
        <v>2.8899999999999997</v>
      </c>
      <c r="M25" s="210">
        <f t="shared" si="1"/>
        <v>0.96333333333333315</v>
      </c>
      <c r="N25" s="26">
        <f>VLOOKUP(A25,kurspris!$A$1:$Q$809,15)</f>
        <v>21634</v>
      </c>
      <c r="O25" s="26">
        <f>VLOOKUP(A25,kurspris!$A$1:$Q$809,16)</f>
        <v>26986</v>
      </c>
      <c r="P25" s="26">
        <f>VLOOKUP(A25,kurspris!$A$1:$Q$809,17)</f>
        <v>3400</v>
      </c>
      <c r="Q25" s="26">
        <f t="shared" si="2"/>
        <v>50515.046666666662</v>
      </c>
      <c r="R25" s="26">
        <f>(Q25*Prislapp!$R$5)*-1</f>
        <v>-3536.0532666666668</v>
      </c>
      <c r="S25" s="26">
        <f t="shared" si="3"/>
        <v>46978.993399999992</v>
      </c>
      <c r="T25" s="26">
        <f t="shared" si="4"/>
        <v>3853.333333333333</v>
      </c>
      <c r="V25" s="39" t="s">
        <v>820</v>
      </c>
    </row>
    <row r="26" spans="1:22" x14ac:dyDescent="0.25">
      <c r="A26" s="62" t="s">
        <v>1556</v>
      </c>
      <c r="B26" t="str">
        <f>VLOOKUP(A26,kurspris!$A$1:$Q$809,2,FALSE)</f>
        <v>Språk, kommunikation och språkutveckling i förskolans verksamhet</v>
      </c>
      <c r="C26" s="31">
        <v>2193</v>
      </c>
      <c r="D26" t="str">
        <f>VLOOKUP(C26,Orgenheter!$A$1:$B$213,2)</f>
        <v xml:space="preserve">TUV </v>
      </c>
      <c r="E26" t="str">
        <f>VLOOKUP(C26,Orgenheter!$A$1:$C$165,3,FALSE)</f>
        <v>Sam</v>
      </c>
      <c r="F26" s="294">
        <f>3/15</f>
        <v>0.2</v>
      </c>
      <c r="G26">
        <f>VLOOKUP(A26,'Ansvar kurs'!$A$85:$C$976,2,FALSE)</f>
        <v>1620</v>
      </c>
      <c r="H26" t="str">
        <f>VLOOKUP(G26,Orgenheter!$A$1:$B$213,2)</f>
        <v>Inst för språkstudier</v>
      </c>
      <c r="I26" t="str">
        <f>VLOOKUP(G26,Orgenheter!$A$1:$C$165,3,FALSE)</f>
        <v>Hum</v>
      </c>
      <c r="J26" s="210">
        <f>IF(ISERROR(VLOOKUP(A26,'Totalt pivot'!$A$5:$C$397,2,FALSE)),0,(VLOOKUP(A26,'Totalt pivot'!$A$5:$C$397,2,FALSE)))</f>
        <v>21.25</v>
      </c>
      <c r="K26" s="210">
        <f t="shared" si="0"/>
        <v>4.25</v>
      </c>
      <c r="L26" s="210">
        <f>IF(ISERROR(VLOOKUP(A26,'Totalt pivot'!$A$5:$C$397,3,FALSE)),0,(VLOOKUP(A26,'Totalt pivot'!$A$5:$C$397,3,FALSE)))</f>
        <v>18.0625</v>
      </c>
      <c r="M26" s="210">
        <f t="shared" si="1"/>
        <v>3.6125000000000003</v>
      </c>
      <c r="N26" s="26">
        <f>VLOOKUP(A26,kurspris!$A$1:$Q$809,15)</f>
        <v>18405</v>
      </c>
      <c r="O26" s="26">
        <f>VLOOKUP(A26,kurspris!$A$1:$Q$809,16)</f>
        <v>15773</v>
      </c>
      <c r="P26" s="26">
        <f>VLOOKUP(A26,kurspris!$A$1:$Q$809,17)</f>
        <v>5800</v>
      </c>
      <c r="Q26" s="26">
        <f t="shared" si="2"/>
        <v>135201.21249999999</v>
      </c>
      <c r="R26" s="26">
        <f>(Q26*Prislapp!$R$5)*-1</f>
        <v>-9464.0848750000005</v>
      </c>
      <c r="S26" s="26">
        <f t="shared" si="3"/>
        <v>125737.12762499999</v>
      </c>
      <c r="T26" s="26">
        <f t="shared" si="4"/>
        <v>24650</v>
      </c>
      <c r="V26" s="39"/>
    </row>
    <row r="27" spans="1:22" x14ac:dyDescent="0.25">
      <c r="A27" s="62" t="s">
        <v>1661</v>
      </c>
      <c r="B27" t="str">
        <f>VLOOKUP(A27,kurspris!$A$1:$Q$809,2,FALSE)</f>
        <v>Kommunikation och språkutveckling för fritidshem</v>
      </c>
      <c r="C27" s="31">
        <v>2193</v>
      </c>
      <c r="D27" t="str">
        <f>VLOOKUP(C27,Orgenheter!$A$1:$B$213,2)</f>
        <v xml:space="preserve">TUV </v>
      </c>
      <c r="E27" t="str">
        <f>VLOOKUP(C27,Orgenheter!$A$1:$C$165,3,FALSE)</f>
        <v>Sam</v>
      </c>
      <c r="F27" s="294">
        <f>2.5/7.5</f>
        <v>0.33333333333333331</v>
      </c>
      <c r="G27">
        <f>VLOOKUP(A27,'Ansvar kurs'!$A$85:$C$976,2,FALSE)</f>
        <v>1620</v>
      </c>
      <c r="H27" t="str">
        <f>VLOOKUP(G27,Orgenheter!$A$1:$B$213,2)</f>
        <v>Inst för språkstudier</v>
      </c>
      <c r="I27" t="str">
        <f>VLOOKUP(G27,Orgenheter!$A$1:$C$165,3,FALSE)</f>
        <v>Hum</v>
      </c>
      <c r="J27" s="210">
        <f>IF(ISERROR(VLOOKUP(A27,'Totalt pivot'!$A$5:$C$397,2,FALSE)),0,(VLOOKUP(A27,'Totalt pivot'!$A$5:$C$397,2,FALSE)))</f>
        <v>3.125</v>
      </c>
      <c r="K27" s="210">
        <f t="shared" si="0"/>
        <v>1.0416666666666665</v>
      </c>
      <c r="L27" s="210">
        <f>IF(ISERROR(VLOOKUP(A27,'Totalt pivot'!$A$5:$C$397,3,FALSE)),0,(VLOOKUP(A27,'Totalt pivot'!$A$5:$C$397,3,FALSE)))</f>
        <v>2.65625</v>
      </c>
      <c r="M27" s="210">
        <f t="shared" si="1"/>
        <v>0.88541666666666663</v>
      </c>
      <c r="N27" s="26">
        <f>VLOOKUP(A27,kurspris!$A$1:$Q$809,15)</f>
        <v>18405</v>
      </c>
      <c r="O27" s="26">
        <f>VLOOKUP(A27,kurspris!$A$1:$Q$809,16)</f>
        <v>15773</v>
      </c>
      <c r="P27" s="26">
        <f>VLOOKUP(A27,kurspris!$A$1:$Q$809,17)</f>
        <v>5800</v>
      </c>
      <c r="Q27" s="26">
        <f t="shared" si="2"/>
        <v>33137.552083333328</v>
      </c>
      <c r="R27" s="26">
        <f>(Q27*Prislapp!$R$5)*-1</f>
        <v>-2319.6286458333334</v>
      </c>
      <c r="S27" s="26">
        <f t="shared" si="3"/>
        <v>30817.923437499994</v>
      </c>
      <c r="T27" s="26">
        <f t="shared" si="4"/>
        <v>6041.6666666666661</v>
      </c>
      <c r="V27" s="39" t="s">
        <v>1701</v>
      </c>
    </row>
    <row r="28" spans="1:22" x14ac:dyDescent="0.25">
      <c r="A28" s="31" t="s">
        <v>1451</v>
      </c>
      <c r="B28" t="str">
        <f>VLOOKUP(A28,kurspris!$A$1:$Q$809,2,FALSE)</f>
        <v>Matematik 4 för förskoleklass och grundskolans årskurs 1-3</v>
      </c>
      <c r="C28" s="31">
        <v>5730</v>
      </c>
      <c r="D28" t="str">
        <f>VLOOKUP(C28,Orgenheter!$A$1:$B$213,2)</f>
        <v>Inst för MA och MA statistik</v>
      </c>
      <c r="E28" t="str">
        <f>VLOOKUP(C28,Orgenheter!$A$1:$C$165,3,FALSE)</f>
        <v>TekNat</v>
      </c>
      <c r="F28" s="295">
        <f>2.5/7.5</f>
        <v>0.33333333333333331</v>
      </c>
      <c r="G28">
        <f>VLOOKUP(A28,'Ansvar kurs'!$A$85:$C$976,2,FALSE)</f>
        <v>5740</v>
      </c>
      <c r="H28" t="str">
        <f>VLOOKUP(G28,Orgenheter!$A$1:$B$213,2)</f>
        <v>NMD</v>
      </c>
      <c r="I28" t="str">
        <f>VLOOKUP(G28,Orgenheter!$A$1:$C$165,3,FALSE)</f>
        <v>TekNat</v>
      </c>
      <c r="J28" s="210">
        <f>IF(ISERROR(VLOOKUP(A28,'Totalt pivot'!$A$5:$C$397,2,FALSE)),0,(VLOOKUP(A28,'Totalt pivot'!$A$5:$C$397,2,FALSE)))</f>
        <v>4</v>
      </c>
      <c r="K28" s="210">
        <f t="shared" si="0"/>
        <v>1.3333333333333333</v>
      </c>
      <c r="L28" s="210">
        <f>IF(ISERROR(VLOOKUP(A28,'Totalt pivot'!$A$5:$C$397,3,FALSE)),0,(VLOOKUP(A28,'Totalt pivot'!$A$5:$C$397,3,FALSE)))</f>
        <v>3.4</v>
      </c>
      <c r="M28" s="210">
        <f t="shared" si="1"/>
        <v>1.1333333333333333</v>
      </c>
      <c r="N28" s="26">
        <f>VLOOKUP(A28,kurspris!$A$1:$Q$809,15)</f>
        <v>19473</v>
      </c>
      <c r="O28" s="26">
        <f>VLOOKUP(A28,kurspris!$A$1:$Q$809,16)</f>
        <v>34806</v>
      </c>
      <c r="P28" s="26">
        <f>VLOOKUP(A28,kurspris!$A$1:$Q$809,17)</f>
        <v>21800</v>
      </c>
      <c r="Q28" s="26">
        <f t="shared" si="2"/>
        <v>65410.799999999996</v>
      </c>
      <c r="R28" s="26">
        <f>(Q28*Prislapp!$R$5)*-1</f>
        <v>-4578.7560000000003</v>
      </c>
      <c r="S28" s="26">
        <f t="shared" si="3"/>
        <v>60832.043999999994</v>
      </c>
      <c r="T28" s="26">
        <f t="shared" si="4"/>
        <v>29066.666666666664</v>
      </c>
    </row>
    <row r="29" spans="1:22" x14ac:dyDescent="0.25">
      <c r="A29" s="31" t="s">
        <v>1455</v>
      </c>
      <c r="B29" t="str">
        <f>VLOOKUP(A29,kurspris!$A$1:$Q$809,2,FALSE)</f>
        <v>Matematik 3 för grundskolans årskurs 4-6</v>
      </c>
      <c r="C29" s="31">
        <v>5730</v>
      </c>
      <c r="D29" t="str">
        <f>VLOOKUP(C29,Orgenheter!$A$1:$B$213,2)</f>
        <v>Inst för MA och MA statistik</v>
      </c>
      <c r="E29" t="str">
        <f>VLOOKUP(C29,Orgenheter!$A$1:$C$165,3,FALSE)</f>
        <v>TekNat</v>
      </c>
      <c r="F29" s="295">
        <f>2.5/7.5</f>
        <v>0.33333333333333331</v>
      </c>
      <c r="G29">
        <f>VLOOKUP(A29,'Ansvar kurs'!$A$85:$C$976,2,FALSE)</f>
        <v>5740</v>
      </c>
      <c r="H29" t="str">
        <f>VLOOKUP(G29,Orgenheter!$A$1:$B$213,2)</f>
        <v>NMD</v>
      </c>
      <c r="I29" t="str">
        <f>VLOOKUP(G29,Orgenheter!$A$1:$C$165,3,FALSE)</f>
        <v>TekNat</v>
      </c>
      <c r="J29" s="210">
        <f>IF(ISERROR(VLOOKUP(A29,'Totalt pivot'!$A$5:$C$397,2,FALSE)),0,(VLOOKUP(A29,'Totalt pivot'!$A$5:$C$397,2,FALSE)))</f>
        <v>2.75</v>
      </c>
      <c r="K29" s="210">
        <f t="shared" si="0"/>
        <v>0.91666666666666663</v>
      </c>
      <c r="L29" s="210">
        <f>IF(ISERROR(VLOOKUP(A29,'Totalt pivot'!$A$5:$C$397,3,FALSE)),0,(VLOOKUP(A29,'Totalt pivot'!$A$5:$C$397,3,FALSE)))</f>
        <v>2.3374999999999999</v>
      </c>
      <c r="M29" s="210">
        <f>F29*L29</f>
        <v>0.77916666666666656</v>
      </c>
      <c r="N29" s="26">
        <f>VLOOKUP(A29,kurspris!$A$1:$Q$809,15)</f>
        <v>19473</v>
      </c>
      <c r="O29" s="26">
        <f>VLOOKUP(A29,kurspris!$A$1:$Q$809,16)</f>
        <v>34806</v>
      </c>
      <c r="P29" s="26">
        <f>VLOOKUP(A29,kurspris!$A$1:$Q$809,17)</f>
        <v>21800</v>
      </c>
      <c r="Q29" s="26">
        <f>K29*N29+M29*O29</f>
        <v>44969.924999999996</v>
      </c>
      <c r="R29" s="26">
        <f>(Q29*Prislapp!$R$5)*-1</f>
        <v>-3147.8947499999999</v>
      </c>
      <c r="S29" s="26">
        <f>Q29+R29</f>
        <v>41822.030249999996</v>
      </c>
      <c r="T29" s="26">
        <f>K29*P29</f>
        <v>19983.333333333332</v>
      </c>
      <c r="V29" t="s">
        <v>1465</v>
      </c>
    </row>
    <row r="30" spans="1:22" x14ac:dyDescent="0.25">
      <c r="A30" s="31" t="s">
        <v>1457</v>
      </c>
      <c r="B30" t="str">
        <f>VLOOKUP(A30,kurspris!$A$1:$Q$809,2,FALSE)</f>
        <v>Matematik 4 för grundskolans årskurs 4-6</v>
      </c>
      <c r="C30" s="31">
        <v>5730</v>
      </c>
      <c r="D30" t="str">
        <f>VLOOKUP(C30,Orgenheter!$A$1:$B$213,2)</f>
        <v>Inst för MA och MA statistik</v>
      </c>
      <c r="E30" t="str">
        <f>VLOOKUP(C30,Orgenheter!$A$1:$C$165,3,FALSE)</f>
        <v>TekNat</v>
      </c>
      <c r="F30" s="295">
        <f>2.5/7.5</f>
        <v>0.33333333333333331</v>
      </c>
      <c r="G30">
        <f>VLOOKUP(A30,'Ansvar kurs'!$A$85:$C$976,2,FALSE)</f>
        <v>5740</v>
      </c>
      <c r="H30" t="str">
        <f>VLOOKUP(G30,Orgenheter!$A$1:$B$213,2)</f>
        <v>NMD</v>
      </c>
      <c r="I30" t="str">
        <f>VLOOKUP(G30,Orgenheter!$A$1:$C$165,3,FALSE)</f>
        <v>TekNat</v>
      </c>
      <c r="J30" s="210">
        <f>IF(ISERROR(VLOOKUP(A30,'Totalt pivot'!$A$5:$C$397,2,FALSE)),0,(VLOOKUP(A30,'Totalt pivot'!$A$5:$C$397,2,FALSE)))</f>
        <v>3.5</v>
      </c>
      <c r="K30" s="210">
        <f t="shared" si="0"/>
        <v>1.1666666666666665</v>
      </c>
      <c r="L30" s="210">
        <f>IF(ISERROR(VLOOKUP(A30,'Totalt pivot'!$A$5:$C$397,3,FALSE)),0,(VLOOKUP(A30,'Totalt pivot'!$A$5:$C$397,3,FALSE)))</f>
        <v>2.9750000000000001</v>
      </c>
      <c r="M30" s="210">
        <f>F30*L30</f>
        <v>0.9916666666666667</v>
      </c>
      <c r="N30" s="26">
        <f>VLOOKUP(A30,kurspris!$A$1:$Q$809,15)</f>
        <v>19473</v>
      </c>
      <c r="O30" s="26">
        <f>VLOOKUP(A30,kurspris!$A$1:$Q$809,16)</f>
        <v>34806</v>
      </c>
      <c r="P30" s="26">
        <f>VLOOKUP(A30,kurspris!$A$1:$Q$809,17)</f>
        <v>21800</v>
      </c>
      <c r="Q30" s="26">
        <f>K30*N30+M30*O30</f>
        <v>57234.45</v>
      </c>
      <c r="R30" s="26">
        <f>(Q30*Prislapp!$R$5)*-1</f>
        <v>-4006.4115000000002</v>
      </c>
      <c r="S30" s="26">
        <f>Q30+R30</f>
        <v>53228.038499999995</v>
      </c>
      <c r="T30" s="26">
        <f>K30*P30</f>
        <v>25433.333333333328</v>
      </c>
    </row>
    <row r="31" spans="1:22" x14ac:dyDescent="0.25">
      <c r="A31" s="31" t="s">
        <v>1557</v>
      </c>
      <c r="B31" t="str">
        <f>VLOOKUP(A31,kurspris!$A$1:$Q$809,2,FALSE)</f>
        <v>Matematik för förskolan</v>
      </c>
      <c r="C31" s="31">
        <v>2193</v>
      </c>
      <c r="D31" t="str">
        <f>VLOOKUP(C31,Orgenheter!$A$1:$B$213,2)</f>
        <v xml:space="preserve">TUV </v>
      </c>
      <c r="E31" t="str">
        <f>VLOOKUP(C31,Orgenheter!$A$1:$C$165,3,FALSE)</f>
        <v>Sam</v>
      </c>
      <c r="F31" s="295">
        <f>2/7.5</f>
        <v>0.26666666666666666</v>
      </c>
      <c r="G31">
        <f>VLOOKUP(A31,'Ansvar kurs'!$A$85:$C$976,2,FALSE)</f>
        <v>5740</v>
      </c>
      <c r="H31" t="str">
        <f>VLOOKUP(G31,Orgenheter!$A$1:$B$213,2)</f>
        <v>NMD</v>
      </c>
      <c r="I31" t="str">
        <f>VLOOKUP(G31,Orgenheter!$A$1:$C$165,3,FALSE)</f>
        <v>TekNat</v>
      </c>
      <c r="J31" s="210">
        <f>IF(ISERROR(VLOOKUP(A31,'Totalt pivot'!$A$5:$C$397,2,FALSE)),0,(VLOOKUP(A31,'Totalt pivot'!$A$5:$C$397,2,FALSE)))</f>
        <v>10.375</v>
      </c>
      <c r="K31" s="210">
        <f t="shared" si="0"/>
        <v>2.7666666666666666</v>
      </c>
      <c r="L31" s="210">
        <f>IF(ISERROR(VLOOKUP(A31,'Totalt pivot'!$A$5:$C$397,3,FALSE)),0,(VLOOKUP(A31,'Totalt pivot'!$A$5:$C$397,3,FALSE)))</f>
        <v>8.8187499999999996</v>
      </c>
      <c r="M31" s="210">
        <f>F31*L31</f>
        <v>2.3516666666666666</v>
      </c>
      <c r="N31" s="26">
        <f>VLOOKUP(A31,kurspris!$A$1:$Q$809,15)</f>
        <v>19473</v>
      </c>
      <c r="O31" s="26">
        <f>VLOOKUP(A31,kurspris!$A$1:$Q$809,16)</f>
        <v>34806</v>
      </c>
      <c r="P31" s="26">
        <f>VLOOKUP(A31,kurspris!$A$1:$Q$809,17)</f>
        <v>21800</v>
      </c>
      <c r="Q31" s="26">
        <f>K31*N31+M31*O31</f>
        <v>135727.41</v>
      </c>
      <c r="R31" s="26">
        <f>(Q31*Prislapp!$R$5)*-1</f>
        <v>-9500.918700000002</v>
      </c>
      <c r="S31" s="26">
        <f>Q31+R31</f>
        <v>126226.49129999999</v>
      </c>
      <c r="T31" s="26">
        <f>K31*P31</f>
        <v>60313.333333333328</v>
      </c>
    </row>
    <row r="32" spans="1:22" x14ac:dyDescent="0.25">
      <c r="A32" s="62" t="s">
        <v>1862</v>
      </c>
      <c r="B32" t="str">
        <f>VLOOKUP(A32,kurspris!$A$1:$Q$809,2,FALSE)</f>
        <v>Naturvetenskap och teknik i förskolan</v>
      </c>
      <c r="C32" s="31">
        <v>2193</v>
      </c>
      <c r="D32" t="str">
        <f>VLOOKUP(C32,Orgenheter!$A$1:$B$213,2)</f>
        <v xml:space="preserve">TUV </v>
      </c>
      <c r="E32" t="str">
        <f>VLOOKUP(C32,Orgenheter!$A$1:$C$165,3,FALSE)</f>
        <v>Sam</v>
      </c>
      <c r="F32" s="295">
        <f>3/15</f>
        <v>0.2</v>
      </c>
      <c r="G32">
        <f>VLOOKUP(A32,'Ansvar kurs'!$A$85:$C$976,2,FALSE)</f>
        <v>5740</v>
      </c>
      <c r="H32" t="str">
        <f>VLOOKUP(G32,Orgenheter!$A$1:$B$213,2)</f>
        <v>NMD</v>
      </c>
      <c r="I32" t="str">
        <f>VLOOKUP(G32,Orgenheter!$A$1:$C$165,3,FALSE)</f>
        <v>TekNat</v>
      </c>
      <c r="J32" s="210">
        <f>IF(ISERROR(VLOOKUP(A32,'Totalt pivot'!$A$5:$C$397,2,FALSE)),0,(VLOOKUP(A32,'Totalt pivot'!$A$5:$C$397,2,FALSE)))</f>
        <v>13.25</v>
      </c>
      <c r="K32" s="210">
        <f t="shared" si="0"/>
        <v>2.6500000000000004</v>
      </c>
      <c r="L32" s="210">
        <f>IF(ISERROR(VLOOKUP(A32,'Totalt pivot'!$A$5:$C$397,3,FALSE)),0,(VLOOKUP(A32,'Totalt pivot'!$A$5:$C$397,3,FALSE)))</f>
        <v>11.262499999999999</v>
      </c>
      <c r="M32" s="210">
        <f>F32*L32</f>
        <v>2.2524999999999999</v>
      </c>
      <c r="N32" s="26">
        <f>VLOOKUP(A32,kurspris!$A$1:$Q$809,15)</f>
        <v>19473</v>
      </c>
      <c r="O32" s="26">
        <f>VLOOKUP(A32,kurspris!$A$1:$Q$809,16)</f>
        <v>34806</v>
      </c>
      <c r="P32" s="26">
        <f>VLOOKUP(A32,kurspris!$A$1:$Q$809,17)</f>
        <v>21800</v>
      </c>
      <c r="Q32" s="26">
        <f>K32*N32+M32*O32</f>
        <v>130003.965</v>
      </c>
      <c r="R32" s="26">
        <f>(Q32*Prislapp!$R$5)*-1</f>
        <v>-9100.2775500000007</v>
      </c>
      <c r="S32" s="26">
        <f>Q32+R32</f>
        <v>120903.68745</v>
      </c>
      <c r="T32" s="26">
        <f>K32*P32</f>
        <v>57770.000000000007</v>
      </c>
    </row>
    <row r="33" spans="1:20" x14ac:dyDescent="0.25">
      <c r="A33" s="31" t="s">
        <v>593</v>
      </c>
      <c r="B33" t="str">
        <f>VLOOKUP(A33,kurspris!$A$1:$Q$809,2,FALSE)</f>
        <v>Kunskap, undervisning och lärande för förskolan (UK)</v>
      </c>
      <c r="C33" s="31">
        <v>2180</v>
      </c>
      <c r="D33" t="str">
        <f>VLOOKUP(C33,Orgenheter!$A$1:$B$213,2)</f>
        <v xml:space="preserve">Pedagogik                     </v>
      </c>
      <c r="E33" t="str">
        <f>VLOOKUP(C33,Orgenheter!$A$1:$C$165,3,FALSE)</f>
        <v>Sam</v>
      </c>
      <c r="F33" s="295">
        <v>0.4</v>
      </c>
      <c r="G33">
        <f>VLOOKUP(A33,'Ansvar kurs'!$A$85:$C$976,2,FALSE)</f>
        <v>2193</v>
      </c>
      <c r="H33" t="str">
        <f>VLOOKUP(G33,Orgenheter!$A$1:$B$213,2)</f>
        <v xml:space="preserve">TUV </v>
      </c>
      <c r="I33" t="str">
        <f>VLOOKUP(G33,Orgenheter!$A$1:$C$165,3,FALSE)</f>
        <v>Sam</v>
      </c>
      <c r="J33" s="210">
        <f>IF(ISERROR(VLOOKUP(A33,'Totalt pivot'!$A$5:$C$397,2,FALSE)),0,(VLOOKUP(A33,'Totalt pivot'!$A$5:$C$397,2,FALSE)))</f>
        <v>0</v>
      </c>
      <c r="K33" s="210">
        <f t="shared" si="0"/>
        <v>0</v>
      </c>
      <c r="L33" s="210">
        <f>IF(ISERROR(VLOOKUP(A33,'Totalt pivot'!$A$5:$C$397,3,FALSE)),0,(VLOOKUP(A33,'Totalt pivot'!$A$5:$C$397,3,FALSE)))</f>
        <v>0</v>
      </c>
      <c r="M33" s="210">
        <f t="shared" si="1"/>
        <v>0</v>
      </c>
      <c r="N33" s="26">
        <f>VLOOKUP(A33,kurspris!$A$1:$Q$809,15)</f>
        <v>23641</v>
      </c>
      <c r="O33" s="26">
        <f>VLOOKUP(A33,kurspris!$A$1:$Q$809,16)</f>
        <v>28786</v>
      </c>
      <c r="P33" s="26">
        <f>VLOOKUP(A33,kurspris!$A$1:$Q$809,17)</f>
        <v>5800</v>
      </c>
      <c r="Q33" s="26">
        <f t="shared" si="2"/>
        <v>0</v>
      </c>
      <c r="R33" s="26">
        <f>(Q33*Prislapp!$R$5)*-1</f>
        <v>0</v>
      </c>
      <c r="S33" s="26">
        <f t="shared" si="3"/>
        <v>0</v>
      </c>
      <c r="T33" s="26">
        <f t="shared" si="4"/>
        <v>0</v>
      </c>
    </row>
    <row r="34" spans="1:20" x14ac:dyDescent="0.25">
      <c r="A34" s="31" t="s">
        <v>502</v>
      </c>
      <c r="B34" t="str">
        <f>VLOOKUP(A34,kurspris!$A$1:$Q$809,2,FALSE)</f>
        <v>Lärande, lek och utveckling i förskolan I</v>
      </c>
      <c r="C34" s="31">
        <v>5740</v>
      </c>
      <c r="D34" t="str">
        <f>VLOOKUP(C34,Orgenheter!$A$1:$B$213,2)</f>
        <v>NMD</v>
      </c>
      <c r="E34" t="str">
        <f>VLOOKUP(C34,Orgenheter!$A$1:$C$165,3,FALSE)</f>
        <v>TekNat</v>
      </c>
      <c r="F34" s="295">
        <f>5.5/60</f>
        <v>9.166666666666666E-2</v>
      </c>
      <c r="G34">
        <f>VLOOKUP(A34,'Ansvar kurs'!$A$85:$C$976,2,FALSE)</f>
        <v>2193</v>
      </c>
      <c r="H34" t="str">
        <f>VLOOKUP(G34,Orgenheter!$A$1:$B$213,2)</f>
        <v xml:space="preserve">TUV </v>
      </c>
      <c r="I34" t="str">
        <f>VLOOKUP(G34,Orgenheter!$A$1:$C$165,3,FALSE)</f>
        <v>Sam</v>
      </c>
      <c r="J34" s="210">
        <f>IF(ISERROR(VLOOKUP(A34,'Totalt pivot'!$A$5:$C$397,2,FALSE)),0,(VLOOKUP(A34,'Totalt pivot'!$A$5:$C$397,2,FALSE)))</f>
        <v>0</v>
      </c>
      <c r="K34" s="210">
        <f t="shared" si="0"/>
        <v>0</v>
      </c>
      <c r="L34" s="210">
        <f>IF(ISERROR(VLOOKUP(A34,'Totalt pivot'!$A$5:$C$397,3,FALSE)),0,(VLOOKUP(A34,'Totalt pivot'!$A$5:$C$397,3,FALSE)))</f>
        <v>0</v>
      </c>
      <c r="M34" s="210">
        <f t="shared" si="1"/>
        <v>0</v>
      </c>
      <c r="N34" s="26">
        <f>VLOOKUP(A34,kurspris!$A$1:$Q$809,15)</f>
        <v>18533.16</v>
      </c>
      <c r="O34" s="26">
        <f>VLOOKUP(A34,kurspris!$A$1:$Q$809,16)</f>
        <v>18056.96</v>
      </c>
      <c r="P34" s="26">
        <f>VLOOKUP(A34,kurspris!$A$1:$Q$809,17)</f>
        <v>7720</v>
      </c>
      <c r="Q34" s="26">
        <f t="shared" si="2"/>
        <v>0</v>
      </c>
      <c r="R34" s="26">
        <f>(Q34*Prislapp!$R$5)*-1</f>
        <v>0</v>
      </c>
      <c r="S34" s="26">
        <f t="shared" si="3"/>
        <v>0</v>
      </c>
      <c r="T34" s="26">
        <f t="shared" si="4"/>
        <v>0</v>
      </c>
    </row>
    <row r="35" spans="1:20" x14ac:dyDescent="0.25">
      <c r="A35" s="31" t="s">
        <v>502</v>
      </c>
      <c r="B35" t="str">
        <f>VLOOKUP(A35,kurspris!$A$1:$Q$809,2,FALSE)</f>
        <v>Lärande, lek och utveckling i förskolan I</v>
      </c>
      <c r="C35" s="31">
        <v>1620</v>
      </c>
      <c r="D35" t="str">
        <f>VLOOKUP(C35,Orgenheter!$A$1:$B$213,2)</f>
        <v>Inst för språkstudier</v>
      </c>
      <c r="E35" t="str">
        <f>VLOOKUP(C35,Orgenheter!$A$1:$C$165,3,FALSE)</f>
        <v>Hum</v>
      </c>
      <c r="F35" s="295">
        <f>12/60</f>
        <v>0.2</v>
      </c>
      <c r="G35">
        <f>VLOOKUP(A35,'Ansvar kurs'!$A$85:$C$976,2,FALSE)</f>
        <v>2193</v>
      </c>
      <c r="H35" t="str">
        <f>VLOOKUP(G35,Orgenheter!$A$1:$B$213,2)</f>
        <v xml:space="preserve">TUV </v>
      </c>
      <c r="I35" t="str">
        <f>VLOOKUP(G35,Orgenheter!$A$1:$C$165,3,FALSE)</f>
        <v>Sam</v>
      </c>
      <c r="J35" s="210">
        <f>IF(ISERROR(VLOOKUP(A35,'Totalt pivot'!$A$5:$C$397,2,FALSE)),0,(VLOOKUP(A35,'Totalt pivot'!$A$5:$C$397,2,FALSE)))</f>
        <v>0</v>
      </c>
      <c r="K35" s="210">
        <f t="shared" si="0"/>
        <v>0</v>
      </c>
      <c r="L35" s="210">
        <f>IF(ISERROR(VLOOKUP(A35,'Totalt pivot'!$A$5:$C$397,3,FALSE)),0,(VLOOKUP(A35,'Totalt pivot'!$A$5:$C$397,3,FALSE)))</f>
        <v>0</v>
      </c>
      <c r="M35" s="210">
        <f t="shared" si="1"/>
        <v>0</v>
      </c>
      <c r="N35" s="26">
        <f>VLOOKUP(A35,kurspris!$A$1:$Q$809,15)</f>
        <v>18533.16</v>
      </c>
      <c r="O35" s="26">
        <f>VLOOKUP(A35,kurspris!$A$1:$Q$809,16)</f>
        <v>18056.96</v>
      </c>
      <c r="P35" s="26">
        <f>VLOOKUP(A35,kurspris!$A$1:$Q$809,17)</f>
        <v>7720</v>
      </c>
      <c r="Q35" s="26">
        <f t="shared" si="2"/>
        <v>0</v>
      </c>
      <c r="R35" s="26">
        <f>(Q35*Prislapp!$R$5)*-1</f>
        <v>0</v>
      </c>
      <c r="S35" s="26">
        <f t="shared" si="3"/>
        <v>0</v>
      </c>
      <c r="T35" s="26">
        <f t="shared" si="4"/>
        <v>0</v>
      </c>
    </row>
    <row r="36" spans="1:20" x14ac:dyDescent="0.25">
      <c r="A36" s="31" t="s">
        <v>502</v>
      </c>
      <c r="B36" t="str">
        <f>VLOOKUP(A36,kurspris!$A$1:$Q$809,2,FALSE)</f>
        <v>Lärande, lek och utveckling i förskolan I</v>
      </c>
      <c r="C36" s="31">
        <v>1650</v>
      </c>
      <c r="D36" t="str">
        <f>VLOOKUP(C36,Orgenheter!$A$1:$B$213,2)</f>
        <v xml:space="preserve">Estetiska ämnen               </v>
      </c>
      <c r="E36" t="str">
        <f>VLOOKUP(C36,Orgenheter!$A$1:$C$165,3,FALSE)</f>
        <v>Hum</v>
      </c>
      <c r="F36" s="295">
        <f>4.5/60</f>
        <v>7.4999999999999997E-2</v>
      </c>
      <c r="G36">
        <f>VLOOKUP(A36,'Ansvar kurs'!$A$85:$C$976,2,FALSE)</f>
        <v>2193</v>
      </c>
      <c r="H36" t="str">
        <f>VLOOKUP(G36,Orgenheter!$A$1:$B$213,2)</f>
        <v xml:space="preserve">TUV </v>
      </c>
      <c r="I36" t="str">
        <f>VLOOKUP(G36,Orgenheter!$A$1:$C$165,3,FALSE)</f>
        <v>Sam</v>
      </c>
      <c r="J36" s="210">
        <f>IF(ISERROR(VLOOKUP(A36,'Totalt pivot'!$A$5:$C$397,2,FALSE)),0,(VLOOKUP(A36,'Totalt pivot'!$A$5:$C$397,2,FALSE)))</f>
        <v>0</v>
      </c>
      <c r="K36" s="210">
        <f t="shared" si="0"/>
        <v>0</v>
      </c>
      <c r="L36" s="210">
        <f>IF(ISERROR(VLOOKUP(A36,'Totalt pivot'!$A$5:$C$397,3,FALSE)),0,(VLOOKUP(A36,'Totalt pivot'!$A$5:$C$397,3,FALSE)))</f>
        <v>0</v>
      </c>
      <c r="M36" s="210">
        <f t="shared" si="1"/>
        <v>0</v>
      </c>
      <c r="N36" s="26">
        <f>VLOOKUP(A36,kurspris!$A$1:$Q$809,15)</f>
        <v>18533.16</v>
      </c>
      <c r="O36" s="26">
        <f>VLOOKUP(A36,kurspris!$A$1:$Q$809,16)</f>
        <v>18056.96</v>
      </c>
      <c r="P36" s="26">
        <f>VLOOKUP(A36,kurspris!$A$1:$Q$809,17)</f>
        <v>7720</v>
      </c>
      <c r="Q36" s="26">
        <f t="shared" si="2"/>
        <v>0</v>
      </c>
      <c r="R36" s="26">
        <f>(Q36*Prislapp!$R$5)*-1</f>
        <v>0</v>
      </c>
      <c r="S36" s="26">
        <f t="shared" si="3"/>
        <v>0</v>
      </c>
      <c r="T36" s="26">
        <f t="shared" si="4"/>
        <v>0</v>
      </c>
    </row>
    <row r="37" spans="1:20" x14ac:dyDescent="0.25">
      <c r="A37" s="31" t="s">
        <v>502</v>
      </c>
      <c r="B37" t="str">
        <f>VLOOKUP(A37,kurspris!$A$1:$Q$809,2,FALSE)</f>
        <v>Lärande, lek och utveckling i förskolan I</v>
      </c>
      <c r="C37" s="31">
        <v>2180</v>
      </c>
      <c r="D37" t="str">
        <f>VLOOKUP(C37,Orgenheter!$A$1:$B$213,2)</f>
        <v xml:space="preserve">Pedagogik                     </v>
      </c>
      <c r="E37" t="str">
        <f>VLOOKUP(C37,Orgenheter!$A$1:$C$165,3,FALSE)</f>
        <v>Sam</v>
      </c>
      <c r="F37" s="295">
        <f>4.5/60</f>
        <v>7.4999999999999997E-2</v>
      </c>
      <c r="G37">
        <f>VLOOKUP(A37,'Ansvar kurs'!$A$85:$C$976,2,FALSE)</f>
        <v>2193</v>
      </c>
      <c r="H37" t="str">
        <f>VLOOKUP(G37,Orgenheter!$A$1:$B$213,2)</f>
        <v xml:space="preserve">TUV </v>
      </c>
      <c r="I37" t="str">
        <f>VLOOKUP(G37,Orgenheter!$A$1:$C$165,3,FALSE)</f>
        <v>Sam</v>
      </c>
      <c r="J37" s="210">
        <f>IF(ISERROR(VLOOKUP(A37,'Totalt pivot'!$A$5:$C$397,2,FALSE)),0,(VLOOKUP(A37,'Totalt pivot'!$A$5:$C$397,2,FALSE)))</f>
        <v>0</v>
      </c>
      <c r="K37" s="210">
        <f t="shared" si="0"/>
        <v>0</v>
      </c>
      <c r="L37" s="210">
        <f>IF(ISERROR(VLOOKUP(A37,'Totalt pivot'!$A$5:$C$397,3,FALSE)),0,(VLOOKUP(A37,'Totalt pivot'!$A$5:$C$397,3,FALSE)))</f>
        <v>0</v>
      </c>
      <c r="M37" s="210">
        <f t="shared" si="1"/>
        <v>0</v>
      </c>
      <c r="N37" s="26">
        <f>VLOOKUP(A37,kurspris!$A$1:$Q$809,15)</f>
        <v>18533.16</v>
      </c>
      <c r="O37" s="26">
        <f>VLOOKUP(A37,kurspris!$A$1:$Q$809,16)</f>
        <v>18056.96</v>
      </c>
      <c r="P37" s="26">
        <f>VLOOKUP(A37,kurspris!$A$1:$Q$809,17)</f>
        <v>7720</v>
      </c>
      <c r="Q37" s="26">
        <f t="shared" si="2"/>
        <v>0</v>
      </c>
      <c r="R37" s="26">
        <f>(Q37*Prislapp!$R$5)*-1</f>
        <v>0</v>
      </c>
      <c r="S37" s="26">
        <f t="shared" si="3"/>
        <v>0</v>
      </c>
      <c r="T37" s="26">
        <f t="shared" si="4"/>
        <v>0</v>
      </c>
    </row>
    <row r="38" spans="1:20" x14ac:dyDescent="0.25">
      <c r="A38" s="31" t="s">
        <v>594</v>
      </c>
      <c r="B38" t="str">
        <f>VLOOKUP(A38,kurspris!$A$1:$Q$809,2,FALSE)</f>
        <v>Bedömning för lärande för förskolan 1 (UK)</v>
      </c>
      <c r="C38" s="31">
        <v>2180</v>
      </c>
      <c r="D38" t="str">
        <f>VLOOKUP(C38,Orgenheter!$A$1:$B$213,2)</f>
        <v xml:space="preserve">Pedagogik                     </v>
      </c>
      <c r="E38" t="str">
        <f>VLOOKUP(C38,Orgenheter!$A$1:$C$165,3,FALSE)</f>
        <v>Sam</v>
      </c>
      <c r="F38" s="295">
        <v>0.5</v>
      </c>
      <c r="G38">
        <f>VLOOKUP(A38,'Ansvar kurs'!$A$85:$C$976,2,FALSE)</f>
        <v>2193</v>
      </c>
      <c r="H38" t="str">
        <f>VLOOKUP(G38,Orgenheter!$A$1:$B$213,2)</f>
        <v xml:space="preserve">TUV </v>
      </c>
      <c r="I38" t="str">
        <f>VLOOKUP(G38,Orgenheter!$A$1:$C$165,3,FALSE)</f>
        <v>Sam</v>
      </c>
      <c r="J38" s="210">
        <f>IF(ISERROR(VLOOKUP(A38,'Totalt pivot'!$A$5:$C$397,2,FALSE)),0,(VLOOKUP(A38,'Totalt pivot'!$A$5:$C$397,2,FALSE)))</f>
        <v>0</v>
      </c>
      <c r="K38" s="210">
        <f t="shared" si="0"/>
        <v>0</v>
      </c>
      <c r="L38" s="210">
        <f>IF(ISERROR(VLOOKUP(A38,'Totalt pivot'!$A$5:$C$397,3,FALSE)),0,(VLOOKUP(A38,'Totalt pivot'!$A$5:$C$397,3,FALSE)))</f>
        <v>0</v>
      </c>
      <c r="M38" s="210">
        <f t="shared" si="1"/>
        <v>0</v>
      </c>
      <c r="N38" s="26">
        <f>VLOOKUP(A38,kurspris!$A$1:$Q$809,15)</f>
        <v>23641</v>
      </c>
      <c r="O38" s="26">
        <f>VLOOKUP(A38,kurspris!$A$1:$Q$809,16)</f>
        <v>28786</v>
      </c>
      <c r="P38" s="26">
        <f>VLOOKUP(A38,kurspris!$A$1:$Q$809,17)</f>
        <v>5800</v>
      </c>
      <c r="Q38" s="26">
        <f t="shared" si="2"/>
        <v>0</v>
      </c>
      <c r="R38" s="26">
        <f>(Q38*Prislapp!$R$5)*-1</f>
        <v>0</v>
      </c>
      <c r="S38" s="26">
        <f t="shared" si="3"/>
        <v>0</v>
      </c>
      <c r="T38" s="26">
        <f t="shared" si="4"/>
        <v>0</v>
      </c>
    </row>
    <row r="39" spans="1:20" x14ac:dyDescent="0.25">
      <c r="A39" s="31" t="s">
        <v>597</v>
      </c>
      <c r="B39" t="str">
        <f>VLOOKUP(A39,kurspris!$A$1:$Q$809,2,FALSE)</f>
        <v>Lärande, lek och utveckling i förskolan II</v>
      </c>
      <c r="C39" s="31">
        <v>5740</v>
      </c>
      <c r="D39" t="str">
        <f>VLOOKUP(C39,Orgenheter!$A$1:$B$213,2)</f>
        <v>NMD</v>
      </c>
      <c r="E39" t="str">
        <f>VLOOKUP(C39,Orgenheter!$A$1:$C$165,3,FALSE)</f>
        <v>TekNat</v>
      </c>
      <c r="F39" s="295">
        <f>14/30</f>
        <v>0.46666666666666667</v>
      </c>
      <c r="G39">
        <f>VLOOKUP(A39,'Ansvar kurs'!$A$85:$C$976,2,FALSE)</f>
        <v>2193</v>
      </c>
      <c r="H39" t="str">
        <f>VLOOKUP(G39,Orgenheter!$A$1:$B$213,2)</f>
        <v xml:space="preserve">TUV </v>
      </c>
      <c r="I39" t="str">
        <f>VLOOKUP(G39,Orgenheter!$A$1:$C$165,3,FALSE)</f>
        <v>Sam</v>
      </c>
      <c r="J39" s="210">
        <f>IF(ISERROR(VLOOKUP(A39,'Totalt pivot'!$A$5:$C$397,2,FALSE)),0,(VLOOKUP(A39,'Totalt pivot'!$A$5:$C$397,2,FALSE)))</f>
        <v>0</v>
      </c>
      <c r="K39" s="210">
        <f t="shared" si="0"/>
        <v>0</v>
      </c>
      <c r="L39" s="210">
        <f>IF(ISERROR(VLOOKUP(A39,'Totalt pivot'!$A$5:$C$397,3,FALSE)),0,(VLOOKUP(A39,'Totalt pivot'!$A$5:$C$397,3,FALSE)))</f>
        <v>0</v>
      </c>
      <c r="M39" s="210">
        <f t="shared" si="1"/>
        <v>0</v>
      </c>
      <c r="N39" s="26">
        <f>VLOOKUP(A39,kurspris!$A$1:$Q$809,15)</f>
        <v>18906.96</v>
      </c>
      <c r="O39" s="26">
        <f>VLOOKUP(A39,kurspris!$A$1:$Q$809,16)</f>
        <v>24718.510000000002</v>
      </c>
      <c r="P39" s="26">
        <f>VLOOKUP(A39,kurspris!$A$1:$Q$809,17)</f>
        <v>13320</v>
      </c>
      <c r="Q39" s="26">
        <f t="shared" si="2"/>
        <v>0</v>
      </c>
      <c r="R39" s="26">
        <f>(Q39*Prislapp!$R$5)*-1</f>
        <v>0</v>
      </c>
      <c r="S39" s="26">
        <f t="shared" si="3"/>
        <v>0</v>
      </c>
      <c r="T39" s="26">
        <f t="shared" si="4"/>
        <v>0</v>
      </c>
    </row>
    <row r="40" spans="1:20" x14ac:dyDescent="0.25">
      <c r="A40" s="31" t="s">
        <v>597</v>
      </c>
      <c r="B40" t="str">
        <f>VLOOKUP(A40,kurspris!$A$1:$Q$809,2,FALSE)</f>
        <v>Lärande, lek och utveckling i förskolan II</v>
      </c>
      <c r="C40" s="31">
        <v>2180</v>
      </c>
      <c r="D40" t="str">
        <f>VLOOKUP(C40,Orgenheter!$A$1:$B$213,2)</f>
        <v xml:space="preserve">Pedagogik                     </v>
      </c>
      <c r="E40" t="str">
        <f>VLOOKUP(C40,Orgenheter!$A$1:$C$165,3,FALSE)</f>
        <v>Sam</v>
      </c>
      <c r="F40" s="295">
        <f>4.5/30</f>
        <v>0.15</v>
      </c>
      <c r="G40">
        <f>VLOOKUP(A40,'Ansvar kurs'!$A$85:$C$976,2,FALSE)</f>
        <v>2193</v>
      </c>
      <c r="H40" t="str">
        <f>VLOOKUP(G40,Orgenheter!$A$1:$B$213,2)</f>
        <v xml:space="preserve">TUV </v>
      </c>
      <c r="I40" t="str">
        <f>VLOOKUP(G40,Orgenheter!$A$1:$C$165,3,FALSE)</f>
        <v>Sam</v>
      </c>
      <c r="J40" s="210">
        <f>IF(ISERROR(VLOOKUP(A40,'Totalt pivot'!$A$5:$C$397,2,FALSE)),0,(VLOOKUP(A40,'Totalt pivot'!$A$5:$C$397,2,FALSE)))</f>
        <v>0</v>
      </c>
      <c r="K40" s="210">
        <f t="shared" si="0"/>
        <v>0</v>
      </c>
      <c r="L40" s="210">
        <f>IF(ISERROR(VLOOKUP(A40,'Totalt pivot'!$A$5:$C$397,3,FALSE)),0,(VLOOKUP(A40,'Totalt pivot'!$A$5:$C$397,3,FALSE)))</f>
        <v>0</v>
      </c>
      <c r="M40" s="210">
        <f t="shared" si="1"/>
        <v>0</v>
      </c>
      <c r="N40" s="26">
        <f>VLOOKUP(A40,kurspris!$A$1:$Q$809,15)</f>
        <v>18906.96</v>
      </c>
      <c r="O40" s="26">
        <f>VLOOKUP(A40,kurspris!$A$1:$Q$809,16)</f>
        <v>24718.510000000002</v>
      </c>
      <c r="P40" s="26">
        <f>VLOOKUP(A40,kurspris!$A$1:$Q$809,17)</f>
        <v>13320</v>
      </c>
      <c r="Q40" s="26">
        <f t="shared" si="2"/>
        <v>0</v>
      </c>
      <c r="R40" s="26">
        <f>(Q40*Prislapp!$R$5)*-1</f>
        <v>0</v>
      </c>
      <c r="S40" s="26">
        <f t="shared" si="3"/>
        <v>0</v>
      </c>
      <c r="T40" s="26">
        <f t="shared" si="4"/>
        <v>0</v>
      </c>
    </row>
    <row r="41" spans="1:20" x14ac:dyDescent="0.25">
      <c r="A41" s="31" t="s">
        <v>869</v>
      </c>
      <c r="B41" t="str">
        <f>VLOOKUP(A41,kurspris!$A$1:$Q$809,2,FALSE)</f>
        <v>Lärande, lek och utveckling i förskolan III. Skapande och lek i förskolan I:II</v>
      </c>
      <c r="C41" s="31">
        <v>1650</v>
      </c>
      <c r="D41" t="str">
        <f>VLOOKUP(C41,Orgenheter!$A$1:$B$213,2)</f>
        <v xml:space="preserve">Estetiska ämnen               </v>
      </c>
      <c r="E41" t="str">
        <f>VLOOKUP(C41,Orgenheter!$A$1:$C$165,3,FALSE)</f>
        <v>Hum</v>
      </c>
      <c r="F41" s="295">
        <v>0.8</v>
      </c>
      <c r="G41">
        <f>VLOOKUP(A41,'Ansvar kurs'!$A$85:$C$976,2,FALSE)</f>
        <v>2193</v>
      </c>
      <c r="H41" t="str">
        <f>VLOOKUP(G41,Orgenheter!$A$1:$B$213,2)</f>
        <v xml:space="preserve">TUV </v>
      </c>
      <c r="I41" t="str">
        <f>VLOOKUP(G41,Orgenheter!$A$1:$C$165,3,FALSE)</f>
        <v>Sam</v>
      </c>
      <c r="J41" s="210">
        <f>IF(ISERROR(VLOOKUP(A41,'Totalt pivot'!$A$5:$C$397,2,FALSE)),0,(VLOOKUP(A41,'Totalt pivot'!$A$5:$C$397,2,FALSE)))</f>
        <v>0</v>
      </c>
      <c r="K41" s="210">
        <f t="shared" si="0"/>
        <v>0</v>
      </c>
      <c r="L41" s="210">
        <f>IF(ISERROR(VLOOKUP(A41,'Totalt pivot'!$A$5:$C$397,3,FALSE)),0,(VLOOKUP(A41,'Totalt pivot'!$A$5:$C$397,3,FALSE)))</f>
        <v>0</v>
      </c>
      <c r="M41" s="210">
        <f t="shared" si="1"/>
        <v>0</v>
      </c>
      <c r="N41" s="26">
        <f>VLOOKUP(A41,kurspris!$A$1:$Q$809,15)</f>
        <v>18405</v>
      </c>
      <c r="O41" s="26">
        <f>VLOOKUP(A41,kurspris!$A$1:$Q$809,16)</f>
        <v>15773</v>
      </c>
      <c r="P41" s="26">
        <f>VLOOKUP(A41,kurspris!$A$1:$Q$809,17)</f>
        <v>5800</v>
      </c>
      <c r="Q41" s="26">
        <f t="shared" si="2"/>
        <v>0</v>
      </c>
      <c r="R41" s="26">
        <f>(Q41*Prislapp!$R$5)*-1</f>
        <v>0</v>
      </c>
      <c r="S41" s="26">
        <f t="shared" si="3"/>
        <v>0</v>
      </c>
      <c r="T41" s="26">
        <f t="shared" si="4"/>
        <v>0</v>
      </c>
    </row>
    <row r="42" spans="1:20" x14ac:dyDescent="0.25">
      <c r="A42" s="31" t="s">
        <v>869</v>
      </c>
      <c r="B42" t="str">
        <f>VLOOKUP(A42,kurspris!$A$1:$Q$809,2,FALSE)</f>
        <v>Lärande, lek och utveckling i förskolan III. Skapande och lek i förskolan I:II</v>
      </c>
      <c r="C42" s="31">
        <v>2180</v>
      </c>
      <c r="D42" t="str">
        <f>VLOOKUP(C42,Orgenheter!$A$1:$B$213,2)</f>
        <v xml:space="preserve">Pedagogik                     </v>
      </c>
      <c r="E42" t="str">
        <f>VLOOKUP(C42,Orgenheter!$A$1:$C$165,3,FALSE)</f>
        <v>Sam</v>
      </c>
      <c r="F42" s="295">
        <v>0.1</v>
      </c>
      <c r="G42">
        <f>VLOOKUP(A42,'Ansvar kurs'!$A$85:$C$976,2,FALSE)</f>
        <v>2193</v>
      </c>
      <c r="H42" t="str">
        <f>VLOOKUP(G42,Orgenheter!$A$1:$B$213,2)</f>
        <v xml:space="preserve">TUV </v>
      </c>
      <c r="I42" t="str">
        <f>VLOOKUP(G42,Orgenheter!$A$1:$C$165,3,FALSE)</f>
        <v>Sam</v>
      </c>
      <c r="J42" s="210">
        <f>IF(ISERROR(VLOOKUP(A42,'Totalt pivot'!$A$5:$C$397,2,FALSE)),0,(VLOOKUP(A42,'Totalt pivot'!$A$5:$C$397,2,FALSE)))</f>
        <v>0</v>
      </c>
      <c r="K42" s="210">
        <f t="shared" si="0"/>
        <v>0</v>
      </c>
      <c r="L42" s="210">
        <f>IF(ISERROR(VLOOKUP(A42,'Totalt pivot'!$A$5:$C$397,3,FALSE)),0,(VLOOKUP(A42,'Totalt pivot'!$A$5:$C$397,3,FALSE)))</f>
        <v>0</v>
      </c>
      <c r="M42" s="210">
        <f t="shared" si="1"/>
        <v>0</v>
      </c>
      <c r="N42" s="26">
        <f>VLOOKUP(A42,kurspris!$A$1:$Q$809,15)</f>
        <v>18405</v>
      </c>
      <c r="O42" s="26">
        <f>VLOOKUP(A42,kurspris!$A$1:$Q$809,16)</f>
        <v>15773</v>
      </c>
      <c r="P42" s="26">
        <f>VLOOKUP(A42,kurspris!$A$1:$Q$809,17)</f>
        <v>5800</v>
      </c>
      <c r="Q42" s="26">
        <f t="shared" si="2"/>
        <v>0</v>
      </c>
      <c r="R42" s="26">
        <f>(Q42*Prislapp!$R$5)*-1</f>
        <v>0</v>
      </c>
      <c r="S42" s="26">
        <f t="shared" si="3"/>
        <v>0</v>
      </c>
      <c r="T42" s="26">
        <f t="shared" si="4"/>
        <v>0</v>
      </c>
    </row>
    <row r="43" spans="1:20" x14ac:dyDescent="0.25">
      <c r="A43" s="31" t="s">
        <v>872</v>
      </c>
      <c r="B43" t="str">
        <f>VLOOKUP(A43,kurspris!$A$1:$Q$809,2,FALSE)</f>
        <v>Profession och vetenskap för förskolan (UK)</v>
      </c>
      <c r="C43" s="31">
        <v>2180</v>
      </c>
      <c r="D43" t="str">
        <f>VLOOKUP(C43,Orgenheter!$A$1:$B$213,2)</f>
        <v xml:space="preserve">Pedagogik                     </v>
      </c>
      <c r="E43" t="str">
        <f>VLOOKUP(C43,Orgenheter!$A$1:$C$165,3,FALSE)</f>
        <v>Sam</v>
      </c>
      <c r="F43" s="295">
        <f>3.5/7.5</f>
        <v>0.46666666666666667</v>
      </c>
      <c r="G43">
        <f>VLOOKUP(A43,'Ansvar kurs'!$A$85:$C$976,2,FALSE)</f>
        <v>2193</v>
      </c>
      <c r="H43" t="str">
        <f>VLOOKUP(G43,Orgenheter!$A$1:$B$213,2)</f>
        <v xml:space="preserve">TUV </v>
      </c>
      <c r="I43" t="str">
        <f>VLOOKUP(G43,Orgenheter!$A$1:$C$165,3,FALSE)</f>
        <v>Sam</v>
      </c>
      <c r="J43" s="210">
        <f>IF(ISERROR(VLOOKUP(A43,'Totalt pivot'!$A$5:$C$397,2,FALSE)),0,(VLOOKUP(A43,'Totalt pivot'!$A$5:$C$397,2,FALSE)))</f>
        <v>0</v>
      </c>
      <c r="K43" s="210">
        <f t="shared" si="0"/>
        <v>0</v>
      </c>
      <c r="L43" s="210">
        <f>IF(ISERROR(VLOOKUP(A43,'Totalt pivot'!$A$5:$C$397,3,FALSE)),0,(VLOOKUP(A43,'Totalt pivot'!$A$5:$C$397,3,FALSE)))</f>
        <v>0</v>
      </c>
      <c r="M43" s="210">
        <f t="shared" si="1"/>
        <v>0</v>
      </c>
      <c r="N43" s="26">
        <f>VLOOKUP(A43,kurspris!$A$1:$Q$809,15)</f>
        <v>23641</v>
      </c>
      <c r="O43" s="26">
        <f>VLOOKUP(A43,kurspris!$A$1:$Q$809,16)</f>
        <v>28786</v>
      </c>
      <c r="P43" s="26">
        <f>VLOOKUP(A43,kurspris!$A$1:$Q$809,17)</f>
        <v>5800</v>
      </c>
      <c r="Q43" s="26">
        <f t="shared" si="2"/>
        <v>0</v>
      </c>
      <c r="R43" s="26">
        <f>(Q43*Prislapp!$R$5)*-1</f>
        <v>0</v>
      </c>
      <c r="S43" s="26">
        <f t="shared" si="3"/>
        <v>0</v>
      </c>
      <c r="T43" s="26">
        <f t="shared" si="4"/>
        <v>0</v>
      </c>
    </row>
    <row r="44" spans="1:20" x14ac:dyDescent="0.25">
      <c r="A44" s="31" t="s">
        <v>873</v>
      </c>
      <c r="B44" t="str">
        <f>VLOOKUP(A44,kurspris!$A$1:$Q$809,2,FALSE)</f>
        <v>Profession och vetenskap i fritidshem (UK III)</v>
      </c>
      <c r="C44" s="31">
        <v>2180</v>
      </c>
      <c r="D44" t="str">
        <f>VLOOKUP(C44,Orgenheter!$A$1:$B$213,2)</f>
        <v xml:space="preserve">Pedagogik                     </v>
      </c>
      <c r="E44" t="str">
        <f>VLOOKUP(C44,Orgenheter!$A$1:$C$165,3,FALSE)</f>
        <v>Sam</v>
      </c>
      <c r="F44" s="295">
        <f>3.5/7.5</f>
        <v>0.46666666666666667</v>
      </c>
      <c r="G44">
        <f>VLOOKUP(A44,'Ansvar kurs'!$A$85:$C$976,2,FALSE)</f>
        <v>2193</v>
      </c>
      <c r="H44" t="str">
        <f>VLOOKUP(G44,Orgenheter!$A$1:$B$213,2)</f>
        <v xml:space="preserve">TUV </v>
      </c>
      <c r="I44" t="str">
        <f>VLOOKUP(G44,Orgenheter!$A$1:$C$165,3,FALSE)</f>
        <v>Sam</v>
      </c>
      <c r="J44" s="210">
        <f>IF(ISERROR(VLOOKUP(A44,'Totalt pivot'!$A$5:$C$397,2,FALSE)),0,(VLOOKUP(A44,'Totalt pivot'!$A$5:$C$397,2,FALSE)))</f>
        <v>0</v>
      </c>
      <c r="K44" s="210">
        <f t="shared" si="0"/>
        <v>0</v>
      </c>
      <c r="L44" s="210">
        <f>IF(ISERROR(VLOOKUP(A44,'Totalt pivot'!$A$5:$C$397,3,FALSE)),0,(VLOOKUP(A44,'Totalt pivot'!$A$5:$C$397,3,FALSE)))</f>
        <v>0</v>
      </c>
      <c r="M44" s="210">
        <f t="shared" si="1"/>
        <v>0</v>
      </c>
      <c r="N44" s="26">
        <f>VLOOKUP(A44,kurspris!$A$1:$Q$809,15)</f>
        <v>23641</v>
      </c>
      <c r="O44" s="26">
        <f>VLOOKUP(A44,kurspris!$A$1:$Q$809,16)</f>
        <v>28786</v>
      </c>
      <c r="P44" s="26">
        <f>VLOOKUP(A44,kurspris!$A$1:$Q$809,17)</f>
        <v>5800</v>
      </c>
      <c r="Q44" s="26">
        <f t="shared" si="2"/>
        <v>0</v>
      </c>
      <c r="R44" s="26">
        <f>(Q44*Prislapp!$R$5)*-1</f>
        <v>0</v>
      </c>
      <c r="S44" s="26">
        <f t="shared" si="3"/>
        <v>0</v>
      </c>
      <c r="T44" s="26">
        <f t="shared" si="4"/>
        <v>0</v>
      </c>
    </row>
    <row r="45" spans="1:20" x14ac:dyDescent="0.25">
      <c r="A45" s="31" t="s">
        <v>506</v>
      </c>
      <c r="B45" t="str">
        <f>VLOOKUP(A45,kurspris!$A$1:$Q$809,2,FALSE)</f>
        <v>Grupprocesser och samverkan ur ett fritidshemsperspektiv</v>
      </c>
      <c r="C45" s="31">
        <v>1650</v>
      </c>
      <c r="D45" t="str">
        <f>VLOOKUP(C45,Orgenheter!$A$1:$B$213,2)</f>
        <v xml:space="preserve">Estetiska ämnen               </v>
      </c>
      <c r="E45" t="str">
        <f>VLOOKUP(C45,Orgenheter!$A$1:$C$165,3,FALSE)</f>
        <v>Hum</v>
      </c>
      <c r="F45" s="295">
        <v>0.4</v>
      </c>
      <c r="G45">
        <f>VLOOKUP(A45,'Ansvar kurs'!$A$85:$C$976,2,FALSE)</f>
        <v>2193</v>
      </c>
      <c r="H45" t="str">
        <f>VLOOKUP(G45,Orgenheter!$A$1:$B$213,2)</f>
        <v xml:space="preserve">TUV </v>
      </c>
      <c r="I45" t="str">
        <f>VLOOKUP(G45,Orgenheter!$A$1:$C$165,3,FALSE)</f>
        <v>Sam</v>
      </c>
      <c r="J45" s="210">
        <f>IF(ISERROR(VLOOKUP(A45,'Totalt pivot'!$A$5:$C$397,2,FALSE)),0,(VLOOKUP(A45,'Totalt pivot'!$A$5:$C$397,2,FALSE)))</f>
        <v>3.125</v>
      </c>
      <c r="K45" s="210">
        <f t="shared" si="0"/>
        <v>1.25</v>
      </c>
      <c r="L45" s="210">
        <f>IF(ISERROR(VLOOKUP(A45,'Totalt pivot'!$A$5:$C$397,3,FALSE)),0,(VLOOKUP(A45,'Totalt pivot'!$A$5:$C$397,3,FALSE)))</f>
        <v>2.65625</v>
      </c>
      <c r="M45" s="210">
        <f t="shared" si="1"/>
        <v>1.0625</v>
      </c>
      <c r="N45" s="26">
        <f>VLOOKUP(A45,kurspris!$A$1:$Q$809,15)</f>
        <v>18405</v>
      </c>
      <c r="O45" s="26">
        <f>VLOOKUP(A45,kurspris!$A$1:$Q$809,16)</f>
        <v>15773</v>
      </c>
      <c r="P45" s="26">
        <f>VLOOKUP(A45,kurspris!$A$1:$Q$809,17)</f>
        <v>5800</v>
      </c>
      <c r="Q45" s="26">
        <f t="shared" si="2"/>
        <v>39765.0625</v>
      </c>
      <c r="R45" s="26">
        <f>(Q45*Prislapp!$R$5)*-1</f>
        <v>-2783.5543750000002</v>
      </c>
      <c r="S45" s="26">
        <f t="shared" si="3"/>
        <v>36981.508125</v>
      </c>
      <c r="T45" s="26">
        <f t="shared" si="4"/>
        <v>7250</v>
      </c>
    </row>
    <row r="46" spans="1:20" x14ac:dyDescent="0.25">
      <c r="A46" s="31" t="s">
        <v>598</v>
      </c>
      <c r="B46" t="str">
        <f>VLOOKUP(A46,kurspris!$A$1:$Q$809,2,FALSE)</f>
        <v>Bedömning för lärande i fritidshem (UK II)</v>
      </c>
      <c r="C46" s="31">
        <v>2180</v>
      </c>
      <c r="D46" t="str">
        <f>VLOOKUP(C46,Orgenheter!$A$1:$B$213,2)</f>
        <v xml:space="preserve">Pedagogik                     </v>
      </c>
      <c r="E46" t="str">
        <f>VLOOKUP(C46,Orgenheter!$A$1:$C$165,3,FALSE)</f>
        <v>Sam</v>
      </c>
      <c r="F46" s="295">
        <f>5/15</f>
        <v>0.33333333333333331</v>
      </c>
      <c r="G46">
        <f>VLOOKUP(A46,'Ansvar kurs'!$A$85:$C$976,2,FALSE)</f>
        <v>2193</v>
      </c>
      <c r="H46" t="str">
        <f>VLOOKUP(G46,Orgenheter!$A$1:$B$213,2)</f>
        <v xml:space="preserve">TUV </v>
      </c>
      <c r="I46" t="str">
        <f>VLOOKUP(G46,Orgenheter!$A$1:$C$165,3,FALSE)</f>
        <v>Sam</v>
      </c>
      <c r="J46" s="210">
        <f>IF(ISERROR(VLOOKUP(A46,'Totalt pivot'!$A$5:$C$397,2,FALSE)),0,(VLOOKUP(A46,'Totalt pivot'!$A$5:$C$397,2,FALSE)))</f>
        <v>0</v>
      </c>
      <c r="K46" s="210">
        <f t="shared" si="0"/>
        <v>0</v>
      </c>
      <c r="L46" s="210">
        <f>IF(ISERROR(VLOOKUP(A46,'Totalt pivot'!$A$5:$C$397,3,FALSE)),0,(VLOOKUP(A46,'Totalt pivot'!$A$5:$C$397,3,FALSE)))</f>
        <v>0</v>
      </c>
      <c r="M46" s="210">
        <f t="shared" si="1"/>
        <v>0</v>
      </c>
      <c r="N46" s="26">
        <f>VLOOKUP(A46,kurspris!$A$1:$Q$809,15)</f>
        <v>23641</v>
      </c>
      <c r="O46" s="26">
        <f>VLOOKUP(A46,kurspris!$A$1:$Q$809,16)</f>
        <v>28786</v>
      </c>
      <c r="P46" s="26">
        <f>VLOOKUP(A46,kurspris!$A$1:$Q$809,17)</f>
        <v>5800</v>
      </c>
      <c r="Q46" s="26">
        <f t="shared" si="2"/>
        <v>0</v>
      </c>
      <c r="R46" s="26">
        <f>(Q46*Prislapp!$R$5)*-1</f>
        <v>0</v>
      </c>
      <c r="S46" s="26">
        <f t="shared" si="3"/>
        <v>0</v>
      </c>
      <c r="T46" s="26">
        <f t="shared" si="4"/>
        <v>0</v>
      </c>
    </row>
    <row r="47" spans="1:20" x14ac:dyDescent="0.25">
      <c r="A47" s="31" t="s">
        <v>826</v>
      </c>
      <c r="B47" t="str">
        <f>VLOOKUP(A47,kurspris!$A$1:$Q$809,2,FALSE)</f>
        <v>Kunskap, undervisning och lärande för yrkeslärare II</v>
      </c>
      <c r="C47" s="31">
        <v>2193</v>
      </c>
      <c r="D47" t="str">
        <f>VLOOKUP(C47,Orgenheter!$A$1:$B$213,2)</f>
        <v xml:space="preserve">TUV </v>
      </c>
      <c r="E47" t="str">
        <f>VLOOKUP(C47,Orgenheter!$A$1:$C$165,3,FALSE)</f>
        <v>Sam</v>
      </c>
      <c r="F47" s="295">
        <f>6/15</f>
        <v>0.4</v>
      </c>
      <c r="G47">
        <f>VLOOKUP(A47,'Ansvar kurs'!$A$85:$C$976,2,FALSE)</f>
        <v>2180</v>
      </c>
      <c r="H47" t="str">
        <f>VLOOKUP(G47,Orgenheter!$A$1:$B$213,2)</f>
        <v xml:space="preserve">Pedagogik                     </v>
      </c>
      <c r="I47" t="str">
        <f>VLOOKUP(G47,Orgenheter!$A$1:$C$165,3,FALSE)</f>
        <v>Sam</v>
      </c>
      <c r="J47" s="210">
        <f>IF(ISERROR(VLOOKUP(A47,'Totalt pivot'!$A$5:$C$397,2,FALSE)),0,(VLOOKUP(A47,'Totalt pivot'!$A$5:$C$397,2,FALSE)))</f>
        <v>10.75</v>
      </c>
      <c r="K47" s="210">
        <f t="shared" si="0"/>
        <v>4.3</v>
      </c>
      <c r="L47" s="210">
        <f>IF(ISERROR(VLOOKUP(A47,'Totalt pivot'!$A$5:$C$397,3,FALSE)),0,(VLOOKUP(A47,'Totalt pivot'!$A$5:$C$397,3,FALSE)))</f>
        <v>9.1374999999999993</v>
      </c>
      <c r="M47" s="210">
        <f t="shared" si="1"/>
        <v>3.6549999999999998</v>
      </c>
      <c r="N47" s="26">
        <f>VLOOKUP(A47,kurspris!$A$1:$Q$809,15)</f>
        <v>23641</v>
      </c>
      <c r="O47" s="26">
        <f>VLOOKUP(A47,kurspris!$A$1:$Q$809,16)</f>
        <v>28786</v>
      </c>
      <c r="P47" s="26">
        <f>VLOOKUP(A47,kurspris!$A$1:$Q$809,17)</f>
        <v>5800</v>
      </c>
      <c r="Q47" s="26">
        <f t="shared" si="2"/>
        <v>206869.13</v>
      </c>
      <c r="R47" s="26">
        <f>(Q47*Prislapp!$R$5)*-1</f>
        <v>-14480.839100000001</v>
      </c>
      <c r="S47" s="26">
        <f t="shared" si="3"/>
        <v>192388.29089999999</v>
      </c>
      <c r="T47" s="26">
        <f t="shared" si="4"/>
        <v>24940</v>
      </c>
    </row>
    <row r="48" spans="1:20" x14ac:dyDescent="0.25">
      <c r="A48" s="62" t="s">
        <v>815</v>
      </c>
      <c r="B48" t="str">
        <f>VLOOKUP(A48,kurspris!$A$1:$Q$809,2,FALSE)</f>
        <v>Bedömning för lärande för ämneslärare för åk 7-9 och gymnasium</v>
      </c>
      <c r="C48" s="31">
        <v>2193</v>
      </c>
      <c r="D48" t="str">
        <f>VLOOKUP(C48,Orgenheter!$A$1:$B$213,2)</f>
        <v xml:space="preserve">TUV </v>
      </c>
      <c r="E48" t="str">
        <f>VLOOKUP(C48,Orgenheter!$A$1:$C$165,3,FALSE)</f>
        <v>Sam</v>
      </c>
      <c r="F48" s="295">
        <f>2.5/14</f>
        <v>0.17857142857142858</v>
      </c>
      <c r="G48">
        <f>VLOOKUP(A48,'Ansvar kurs'!$A$85:$C$976,2,FALSE)</f>
        <v>5740</v>
      </c>
      <c r="H48" t="str">
        <f>VLOOKUP(G48,Orgenheter!$A$1:$B$213,2)</f>
        <v>NMD</v>
      </c>
      <c r="I48" t="str">
        <f>VLOOKUP(G48,Orgenheter!$A$1:$C$165,3,FALSE)</f>
        <v>TekNat</v>
      </c>
      <c r="J48" s="210">
        <f>IF(ISERROR(VLOOKUP(A48,'Totalt pivot'!$A$5:$C$397,2,FALSE)),0,(VLOOKUP(A48,'Totalt pivot'!$A$5:$C$397,2,FALSE)))</f>
        <v>0</v>
      </c>
      <c r="K48" s="210">
        <f t="shared" si="0"/>
        <v>0</v>
      </c>
      <c r="L48" s="210">
        <f>IF(ISERROR(VLOOKUP(A48,'Totalt pivot'!$A$5:$C$397,3,FALSE)),0,(VLOOKUP(A48,'Totalt pivot'!$A$5:$C$397,3,FALSE)))</f>
        <v>0</v>
      </c>
      <c r="M48" s="210">
        <f t="shared" si="1"/>
        <v>0</v>
      </c>
      <c r="N48" s="26">
        <f>VLOOKUP(A48,kurspris!$A$1:$Q$809,15)</f>
        <v>23641</v>
      </c>
      <c r="O48" s="26">
        <f>VLOOKUP(A48,kurspris!$A$1:$Q$809,16)</f>
        <v>28786</v>
      </c>
      <c r="P48" s="26">
        <f>VLOOKUP(A48,kurspris!$A$1:$Q$809,17)</f>
        <v>5800</v>
      </c>
      <c r="Q48" s="26">
        <f t="shared" si="2"/>
        <v>0</v>
      </c>
      <c r="R48" s="26">
        <f>(Q48*Prislapp!$R$5)*-1</f>
        <v>0</v>
      </c>
      <c r="S48" s="26">
        <f t="shared" si="3"/>
        <v>0</v>
      </c>
      <c r="T48" s="26">
        <f t="shared" si="4"/>
        <v>0</v>
      </c>
    </row>
    <row r="49" spans="1:24" x14ac:dyDescent="0.25">
      <c r="A49" s="62" t="s">
        <v>815</v>
      </c>
      <c r="B49" t="str">
        <f>VLOOKUP(A49,kurspris!$A$1:$Q$809,2,FALSE)</f>
        <v>Bedömning för lärande för ämneslärare för åk 7-9 och gymnasium</v>
      </c>
      <c r="C49" s="31">
        <v>2180</v>
      </c>
      <c r="D49" t="str">
        <f>VLOOKUP(C49,Orgenheter!$A$1:$B$213,2)</f>
        <v xml:space="preserve">Pedagogik                     </v>
      </c>
      <c r="E49" t="str">
        <f>VLOOKUP(C49,Orgenheter!$A$1:$C$165,3,FALSE)</f>
        <v>Sam</v>
      </c>
      <c r="F49" s="295">
        <f>2.5/14</f>
        <v>0.17857142857142858</v>
      </c>
      <c r="G49">
        <f>VLOOKUP(A49,'Ansvar kurs'!$A$85:$C$976,2,FALSE)</f>
        <v>5740</v>
      </c>
      <c r="H49" t="str">
        <f>VLOOKUP(G49,Orgenheter!$A$1:$B$213,2)</f>
        <v>NMD</v>
      </c>
      <c r="I49" t="str">
        <f>VLOOKUP(G49,Orgenheter!$A$1:$C$165,3,FALSE)</f>
        <v>TekNat</v>
      </c>
      <c r="J49" s="210">
        <f>IF(ISERROR(VLOOKUP(A49,'Totalt pivot'!$A$5:$C$397,2,FALSE)),0,(VLOOKUP(A49,'Totalt pivot'!$A$5:$C$397,2,FALSE)))</f>
        <v>0</v>
      </c>
      <c r="K49" s="210">
        <f t="shared" si="0"/>
        <v>0</v>
      </c>
      <c r="L49" s="210">
        <f>IF(ISERROR(VLOOKUP(A49,'Totalt pivot'!$A$5:$C$397,3,FALSE)),0,(VLOOKUP(A49,'Totalt pivot'!$A$5:$C$397,3,FALSE)))</f>
        <v>0</v>
      </c>
      <c r="M49" s="210">
        <f t="shared" si="1"/>
        <v>0</v>
      </c>
      <c r="N49" s="26">
        <f>VLOOKUP(A49,kurspris!$A$1:$Q$809,15)</f>
        <v>23641</v>
      </c>
      <c r="O49" s="26">
        <f>VLOOKUP(A49,kurspris!$A$1:$Q$809,16)</f>
        <v>28786</v>
      </c>
      <c r="P49" s="26">
        <f>VLOOKUP(A49,kurspris!$A$1:$Q$809,17)</f>
        <v>5800</v>
      </c>
      <c r="Q49" s="26">
        <f t="shared" si="2"/>
        <v>0</v>
      </c>
      <c r="R49" s="26">
        <f>(Q49*Prislapp!$R$5)*-1</f>
        <v>0</v>
      </c>
      <c r="S49" s="26">
        <f t="shared" si="3"/>
        <v>0</v>
      </c>
      <c r="T49" s="26">
        <f t="shared" si="4"/>
        <v>0</v>
      </c>
    </row>
    <row r="50" spans="1:24" x14ac:dyDescent="0.25">
      <c r="A50" s="62" t="s">
        <v>911</v>
      </c>
      <c r="B50" t="str">
        <f>VLOOKUP(A50,kurspris!$A$1:$Q$809,2,FALSE)</f>
        <v>Ämnesdidaktik för yrkeslärare</v>
      </c>
      <c r="C50" s="31">
        <v>2180</v>
      </c>
      <c r="D50" t="str">
        <f>VLOOKUP(C50,Orgenheter!$A$1:$B$213,2)</f>
        <v xml:space="preserve">Pedagogik                     </v>
      </c>
      <c r="E50" t="str">
        <f>VLOOKUP(C50,Orgenheter!$A$1:$C$165,3,FALSE)</f>
        <v>Sam</v>
      </c>
      <c r="F50" s="295">
        <f>4/10</f>
        <v>0.4</v>
      </c>
      <c r="G50">
        <f>VLOOKUP(A50,'Ansvar kurs'!$A$85:$C$976,2,FALSE)</f>
        <v>2193</v>
      </c>
      <c r="H50" t="str">
        <f>VLOOKUP(G50,Orgenheter!$A$1:$B$213,2)</f>
        <v xml:space="preserve">TUV </v>
      </c>
      <c r="I50" t="str">
        <f>VLOOKUP(G50,Orgenheter!$A$1:$C$165,3,FALSE)</f>
        <v>Sam</v>
      </c>
      <c r="J50" s="210">
        <f>IF(ISERROR(VLOOKUP(A50,'Totalt pivot'!$A$5:$C$397,2,FALSE)),0,(VLOOKUP(A50,'Totalt pivot'!$A$5:$C$397,2,FALSE)))</f>
        <v>4.3333300000000001</v>
      </c>
      <c r="K50" s="210">
        <f t="shared" si="0"/>
        <v>1.7333320000000001</v>
      </c>
      <c r="L50" s="210">
        <f>IF(ISERROR(VLOOKUP(A50,'Totalt pivot'!$A$5:$C$397,3,FALSE)),0,(VLOOKUP(A50,'Totalt pivot'!$A$5:$C$397,3,FALSE)))</f>
        <v>3.6833304999999998</v>
      </c>
      <c r="M50" s="210">
        <f>F50*L50</f>
        <v>1.4733322</v>
      </c>
      <c r="N50" s="26">
        <f>VLOOKUP(A50,kurspris!$A$1:$Q$809,15)</f>
        <v>23641</v>
      </c>
      <c r="O50" s="26">
        <f>VLOOKUP(A50,kurspris!$A$1:$Q$809,16)</f>
        <v>28786</v>
      </c>
      <c r="P50" s="26">
        <f>VLOOKUP(A50,kurspris!$A$1:$Q$809,17)</f>
        <v>5800</v>
      </c>
      <c r="Q50" s="26">
        <f>K50*N50+M50*O50</f>
        <v>83389.042521199997</v>
      </c>
      <c r="R50" s="26">
        <f>(Q50*Prislapp!$R$5)*-1</f>
        <v>-5837.2329764840006</v>
      </c>
      <c r="S50" s="26">
        <f>Q50+R50</f>
        <v>77551.809544716001</v>
      </c>
      <c r="T50" s="26">
        <f>K50*P50</f>
        <v>10053.3256</v>
      </c>
      <c r="V50" t="s">
        <v>1297</v>
      </c>
    </row>
    <row r="51" spans="1:24" x14ac:dyDescent="0.25">
      <c r="A51" s="62" t="s">
        <v>912</v>
      </c>
      <c r="B51" t="str">
        <f>VLOOKUP(A51,kurspris!$A$1:$Q$809,2,FALSE)</f>
        <v>Profession och vetenskap för yrkeslärare</v>
      </c>
      <c r="C51" s="31">
        <v>2180</v>
      </c>
      <c r="D51" t="str">
        <f>VLOOKUP(C51,Orgenheter!$A$1:$B$213,2)</f>
        <v xml:space="preserve">Pedagogik                     </v>
      </c>
      <c r="E51" t="str">
        <f>VLOOKUP(C51,Orgenheter!$A$1:$C$165,3,FALSE)</f>
        <v>Sam</v>
      </c>
      <c r="F51" s="295">
        <f>2/5</f>
        <v>0.4</v>
      </c>
      <c r="G51">
        <f>VLOOKUP(A51,'Ansvar kurs'!$A$85:$C$976,2,FALSE)</f>
        <v>2193</v>
      </c>
      <c r="H51" t="str">
        <f>VLOOKUP(G51,Orgenheter!$A$1:$B$213,2)</f>
        <v xml:space="preserve">TUV </v>
      </c>
      <c r="I51" t="str">
        <f>VLOOKUP(G51,Orgenheter!$A$1:$C$165,3,FALSE)</f>
        <v>Sam</v>
      </c>
      <c r="J51" s="210">
        <f>IF(ISERROR(VLOOKUP(A51,'Totalt pivot'!$A$5:$C$397,2,FALSE)),0,(VLOOKUP(A51,'Totalt pivot'!$A$5:$C$397,2,FALSE)))</f>
        <v>2.0833300000000001</v>
      </c>
      <c r="K51" s="210">
        <f t="shared" si="0"/>
        <v>0.83333200000000007</v>
      </c>
      <c r="L51" s="210">
        <f>IF(ISERROR(VLOOKUP(A51,'Totalt pivot'!$A$5:$C$397,3,FALSE)),0,(VLOOKUP(A51,'Totalt pivot'!$A$5:$C$397,3,FALSE)))</f>
        <v>1.7708305</v>
      </c>
      <c r="M51" s="210">
        <f t="shared" si="1"/>
        <v>0.70833220000000008</v>
      </c>
      <c r="N51" s="26">
        <f>VLOOKUP(A51,kurspris!$A$1:$Q$809,15)</f>
        <v>23641</v>
      </c>
      <c r="O51" s="26">
        <f>VLOOKUP(A51,kurspris!$A$1:$Q$809,16)</f>
        <v>28786</v>
      </c>
      <c r="P51" s="26">
        <f>VLOOKUP(A51,kurspris!$A$1:$Q$809,17)</f>
        <v>5800</v>
      </c>
      <c r="Q51" s="26">
        <f t="shared" si="2"/>
        <v>40090.852521200002</v>
      </c>
      <c r="R51" s="26">
        <f>(Q51*Prislapp!$R$5)*-1</f>
        <v>-2806.3596764840004</v>
      </c>
      <c r="S51" s="26">
        <f t="shared" si="3"/>
        <v>37284.492844716005</v>
      </c>
      <c r="T51" s="26">
        <f t="shared" si="4"/>
        <v>4833.3256000000001</v>
      </c>
      <c r="V51" s="39" t="s">
        <v>820</v>
      </c>
    </row>
    <row r="52" spans="1:24" x14ac:dyDescent="0.25">
      <c r="A52" s="62" t="s">
        <v>976</v>
      </c>
      <c r="B52" t="str">
        <f>VLOOKUP(A52,kurspris!$A$1:$Q$809,2,FALSE)</f>
        <v>Läraryrkets dimensioner för åk 4-6 (VFU III)</v>
      </c>
      <c r="C52" s="31">
        <v>1620</v>
      </c>
      <c r="D52" t="str">
        <f>VLOOKUP(C52,Orgenheter!$A$1:$B$213,2)</f>
        <v>Inst för språkstudier</v>
      </c>
      <c r="E52" t="str">
        <f>VLOOKUP(C52,Orgenheter!$A$1:$C$165,3,FALSE)</f>
        <v>Hum</v>
      </c>
      <c r="F52" s="295">
        <f>8/22.5</f>
        <v>0.35555555555555557</v>
      </c>
      <c r="G52">
        <f>VLOOKUP(A52,'Ansvar kurs'!$A$85:$C$976,2,FALSE)</f>
        <v>5740</v>
      </c>
      <c r="H52" t="str">
        <f>VLOOKUP(G52,Orgenheter!$A$1:$B$213,2)</f>
        <v>NMD</v>
      </c>
      <c r="I52" t="str">
        <f>VLOOKUP(G52,Orgenheter!$A$1:$C$165,3,FALSE)</f>
        <v>TekNat</v>
      </c>
      <c r="J52" s="210">
        <f>IF(ISERROR(VLOOKUP(A52,'Totalt pivot'!$A$5:$C$397,2,FALSE)),0,(VLOOKUP(A52,'Totalt pivot'!$A$5:$C$397,2,FALSE)))</f>
        <v>0</v>
      </c>
      <c r="K52" s="210">
        <f t="shared" si="0"/>
        <v>0</v>
      </c>
      <c r="L52" s="210">
        <f>IF(ISERROR(VLOOKUP(A52,'Totalt pivot'!$A$5:$C$397,3,FALSE)),0,(VLOOKUP(A52,'Totalt pivot'!$A$5:$C$397,3,FALSE)))</f>
        <v>0</v>
      </c>
      <c r="M52" s="210">
        <f t="shared" si="1"/>
        <v>0</v>
      </c>
      <c r="N52" s="26">
        <f>VLOOKUP(A52,kurspris!$A$1:$Q$809,15)</f>
        <v>21634</v>
      </c>
      <c r="O52" s="26">
        <f>VLOOKUP(A52,kurspris!$A$1:$Q$809,16)</f>
        <v>26986</v>
      </c>
      <c r="P52" s="26">
        <f>VLOOKUP(A52,kurspris!$A$1:$Q$809,17)</f>
        <v>3400</v>
      </c>
      <c r="Q52" s="26">
        <f t="shared" si="2"/>
        <v>0</v>
      </c>
      <c r="R52" s="26">
        <f>(Q52*Prislapp!$R$5)*-1</f>
        <v>0</v>
      </c>
      <c r="S52" s="26">
        <f t="shared" si="3"/>
        <v>0</v>
      </c>
      <c r="T52" s="26">
        <f t="shared" si="4"/>
        <v>0</v>
      </c>
      <c r="V52" s="312" t="s">
        <v>991</v>
      </c>
      <c r="W52" s="274">
        <v>160226</v>
      </c>
      <c r="X52" s="312" t="s">
        <v>1521</v>
      </c>
    </row>
    <row r="53" spans="1:24" x14ac:dyDescent="0.25">
      <c r="A53" s="62" t="s">
        <v>976</v>
      </c>
      <c r="B53" t="str">
        <f>VLOOKUP(A53,kurspris!$A$1:$Q$809,2,FALSE)</f>
        <v>Läraryrkets dimensioner för åk 4-6 (VFU III)</v>
      </c>
      <c r="C53" s="31">
        <v>2180</v>
      </c>
      <c r="D53" t="str">
        <f>VLOOKUP(C53,Orgenheter!$A$1:$B$213,2)</f>
        <v xml:space="preserve">Pedagogik                     </v>
      </c>
      <c r="E53" t="str">
        <f>VLOOKUP(C53,Orgenheter!$A$1:$C$165,3,FALSE)</f>
        <v>Sam</v>
      </c>
      <c r="F53" s="295">
        <f>3/22.5</f>
        <v>0.13333333333333333</v>
      </c>
      <c r="G53">
        <f>VLOOKUP(A53,'Ansvar kurs'!$A$85:$C$976,2,FALSE)</f>
        <v>5740</v>
      </c>
      <c r="H53" t="str">
        <f>VLOOKUP(G53,Orgenheter!$A$1:$B$213,2)</f>
        <v>NMD</v>
      </c>
      <c r="I53" t="str">
        <f>VLOOKUP(G53,Orgenheter!$A$1:$C$165,3,FALSE)</f>
        <v>TekNat</v>
      </c>
      <c r="J53" s="210">
        <f>IF(ISERROR(VLOOKUP(A53,'Totalt pivot'!$A$5:$C$397,2,FALSE)),0,(VLOOKUP(A53,'Totalt pivot'!$A$5:$C$397,2,FALSE)))</f>
        <v>0</v>
      </c>
      <c r="K53" s="210">
        <f t="shared" si="0"/>
        <v>0</v>
      </c>
      <c r="L53" s="210">
        <f>IF(ISERROR(VLOOKUP(A53,'Totalt pivot'!$A$5:$C$397,3,FALSE)),0,(VLOOKUP(A53,'Totalt pivot'!$A$5:$C$397,3,FALSE)))</f>
        <v>0</v>
      </c>
      <c r="M53" s="210">
        <f>F53*L53</f>
        <v>0</v>
      </c>
      <c r="N53" s="26">
        <f>VLOOKUP(A53,kurspris!$A$1:$Q$809,15)</f>
        <v>21634</v>
      </c>
      <c r="O53" s="26">
        <f>VLOOKUP(A53,kurspris!$A$1:$Q$809,16)</f>
        <v>26986</v>
      </c>
      <c r="P53" s="26">
        <f>VLOOKUP(A53,kurspris!$A$1:$Q$809,17)</f>
        <v>3400</v>
      </c>
      <c r="Q53" s="26">
        <f>K53*N53+M53*O53</f>
        <v>0</v>
      </c>
      <c r="R53" s="26">
        <f>(Q53*Prislapp!$R$5)*-1</f>
        <v>0</v>
      </c>
      <c r="S53" s="26">
        <f>Q53+R53</f>
        <v>0</v>
      </c>
      <c r="T53" s="26">
        <f>K53*P53</f>
        <v>0</v>
      </c>
      <c r="V53" s="312" t="s">
        <v>991</v>
      </c>
      <c r="W53" s="274">
        <v>160226</v>
      </c>
      <c r="X53" s="312" t="s">
        <v>1521</v>
      </c>
    </row>
    <row r="54" spans="1:24" x14ac:dyDescent="0.25">
      <c r="A54" s="62" t="s">
        <v>975</v>
      </c>
      <c r="B54" t="str">
        <f>VLOOKUP(A54,kurspris!$A$1:$Q$809,2,FALSE)</f>
        <v>Läraryrkets dimensioner för F-3 (VFU III)</v>
      </c>
      <c r="C54" s="31">
        <v>1620</v>
      </c>
      <c r="D54" t="str">
        <f>VLOOKUP(C54,Orgenheter!$A$1:$B$213,2)</f>
        <v>Inst för språkstudier</v>
      </c>
      <c r="E54" t="str">
        <f>VLOOKUP(C54,Orgenheter!$A$1:$C$165,3,FALSE)</f>
        <v>Hum</v>
      </c>
      <c r="F54" s="295">
        <f>11/22.5</f>
        <v>0.48888888888888887</v>
      </c>
      <c r="G54">
        <f>VLOOKUP(A54,'Ansvar kurs'!$A$85:$C$976,2,FALSE)</f>
        <v>5740</v>
      </c>
      <c r="H54" t="str">
        <f>VLOOKUP(G54,Orgenheter!$A$1:$B$213,2)</f>
        <v>NMD</v>
      </c>
      <c r="I54" t="str">
        <f>VLOOKUP(G54,Orgenheter!$A$1:$C$165,3,FALSE)</f>
        <v>TekNat</v>
      </c>
      <c r="J54" s="210">
        <f>IF(ISERROR(VLOOKUP(A54,'Totalt pivot'!$A$5:$C$397,2,FALSE)),0,(VLOOKUP(A54,'Totalt pivot'!$A$5:$C$397,2,FALSE)))</f>
        <v>0</v>
      </c>
      <c r="K54" s="210">
        <f t="shared" si="0"/>
        <v>0</v>
      </c>
      <c r="L54" s="210">
        <f>IF(ISERROR(VLOOKUP(A54,'Totalt pivot'!$A$5:$C$397,3,FALSE)),0,(VLOOKUP(A54,'Totalt pivot'!$A$5:$C$397,3,FALSE)))</f>
        <v>0</v>
      </c>
      <c r="M54" s="210">
        <f t="shared" si="1"/>
        <v>0</v>
      </c>
      <c r="N54" s="26">
        <f>VLOOKUP(A54,kurspris!$A$1:$Q$809,15)</f>
        <v>21634</v>
      </c>
      <c r="O54" s="26">
        <f>VLOOKUP(A54,kurspris!$A$1:$Q$809,16)</f>
        <v>26986</v>
      </c>
      <c r="P54" s="26">
        <f>VLOOKUP(A54,kurspris!$A$1:$Q$809,17)</f>
        <v>3400</v>
      </c>
      <c r="Q54" s="26">
        <f t="shared" si="2"/>
        <v>0</v>
      </c>
      <c r="R54" s="26">
        <f>(Q54*Prislapp!$R$5)*-1</f>
        <v>0</v>
      </c>
      <c r="S54" s="26">
        <f t="shared" si="3"/>
        <v>0</v>
      </c>
      <c r="T54" s="26">
        <f t="shared" si="4"/>
        <v>0</v>
      </c>
      <c r="V54" s="312" t="s">
        <v>991</v>
      </c>
      <c r="W54" s="274">
        <v>160226</v>
      </c>
      <c r="X54" s="312" t="s">
        <v>1521</v>
      </c>
    </row>
    <row r="55" spans="1:24" x14ac:dyDescent="0.25">
      <c r="A55" s="62" t="s">
        <v>970</v>
      </c>
      <c r="B55" t="str">
        <f>VLOOKUP(A55,kurspris!$A$1:$Q$809,2,FALSE)</f>
        <v>Verksamhetsförlagd utbildning för yrkeslärare</v>
      </c>
      <c r="C55" s="31">
        <v>2193</v>
      </c>
      <c r="D55" t="str">
        <f>VLOOKUP(C55,Orgenheter!$A$1:$B$213,2)</f>
        <v xml:space="preserve">TUV </v>
      </c>
      <c r="E55" t="str">
        <f>VLOOKUP(C55,Orgenheter!$A$1:$C$165,3,FALSE)</f>
        <v>Sam</v>
      </c>
      <c r="F55" s="295">
        <f>15/30</f>
        <v>0.5</v>
      </c>
      <c r="G55">
        <f>VLOOKUP(A55,'Ansvar kurs'!$A$85:$C$976,2,FALSE)</f>
        <v>2180</v>
      </c>
      <c r="H55" t="str">
        <f>VLOOKUP(G55,Orgenheter!$A$1:$B$213,2)</f>
        <v xml:space="preserve">Pedagogik                     </v>
      </c>
      <c r="I55" t="str">
        <f>VLOOKUP(G55,Orgenheter!$A$1:$C$165,3,FALSE)</f>
        <v>Sam</v>
      </c>
      <c r="J55" s="210">
        <f>IF(ISERROR(VLOOKUP(A55,'Totalt pivot'!$A$5:$C$397,2,FALSE)),0,(VLOOKUP(A55,'Totalt pivot'!$A$5:$C$397,2,FALSE)))</f>
        <v>0</v>
      </c>
      <c r="K55" s="210">
        <f t="shared" si="0"/>
        <v>0</v>
      </c>
      <c r="L55" s="210">
        <f>IF(ISERROR(VLOOKUP(A55,'Totalt pivot'!$A$5:$C$397,3,FALSE)),0,(VLOOKUP(A55,'Totalt pivot'!$A$5:$C$397,3,FALSE)))</f>
        <v>0</v>
      </c>
      <c r="M55" s="210">
        <f>F55*L55</f>
        <v>0</v>
      </c>
      <c r="N55" s="26">
        <f>VLOOKUP(A55,kurspris!$A$1:$Q$809,15)</f>
        <v>21634</v>
      </c>
      <c r="O55" s="26">
        <f>VLOOKUP(A55,kurspris!$A$1:$Q$809,16)</f>
        <v>26986</v>
      </c>
      <c r="P55" s="26">
        <f>VLOOKUP(A55,kurspris!$A$1:$Q$809,17)</f>
        <v>3400</v>
      </c>
      <c r="Q55" s="26">
        <f>K55*N55+M55*O55</f>
        <v>0</v>
      </c>
      <c r="R55" s="26">
        <f>(Q55*Prislapp!$R$5)*-1</f>
        <v>0</v>
      </c>
      <c r="S55" s="26">
        <f>Q55+R55</f>
        <v>0</v>
      </c>
      <c r="T55" s="26">
        <f>K55*P55</f>
        <v>0</v>
      </c>
      <c r="V55" t="s">
        <v>1297</v>
      </c>
    </row>
    <row r="56" spans="1:24" x14ac:dyDescent="0.25">
      <c r="A56" s="62" t="s">
        <v>989</v>
      </c>
      <c r="B56" t="str">
        <f>VLOOKUP(A56,kurspris!$A$1:$Q$809,2,FALSE)</f>
        <v>Kunskap undervisning och lärande II</v>
      </c>
      <c r="C56" s="31">
        <v>1650</v>
      </c>
      <c r="D56" t="str">
        <f>VLOOKUP(C56,Orgenheter!$A$1:$B$213,2)</f>
        <v xml:space="preserve">Estetiska ämnen               </v>
      </c>
      <c r="E56" t="str">
        <f>VLOOKUP(C56,Orgenheter!$A$1:$C$165,3,FALSE)</f>
        <v>Hum</v>
      </c>
      <c r="F56" s="295">
        <f>4/15</f>
        <v>0.26666666666666666</v>
      </c>
      <c r="G56">
        <f>VLOOKUP(A56,'Ansvar kurs'!$A$85:$C$976,2,FALSE)</f>
        <v>5740</v>
      </c>
      <c r="H56" t="str">
        <f>VLOOKUP(G56,Orgenheter!$A$1:$B$213,2)</f>
        <v>NMD</v>
      </c>
      <c r="I56" t="str">
        <f>VLOOKUP(G56,Orgenheter!$A$1:$C$165,3,FALSE)</f>
        <v>TekNat</v>
      </c>
      <c r="J56" s="210">
        <f>IF(ISERROR(VLOOKUP(A56,'Totalt pivot'!$A$5:$C$397,2,FALSE)),0,(VLOOKUP(A56,'Totalt pivot'!$A$5:$C$397,2,FALSE)))</f>
        <v>0</v>
      </c>
      <c r="K56" s="210">
        <f t="shared" si="0"/>
        <v>0</v>
      </c>
      <c r="L56" s="210">
        <f>IF(ISERROR(VLOOKUP(A56,'Totalt pivot'!$A$5:$C$397,3,FALSE)),0,(VLOOKUP(A56,'Totalt pivot'!$A$5:$C$397,3,FALSE)))</f>
        <v>0</v>
      </c>
      <c r="M56" s="210">
        <f t="shared" si="1"/>
        <v>0</v>
      </c>
      <c r="N56" s="26">
        <f>VLOOKUP(A56,kurspris!$A$1:$Q$809,15)</f>
        <v>23641</v>
      </c>
      <c r="O56" s="26">
        <f>VLOOKUP(A56,kurspris!$A$1:$Q$809,16)</f>
        <v>28786</v>
      </c>
      <c r="P56" s="26">
        <f>VLOOKUP(A56,kurspris!$A$1:$Q$809,17)</f>
        <v>5800</v>
      </c>
      <c r="Q56" s="26">
        <f t="shared" si="2"/>
        <v>0</v>
      </c>
      <c r="R56" s="26">
        <f>(Q56*Prislapp!$R$5)*-1</f>
        <v>0</v>
      </c>
      <c r="S56" s="26">
        <f t="shared" si="3"/>
        <v>0</v>
      </c>
      <c r="T56" s="26">
        <f t="shared" si="4"/>
        <v>0</v>
      </c>
      <c r="V56" s="39" t="s">
        <v>991</v>
      </c>
      <c r="W56">
        <v>140310</v>
      </c>
      <c r="X56" t="s">
        <v>990</v>
      </c>
    </row>
    <row r="57" spans="1:24" x14ac:dyDescent="0.25">
      <c r="A57" s="62" t="s">
        <v>989</v>
      </c>
      <c r="B57" t="str">
        <f>VLOOKUP(A57,kurspris!$A$1:$Q$809,2,FALSE)</f>
        <v>Kunskap undervisning och lärande II</v>
      </c>
      <c r="C57" s="31">
        <v>2193</v>
      </c>
      <c r="D57" t="str">
        <f>VLOOKUP(C57,Orgenheter!$A$1:$B$213,2)</f>
        <v xml:space="preserve">TUV </v>
      </c>
      <c r="E57" t="str">
        <f>VLOOKUP(C57,Orgenheter!$A$1:$C$165,3,FALSE)</f>
        <v>Sam</v>
      </c>
      <c r="F57" s="295">
        <f>3/15</f>
        <v>0.2</v>
      </c>
      <c r="G57">
        <f>VLOOKUP(A57,'Ansvar kurs'!$A$85:$C$976,2,FALSE)</f>
        <v>5740</v>
      </c>
      <c r="H57" t="str">
        <f>VLOOKUP(G57,Orgenheter!$A$1:$B$213,2)</f>
        <v>NMD</v>
      </c>
      <c r="I57" t="str">
        <f>VLOOKUP(G57,Orgenheter!$A$1:$C$165,3,FALSE)</f>
        <v>TekNat</v>
      </c>
      <c r="J57" s="210">
        <f>IF(ISERROR(VLOOKUP(A57,'Totalt pivot'!$A$5:$C$397,2,FALSE)),0,(VLOOKUP(A57,'Totalt pivot'!$A$5:$C$397,2,FALSE)))</f>
        <v>0</v>
      </c>
      <c r="K57" s="210">
        <f t="shared" si="0"/>
        <v>0</v>
      </c>
      <c r="L57" s="210">
        <f>IF(ISERROR(VLOOKUP(A57,'Totalt pivot'!$A$5:$C$397,3,FALSE)),0,(VLOOKUP(A57,'Totalt pivot'!$A$5:$C$397,3,FALSE)))</f>
        <v>0</v>
      </c>
      <c r="M57" s="210">
        <f t="shared" si="1"/>
        <v>0</v>
      </c>
      <c r="N57" s="26">
        <f>VLOOKUP(A57,kurspris!$A$1:$Q$809,15)</f>
        <v>23641</v>
      </c>
      <c r="O57" s="26">
        <f>VLOOKUP(A57,kurspris!$A$1:$Q$809,16)</f>
        <v>28786</v>
      </c>
      <c r="P57" s="26">
        <f>VLOOKUP(A57,kurspris!$A$1:$Q$809,17)</f>
        <v>5800</v>
      </c>
      <c r="Q57" s="26">
        <f t="shared" si="2"/>
        <v>0</v>
      </c>
      <c r="R57" s="26">
        <f>(Q57*Prislapp!$R$5)*-1</f>
        <v>0</v>
      </c>
      <c r="S57" s="26">
        <f t="shared" si="3"/>
        <v>0</v>
      </c>
      <c r="T57" s="26">
        <f t="shared" si="4"/>
        <v>0</v>
      </c>
      <c r="V57" s="39" t="s">
        <v>991</v>
      </c>
      <c r="W57">
        <v>140310</v>
      </c>
      <c r="X57" t="s">
        <v>990</v>
      </c>
    </row>
    <row r="58" spans="1:24" x14ac:dyDescent="0.25">
      <c r="A58" s="62" t="s">
        <v>989</v>
      </c>
      <c r="B58" t="str">
        <f>VLOOKUP(A58,kurspris!$A$1:$Q$809,2,FALSE)</f>
        <v>Kunskap undervisning och lärande II</v>
      </c>
      <c r="C58" s="31">
        <v>2180</v>
      </c>
      <c r="D58" t="str">
        <f>VLOOKUP(C58,Orgenheter!$A$1:$B$213,2)</f>
        <v xml:space="preserve">Pedagogik                     </v>
      </c>
      <c r="E58" t="str">
        <f>VLOOKUP(C58,Orgenheter!$A$1:$C$165,3,FALSE)</f>
        <v>Sam</v>
      </c>
      <c r="F58" s="295">
        <f>3/15</f>
        <v>0.2</v>
      </c>
      <c r="G58">
        <f>VLOOKUP(A58,'Ansvar kurs'!$A$85:$C$976,2,FALSE)</f>
        <v>5740</v>
      </c>
      <c r="H58" t="str">
        <f>VLOOKUP(G58,Orgenheter!$A$1:$B$213,2)</f>
        <v>NMD</v>
      </c>
      <c r="I58" t="str">
        <f>VLOOKUP(G58,Orgenheter!$A$1:$C$165,3,FALSE)</f>
        <v>TekNat</v>
      </c>
      <c r="J58" s="210">
        <f>IF(ISERROR(VLOOKUP(A58,'Totalt pivot'!$A$5:$C$397,2,FALSE)),0,(VLOOKUP(A58,'Totalt pivot'!$A$5:$C$397,2,FALSE)))</f>
        <v>0</v>
      </c>
      <c r="K58" s="210">
        <f t="shared" si="0"/>
        <v>0</v>
      </c>
      <c r="L58" s="210">
        <f>IF(ISERROR(VLOOKUP(A58,'Totalt pivot'!$A$5:$C$397,3,FALSE)),0,(VLOOKUP(A58,'Totalt pivot'!$A$5:$C$397,3,FALSE)))</f>
        <v>0</v>
      </c>
      <c r="M58" s="210">
        <f t="shared" si="1"/>
        <v>0</v>
      </c>
      <c r="N58" s="26">
        <f>VLOOKUP(A58,kurspris!$A$1:$Q$809,15)</f>
        <v>23641</v>
      </c>
      <c r="O58" s="26">
        <f>VLOOKUP(A58,kurspris!$A$1:$Q$809,16)</f>
        <v>28786</v>
      </c>
      <c r="P58" s="26">
        <f>VLOOKUP(A58,kurspris!$A$1:$Q$809,17)</f>
        <v>5800</v>
      </c>
      <c r="Q58" s="26">
        <f t="shared" si="2"/>
        <v>0</v>
      </c>
      <c r="R58" s="26">
        <f>(Q58*Prislapp!$R$5)*-1</f>
        <v>0</v>
      </c>
      <c r="S58" s="26">
        <f t="shared" si="3"/>
        <v>0</v>
      </c>
      <c r="T58" s="26">
        <f t="shared" si="4"/>
        <v>0</v>
      </c>
      <c r="V58" s="39" t="s">
        <v>991</v>
      </c>
      <c r="W58">
        <v>140310</v>
      </c>
      <c r="X58" t="s">
        <v>990</v>
      </c>
    </row>
    <row r="59" spans="1:24" x14ac:dyDescent="0.25">
      <c r="A59" s="59" t="s">
        <v>1141</v>
      </c>
      <c r="B59" t="str">
        <f>VLOOKUP(A59,kurspris!$A$1:$Q$809,2,FALSE)</f>
        <v>Förskollärare som profession</v>
      </c>
      <c r="C59" s="31">
        <v>2300</v>
      </c>
      <c r="D59" t="str">
        <f>VLOOKUP(C59,Orgenheter!$A$1:$B$213,2)</f>
        <v xml:space="preserve">Juridiska institutionen       </v>
      </c>
      <c r="E59" t="str">
        <f>VLOOKUP(C59,Orgenheter!$A$1:$C$165,3,FALSE)</f>
        <v>Sam</v>
      </c>
      <c r="F59" s="294">
        <f>1.5/6</f>
        <v>0.25</v>
      </c>
      <c r="G59">
        <f>VLOOKUP(A59,'Ansvar kurs'!$A$85:$C$976,2,FALSE)</f>
        <v>2193</v>
      </c>
      <c r="H59" t="str">
        <f>VLOOKUP(G59,Orgenheter!$A$1:$B$213,2)</f>
        <v xml:space="preserve">TUV </v>
      </c>
      <c r="I59" t="str">
        <f>VLOOKUP(G59,Orgenheter!$A$1:$C$165,3,FALSE)</f>
        <v>Sam</v>
      </c>
      <c r="J59" s="210">
        <f>IF(ISERROR(VLOOKUP(A59,'Totalt pivot'!$A$5:$C$397,2,FALSE)),0,(VLOOKUP(A59,'Totalt pivot'!$A$5:$C$397,2,FALSE)))</f>
        <v>7.8</v>
      </c>
      <c r="K59" s="210">
        <f t="shared" si="0"/>
        <v>1.95</v>
      </c>
      <c r="L59" s="210">
        <f>IF(ISERROR(VLOOKUP(A59,'Totalt pivot'!$A$5:$C$397,3,FALSE)),0,(VLOOKUP(A59,'Totalt pivot'!$A$5:$C$397,3,FALSE)))</f>
        <v>6.63</v>
      </c>
      <c r="M59" s="210">
        <f t="shared" si="1"/>
        <v>1.6575</v>
      </c>
      <c r="N59" s="26">
        <f>VLOOKUP(A59,kurspris!$A$1:$Q$809,15)</f>
        <v>23641</v>
      </c>
      <c r="O59" s="26">
        <f>VLOOKUP(A59,kurspris!$A$1:$Q$809,16)</f>
        <v>28786</v>
      </c>
      <c r="P59" s="26">
        <f>VLOOKUP(A59,kurspris!$A$1:$Q$809,17)</f>
        <v>5800</v>
      </c>
      <c r="Q59" s="26">
        <f t="shared" si="2"/>
        <v>93812.744999999995</v>
      </c>
      <c r="R59" s="26">
        <f>(Q59*Prislapp!$R$5)*-1</f>
        <v>-6566.8921500000006</v>
      </c>
      <c r="S59" s="26">
        <f t="shared" si="3"/>
        <v>87245.852849999996</v>
      </c>
      <c r="T59" s="26">
        <f t="shared" si="4"/>
        <v>11310</v>
      </c>
      <c r="V59" t="s">
        <v>1131</v>
      </c>
    </row>
    <row r="60" spans="1:24" x14ac:dyDescent="0.25">
      <c r="A60" s="62" t="s">
        <v>1279</v>
      </c>
      <c r="B60" t="str">
        <f>VLOOKUP(A60,kurspris!$A$1:$Q$809,2,FALSE)</f>
        <v>Ämneslärare som profession</v>
      </c>
      <c r="C60" s="31">
        <v>2300</v>
      </c>
      <c r="D60" t="str">
        <f>VLOOKUP(C60,Orgenheter!$A$1:$B$213,2)</f>
        <v xml:space="preserve">Juridiska institutionen       </v>
      </c>
      <c r="E60" t="str">
        <f>VLOOKUP(C60,Orgenheter!$A$1:$C$165,3,FALSE)</f>
        <v>Sam</v>
      </c>
      <c r="F60" s="294">
        <f>1.5/6</f>
        <v>0.25</v>
      </c>
      <c r="G60">
        <f>VLOOKUP(A60,'Ansvar kurs'!$A$85:$C$976,2,FALSE)</f>
        <v>2180</v>
      </c>
      <c r="H60" t="str">
        <f>VLOOKUP(G60,Orgenheter!$A$1:$B$213,2)</f>
        <v xml:space="preserve">Pedagogik                     </v>
      </c>
      <c r="I60" t="str">
        <f>VLOOKUP(G60,Orgenheter!$A$1:$C$165,3,FALSE)</f>
        <v>Sam</v>
      </c>
      <c r="J60" s="210">
        <f>IF(ISERROR(VLOOKUP(A60,'Totalt pivot'!$A$5:$C$397,2,FALSE)),0,(VLOOKUP(A60,'Totalt pivot'!$A$5:$C$397,2,FALSE)))</f>
        <v>14.7</v>
      </c>
      <c r="K60" s="210">
        <f t="shared" si="0"/>
        <v>3.6749999999999998</v>
      </c>
      <c r="L60" s="210">
        <f>IF(ISERROR(VLOOKUP(A60,'Totalt pivot'!$A$5:$C$397,3,FALSE)),0,(VLOOKUP(A60,'Totalt pivot'!$A$5:$C$397,3,FALSE)))</f>
        <v>12.494999999999999</v>
      </c>
      <c r="M60" s="210">
        <f t="shared" si="1"/>
        <v>3.1237499999999998</v>
      </c>
      <c r="N60" s="26">
        <f>VLOOKUP(A60,kurspris!$A$1:$Q$809,15)</f>
        <v>23641</v>
      </c>
      <c r="O60" s="26">
        <f>VLOOKUP(A60,kurspris!$A$1:$Q$809,16)</f>
        <v>28786</v>
      </c>
      <c r="P60" s="26">
        <f>VLOOKUP(A60,kurspris!$A$1:$Q$809,17)</f>
        <v>5800</v>
      </c>
      <c r="Q60" s="26">
        <f t="shared" si="2"/>
        <v>176800.9425</v>
      </c>
      <c r="R60" s="26">
        <f>(Q60*Prislapp!$R$5)*-1</f>
        <v>-12376.065975000001</v>
      </c>
      <c r="S60" s="26">
        <f t="shared" si="3"/>
        <v>164424.876525</v>
      </c>
      <c r="T60" s="26">
        <f t="shared" si="4"/>
        <v>21315</v>
      </c>
      <c r="V60" t="s">
        <v>1131</v>
      </c>
    </row>
    <row r="61" spans="1:24" x14ac:dyDescent="0.25">
      <c r="A61" s="62" t="s">
        <v>1277</v>
      </c>
      <c r="B61" t="str">
        <f>VLOOKUP(A61,kurspris!$A$1:$Q$809,2,FALSE)</f>
        <v>Lärande och undervisning</v>
      </c>
      <c r="C61" s="31">
        <v>2200</v>
      </c>
      <c r="D61" t="str">
        <f>VLOOKUP(C61,Orgenheter!$A$1:$B$213,2)</f>
        <v xml:space="preserve">Inst för psykologi            </v>
      </c>
      <c r="E61" t="str">
        <f>VLOOKUP(C61,Orgenheter!$A$1:$C$165,3,FALSE)</f>
        <v>Sam</v>
      </c>
      <c r="F61" s="294">
        <f>3/7.5</f>
        <v>0.4</v>
      </c>
      <c r="G61">
        <f>VLOOKUP(A61,'Ansvar kurs'!$A$85:$C$976,2,FALSE)</f>
        <v>2180</v>
      </c>
      <c r="H61" t="str">
        <f>VLOOKUP(G61,Orgenheter!$A$1:$B$213,2)</f>
        <v xml:space="preserve">Pedagogik                     </v>
      </c>
      <c r="I61" t="str">
        <f>VLOOKUP(G61,Orgenheter!$A$1:$C$165,3,FALSE)</f>
        <v>Sam</v>
      </c>
      <c r="J61" s="210">
        <f>IF(ISERROR(VLOOKUP(A61,'Totalt pivot'!$A$5:$C$397,2,FALSE)),0,(VLOOKUP(A61,'Totalt pivot'!$A$5:$C$397,2,FALSE)))</f>
        <v>38.625</v>
      </c>
      <c r="K61" s="210">
        <f t="shared" si="0"/>
        <v>15.450000000000001</v>
      </c>
      <c r="L61" s="210">
        <f>IF(ISERROR(VLOOKUP(A61,'Totalt pivot'!$A$5:$C$397,3,FALSE)),0,(VLOOKUP(A61,'Totalt pivot'!$A$5:$C$397,3,FALSE)))</f>
        <v>32.831249999999997</v>
      </c>
      <c r="M61" s="210">
        <f t="shared" si="1"/>
        <v>13.1325</v>
      </c>
      <c r="N61" s="26">
        <f>VLOOKUP(A61,kurspris!$A$1:$Q$809,15)</f>
        <v>23641</v>
      </c>
      <c r="O61" s="26">
        <f>VLOOKUP(A61,kurspris!$A$1:$Q$809,16)</f>
        <v>28786</v>
      </c>
      <c r="P61" s="26">
        <f>VLOOKUP(A61,kurspris!$A$1:$Q$809,17)</f>
        <v>5800</v>
      </c>
      <c r="Q61" s="26">
        <f t="shared" si="2"/>
        <v>743285.59499999997</v>
      </c>
      <c r="R61" s="26">
        <f>(Q61*Prislapp!$R$5)*-1</f>
        <v>-52029.991650000004</v>
      </c>
      <c r="S61" s="26">
        <f t="shared" si="3"/>
        <v>691255.60334999999</v>
      </c>
      <c r="T61" s="26">
        <f t="shared" si="4"/>
        <v>89610</v>
      </c>
      <c r="V61" t="s">
        <v>1131</v>
      </c>
    </row>
    <row r="62" spans="1:24" x14ac:dyDescent="0.25">
      <c r="A62" s="31" t="s">
        <v>1435</v>
      </c>
      <c r="B62" t="str">
        <f>VLOOKUP(A62,kurspris!$A$1:$Q$809,2,FALSE)</f>
        <v>Barns lärande och omsorg</v>
      </c>
      <c r="C62" s="31">
        <v>2180</v>
      </c>
      <c r="D62" t="str">
        <f>VLOOKUP(C62,Orgenheter!$A$1:$B$213,2)</f>
        <v xml:space="preserve">Pedagogik                     </v>
      </c>
      <c r="E62" t="str">
        <f>VLOOKUP(C62,Orgenheter!$A$1:$C$165,3,FALSE)</f>
        <v>Sam</v>
      </c>
      <c r="F62" s="294">
        <f>3/15</f>
        <v>0.2</v>
      </c>
      <c r="G62">
        <f>VLOOKUP(A62,'Ansvar kurs'!$A$85:$C$976,2,FALSE)</f>
        <v>2193</v>
      </c>
      <c r="H62" t="str">
        <f>VLOOKUP(G62,Orgenheter!$A$1:$B$213,2)</f>
        <v xml:space="preserve">TUV </v>
      </c>
      <c r="I62" t="str">
        <f>VLOOKUP(G62,Orgenheter!$A$1:$C$165,3,FALSE)</f>
        <v>Sam</v>
      </c>
      <c r="J62" s="210">
        <f>IF(ISERROR(VLOOKUP(A62,'Totalt pivot'!$A$5:$C$397,2,FALSE)),0,(VLOOKUP(A62,'Totalt pivot'!$A$5:$C$397,2,FALSE)))</f>
        <v>16</v>
      </c>
      <c r="K62" s="210">
        <f t="shared" si="0"/>
        <v>3.2</v>
      </c>
      <c r="L62" s="210">
        <f>IF(ISERROR(VLOOKUP(A62,'Totalt pivot'!$A$5:$C$397,3,FALSE)),0,(VLOOKUP(A62,'Totalt pivot'!$A$5:$C$397,3,FALSE)))</f>
        <v>13.6</v>
      </c>
      <c r="M62" s="210">
        <f t="shared" si="1"/>
        <v>2.72</v>
      </c>
      <c r="N62" s="26">
        <f>VLOOKUP(A62,kurspris!$A$1:$Q$809,15)</f>
        <v>18405</v>
      </c>
      <c r="O62" s="26">
        <f>VLOOKUP(A62,kurspris!$A$1:$Q$809,16)</f>
        <v>15773</v>
      </c>
      <c r="P62" s="26">
        <f>VLOOKUP(A62,kurspris!$A$1:$Q$809,17)</f>
        <v>5800</v>
      </c>
      <c r="Q62" s="26">
        <f t="shared" si="2"/>
        <v>101798.56</v>
      </c>
      <c r="R62" s="26">
        <f>(Q62*Prislapp!$R$5)*-1</f>
        <v>-7125.8992000000007</v>
      </c>
      <c r="S62" s="26">
        <f t="shared" si="3"/>
        <v>94672.660799999998</v>
      </c>
      <c r="T62" s="26">
        <f t="shared" si="4"/>
        <v>18560</v>
      </c>
    </row>
    <row r="63" spans="1:24" x14ac:dyDescent="0.25">
      <c r="A63" s="31" t="s">
        <v>1473</v>
      </c>
      <c r="B63" t="str">
        <f>VLOOKUP(A63,kurspris!$A$1:$Q$809,2,FALSE)</f>
        <v>Verksamhetsförlagd utbildning för yrkeslärare (VFU)</v>
      </c>
      <c r="C63" s="31">
        <v>2193</v>
      </c>
      <c r="D63" t="str">
        <f>VLOOKUP(C63,Orgenheter!$A$1:$B$213,2)</f>
        <v xml:space="preserve">TUV </v>
      </c>
      <c r="E63" t="str">
        <f>VLOOKUP(C63,Orgenheter!$A$1:$C$165,3,FALSE)</f>
        <v>Sam</v>
      </c>
      <c r="F63" s="294">
        <f>15/30</f>
        <v>0.5</v>
      </c>
      <c r="G63">
        <f>VLOOKUP(A63,'Ansvar kurs'!$A$85:$C$976,2,FALSE)</f>
        <v>2180</v>
      </c>
      <c r="H63" t="str">
        <f>VLOOKUP(G63,Orgenheter!$A$1:$B$213,2)</f>
        <v xml:space="preserve">Pedagogik                     </v>
      </c>
      <c r="I63" t="str">
        <f>VLOOKUP(G63,Orgenheter!$A$1:$C$165,3,FALSE)</f>
        <v>Sam</v>
      </c>
      <c r="J63" s="210">
        <f>IF(ISERROR(VLOOKUP(A63,'Totalt pivot'!$A$5:$C$397,2,FALSE)),0,(VLOOKUP(A63,'Totalt pivot'!$A$5:$C$397,2,FALSE)))</f>
        <v>9.25</v>
      </c>
      <c r="K63" s="210">
        <f t="shared" si="0"/>
        <v>4.625</v>
      </c>
      <c r="L63" s="210">
        <f>IF(ISERROR(VLOOKUP(A63,'Totalt pivot'!$A$5:$C$397,3,FALSE)),0,(VLOOKUP(A63,'Totalt pivot'!$A$5:$C$397,3,FALSE)))</f>
        <v>7.8624999999999998</v>
      </c>
      <c r="M63" s="210">
        <f t="shared" si="1"/>
        <v>3.9312499999999999</v>
      </c>
      <c r="N63" s="26">
        <f>VLOOKUP(A63,kurspris!$A$1:$Q$809,15)</f>
        <v>21634</v>
      </c>
      <c r="O63" s="26">
        <f>VLOOKUP(A63,kurspris!$A$1:$Q$809,16)</f>
        <v>26986</v>
      </c>
      <c r="P63" s="26">
        <f>VLOOKUP(A63,kurspris!$A$1:$Q$809,17)</f>
        <v>3400</v>
      </c>
      <c r="Q63" s="26">
        <f t="shared" si="2"/>
        <v>206145.96249999999</v>
      </c>
      <c r="R63" s="26">
        <f>(Q63*Prislapp!$R$5)*-1</f>
        <v>-14430.217375</v>
      </c>
      <c r="S63" s="26">
        <f t="shared" si="3"/>
        <v>191715.74512499999</v>
      </c>
      <c r="T63" s="26">
        <f t="shared" si="4"/>
        <v>15725</v>
      </c>
      <c r="V63" t="s">
        <v>1921</v>
      </c>
    </row>
    <row r="64" spans="1:24" x14ac:dyDescent="0.25">
      <c r="A64" s="31" t="s">
        <v>1518</v>
      </c>
      <c r="B64" t="str">
        <f>VLOOKUP(A64,kurspris!$A$1:$Q$809,2,FALSE)</f>
        <v>Vetenskap och kunskap (UK)</v>
      </c>
      <c r="C64" s="31">
        <v>1630</v>
      </c>
      <c r="D64" t="str">
        <f>VLOOKUP(C64,Orgenheter!$A$1:$B$213,2)</f>
        <v>Inst för ide- o samhällsstudier</v>
      </c>
      <c r="E64" t="str">
        <f>VLOOKUP(C64,Orgenheter!$A$1:$C$165,3,FALSE)</f>
        <v>Hum</v>
      </c>
      <c r="F64" s="294">
        <f>2.5/7.5</f>
        <v>0.33333333333333331</v>
      </c>
      <c r="G64">
        <f>VLOOKUP(A64,'Ansvar kurs'!$A$85:$C$976,2,FALSE)</f>
        <v>5740</v>
      </c>
      <c r="H64" t="str">
        <f>VLOOKUP(G64,Orgenheter!$A$1:$B$213,2)</f>
        <v>NMD</v>
      </c>
      <c r="I64" t="str">
        <f>VLOOKUP(G64,Orgenheter!$A$1:$C$165,3,FALSE)</f>
        <v>TekNat</v>
      </c>
      <c r="J64" s="210">
        <f>IF(ISERROR(VLOOKUP(A64,'Totalt pivot'!$A$5:$C$397,2,FALSE)),0,(VLOOKUP(A64,'Totalt pivot'!$A$5:$C$397,2,FALSE)))</f>
        <v>0</v>
      </c>
      <c r="K64" s="210">
        <f t="shared" si="0"/>
        <v>0</v>
      </c>
      <c r="L64" s="210">
        <f>IF(ISERROR(VLOOKUP(A64,'Totalt pivot'!$A$5:$C$397,3,FALSE)),0,(VLOOKUP(A64,'Totalt pivot'!$A$5:$C$397,3,FALSE)))</f>
        <v>0</v>
      </c>
      <c r="M64" s="210">
        <f t="shared" si="1"/>
        <v>0</v>
      </c>
      <c r="N64" s="26">
        <f>VLOOKUP(A64,kurspris!$A$1:$Q$809,15)</f>
        <v>23641</v>
      </c>
      <c r="O64" s="26">
        <f>VLOOKUP(A64,kurspris!$A$1:$Q$809,16)</f>
        <v>28786</v>
      </c>
      <c r="P64" s="26">
        <f>VLOOKUP(A64,kurspris!$A$1:$Q$809,17)</f>
        <v>5800</v>
      </c>
      <c r="Q64" s="26">
        <f t="shared" si="2"/>
        <v>0</v>
      </c>
      <c r="R64" s="26">
        <f>(Q64*Prislapp!$R$5)*-1</f>
        <v>0</v>
      </c>
      <c r="S64" s="26">
        <f t="shared" si="3"/>
        <v>0</v>
      </c>
      <c r="T64" s="26">
        <f t="shared" si="4"/>
        <v>0</v>
      </c>
    </row>
    <row r="65" spans="1:22" x14ac:dyDescent="0.25">
      <c r="A65" s="31" t="s">
        <v>1529</v>
      </c>
      <c r="B65" t="str">
        <f>VLOOKUP(A65,kurspris!$A$1:$Q$809,2,FALSE)</f>
        <v>Bedömning (UK)</v>
      </c>
      <c r="C65" s="31">
        <v>2193</v>
      </c>
      <c r="D65" t="str">
        <f>VLOOKUP(C65,Orgenheter!$A$1:$B$213,2)</f>
        <v xml:space="preserve">TUV </v>
      </c>
      <c r="E65" t="str">
        <f>VLOOKUP(C65,Orgenheter!$A$1:$C$165,3,FALSE)</f>
        <v>Sam</v>
      </c>
      <c r="F65" s="294">
        <f>2/7.5</f>
        <v>0.26666666666666666</v>
      </c>
      <c r="G65">
        <f>VLOOKUP(A65,'Ansvar kurs'!$A$85:$C$976,2,FALSE)</f>
        <v>5740</v>
      </c>
      <c r="H65" t="str">
        <f>VLOOKUP(G65,Orgenheter!$A$1:$B$213,2)</f>
        <v>NMD</v>
      </c>
      <c r="I65" t="str">
        <f>VLOOKUP(G65,Orgenheter!$A$1:$C$165,3,FALSE)</f>
        <v>TekNat</v>
      </c>
      <c r="J65" s="210">
        <f>IF(ISERROR(VLOOKUP(A65,'Totalt pivot'!$A$5:$C$397,2,FALSE)),0,(VLOOKUP(A65,'Totalt pivot'!$A$5:$C$397,2,FALSE)))</f>
        <v>6</v>
      </c>
      <c r="K65" s="210">
        <f t="shared" si="0"/>
        <v>1.6</v>
      </c>
      <c r="L65" s="210">
        <f>IF(ISERROR(VLOOKUP(A65,'Totalt pivot'!$A$5:$C$397,3,FALSE)),0,(VLOOKUP(A65,'Totalt pivot'!$A$5:$C$397,3,FALSE)))</f>
        <v>5.0999999999999996</v>
      </c>
      <c r="M65" s="210">
        <f t="shared" si="1"/>
        <v>1.3599999999999999</v>
      </c>
      <c r="N65" s="26">
        <f>VLOOKUP(A65,kurspris!$A$1:$Q$809,15)</f>
        <v>23641</v>
      </c>
      <c r="O65" s="26">
        <f>VLOOKUP(A65,kurspris!$A$1:$Q$809,16)</f>
        <v>28786</v>
      </c>
      <c r="P65" s="26">
        <f>VLOOKUP(A65,kurspris!$A$1:$Q$809,17)</f>
        <v>5800</v>
      </c>
      <c r="Q65" s="26">
        <f t="shared" si="2"/>
        <v>76974.559999999998</v>
      </c>
      <c r="R65" s="26">
        <f>(Q65*Prislapp!$R$5)*-1</f>
        <v>-5388.2192000000005</v>
      </c>
      <c r="S65" s="26">
        <f t="shared" si="3"/>
        <v>71586.340799999991</v>
      </c>
      <c r="T65" s="26">
        <f t="shared" si="4"/>
        <v>9280</v>
      </c>
    </row>
    <row r="66" spans="1:22" x14ac:dyDescent="0.25">
      <c r="A66" s="31" t="s">
        <v>1529</v>
      </c>
      <c r="B66" t="str">
        <f>VLOOKUP(A66,kurspris!$A$1:$Q$809,2,FALSE)</f>
        <v>Bedömning (UK)</v>
      </c>
      <c r="C66" s="31">
        <v>2180</v>
      </c>
      <c r="D66" t="str">
        <f>VLOOKUP(C66,Orgenheter!$A$1:$B$213,2)</f>
        <v xml:space="preserve">Pedagogik                     </v>
      </c>
      <c r="E66" t="str">
        <f>VLOOKUP(C66,Orgenheter!$A$1:$C$165,3,FALSE)</f>
        <v>Sam</v>
      </c>
      <c r="F66" s="294">
        <f>2/7.5</f>
        <v>0.26666666666666666</v>
      </c>
      <c r="G66">
        <f>VLOOKUP(A66,'Ansvar kurs'!$A$85:$C$976,2,FALSE)</f>
        <v>5740</v>
      </c>
      <c r="H66" t="str">
        <f>VLOOKUP(G66,Orgenheter!$A$1:$B$213,2)</f>
        <v>NMD</v>
      </c>
      <c r="I66" t="str">
        <f>VLOOKUP(G66,Orgenheter!$A$1:$C$165,3,FALSE)</f>
        <v>TekNat</v>
      </c>
      <c r="J66" s="210">
        <f>IF(ISERROR(VLOOKUP(A66,'Totalt pivot'!$A$5:$C$397,2,FALSE)),0,(VLOOKUP(A66,'Totalt pivot'!$A$5:$C$397,2,FALSE)))</f>
        <v>6</v>
      </c>
      <c r="K66" s="210">
        <f t="shared" ref="K66:K132" si="5">F66*J66</f>
        <v>1.6</v>
      </c>
      <c r="L66" s="210">
        <f>IF(ISERROR(VLOOKUP(A66,'Totalt pivot'!$A$5:$C$397,3,FALSE)),0,(VLOOKUP(A66,'Totalt pivot'!$A$5:$C$397,3,FALSE)))</f>
        <v>5.0999999999999996</v>
      </c>
      <c r="M66" s="210">
        <f t="shared" ref="M66:M129" si="6">F66*L66</f>
        <v>1.3599999999999999</v>
      </c>
      <c r="N66" s="26">
        <f>VLOOKUP(A66,kurspris!$A$1:$Q$809,15)</f>
        <v>23641</v>
      </c>
      <c r="O66" s="26">
        <f>VLOOKUP(A66,kurspris!$A$1:$Q$809,16)</f>
        <v>28786</v>
      </c>
      <c r="P66" s="26">
        <f>VLOOKUP(A66,kurspris!$A$1:$Q$809,17)</f>
        <v>5800</v>
      </c>
      <c r="Q66" s="26">
        <f t="shared" ref="Q66:Q129" si="7">K66*N66+M66*O66</f>
        <v>76974.559999999998</v>
      </c>
      <c r="R66" s="26">
        <f>(Q66*Prislapp!$R$5)*-1</f>
        <v>-5388.2192000000005</v>
      </c>
      <c r="S66" s="26">
        <f t="shared" ref="S66:S129" si="8">Q66+R66</f>
        <v>71586.340799999991</v>
      </c>
      <c r="T66" s="26">
        <f t="shared" ref="T66:T129" si="9">K66*P66</f>
        <v>9280</v>
      </c>
    </row>
    <row r="67" spans="1:22" x14ac:dyDescent="0.25">
      <c r="A67" s="31" t="s">
        <v>1605</v>
      </c>
      <c r="B67" t="str">
        <f>VLOOKUP(A67,kurspris!$A$1:$Q$809,2,FALSE)</f>
        <v>Utbildningens villkor och samhälleliga funktion (UK)</v>
      </c>
      <c r="C67" s="31">
        <v>2340</v>
      </c>
      <c r="D67" t="str">
        <f>VLOOKUP(C67,Orgenheter!$A$1:$B$213,2)</f>
        <v xml:space="preserve">Statsvetenskap                </v>
      </c>
      <c r="E67" t="str">
        <f>VLOOKUP(C67,Orgenheter!$A$1:$C$165,3,FALSE)</f>
        <v>Sam</v>
      </c>
      <c r="F67" s="294">
        <f>1.5/7.5</f>
        <v>0.2</v>
      </c>
      <c r="G67">
        <f>VLOOKUP(A67,'Ansvar kurs'!$A$85:$C$976,2,FALSE)</f>
        <v>2193</v>
      </c>
      <c r="H67" t="str">
        <f>VLOOKUP(G67,Orgenheter!$A$1:$B$213,2)</f>
        <v xml:space="preserve">TUV </v>
      </c>
      <c r="I67" t="str">
        <f>VLOOKUP(G67,Orgenheter!$A$1:$C$165,3,FALSE)</f>
        <v>Sam</v>
      </c>
      <c r="J67" s="210">
        <f>IF(ISERROR(VLOOKUP(A67,'Totalt pivot'!$A$5:$C$397,2,FALSE)),0,(VLOOKUP(A67,'Totalt pivot'!$A$5:$C$397,2,FALSE)))</f>
        <v>6.875</v>
      </c>
      <c r="K67" s="210">
        <f t="shared" si="5"/>
        <v>1.375</v>
      </c>
      <c r="L67" s="210">
        <f>IF(ISERROR(VLOOKUP(A67,'Totalt pivot'!$A$5:$C$397,3,FALSE)),0,(VLOOKUP(A67,'Totalt pivot'!$A$5:$C$397,3,FALSE)))</f>
        <v>5.84375</v>
      </c>
      <c r="M67" s="210">
        <f t="shared" si="6"/>
        <v>1.16875</v>
      </c>
      <c r="N67" s="26">
        <f>VLOOKUP(A67,kurspris!$A$1:$Q$809,15)</f>
        <v>23641</v>
      </c>
      <c r="O67" s="26">
        <f>VLOOKUP(A67,kurspris!$A$1:$Q$809,16)</f>
        <v>28786</v>
      </c>
      <c r="P67" s="26">
        <f>VLOOKUP(A67,kurspris!$A$1:$Q$809,17)</f>
        <v>5800</v>
      </c>
      <c r="Q67" s="26">
        <f t="shared" si="7"/>
        <v>66150.012499999997</v>
      </c>
      <c r="R67" s="26">
        <f>(Q67*Prislapp!$R$5)*-1</f>
        <v>-4630.5008750000006</v>
      </c>
      <c r="S67" s="26">
        <f t="shared" si="8"/>
        <v>61519.511624999999</v>
      </c>
      <c r="T67" s="26">
        <f t="shared" si="9"/>
        <v>7975</v>
      </c>
      <c r="V67" s="314" t="s">
        <v>1607</v>
      </c>
    </row>
    <row r="68" spans="1:22" x14ac:dyDescent="0.25">
      <c r="A68" s="31" t="s">
        <v>1608</v>
      </c>
      <c r="B68" t="str">
        <f>VLOOKUP(A68,kurspris!$A$1:$Q$809,2,FALSE)</f>
        <v>Den professionella läraren 1: Barns utveckling, specialpedagogik, sociala relationer och kommunikation (UK)</v>
      </c>
      <c r="C68" s="31">
        <v>2180</v>
      </c>
      <c r="D68" t="str">
        <f>VLOOKUP(C68,Orgenheter!$A$1:$B$213,2)</f>
        <v xml:space="preserve">Pedagogik                     </v>
      </c>
      <c r="E68" t="str">
        <f>VLOOKUP(C68,Orgenheter!$A$1:$C$165,3,FALSE)</f>
        <v>Sam</v>
      </c>
      <c r="F68" s="294">
        <f>2/7.5</f>
        <v>0.26666666666666666</v>
      </c>
      <c r="G68">
        <f>VLOOKUP(A68,'Ansvar kurs'!$A$85:$C$976,2,FALSE)</f>
        <v>2193</v>
      </c>
      <c r="H68" t="str">
        <f>VLOOKUP(G68,Orgenheter!$A$1:$B$213,2)</f>
        <v xml:space="preserve">TUV </v>
      </c>
      <c r="I68" t="str">
        <f>VLOOKUP(G68,Orgenheter!$A$1:$C$165,3,FALSE)</f>
        <v>Sam</v>
      </c>
      <c r="J68" s="210">
        <f>IF(ISERROR(VLOOKUP(A68,'Totalt pivot'!$A$5:$C$397,2,FALSE)),0,(VLOOKUP(A68,'Totalt pivot'!$A$5:$C$397,2,FALSE)))</f>
        <v>5.75</v>
      </c>
      <c r="K68" s="210">
        <f t="shared" si="5"/>
        <v>1.5333333333333332</v>
      </c>
      <c r="L68" s="210">
        <f>IF(ISERROR(VLOOKUP(A68,'Totalt pivot'!$A$5:$C$397,3,FALSE)),0,(VLOOKUP(A68,'Totalt pivot'!$A$5:$C$397,3,FALSE)))</f>
        <v>4.8874999999999993</v>
      </c>
      <c r="M68" s="210">
        <f t="shared" si="6"/>
        <v>1.3033333333333332</v>
      </c>
      <c r="N68" s="26">
        <f>VLOOKUP(A68,kurspris!$A$1:$Q$809,15)</f>
        <v>23641</v>
      </c>
      <c r="O68" s="26">
        <f>VLOOKUP(A68,kurspris!$A$1:$Q$809,16)</f>
        <v>28786</v>
      </c>
      <c r="P68" s="26">
        <f>VLOOKUP(A68,kurspris!$A$1:$Q$809,17)</f>
        <v>5800</v>
      </c>
      <c r="Q68" s="26">
        <f t="shared" si="7"/>
        <v>73767.286666666667</v>
      </c>
      <c r="R68" s="26">
        <f>(Q68*Prislapp!$R$5)*-1</f>
        <v>-5163.7100666666674</v>
      </c>
      <c r="S68" s="26">
        <f t="shared" si="8"/>
        <v>68603.5766</v>
      </c>
      <c r="T68" s="26">
        <f t="shared" si="9"/>
        <v>8893.3333333333321</v>
      </c>
      <c r="V68" s="314" t="s">
        <v>1607</v>
      </c>
    </row>
    <row r="69" spans="1:22" x14ac:dyDescent="0.25">
      <c r="A69" s="31" t="s">
        <v>1561</v>
      </c>
      <c r="B69" t="str">
        <f>VLOOKUP(A69,kurspris!$A$1:$Q$809,2,FALSE)</f>
        <v>Utbildningsvetenskap, undervisning och lärande för förskolan (UK)</v>
      </c>
      <c r="C69" s="31">
        <v>2180</v>
      </c>
      <c r="D69" t="str">
        <f>VLOOKUP(C69,Orgenheter!$A$1:$B$213,2)</f>
        <v xml:space="preserve">Pedagogik                     </v>
      </c>
      <c r="E69" t="str">
        <f>VLOOKUP(C69,Orgenheter!$A$1:$C$165,3,FALSE)</f>
        <v>Sam</v>
      </c>
      <c r="F69" s="294">
        <f>1/8</f>
        <v>0.125</v>
      </c>
      <c r="G69">
        <f>VLOOKUP(A69,'Ansvar kurs'!$A$85:$C$976,2,FALSE)</f>
        <v>2193</v>
      </c>
      <c r="H69" t="str">
        <f>VLOOKUP(G69,Orgenheter!$A$1:$B$213,2)</f>
        <v xml:space="preserve">TUV </v>
      </c>
      <c r="I69" t="str">
        <f>VLOOKUP(G69,Orgenheter!$A$1:$C$165,3,FALSE)</f>
        <v>Sam</v>
      </c>
      <c r="J69" s="210">
        <f>IF(ISERROR(VLOOKUP(A69,'Totalt pivot'!$A$5:$C$397,2,FALSE)),0,(VLOOKUP(A69,'Totalt pivot'!$A$5:$C$397,2,FALSE)))</f>
        <v>10</v>
      </c>
      <c r="K69" s="210">
        <f t="shared" si="5"/>
        <v>1.25</v>
      </c>
      <c r="L69" s="210">
        <f>IF(ISERROR(VLOOKUP(A69,'Totalt pivot'!$A$5:$C$397,3,FALSE)),0,(VLOOKUP(A69,'Totalt pivot'!$A$5:$C$397,3,FALSE)))</f>
        <v>8.5</v>
      </c>
      <c r="M69" s="210">
        <f t="shared" si="6"/>
        <v>1.0625</v>
      </c>
      <c r="N69" s="26">
        <f>VLOOKUP(A69,kurspris!$A$1:$Q$809,15)</f>
        <v>23641</v>
      </c>
      <c r="O69" s="26">
        <f>VLOOKUP(A69,kurspris!$A$1:$Q$809,16)</f>
        <v>28786</v>
      </c>
      <c r="P69" s="26">
        <f>VLOOKUP(A69,kurspris!$A$1:$Q$809,17)</f>
        <v>5800</v>
      </c>
      <c r="Q69" s="26">
        <f t="shared" si="7"/>
        <v>60136.375</v>
      </c>
      <c r="R69" s="26">
        <f>(Q69*Prislapp!$R$5)*-1</f>
        <v>-4209.5462500000003</v>
      </c>
      <c r="S69" s="26">
        <f t="shared" si="8"/>
        <v>55926.828750000001</v>
      </c>
      <c r="T69" s="26">
        <f t="shared" si="9"/>
        <v>7250</v>
      </c>
    </row>
    <row r="70" spans="1:22" x14ac:dyDescent="0.25">
      <c r="A70" s="31" t="s">
        <v>1561</v>
      </c>
      <c r="B70" t="str">
        <f>VLOOKUP(A70,kurspris!$A$1:$Q$809,2,FALSE)</f>
        <v>Utbildningsvetenskap, undervisning och lärande för förskolan (UK)</v>
      </c>
      <c r="C70" s="31">
        <v>2200</v>
      </c>
      <c r="D70" t="str">
        <f>VLOOKUP(C70,Orgenheter!$A$1:$B$213,2)</f>
        <v xml:space="preserve">Inst för psykologi            </v>
      </c>
      <c r="E70" t="str">
        <f>VLOOKUP(C70,Orgenheter!$A$1:$C$165,3,FALSE)</f>
        <v>Sam</v>
      </c>
      <c r="F70" s="294">
        <f>2/8</f>
        <v>0.25</v>
      </c>
      <c r="G70">
        <f>VLOOKUP(A70,'Ansvar kurs'!$A$85:$C$976,2,FALSE)</f>
        <v>2193</v>
      </c>
      <c r="H70" t="str">
        <f>VLOOKUP(G70,Orgenheter!$A$1:$B$213,2)</f>
        <v xml:space="preserve">TUV </v>
      </c>
      <c r="I70" t="str">
        <f>VLOOKUP(G70,Orgenheter!$A$1:$C$165,3,FALSE)</f>
        <v>Sam</v>
      </c>
      <c r="J70" s="210">
        <f>IF(ISERROR(VLOOKUP(A70,'Totalt pivot'!$A$5:$C$397,2,FALSE)),0,(VLOOKUP(A70,'Totalt pivot'!$A$5:$C$397,2,FALSE)))</f>
        <v>10</v>
      </c>
      <c r="K70" s="210">
        <f t="shared" si="5"/>
        <v>2.5</v>
      </c>
      <c r="L70" s="210">
        <f>IF(ISERROR(VLOOKUP(A70,'Totalt pivot'!$A$5:$C$397,3,FALSE)),0,(VLOOKUP(A70,'Totalt pivot'!$A$5:$C$397,3,FALSE)))</f>
        <v>8.5</v>
      </c>
      <c r="M70" s="210">
        <f t="shared" si="6"/>
        <v>2.125</v>
      </c>
      <c r="N70" s="26">
        <f>VLOOKUP(A70,kurspris!$A$1:$Q$809,15)</f>
        <v>23641</v>
      </c>
      <c r="O70" s="26">
        <f>VLOOKUP(A70,kurspris!$A$1:$Q$809,16)</f>
        <v>28786</v>
      </c>
      <c r="P70" s="26">
        <f>VLOOKUP(A70,kurspris!$A$1:$Q$809,17)</f>
        <v>5800</v>
      </c>
      <c r="Q70" s="26">
        <f t="shared" si="7"/>
        <v>120272.75</v>
      </c>
      <c r="R70" s="26">
        <f>(Q70*Prislapp!$R$5)*-1</f>
        <v>-8419.0925000000007</v>
      </c>
      <c r="S70" s="26">
        <f t="shared" si="8"/>
        <v>111853.6575</v>
      </c>
      <c r="T70" s="26">
        <f t="shared" si="9"/>
        <v>14500</v>
      </c>
    </row>
    <row r="71" spans="1:22" x14ac:dyDescent="0.25">
      <c r="A71" s="31" t="s">
        <v>1558</v>
      </c>
      <c r="B71" t="str">
        <f>VLOOKUP(A71,kurspris!$A$1:$Q$809,2,FALSE)</f>
        <v>Specialpedagogik för förskolan (UK)</v>
      </c>
      <c r="C71" s="31">
        <v>2180</v>
      </c>
      <c r="D71" t="str">
        <f>VLOOKUP(C71,Orgenheter!$A$1:$B$213,2)</f>
        <v xml:space="preserve">Pedagogik                     </v>
      </c>
      <c r="E71" t="str">
        <f>VLOOKUP(C71,Orgenheter!$A$1:$C$165,3,FALSE)</f>
        <v>Sam</v>
      </c>
      <c r="F71" s="294">
        <f>2.5/6</f>
        <v>0.41666666666666669</v>
      </c>
      <c r="G71">
        <f>VLOOKUP(A71,'Ansvar kurs'!$A$85:$C$976,2,FALSE)</f>
        <v>2193</v>
      </c>
      <c r="H71" t="str">
        <f>VLOOKUP(G71,Orgenheter!$A$1:$B$213,2)</f>
        <v xml:space="preserve">TUV </v>
      </c>
      <c r="I71" t="str">
        <f>VLOOKUP(G71,Orgenheter!$A$1:$C$165,3,FALSE)</f>
        <v>Sam</v>
      </c>
      <c r="J71" s="210">
        <f>IF(ISERROR(VLOOKUP(A71,'Totalt pivot'!$A$5:$C$397,2,FALSE)),0,(VLOOKUP(A71,'Totalt pivot'!$A$5:$C$397,2,FALSE)))</f>
        <v>7.3</v>
      </c>
      <c r="K71" s="210">
        <f t="shared" si="5"/>
        <v>3.0416666666666665</v>
      </c>
      <c r="L71" s="210">
        <f>IF(ISERROR(VLOOKUP(A71,'Totalt pivot'!$A$5:$C$397,3,FALSE)),0,(VLOOKUP(A71,'Totalt pivot'!$A$5:$C$397,3,FALSE)))</f>
        <v>6.2050000000000001</v>
      </c>
      <c r="M71" s="210">
        <f t="shared" si="6"/>
        <v>2.5854166666666667</v>
      </c>
      <c r="N71" s="26">
        <f>VLOOKUP(A71,kurspris!$A$1:$Q$809,15)</f>
        <v>23641</v>
      </c>
      <c r="O71" s="26">
        <f>VLOOKUP(A71,kurspris!$A$1:$Q$809,16)</f>
        <v>28786</v>
      </c>
      <c r="P71" s="26">
        <f>VLOOKUP(A71,kurspris!$A$1:$Q$809,17)</f>
        <v>5800</v>
      </c>
      <c r="Q71" s="26">
        <f t="shared" si="7"/>
        <v>146331.84583333333</v>
      </c>
      <c r="R71" s="26">
        <f>(Q71*Prislapp!$R$5)*-1</f>
        <v>-10243.229208333334</v>
      </c>
      <c r="S71" s="26">
        <f t="shared" si="8"/>
        <v>136088.616625</v>
      </c>
      <c r="T71" s="26">
        <f t="shared" si="9"/>
        <v>17641.666666666664</v>
      </c>
      <c r="V71" t="s">
        <v>1704</v>
      </c>
    </row>
    <row r="72" spans="1:22" x14ac:dyDescent="0.25">
      <c r="A72" s="31" t="s">
        <v>1558</v>
      </c>
      <c r="B72" t="str">
        <f>VLOOKUP(A72,kurspris!$A$1:$Q$809,2,FALSE)</f>
        <v>Specialpedagogik för förskolan (UK)</v>
      </c>
      <c r="C72" s="31">
        <v>2200</v>
      </c>
      <c r="D72" t="str">
        <f>VLOOKUP(C72,Orgenheter!$A$1:$B$213,2)</f>
        <v xml:space="preserve">Inst för psykologi            </v>
      </c>
      <c r="E72" t="str">
        <f>VLOOKUP(C72,Orgenheter!$A$1:$C$165,3,FALSE)</f>
        <v>Sam</v>
      </c>
      <c r="F72" s="294">
        <f>0.5/6</f>
        <v>8.3333333333333329E-2</v>
      </c>
      <c r="G72">
        <f>VLOOKUP(A72,'Ansvar kurs'!$A$85:$C$976,2,FALSE)</f>
        <v>2193</v>
      </c>
      <c r="H72" t="str">
        <f>VLOOKUP(G72,Orgenheter!$A$1:$B$213,2)</f>
        <v xml:space="preserve">TUV </v>
      </c>
      <c r="I72" t="str">
        <f>VLOOKUP(G72,Orgenheter!$A$1:$C$165,3,FALSE)</f>
        <v>Sam</v>
      </c>
      <c r="J72" s="210">
        <f>IF(ISERROR(VLOOKUP(A72,'Totalt pivot'!$A$5:$C$397,2,FALSE)),0,(VLOOKUP(A72,'Totalt pivot'!$A$5:$C$397,2,FALSE)))</f>
        <v>7.3</v>
      </c>
      <c r="K72" s="210">
        <f t="shared" si="5"/>
        <v>0.60833333333333328</v>
      </c>
      <c r="L72" s="210">
        <f>IF(ISERROR(VLOOKUP(A72,'Totalt pivot'!$A$5:$C$397,3,FALSE)),0,(VLOOKUP(A72,'Totalt pivot'!$A$5:$C$397,3,FALSE)))</f>
        <v>6.2050000000000001</v>
      </c>
      <c r="M72" s="210">
        <f t="shared" si="6"/>
        <v>0.51708333333333334</v>
      </c>
      <c r="N72" s="26">
        <f>VLOOKUP(A72,kurspris!$A$1:$Q$809,15)</f>
        <v>23641</v>
      </c>
      <c r="O72" s="26">
        <f>VLOOKUP(A72,kurspris!$A$1:$Q$809,16)</f>
        <v>28786</v>
      </c>
      <c r="P72" s="26">
        <f>VLOOKUP(A72,kurspris!$A$1:$Q$809,17)</f>
        <v>5800</v>
      </c>
      <c r="Q72" s="26">
        <f t="shared" si="7"/>
        <v>29266.369166666664</v>
      </c>
      <c r="R72" s="26">
        <f>(Q72*Prislapp!$R$5)*-1</f>
        <v>-2048.6458416666665</v>
      </c>
      <c r="S72" s="26">
        <f t="shared" si="8"/>
        <v>27217.723324999999</v>
      </c>
      <c r="T72" s="26">
        <f t="shared" si="9"/>
        <v>3528.333333333333</v>
      </c>
    </row>
    <row r="73" spans="1:22" x14ac:dyDescent="0.25">
      <c r="A73" s="31" t="s">
        <v>1550</v>
      </c>
      <c r="B73" t="str">
        <f>VLOOKUP(A73,kurspris!$A$1:$Q$809,2,FALSE)</f>
        <v>Specialpedagogik för grundskolan (UK)</v>
      </c>
      <c r="C73" s="31">
        <v>2193</v>
      </c>
      <c r="D73" t="str">
        <f>VLOOKUP(C73,Orgenheter!$A$1:$B$213,2)</f>
        <v xml:space="preserve">TUV </v>
      </c>
      <c r="E73" t="str">
        <f>VLOOKUP(C73,Orgenheter!$A$1:$C$165,3,FALSE)</f>
        <v>Sam</v>
      </c>
      <c r="F73" s="294">
        <f>2/5</f>
        <v>0.4</v>
      </c>
      <c r="G73">
        <f>VLOOKUP(A73,'Ansvar kurs'!$A$85:$C$976,2,FALSE)</f>
        <v>2180</v>
      </c>
      <c r="H73" t="str">
        <f>VLOOKUP(G73,Orgenheter!$A$1:$B$213,2)</f>
        <v xml:space="preserve">Pedagogik                     </v>
      </c>
      <c r="I73" t="str">
        <f>VLOOKUP(G73,Orgenheter!$A$1:$C$165,3,FALSE)</f>
        <v>Sam</v>
      </c>
      <c r="J73" s="210">
        <f>IF(ISERROR(VLOOKUP(A73,'Totalt pivot'!$A$5:$C$397,2,FALSE)),0,(VLOOKUP(A73,'Totalt pivot'!$A$5:$C$397,2,FALSE)))</f>
        <v>7.1666600000000003</v>
      </c>
      <c r="K73" s="210">
        <f t="shared" si="5"/>
        <v>2.8666640000000001</v>
      </c>
      <c r="L73" s="210">
        <f>IF(ISERROR(VLOOKUP(A73,'Totalt pivot'!$A$5:$C$397,3,FALSE)),0,(VLOOKUP(A73,'Totalt pivot'!$A$5:$C$397,3,FALSE)))</f>
        <v>6.079161</v>
      </c>
      <c r="M73" s="210">
        <f t="shared" si="6"/>
        <v>2.4316644000000003</v>
      </c>
      <c r="N73" s="26">
        <f>VLOOKUP(A73,kurspris!$A$1:$Q$809,15)</f>
        <v>23641</v>
      </c>
      <c r="O73" s="26">
        <f>VLOOKUP(A73,kurspris!$A$1:$Q$809,16)</f>
        <v>28786</v>
      </c>
      <c r="P73" s="26">
        <f>VLOOKUP(A73,kurspris!$A$1:$Q$809,17)</f>
        <v>5800</v>
      </c>
      <c r="Q73" s="26">
        <f t="shared" si="7"/>
        <v>137768.69504240001</v>
      </c>
      <c r="R73" s="26">
        <f>(Q73*Prislapp!$R$5)*-1</f>
        <v>-9643.8086529680022</v>
      </c>
      <c r="S73" s="26">
        <f t="shared" si="8"/>
        <v>128124.88638943201</v>
      </c>
      <c r="T73" s="26">
        <f t="shared" si="9"/>
        <v>16626.6512</v>
      </c>
    </row>
    <row r="74" spans="1:22" x14ac:dyDescent="0.25">
      <c r="A74" s="31" t="s">
        <v>1550</v>
      </c>
      <c r="B74" t="str">
        <f>VLOOKUP(A74,kurspris!$A$1:$Q$809,2,FALSE)</f>
        <v>Specialpedagogik för grundskolan (UK)</v>
      </c>
      <c r="C74" s="31">
        <v>2200</v>
      </c>
      <c r="D74" t="str">
        <f>VLOOKUP(C74,Orgenheter!$A$1:$B$213,2)</f>
        <v xml:space="preserve">Inst för psykologi            </v>
      </c>
      <c r="E74" t="str">
        <f>VLOOKUP(C74,Orgenheter!$A$1:$C$165,3,FALSE)</f>
        <v>Sam</v>
      </c>
      <c r="F74" s="294">
        <f>0.5/5</f>
        <v>0.1</v>
      </c>
      <c r="G74">
        <f>VLOOKUP(A74,'Ansvar kurs'!$A$85:$C$976,2,FALSE)</f>
        <v>2180</v>
      </c>
      <c r="H74" t="str">
        <f>VLOOKUP(G74,Orgenheter!$A$1:$B$213,2)</f>
        <v xml:space="preserve">Pedagogik                     </v>
      </c>
      <c r="I74" t="str">
        <f>VLOOKUP(G74,Orgenheter!$A$1:$C$165,3,FALSE)</f>
        <v>Sam</v>
      </c>
      <c r="J74" s="210">
        <f>IF(ISERROR(VLOOKUP(A74,'Totalt pivot'!$A$5:$C$397,2,FALSE)),0,(VLOOKUP(A74,'Totalt pivot'!$A$5:$C$397,2,FALSE)))</f>
        <v>7.1666600000000003</v>
      </c>
      <c r="K74" s="210">
        <f t="shared" si="5"/>
        <v>0.71666600000000003</v>
      </c>
      <c r="L74" s="210">
        <f>IF(ISERROR(VLOOKUP(A74,'Totalt pivot'!$A$5:$C$397,3,FALSE)),0,(VLOOKUP(A74,'Totalt pivot'!$A$5:$C$397,3,FALSE)))</f>
        <v>6.079161</v>
      </c>
      <c r="M74" s="210">
        <f t="shared" si="6"/>
        <v>0.60791610000000007</v>
      </c>
      <c r="N74" s="26">
        <f>VLOOKUP(A74,kurspris!$A$1:$Q$809,15)</f>
        <v>23641</v>
      </c>
      <c r="O74" s="26">
        <f>VLOOKUP(A74,kurspris!$A$1:$Q$809,16)</f>
        <v>28786</v>
      </c>
      <c r="P74" s="26">
        <f>VLOOKUP(A74,kurspris!$A$1:$Q$809,17)</f>
        <v>5800</v>
      </c>
      <c r="Q74" s="26">
        <f t="shared" si="7"/>
        <v>34442.173760600002</v>
      </c>
      <c r="R74" s="26">
        <f>(Q74*Prislapp!$R$5)*-1</f>
        <v>-2410.9521632420006</v>
      </c>
      <c r="S74" s="26">
        <f t="shared" si="8"/>
        <v>32031.221597358002</v>
      </c>
      <c r="T74" s="26">
        <f t="shared" si="9"/>
        <v>4156.6628000000001</v>
      </c>
    </row>
    <row r="75" spans="1:22" x14ac:dyDescent="0.25">
      <c r="A75" s="31" t="s">
        <v>1637</v>
      </c>
      <c r="B75" t="str">
        <f>VLOOKUP(A75,kurspris!$A$1:$Q$809,2,FALSE)</f>
        <v>Specialpedagogik - åk 7-9 och gymnasieskolan (UK)</v>
      </c>
      <c r="C75" s="31">
        <v>2193</v>
      </c>
      <c r="D75" t="str">
        <f>VLOOKUP(C75,Orgenheter!$A$1:$B$213,2)</f>
        <v xml:space="preserve">TUV </v>
      </c>
      <c r="E75" t="str">
        <f>VLOOKUP(C75,Orgenheter!$A$1:$C$165,3,FALSE)</f>
        <v>Sam</v>
      </c>
      <c r="F75" s="294">
        <f>2/5</f>
        <v>0.4</v>
      </c>
      <c r="G75">
        <f>VLOOKUP(A75,'Ansvar kurs'!$A$85:$C$976,2,FALSE)</f>
        <v>2180</v>
      </c>
      <c r="H75" t="str">
        <f>VLOOKUP(G75,Orgenheter!$A$1:$B$213,2)</f>
        <v xml:space="preserve">Pedagogik                     </v>
      </c>
      <c r="I75" t="str">
        <f>VLOOKUP(G75,Orgenheter!$A$1:$C$165,3,FALSE)</f>
        <v>Sam</v>
      </c>
      <c r="J75" s="210">
        <f>IF(ISERROR(VLOOKUP(A75,'Totalt pivot'!$A$5:$C$397,2,FALSE)),0,(VLOOKUP(A75,'Totalt pivot'!$A$5:$C$397,2,FALSE)))</f>
        <v>8.8333333333333339</v>
      </c>
      <c r="K75" s="210">
        <f t="shared" si="5"/>
        <v>3.5333333333333337</v>
      </c>
      <c r="L75" s="210">
        <f>IF(ISERROR(VLOOKUP(A75,'Totalt pivot'!$A$5:$C$397,3,FALSE)),0,(VLOOKUP(A75,'Totalt pivot'!$A$5:$C$397,3,FALSE)))</f>
        <v>7.5083333333333329</v>
      </c>
      <c r="M75" s="210">
        <f t="shared" si="6"/>
        <v>3.0033333333333334</v>
      </c>
      <c r="N75" s="26">
        <f>VLOOKUP(A75,kurspris!$A$1:$Q$809,15)</f>
        <v>23641</v>
      </c>
      <c r="O75" s="26">
        <f>VLOOKUP(A75,kurspris!$A$1:$Q$809,16)</f>
        <v>28786</v>
      </c>
      <c r="P75" s="26">
        <f>VLOOKUP(A75,kurspris!$A$1:$Q$809,17)</f>
        <v>5800</v>
      </c>
      <c r="Q75" s="26">
        <f t="shared" si="7"/>
        <v>169985.48666666669</v>
      </c>
      <c r="R75" s="26">
        <f>(Q75*Prislapp!$R$5)*-1</f>
        <v>-11898.98406666667</v>
      </c>
      <c r="S75" s="26">
        <f t="shared" si="8"/>
        <v>158086.50260000004</v>
      </c>
      <c r="T75" s="26">
        <f t="shared" si="9"/>
        <v>20493.333333333336</v>
      </c>
      <c r="V75" t="s">
        <v>1671</v>
      </c>
    </row>
    <row r="76" spans="1:22" x14ac:dyDescent="0.25">
      <c r="A76" s="31" t="s">
        <v>1637</v>
      </c>
      <c r="B76" t="str">
        <f>VLOOKUP(A76,kurspris!$A$1:$Q$809,2,FALSE)</f>
        <v>Specialpedagogik - åk 7-9 och gymnasieskolan (UK)</v>
      </c>
      <c r="C76" s="31">
        <v>2200</v>
      </c>
      <c r="D76" t="str">
        <f>VLOOKUP(C76,Orgenheter!$A$1:$B$213,2)</f>
        <v xml:space="preserve">Inst för psykologi            </v>
      </c>
      <c r="E76" t="str">
        <f>VLOOKUP(C76,Orgenheter!$A$1:$C$165,3,FALSE)</f>
        <v>Sam</v>
      </c>
      <c r="F76" s="294">
        <f>0.5/5</f>
        <v>0.1</v>
      </c>
      <c r="G76">
        <f>VLOOKUP(A76,'Ansvar kurs'!$A$85:$C$976,2,FALSE)</f>
        <v>2180</v>
      </c>
      <c r="H76" t="str">
        <f>VLOOKUP(G76,Orgenheter!$A$1:$B$213,2)</f>
        <v xml:space="preserve">Pedagogik                     </v>
      </c>
      <c r="I76" t="str">
        <f>VLOOKUP(G76,Orgenheter!$A$1:$C$165,3,FALSE)</f>
        <v>Sam</v>
      </c>
      <c r="J76" s="210">
        <f>IF(ISERROR(VLOOKUP(A76,'Totalt pivot'!$A$5:$C$397,2,FALSE)),0,(VLOOKUP(A76,'Totalt pivot'!$A$5:$C$397,2,FALSE)))</f>
        <v>8.8333333333333339</v>
      </c>
      <c r="K76" s="210">
        <f t="shared" si="5"/>
        <v>0.88333333333333341</v>
      </c>
      <c r="L76" s="210">
        <f>IF(ISERROR(VLOOKUP(A76,'Totalt pivot'!$A$5:$C$397,3,FALSE)),0,(VLOOKUP(A76,'Totalt pivot'!$A$5:$C$397,3,FALSE)))</f>
        <v>7.5083333333333329</v>
      </c>
      <c r="M76" s="210">
        <f t="shared" si="6"/>
        <v>0.75083333333333335</v>
      </c>
      <c r="N76" s="26">
        <f>VLOOKUP(A76,kurspris!$A$1:$Q$809,15)</f>
        <v>23641</v>
      </c>
      <c r="O76" s="26">
        <f>VLOOKUP(A76,kurspris!$A$1:$Q$809,16)</f>
        <v>28786</v>
      </c>
      <c r="P76" s="26">
        <f>VLOOKUP(A76,kurspris!$A$1:$Q$809,17)</f>
        <v>5800</v>
      </c>
      <c r="Q76" s="26">
        <f t="shared" si="7"/>
        <v>42496.371666666673</v>
      </c>
      <c r="R76" s="26">
        <f>(Q76*Prislapp!$R$5)*-1</f>
        <v>-2974.7460166666674</v>
      </c>
      <c r="S76" s="26">
        <f t="shared" si="8"/>
        <v>39521.625650000009</v>
      </c>
      <c r="T76" s="26">
        <f t="shared" si="9"/>
        <v>5123.3333333333339</v>
      </c>
      <c r="V76" t="s">
        <v>1671</v>
      </c>
    </row>
    <row r="77" spans="1:22" x14ac:dyDescent="0.25">
      <c r="A77" s="31" t="s">
        <v>1567</v>
      </c>
      <c r="B77" t="str">
        <f>VLOOKUP(A77,kurspris!$A$1:$Q$809,2,FALSE)</f>
        <v>Utbildningsvetenskap, undervisning och lärande för grundskolan - fritidshem (UK)</v>
      </c>
      <c r="C77" s="31">
        <v>2193</v>
      </c>
      <c r="D77" t="str">
        <f>VLOOKUP(C77,Orgenheter!$A$1:$B$213,2)</f>
        <v xml:space="preserve">TUV </v>
      </c>
      <c r="E77" t="str">
        <f>VLOOKUP(C77,Orgenheter!$A$1:$C$165,3,FALSE)</f>
        <v>Sam</v>
      </c>
      <c r="F77" s="294">
        <f>3/8</f>
        <v>0.375</v>
      </c>
      <c r="G77">
        <f>VLOOKUP(A77,'Ansvar kurs'!$A$85:$C$976,2,FALSE)</f>
        <v>2180</v>
      </c>
      <c r="H77" t="str">
        <f>VLOOKUP(G77,Orgenheter!$A$1:$B$213,2)</f>
        <v xml:space="preserve">Pedagogik                     </v>
      </c>
      <c r="I77" t="str">
        <f>VLOOKUP(G77,Orgenheter!$A$1:$C$165,3,FALSE)</f>
        <v>Sam</v>
      </c>
      <c r="J77" s="210">
        <f>IF(ISERROR(VLOOKUP(A77,'Totalt pivot'!$A$5:$C$397,2,FALSE)),0,(VLOOKUP(A77,'Totalt pivot'!$A$5:$C$397,2,FALSE)))</f>
        <v>2</v>
      </c>
      <c r="K77" s="210">
        <f t="shared" si="5"/>
        <v>0.75</v>
      </c>
      <c r="L77" s="210">
        <f>IF(ISERROR(VLOOKUP(A77,'Totalt pivot'!$A$5:$C$397,3,FALSE)),0,(VLOOKUP(A77,'Totalt pivot'!$A$5:$C$397,3,FALSE)))</f>
        <v>1.7</v>
      </c>
      <c r="M77" s="210">
        <f t="shared" si="6"/>
        <v>0.63749999999999996</v>
      </c>
      <c r="N77" s="26">
        <f>VLOOKUP(A77,kurspris!$A$1:$Q$809,15)</f>
        <v>23641</v>
      </c>
      <c r="O77" s="26">
        <f>VLOOKUP(A77,kurspris!$A$1:$Q$809,16)</f>
        <v>28786</v>
      </c>
      <c r="P77" s="26">
        <f>VLOOKUP(A77,kurspris!$A$1:$Q$809,17)</f>
        <v>5800</v>
      </c>
      <c r="Q77" s="26">
        <f t="shared" si="7"/>
        <v>36081.824999999997</v>
      </c>
      <c r="R77" s="26">
        <f>(Q77*Prislapp!$R$5)*-1</f>
        <v>-2525.72775</v>
      </c>
      <c r="S77" s="26">
        <f t="shared" si="8"/>
        <v>33556.097249999999</v>
      </c>
      <c r="T77" s="26">
        <f t="shared" si="9"/>
        <v>4350</v>
      </c>
    </row>
    <row r="78" spans="1:22" x14ac:dyDescent="0.25">
      <c r="A78" s="31" t="s">
        <v>1567</v>
      </c>
      <c r="B78" t="str">
        <f>VLOOKUP(A78,kurspris!$A$1:$Q$809,2,FALSE)</f>
        <v>Utbildningsvetenskap, undervisning och lärande för grundskolan - fritidshem (UK)</v>
      </c>
      <c r="C78" s="31">
        <v>2200</v>
      </c>
      <c r="D78" t="str">
        <f>VLOOKUP(C78,Orgenheter!$A$1:$B$213,2)</f>
        <v xml:space="preserve">Inst för psykologi            </v>
      </c>
      <c r="E78" t="str">
        <f>VLOOKUP(C78,Orgenheter!$A$1:$C$165,3,FALSE)</f>
        <v>Sam</v>
      </c>
      <c r="F78" s="294">
        <f>2/8</f>
        <v>0.25</v>
      </c>
      <c r="G78">
        <f>VLOOKUP(A78,'Ansvar kurs'!$A$85:$C$976,2,FALSE)</f>
        <v>2180</v>
      </c>
      <c r="H78" t="str">
        <f>VLOOKUP(G78,Orgenheter!$A$1:$B$213,2)</f>
        <v xml:space="preserve">Pedagogik                     </v>
      </c>
      <c r="I78" t="str">
        <f>VLOOKUP(G78,Orgenheter!$A$1:$C$165,3,FALSE)</f>
        <v>Sam</v>
      </c>
      <c r="J78" s="210">
        <f>IF(ISERROR(VLOOKUP(A78,'Totalt pivot'!$A$5:$C$397,2,FALSE)),0,(VLOOKUP(A78,'Totalt pivot'!$A$5:$C$397,2,FALSE)))</f>
        <v>2</v>
      </c>
      <c r="K78" s="210">
        <f t="shared" si="5"/>
        <v>0.5</v>
      </c>
      <c r="L78" s="210">
        <f>IF(ISERROR(VLOOKUP(A78,'Totalt pivot'!$A$5:$C$397,3,FALSE)),0,(VLOOKUP(A78,'Totalt pivot'!$A$5:$C$397,3,FALSE)))</f>
        <v>1.7</v>
      </c>
      <c r="M78" s="210">
        <f t="shared" si="6"/>
        <v>0.42499999999999999</v>
      </c>
      <c r="N78" s="26">
        <f>VLOOKUP(A78,kurspris!$A$1:$Q$809,15)</f>
        <v>23641</v>
      </c>
      <c r="O78" s="26">
        <f>VLOOKUP(A78,kurspris!$A$1:$Q$809,16)</f>
        <v>28786</v>
      </c>
      <c r="P78" s="26">
        <f>VLOOKUP(A78,kurspris!$A$1:$Q$809,17)</f>
        <v>5800</v>
      </c>
      <c r="Q78" s="26">
        <f t="shared" si="7"/>
        <v>24054.55</v>
      </c>
      <c r="R78" s="26">
        <f>(Q78*Prislapp!$R$5)*-1</f>
        <v>-1683.8185000000001</v>
      </c>
      <c r="S78" s="26">
        <f t="shared" si="8"/>
        <v>22370.731499999998</v>
      </c>
      <c r="T78" s="26">
        <f t="shared" si="9"/>
        <v>2900</v>
      </c>
    </row>
    <row r="79" spans="1:22" x14ac:dyDescent="0.25">
      <c r="A79" s="31" t="s">
        <v>1568</v>
      </c>
      <c r="B79" t="str">
        <f>VLOOKUP(A79,kurspris!$A$1:$Q$809,2,FALSE)</f>
        <v>Utbildningsvetenskap, undervisning och lärande för grundskolan (UK)</v>
      </c>
      <c r="C79" s="31">
        <v>5740</v>
      </c>
      <c r="D79" t="str">
        <f>VLOOKUP(C79,Orgenheter!$A$1:$B$213,2)</f>
        <v>NMD</v>
      </c>
      <c r="E79" t="str">
        <f>VLOOKUP(C79,Orgenheter!$A$1:$C$165,3,FALSE)</f>
        <v>TekNat</v>
      </c>
      <c r="F79" s="294">
        <f>3/8</f>
        <v>0.375</v>
      </c>
      <c r="G79">
        <f>VLOOKUP(A79,'Ansvar kurs'!$A$85:$C$976,2,FALSE)</f>
        <v>2180</v>
      </c>
      <c r="H79" t="str">
        <f>VLOOKUP(G79,Orgenheter!$A$1:$B$213,2)</f>
        <v xml:space="preserve">Pedagogik                     </v>
      </c>
      <c r="I79" t="str">
        <f>VLOOKUP(G79,Orgenheter!$A$1:$C$165,3,FALSE)</f>
        <v>Sam</v>
      </c>
      <c r="J79" s="210">
        <f>IF(ISERROR(VLOOKUP(A79,'Totalt pivot'!$A$5:$C$397,2,FALSE)),0,(VLOOKUP(A79,'Totalt pivot'!$A$5:$C$397,2,FALSE)))</f>
        <v>9.6</v>
      </c>
      <c r="K79" s="210">
        <f t="shared" si="5"/>
        <v>3.5999999999999996</v>
      </c>
      <c r="L79" s="210">
        <f>IF(ISERROR(VLOOKUP(A79,'Totalt pivot'!$A$5:$C$397,3,FALSE)),0,(VLOOKUP(A79,'Totalt pivot'!$A$5:$C$397,3,FALSE)))</f>
        <v>8.16</v>
      </c>
      <c r="M79" s="210">
        <f t="shared" si="6"/>
        <v>3.06</v>
      </c>
      <c r="N79" s="26">
        <f>VLOOKUP(A79,kurspris!$A$1:$Q$809,15)</f>
        <v>23641</v>
      </c>
      <c r="O79" s="26">
        <f>VLOOKUP(A79,kurspris!$A$1:$Q$809,16)</f>
        <v>28786</v>
      </c>
      <c r="P79" s="26">
        <f>VLOOKUP(A79,kurspris!$A$1:$Q$809,17)</f>
        <v>5800</v>
      </c>
      <c r="Q79" s="26">
        <f t="shared" si="7"/>
        <v>173192.76</v>
      </c>
      <c r="R79" s="26">
        <f>(Q79*Prislapp!$R$5)*-1</f>
        <v>-12123.493200000003</v>
      </c>
      <c r="S79" s="26">
        <f t="shared" si="8"/>
        <v>161069.26680000001</v>
      </c>
      <c r="T79" s="26">
        <f t="shared" si="9"/>
        <v>20879.999999999996</v>
      </c>
    </row>
    <row r="80" spans="1:22" x14ac:dyDescent="0.25">
      <c r="A80" s="31" t="s">
        <v>1568</v>
      </c>
      <c r="B80" t="str">
        <f>VLOOKUP(A80,kurspris!$A$1:$Q$809,2,FALSE)</f>
        <v>Utbildningsvetenskap, undervisning och lärande för grundskolan (UK)</v>
      </c>
      <c r="C80" s="31">
        <v>2200</v>
      </c>
      <c r="D80" t="str">
        <f>VLOOKUP(C80,Orgenheter!$A$1:$B$213,2)</f>
        <v xml:space="preserve">Inst för psykologi            </v>
      </c>
      <c r="E80" t="str">
        <f>VLOOKUP(C80,Orgenheter!$A$1:$C$165,3,FALSE)</f>
        <v>Sam</v>
      </c>
      <c r="F80" s="294">
        <f>2/8</f>
        <v>0.25</v>
      </c>
      <c r="G80">
        <f>VLOOKUP(A80,'Ansvar kurs'!$A$85:$C$976,2,FALSE)</f>
        <v>2180</v>
      </c>
      <c r="H80" t="str">
        <f>VLOOKUP(G80,Orgenheter!$A$1:$B$213,2)</f>
        <v xml:space="preserve">Pedagogik                     </v>
      </c>
      <c r="I80" t="str">
        <f>VLOOKUP(G80,Orgenheter!$A$1:$C$165,3,FALSE)</f>
        <v>Sam</v>
      </c>
      <c r="J80" s="210">
        <f>IF(ISERROR(VLOOKUP(A80,'Totalt pivot'!$A$5:$C$397,2,FALSE)),0,(VLOOKUP(A80,'Totalt pivot'!$A$5:$C$397,2,FALSE)))</f>
        <v>9.6</v>
      </c>
      <c r="K80" s="210">
        <f t="shared" si="5"/>
        <v>2.4</v>
      </c>
      <c r="L80" s="210">
        <f>IF(ISERROR(VLOOKUP(A80,'Totalt pivot'!$A$5:$C$397,3,FALSE)),0,(VLOOKUP(A80,'Totalt pivot'!$A$5:$C$397,3,FALSE)))</f>
        <v>8.16</v>
      </c>
      <c r="M80" s="210">
        <f t="shared" si="6"/>
        <v>2.04</v>
      </c>
      <c r="N80" s="26">
        <f>VLOOKUP(A80,kurspris!$A$1:$Q$809,15)</f>
        <v>23641</v>
      </c>
      <c r="O80" s="26">
        <f>VLOOKUP(A80,kurspris!$A$1:$Q$809,16)</f>
        <v>28786</v>
      </c>
      <c r="P80" s="26">
        <f>VLOOKUP(A80,kurspris!$A$1:$Q$809,17)</f>
        <v>5800</v>
      </c>
      <c r="Q80" s="26">
        <f t="shared" si="7"/>
        <v>115461.84</v>
      </c>
      <c r="R80" s="26">
        <f>(Q80*Prislapp!$R$5)*-1</f>
        <v>-8082.3288000000002</v>
      </c>
      <c r="S80" s="26">
        <f t="shared" si="8"/>
        <v>107379.51119999999</v>
      </c>
      <c r="T80" s="26">
        <f t="shared" si="9"/>
        <v>13920</v>
      </c>
    </row>
    <row r="81" spans="1:23" x14ac:dyDescent="0.25">
      <c r="A81" s="31" t="s">
        <v>1669</v>
      </c>
      <c r="B81" t="str">
        <f>VLOOKUP(A81,kurspris!$A$1:$Q$809,2,FALSE)</f>
        <v>Utbildningsvetenskap, undervisning och lärande - Ämneslärarprogrammet (UK)</v>
      </c>
      <c r="C81" s="31">
        <v>2200</v>
      </c>
      <c r="D81" t="str">
        <f>VLOOKUP(C81,Orgenheter!$A$1:$B$213,2)</f>
        <v xml:space="preserve">Inst för psykologi            </v>
      </c>
      <c r="E81" t="str">
        <f>VLOOKUP(C81,Orgenheter!$A$1:$C$165,3,FALSE)</f>
        <v>Sam</v>
      </c>
      <c r="F81" s="294">
        <f>2/8</f>
        <v>0.25</v>
      </c>
      <c r="G81">
        <f>VLOOKUP(A81,'Ansvar kurs'!$A$85:$C$976,2,FALSE)</f>
        <v>2180</v>
      </c>
      <c r="H81" t="str">
        <f>VLOOKUP(G81,Orgenheter!$A$1:$B$213,2)</f>
        <v xml:space="preserve">Pedagogik                     </v>
      </c>
      <c r="I81" t="str">
        <f>VLOOKUP(G81,Orgenheter!$A$1:$C$165,3,FALSE)</f>
        <v>Sam</v>
      </c>
      <c r="J81" s="210">
        <f>IF(ISERROR(VLOOKUP(A81,'Totalt pivot'!$A$5:$C$397,2,FALSE)),0,(VLOOKUP(A81,'Totalt pivot'!$A$5:$C$397,2,FALSE)))</f>
        <v>13.466659999999999</v>
      </c>
      <c r="K81" s="210">
        <f t="shared" si="5"/>
        <v>3.3666649999999998</v>
      </c>
      <c r="L81" s="210">
        <f>IF(ISERROR(VLOOKUP(A81,'Totalt pivot'!$A$5:$C$397,3,FALSE)),0,(VLOOKUP(A81,'Totalt pivot'!$A$5:$C$397,3,FALSE)))</f>
        <v>11.446660999999999</v>
      </c>
      <c r="M81" s="210">
        <f t="shared" si="6"/>
        <v>2.8616652499999997</v>
      </c>
      <c r="N81" s="26">
        <f>VLOOKUP(A81,kurspris!$A$1:$Q$809,15)</f>
        <v>23641</v>
      </c>
      <c r="O81" s="26">
        <f>VLOOKUP(A81,kurspris!$A$1:$Q$809,16)</f>
        <v>28786</v>
      </c>
      <c r="P81" s="26">
        <f>VLOOKUP(A81,kurspris!$A$1:$Q$809,17)</f>
        <v>5800</v>
      </c>
      <c r="Q81" s="26">
        <f t="shared" si="7"/>
        <v>161967.22315149999</v>
      </c>
      <c r="R81" s="26">
        <f>(Q81*Prislapp!$R$5)*-1</f>
        <v>-11337.705620605</v>
      </c>
      <c r="S81" s="26">
        <f t="shared" si="8"/>
        <v>150629.51753089498</v>
      </c>
      <c r="T81" s="26">
        <f t="shared" si="9"/>
        <v>19526.656999999999</v>
      </c>
      <c r="V81" t="s">
        <v>1671</v>
      </c>
    </row>
    <row r="82" spans="1:23" x14ac:dyDescent="0.25">
      <c r="A82" s="31" t="s">
        <v>1669</v>
      </c>
      <c r="B82" t="str">
        <f>VLOOKUP(A82,kurspris!$A$1:$Q$809,2,FALSE)</f>
        <v>Utbildningsvetenskap, undervisning och lärande - Ämneslärarprogrammet (UK)</v>
      </c>
      <c r="C82" s="31">
        <v>5740</v>
      </c>
      <c r="D82" t="str">
        <f>VLOOKUP(C82,Orgenheter!$A$1:$B$213,2)</f>
        <v>NMD</v>
      </c>
      <c r="E82" t="str">
        <f>VLOOKUP(C82,Orgenheter!$A$1:$C$165,3,FALSE)</f>
        <v>TekNat</v>
      </c>
      <c r="F82" s="294">
        <f>1/8</f>
        <v>0.125</v>
      </c>
      <c r="G82">
        <f>VLOOKUP(A82,'Ansvar kurs'!$A$85:$C$976,2,FALSE)</f>
        <v>2180</v>
      </c>
      <c r="H82" t="str">
        <f>VLOOKUP(G82,Orgenheter!$A$1:$B$213,2)</f>
        <v xml:space="preserve">Pedagogik                     </v>
      </c>
      <c r="I82" t="str">
        <f>VLOOKUP(G82,Orgenheter!$A$1:$C$165,3,FALSE)</f>
        <v>Sam</v>
      </c>
      <c r="J82" s="210">
        <f>IF(ISERROR(VLOOKUP(A82,'Totalt pivot'!$A$5:$C$397,2,FALSE)),0,(VLOOKUP(A82,'Totalt pivot'!$A$5:$C$397,2,FALSE)))</f>
        <v>13.466659999999999</v>
      </c>
      <c r="K82" s="210">
        <f t="shared" si="5"/>
        <v>1.6833324999999999</v>
      </c>
      <c r="L82" s="210">
        <f>IF(ISERROR(VLOOKUP(A82,'Totalt pivot'!$A$5:$C$397,3,FALSE)),0,(VLOOKUP(A82,'Totalt pivot'!$A$5:$C$397,3,FALSE)))</f>
        <v>11.446660999999999</v>
      </c>
      <c r="M82" s="210">
        <f t="shared" si="6"/>
        <v>1.4308326249999999</v>
      </c>
      <c r="N82" s="26">
        <f>VLOOKUP(A82,kurspris!$A$1:$Q$809,15)</f>
        <v>23641</v>
      </c>
      <c r="O82" s="26">
        <f>VLOOKUP(A82,kurspris!$A$1:$Q$809,16)</f>
        <v>28786</v>
      </c>
      <c r="P82" s="26">
        <f>VLOOKUP(A82,kurspris!$A$1:$Q$809,17)</f>
        <v>5800</v>
      </c>
      <c r="Q82" s="26">
        <f t="shared" si="7"/>
        <v>80983.611575749994</v>
      </c>
      <c r="R82" s="26">
        <f>(Q82*Prislapp!$R$5)*-1</f>
        <v>-5668.8528103025001</v>
      </c>
      <c r="S82" s="26">
        <f t="shared" si="8"/>
        <v>75314.758765447492</v>
      </c>
      <c r="T82" s="26">
        <f t="shared" si="9"/>
        <v>9763.3284999999996</v>
      </c>
      <c r="V82" t="s">
        <v>1671</v>
      </c>
    </row>
    <row r="83" spans="1:23" x14ac:dyDescent="0.25">
      <c r="A83" s="31" t="s">
        <v>1610</v>
      </c>
      <c r="B83" t="str">
        <f>VLOOKUP(A83,kurspris!$A$1:$Q$809,2,FALSE)</f>
        <v>Den professionella läraren 2: Uppdrag, ledarskap och undervisning (UK)</v>
      </c>
      <c r="C83" s="31">
        <v>2193</v>
      </c>
      <c r="D83" t="str">
        <f>VLOOKUP(C83,Orgenheter!$A$1:$B$213,2)</f>
        <v xml:space="preserve">TUV </v>
      </c>
      <c r="E83" t="str">
        <f>VLOOKUP(C83,Orgenheter!$A$1:$C$165,3,FALSE)</f>
        <v>Sam</v>
      </c>
      <c r="F83" s="294">
        <f>2/7.5</f>
        <v>0.26666666666666666</v>
      </c>
      <c r="G83">
        <f>VLOOKUP(A83,'Ansvar kurs'!$A$85:$C$976,2,FALSE)</f>
        <v>2180</v>
      </c>
      <c r="H83" t="str">
        <f>VLOOKUP(G83,Orgenheter!$A$1:$B$213,2)</f>
        <v xml:space="preserve">Pedagogik                     </v>
      </c>
      <c r="I83" t="str">
        <f>VLOOKUP(G83,Orgenheter!$A$1:$C$165,3,FALSE)</f>
        <v>Sam</v>
      </c>
      <c r="J83" s="210">
        <f>IF(ISERROR(VLOOKUP(A83,'Totalt pivot'!$A$5:$C$397,2,FALSE)),0,(VLOOKUP(A83,'Totalt pivot'!$A$5:$C$397,2,FALSE)))</f>
        <v>6</v>
      </c>
      <c r="K83" s="210">
        <f t="shared" si="5"/>
        <v>1.6</v>
      </c>
      <c r="L83" s="210">
        <f>IF(ISERROR(VLOOKUP(A83,'Totalt pivot'!$A$5:$C$397,3,FALSE)),0,(VLOOKUP(A83,'Totalt pivot'!$A$5:$C$397,3,FALSE)))</f>
        <v>5.0999999999999996</v>
      </c>
      <c r="M83" s="210">
        <f t="shared" si="6"/>
        <v>1.3599999999999999</v>
      </c>
      <c r="N83" s="26">
        <f>VLOOKUP(A83,kurspris!$A$1:$Q$809,15)</f>
        <v>23641</v>
      </c>
      <c r="O83" s="26">
        <f>VLOOKUP(A83,kurspris!$A$1:$Q$809,16)</f>
        <v>28786</v>
      </c>
      <c r="P83" s="26">
        <f>VLOOKUP(A83,kurspris!$A$1:$Q$809,17)</f>
        <v>5800</v>
      </c>
      <c r="Q83" s="26">
        <f t="shared" si="7"/>
        <v>76974.559999999998</v>
      </c>
      <c r="R83" s="26">
        <f>(Q83*Prislapp!$R$5)*-1</f>
        <v>-5388.2192000000005</v>
      </c>
      <c r="S83" s="26">
        <f t="shared" si="8"/>
        <v>71586.340799999991</v>
      </c>
      <c r="T83" s="26">
        <f t="shared" si="9"/>
        <v>9280</v>
      </c>
      <c r="V83" s="314" t="s">
        <v>1607</v>
      </c>
    </row>
    <row r="84" spans="1:23" x14ac:dyDescent="0.25">
      <c r="A84" s="31" t="s">
        <v>1563</v>
      </c>
      <c r="B84" t="str">
        <f>VLOOKUP(A84,kurspris!$A$1:$Q$809,2,FALSE)</f>
        <v>Barnet, omvärlden och fritidshemmets uppdrag</v>
      </c>
      <c r="C84" s="31">
        <v>2180</v>
      </c>
      <c r="D84" t="str">
        <f>VLOOKUP(C84,Orgenheter!$A$1:$B$213,2)</f>
        <v xml:space="preserve">Pedagogik                     </v>
      </c>
      <c r="E84" t="str">
        <f>VLOOKUP(C84,Orgenheter!$A$1:$C$165,3,FALSE)</f>
        <v>Sam</v>
      </c>
      <c r="F84" s="294">
        <f>3/15</f>
        <v>0.2</v>
      </c>
      <c r="G84">
        <f>VLOOKUP(A84,'Ansvar kurs'!$A$85:$C$976,2,FALSE)</f>
        <v>2193</v>
      </c>
      <c r="H84" t="str">
        <f>VLOOKUP(G84,Orgenheter!$A$1:$B$213,2)</f>
        <v xml:space="preserve">TUV </v>
      </c>
      <c r="I84" t="str">
        <f>VLOOKUP(G84,Orgenheter!$A$1:$C$165,3,FALSE)</f>
        <v>Sam</v>
      </c>
      <c r="J84" s="210">
        <f>IF(ISERROR(VLOOKUP(A84,'Totalt pivot'!$A$5:$C$397,2,FALSE)),0,(VLOOKUP(A84,'Totalt pivot'!$A$5:$C$397,2,FALSE)))</f>
        <v>6.5</v>
      </c>
      <c r="K84" s="210">
        <f t="shared" si="5"/>
        <v>1.3</v>
      </c>
      <c r="L84" s="210">
        <f>IF(ISERROR(VLOOKUP(A84,'Totalt pivot'!$A$5:$C$397,3,FALSE)),0,(VLOOKUP(A84,'Totalt pivot'!$A$5:$C$397,3,FALSE)))</f>
        <v>5.5249999999999995</v>
      </c>
      <c r="M84" s="210">
        <f t="shared" si="6"/>
        <v>1.105</v>
      </c>
      <c r="N84" s="26">
        <f>VLOOKUP(A84,kurspris!$A$1:$Q$809,15)</f>
        <v>18405</v>
      </c>
      <c r="O84" s="26">
        <f>VLOOKUP(A84,kurspris!$A$1:$Q$809,16)</f>
        <v>15773</v>
      </c>
      <c r="P84" s="26">
        <f>VLOOKUP(A84,kurspris!$A$1:$Q$809,17)</f>
        <v>5800</v>
      </c>
      <c r="Q84" s="26">
        <f t="shared" si="7"/>
        <v>41355.665000000001</v>
      </c>
      <c r="R84" s="26">
        <f>(Q84*Prislapp!$R$5)*-1</f>
        <v>-2894.8965500000004</v>
      </c>
      <c r="S84" s="26">
        <f t="shared" si="8"/>
        <v>38460.768450000003</v>
      </c>
      <c r="T84" s="26">
        <f t="shared" si="9"/>
        <v>7540</v>
      </c>
      <c r="V84" s="179" t="s">
        <v>1701</v>
      </c>
      <c r="W84" s="179"/>
    </row>
    <row r="85" spans="1:23" x14ac:dyDescent="0.25">
      <c r="A85" s="31" t="s">
        <v>1569</v>
      </c>
      <c r="B85" t="str">
        <f>VLOOKUP(A85,kurspris!$A$1:$Q$809,2,FALSE)</f>
        <v>Bedömning för och av lärande i grundskolan (UK)</v>
      </c>
      <c r="C85" s="31">
        <v>2180</v>
      </c>
      <c r="D85" t="str">
        <f>VLOOKUP(C85,Orgenheter!$A$1:$B$213,2)</f>
        <v xml:space="preserve">Pedagogik                     </v>
      </c>
      <c r="E85" t="str">
        <f>VLOOKUP(C85,Orgenheter!$A$1:$C$165,3,FALSE)</f>
        <v>Sam</v>
      </c>
      <c r="F85" s="294">
        <f>2.5/11</f>
        <v>0.22727272727272727</v>
      </c>
      <c r="G85">
        <f>VLOOKUP(A85,'Ansvar kurs'!$A$85:$C$976,2,FALSE)</f>
        <v>5740</v>
      </c>
      <c r="H85" t="str">
        <f>VLOOKUP(G85,Orgenheter!$A$1:$B$213,2)</f>
        <v>NMD</v>
      </c>
      <c r="I85" t="str">
        <f>VLOOKUP(G85,Orgenheter!$A$1:$C$165,3,FALSE)</f>
        <v>TekNat</v>
      </c>
      <c r="J85" s="210">
        <f>IF(ISERROR(VLOOKUP(A85,'Totalt pivot'!$A$5:$C$397,2,FALSE)),0,(VLOOKUP(A85,'Totalt pivot'!$A$5:$C$397,2,FALSE)))</f>
        <v>15.033339999999999</v>
      </c>
      <c r="K85" s="210">
        <f t="shared" si="5"/>
        <v>3.4166681818181814</v>
      </c>
      <c r="L85" s="210">
        <f>IF(ISERROR(VLOOKUP(A85,'Totalt pivot'!$A$5:$C$397,3,FALSE)),0,(VLOOKUP(A85,'Totalt pivot'!$A$5:$C$397,3,FALSE)))</f>
        <v>12.778338999999999</v>
      </c>
      <c r="M85" s="210">
        <f t="shared" si="6"/>
        <v>2.9041679545454544</v>
      </c>
      <c r="N85" s="26">
        <f>VLOOKUP(A85,kurspris!$A$1:$Q$809,15)</f>
        <v>23641</v>
      </c>
      <c r="O85" s="26">
        <f>VLOOKUP(A85,kurspris!$A$1:$Q$809,16)</f>
        <v>28786</v>
      </c>
      <c r="P85" s="26">
        <f>VLOOKUP(A85,kurspris!$A$1:$Q$809,17)</f>
        <v>5800</v>
      </c>
      <c r="Q85" s="26">
        <f t="shared" si="7"/>
        <v>164372.83122590909</v>
      </c>
      <c r="R85" s="26">
        <f>(Q85*Prislapp!$R$5)*-1</f>
        <v>-11506.098185813637</v>
      </c>
      <c r="S85" s="26">
        <f t="shared" si="8"/>
        <v>152866.73304009545</v>
      </c>
      <c r="T85" s="26">
        <f t="shared" si="9"/>
        <v>19816.675454545453</v>
      </c>
    </row>
    <row r="86" spans="1:23" x14ac:dyDescent="0.25">
      <c r="A86" s="31" t="s">
        <v>1569</v>
      </c>
      <c r="B86" t="str">
        <f>VLOOKUP(A86,kurspris!$A$1:$Q$809,2,FALSE)</f>
        <v>Bedömning för och av lärande i grundskolan (UK)</v>
      </c>
      <c r="C86" s="31">
        <v>2193</v>
      </c>
      <c r="D86" t="str">
        <f>VLOOKUP(C86,Orgenheter!$A$1:$B$213,2)</f>
        <v xml:space="preserve">TUV </v>
      </c>
      <c r="E86" t="str">
        <f>VLOOKUP(C86,Orgenheter!$A$1:$C$165,3,FALSE)</f>
        <v>Sam</v>
      </c>
      <c r="F86" s="294">
        <f>2.5/11</f>
        <v>0.22727272727272727</v>
      </c>
      <c r="G86">
        <f>VLOOKUP(A86,'Ansvar kurs'!$A$85:$C$976,2,FALSE)</f>
        <v>5740</v>
      </c>
      <c r="H86" t="str">
        <f>VLOOKUP(G86,Orgenheter!$A$1:$B$213,2)</f>
        <v>NMD</v>
      </c>
      <c r="I86" t="str">
        <f>VLOOKUP(G86,Orgenheter!$A$1:$C$165,3,FALSE)</f>
        <v>TekNat</v>
      </c>
      <c r="J86" s="210">
        <f>IF(ISERROR(VLOOKUP(A86,'Totalt pivot'!$A$5:$C$397,2,FALSE)),0,(VLOOKUP(A86,'Totalt pivot'!$A$5:$C$397,2,FALSE)))</f>
        <v>15.033339999999999</v>
      </c>
      <c r="K86" s="210">
        <f t="shared" si="5"/>
        <v>3.4166681818181814</v>
      </c>
      <c r="L86" s="210">
        <f>IF(ISERROR(VLOOKUP(A86,'Totalt pivot'!$A$5:$C$397,3,FALSE)),0,(VLOOKUP(A86,'Totalt pivot'!$A$5:$C$397,3,FALSE)))</f>
        <v>12.778338999999999</v>
      </c>
      <c r="M86" s="210">
        <f t="shared" si="6"/>
        <v>2.9041679545454544</v>
      </c>
      <c r="N86" s="26">
        <f>VLOOKUP(A86,kurspris!$A$1:$Q$809,15)</f>
        <v>23641</v>
      </c>
      <c r="O86" s="26">
        <f>VLOOKUP(A86,kurspris!$A$1:$Q$809,16)</f>
        <v>28786</v>
      </c>
      <c r="P86" s="26">
        <f>VLOOKUP(A86,kurspris!$A$1:$Q$809,17)</f>
        <v>5800</v>
      </c>
      <c r="Q86" s="26">
        <f t="shared" si="7"/>
        <v>164372.83122590909</v>
      </c>
      <c r="R86" s="26">
        <f>(Q86*Prislapp!$R$5)*-1</f>
        <v>-11506.098185813637</v>
      </c>
      <c r="S86" s="26">
        <f t="shared" si="8"/>
        <v>152866.73304009545</v>
      </c>
      <c r="T86" s="26">
        <f t="shared" si="9"/>
        <v>19816.675454545453</v>
      </c>
    </row>
    <row r="87" spans="1:23" x14ac:dyDescent="0.25">
      <c r="A87" s="31" t="s">
        <v>1569</v>
      </c>
      <c r="B87" t="str">
        <f>VLOOKUP(A87,kurspris!$A$1:$Q$809,2,FALSE)</f>
        <v>Bedömning för och av lärande i grundskolan (UK)</v>
      </c>
      <c r="C87" s="31">
        <v>2300</v>
      </c>
      <c r="D87" t="str">
        <f>VLOOKUP(C87,Orgenheter!$A$1:$B$213,2)</f>
        <v xml:space="preserve">Juridiska institutionen       </v>
      </c>
      <c r="E87" t="str">
        <f>VLOOKUP(C87,Orgenheter!$A$1:$C$165,3,FALSE)</f>
        <v>Sam</v>
      </c>
      <c r="F87" s="294">
        <f>1/11</f>
        <v>9.0909090909090912E-2</v>
      </c>
      <c r="G87">
        <f>VLOOKUP(A87,'Ansvar kurs'!$A$85:$C$976,2,FALSE)</f>
        <v>5740</v>
      </c>
      <c r="H87" t="str">
        <f>VLOOKUP(G87,Orgenheter!$A$1:$B$213,2)</f>
        <v>NMD</v>
      </c>
      <c r="I87" t="str">
        <f>VLOOKUP(G87,Orgenheter!$A$1:$C$165,3,FALSE)</f>
        <v>TekNat</v>
      </c>
      <c r="J87" s="210">
        <f>IF(ISERROR(VLOOKUP(A87,'Totalt pivot'!$A$5:$C$397,2,FALSE)),0,(VLOOKUP(A87,'Totalt pivot'!$A$5:$C$397,2,FALSE)))</f>
        <v>15.033339999999999</v>
      </c>
      <c r="K87" s="210">
        <f t="shared" si="5"/>
        <v>1.3666672727272726</v>
      </c>
      <c r="L87" s="210">
        <f>IF(ISERROR(VLOOKUP(A87,'Totalt pivot'!$A$5:$C$397,3,FALSE)),0,(VLOOKUP(A87,'Totalt pivot'!$A$5:$C$397,3,FALSE)))</f>
        <v>12.778338999999999</v>
      </c>
      <c r="M87" s="210">
        <f t="shared" si="6"/>
        <v>1.1616671818181818</v>
      </c>
      <c r="N87" s="26">
        <f>VLOOKUP(A87,kurspris!$A$1:$Q$809,15)</f>
        <v>23641</v>
      </c>
      <c r="O87" s="26">
        <f>VLOOKUP(A87,kurspris!$A$1:$Q$809,16)</f>
        <v>28786</v>
      </c>
      <c r="P87" s="26">
        <f>VLOOKUP(A87,kurspris!$A$1:$Q$809,17)</f>
        <v>5800</v>
      </c>
      <c r="Q87" s="26">
        <f t="shared" si="7"/>
        <v>65749.132490363641</v>
      </c>
      <c r="R87" s="26">
        <f>(Q87*Prislapp!$R$5)*-1</f>
        <v>-4602.4392743254557</v>
      </c>
      <c r="S87" s="26">
        <f t="shared" si="8"/>
        <v>61146.693216038184</v>
      </c>
      <c r="T87" s="26">
        <f t="shared" si="9"/>
        <v>7926.6701818181809</v>
      </c>
    </row>
    <row r="88" spans="1:23" x14ac:dyDescent="0.25">
      <c r="A88" s="274" t="s">
        <v>1560</v>
      </c>
      <c r="B88" t="str">
        <f>VLOOKUP(A88,kurspris!$A$1:$Q$809,2,FALSE)</f>
        <v>Bedömning för lärande i förskolan (UK)</v>
      </c>
      <c r="C88" s="31">
        <v>2193</v>
      </c>
      <c r="D88" t="str">
        <f>VLOOKUP(C88,Orgenheter!$A$1:$B$213,2)</f>
        <v xml:space="preserve">TUV </v>
      </c>
      <c r="E88" t="str">
        <f>VLOOKUP(C88,Orgenheter!$A$1:$C$165,3,FALSE)</f>
        <v>Sam</v>
      </c>
      <c r="F88" s="294">
        <f>3/10</f>
        <v>0.3</v>
      </c>
      <c r="G88">
        <f>VLOOKUP(A88,'Ansvar kurs'!$A$85:$C$976,2,FALSE)</f>
        <v>5740</v>
      </c>
      <c r="H88" t="str">
        <f>VLOOKUP(G88,Orgenheter!$A$1:$B$213,2)</f>
        <v>NMD</v>
      </c>
      <c r="I88" t="str">
        <f>VLOOKUP(G88,Orgenheter!$A$1:$C$165,3,FALSE)</f>
        <v>TekNat</v>
      </c>
      <c r="J88" s="210">
        <f>IF(ISERROR(VLOOKUP(A88,'Totalt pivot'!$A$5:$C$397,2,FALSE)),0,(VLOOKUP(A88,'Totalt pivot'!$A$5:$C$397,2,FALSE)))</f>
        <v>10.1</v>
      </c>
      <c r="K88" s="210">
        <f t="shared" si="5"/>
        <v>3.03</v>
      </c>
      <c r="L88" s="210">
        <f>IF(ISERROR(VLOOKUP(A88,'Totalt pivot'!$A$5:$C$397,3,FALSE)),0,(VLOOKUP(A88,'Totalt pivot'!$A$5:$C$397,3,FALSE)))</f>
        <v>8.5849999999999991</v>
      </c>
      <c r="M88" s="210">
        <f t="shared" si="6"/>
        <v>2.5754999999999995</v>
      </c>
      <c r="N88" s="26">
        <f>VLOOKUP(A88,kurspris!$A$1:$Q$809,15)</f>
        <v>23641</v>
      </c>
      <c r="O88" s="26">
        <f>VLOOKUP(A88,kurspris!$A$1:$Q$809,16)</f>
        <v>28786</v>
      </c>
      <c r="P88" s="26">
        <f>VLOOKUP(A88,kurspris!$A$1:$Q$809,17)</f>
        <v>5800</v>
      </c>
      <c r="Q88" s="26">
        <f t="shared" si="7"/>
        <v>145770.57299999997</v>
      </c>
      <c r="R88" s="26">
        <f>(Q88*Prislapp!$R$5)*-1</f>
        <v>-10203.94011</v>
      </c>
      <c r="S88" s="26">
        <f t="shared" si="8"/>
        <v>135566.63288999998</v>
      </c>
      <c r="T88" s="26">
        <f t="shared" si="9"/>
        <v>17574</v>
      </c>
      <c r="V88" t="s">
        <v>1697</v>
      </c>
    </row>
    <row r="89" spans="1:23" x14ac:dyDescent="0.25">
      <c r="A89" s="274" t="s">
        <v>1560</v>
      </c>
      <c r="B89" t="str">
        <f>VLOOKUP(A89,kurspris!$A$1:$Q$809,2,FALSE)</f>
        <v>Bedömning för lärande i förskolan (UK)</v>
      </c>
      <c r="C89" s="31">
        <v>2300</v>
      </c>
      <c r="D89" t="str">
        <f>VLOOKUP(C89,Orgenheter!$A$1:$B$213,2)</f>
        <v xml:space="preserve">Juridiska institutionen       </v>
      </c>
      <c r="E89" t="str">
        <f>VLOOKUP(C89,Orgenheter!$A$1:$C$165,3,FALSE)</f>
        <v>Sam</v>
      </c>
      <c r="F89" s="294">
        <f>1/10</f>
        <v>0.1</v>
      </c>
      <c r="G89">
        <f>VLOOKUP(A89,'Ansvar kurs'!$A$85:$C$976,2,FALSE)</f>
        <v>5740</v>
      </c>
      <c r="H89" t="str">
        <f>VLOOKUP(G89,Orgenheter!$A$1:$B$213,2)</f>
        <v>NMD</v>
      </c>
      <c r="I89" t="str">
        <f>VLOOKUP(G89,Orgenheter!$A$1:$C$165,3,FALSE)</f>
        <v>TekNat</v>
      </c>
      <c r="J89" s="210">
        <f>IF(ISERROR(VLOOKUP(A89,'Totalt pivot'!$A$5:$C$397,2,FALSE)),0,(VLOOKUP(A89,'Totalt pivot'!$A$5:$C$397,2,FALSE)))</f>
        <v>10.1</v>
      </c>
      <c r="K89" s="210">
        <f t="shared" si="5"/>
        <v>1.01</v>
      </c>
      <c r="L89" s="210">
        <f>IF(ISERROR(VLOOKUP(A89,'Totalt pivot'!$A$5:$C$397,3,FALSE)),0,(VLOOKUP(A89,'Totalt pivot'!$A$5:$C$397,3,FALSE)))</f>
        <v>8.5849999999999991</v>
      </c>
      <c r="M89" s="210">
        <f t="shared" si="6"/>
        <v>0.85849999999999993</v>
      </c>
      <c r="N89" s="26">
        <f>VLOOKUP(A89,kurspris!$A$1:$Q$809,15)</f>
        <v>23641</v>
      </c>
      <c r="O89" s="26">
        <f>VLOOKUP(A89,kurspris!$A$1:$Q$809,16)</f>
        <v>28786</v>
      </c>
      <c r="P89" s="26">
        <f>VLOOKUP(A89,kurspris!$A$1:$Q$809,17)</f>
        <v>5800</v>
      </c>
      <c r="Q89" s="26">
        <f t="shared" si="7"/>
        <v>48590.190999999999</v>
      </c>
      <c r="R89" s="26">
        <f>(Q89*Prislapp!$R$5)*-1</f>
        <v>-3401.3133700000003</v>
      </c>
      <c r="S89" s="26">
        <f t="shared" si="8"/>
        <v>45188.877629999995</v>
      </c>
      <c r="T89" s="26">
        <f t="shared" si="9"/>
        <v>5858</v>
      </c>
      <c r="V89" t="s">
        <v>1697</v>
      </c>
    </row>
    <row r="90" spans="1:23" x14ac:dyDescent="0.25">
      <c r="A90" s="31" t="s">
        <v>1686</v>
      </c>
      <c r="B90" t="str">
        <f>VLOOKUP(A90,kurspris!$A$1:$Q$809,2,FALSE)</f>
        <v>Bedömning för och av lärande för åk 7-9 och gymnasium (UK)</v>
      </c>
      <c r="C90" s="31">
        <v>2180</v>
      </c>
      <c r="D90" t="str">
        <f>VLOOKUP(C90,Orgenheter!$A$1:$B$213,2)</f>
        <v xml:space="preserve">Pedagogik                     </v>
      </c>
      <c r="E90" t="str">
        <f>VLOOKUP(C90,Orgenheter!$A$1:$C$165,3,FALSE)</f>
        <v>Sam</v>
      </c>
      <c r="F90" s="294">
        <f>2.5/11</f>
        <v>0.22727272727272727</v>
      </c>
      <c r="G90">
        <f>VLOOKUP(A90,'Ansvar kurs'!$A$85:$C$976,2,FALSE)</f>
        <v>5740</v>
      </c>
      <c r="H90" t="str">
        <f>VLOOKUP(G90,Orgenheter!$A$1:$B$213,2)</f>
        <v>NMD</v>
      </c>
      <c r="I90" t="str">
        <f>VLOOKUP(G90,Orgenheter!$A$1:$C$165,3,FALSE)</f>
        <v>TekNat</v>
      </c>
      <c r="J90" s="210">
        <f>IF(ISERROR(VLOOKUP(A90,'Totalt pivot'!$A$5:$C$397,2,FALSE)),0,(VLOOKUP(A90,'Totalt pivot'!$A$5:$C$397,2,FALSE)))</f>
        <v>18.149999999999999</v>
      </c>
      <c r="K90" s="210">
        <f t="shared" si="5"/>
        <v>4.1249999999999991</v>
      </c>
      <c r="L90" s="210">
        <f>IF(ISERROR(VLOOKUP(A90,'Totalt pivot'!$A$5:$C$397,3,FALSE)),0,(VLOOKUP(A90,'Totalt pivot'!$A$5:$C$397,3,FALSE)))</f>
        <v>15.427499999999998</v>
      </c>
      <c r="M90" s="210">
        <f t="shared" si="6"/>
        <v>3.5062499999999996</v>
      </c>
      <c r="N90" s="26">
        <f>VLOOKUP(A90,kurspris!$A$1:$Q$809,15)</f>
        <v>23641</v>
      </c>
      <c r="O90" s="26">
        <f>VLOOKUP(A90,kurspris!$A$1:$Q$809,16)</f>
        <v>28786</v>
      </c>
      <c r="P90" s="26">
        <f>VLOOKUP(A90,kurspris!$A$1:$Q$809,17)</f>
        <v>5800</v>
      </c>
      <c r="Q90" s="26">
        <f t="shared" si="7"/>
        <v>198450.03749999998</v>
      </c>
      <c r="R90" s="26">
        <f>(Q90*Prislapp!$R$5)*-1</f>
        <v>-13891.502624999999</v>
      </c>
      <c r="S90" s="26">
        <f t="shared" si="8"/>
        <v>184558.53487499998</v>
      </c>
      <c r="T90" s="26">
        <f t="shared" si="9"/>
        <v>23924.999999999996</v>
      </c>
      <c r="V90" t="s">
        <v>1671</v>
      </c>
    </row>
    <row r="91" spans="1:23" x14ac:dyDescent="0.25">
      <c r="A91" s="31" t="s">
        <v>1686</v>
      </c>
      <c r="B91" t="str">
        <f>VLOOKUP(A91,kurspris!$A$1:$Q$809,2,FALSE)</f>
        <v>Bedömning för och av lärande för åk 7-9 och gymnasium (UK)</v>
      </c>
      <c r="C91" s="31">
        <v>2193</v>
      </c>
      <c r="D91" t="str">
        <f>VLOOKUP(C91,Orgenheter!$A$1:$B$213,2)</f>
        <v xml:space="preserve">TUV </v>
      </c>
      <c r="E91" t="str">
        <f>VLOOKUP(C91,Orgenheter!$A$1:$C$165,3,FALSE)</f>
        <v>Sam</v>
      </c>
      <c r="F91" s="294">
        <f>2.5/11</f>
        <v>0.22727272727272727</v>
      </c>
      <c r="G91">
        <f>VLOOKUP(A91,'Ansvar kurs'!$A$85:$C$976,2,FALSE)</f>
        <v>5740</v>
      </c>
      <c r="H91" t="str">
        <f>VLOOKUP(G91,Orgenheter!$A$1:$B$213,2)</f>
        <v>NMD</v>
      </c>
      <c r="I91" t="str">
        <f>VLOOKUP(G91,Orgenheter!$A$1:$C$165,3,FALSE)</f>
        <v>TekNat</v>
      </c>
      <c r="J91" s="210">
        <f>IF(ISERROR(VLOOKUP(A91,'Totalt pivot'!$A$5:$C$397,2,FALSE)),0,(VLOOKUP(A91,'Totalt pivot'!$A$5:$C$397,2,FALSE)))</f>
        <v>18.149999999999999</v>
      </c>
      <c r="K91" s="210">
        <f t="shared" si="5"/>
        <v>4.1249999999999991</v>
      </c>
      <c r="L91" s="210">
        <f>IF(ISERROR(VLOOKUP(A91,'Totalt pivot'!$A$5:$C$397,3,FALSE)),0,(VLOOKUP(A91,'Totalt pivot'!$A$5:$C$397,3,FALSE)))</f>
        <v>15.427499999999998</v>
      </c>
      <c r="M91" s="210">
        <f t="shared" si="6"/>
        <v>3.5062499999999996</v>
      </c>
      <c r="N91" s="26">
        <f>VLOOKUP(A91,kurspris!$A$1:$Q$809,15)</f>
        <v>23641</v>
      </c>
      <c r="O91" s="26">
        <f>VLOOKUP(A91,kurspris!$A$1:$Q$809,16)</f>
        <v>28786</v>
      </c>
      <c r="P91" s="26">
        <f>VLOOKUP(A91,kurspris!$A$1:$Q$809,17)</f>
        <v>5800</v>
      </c>
      <c r="Q91" s="26">
        <f t="shared" si="7"/>
        <v>198450.03749999998</v>
      </c>
      <c r="R91" s="26">
        <f>(Q91*Prislapp!$R$5)*-1</f>
        <v>-13891.502624999999</v>
      </c>
      <c r="S91" s="26">
        <f t="shared" si="8"/>
        <v>184558.53487499998</v>
      </c>
      <c r="T91" s="26">
        <f t="shared" si="9"/>
        <v>23924.999999999996</v>
      </c>
      <c r="V91" t="s">
        <v>1671</v>
      </c>
    </row>
    <row r="92" spans="1:23" x14ac:dyDescent="0.25">
      <c r="A92" s="31" t="s">
        <v>1686</v>
      </c>
      <c r="B92" t="str">
        <f>VLOOKUP(A92,kurspris!$A$1:$Q$809,2,FALSE)</f>
        <v>Bedömning för och av lärande för åk 7-9 och gymnasium (UK)</v>
      </c>
      <c r="C92" s="31">
        <v>2300</v>
      </c>
      <c r="D92" t="str">
        <f>VLOOKUP(C92,Orgenheter!$A$1:$B$213,2)</f>
        <v xml:space="preserve">Juridiska institutionen       </v>
      </c>
      <c r="E92" t="str">
        <f>VLOOKUP(C92,Orgenheter!$A$1:$C$165,3,FALSE)</f>
        <v>Sam</v>
      </c>
      <c r="F92" s="294">
        <f>1/11</f>
        <v>9.0909090909090912E-2</v>
      </c>
      <c r="G92">
        <f>VLOOKUP(A92,'Ansvar kurs'!$A$85:$C$976,2,FALSE)</f>
        <v>5740</v>
      </c>
      <c r="H92" t="str">
        <f>VLOOKUP(G92,Orgenheter!$A$1:$B$213,2)</f>
        <v>NMD</v>
      </c>
      <c r="I92" t="str">
        <f>VLOOKUP(G92,Orgenheter!$A$1:$C$165,3,FALSE)</f>
        <v>TekNat</v>
      </c>
      <c r="J92" s="210">
        <f>IF(ISERROR(VLOOKUP(A92,'Totalt pivot'!$A$5:$C$397,2,FALSE)),0,(VLOOKUP(A92,'Totalt pivot'!$A$5:$C$397,2,FALSE)))</f>
        <v>18.149999999999999</v>
      </c>
      <c r="K92" s="210">
        <f t="shared" si="5"/>
        <v>1.65</v>
      </c>
      <c r="L92" s="210">
        <f>IF(ISERROR(VLOOKUP(A92,'Totalt pivot'!$A$5:$C$397,3,FALSE)),0,(VLOOKUP(A92,'Totalt pivot'!$A$5:$C$397,3,FALSE)))</f>
        <v>15.427499999999998</v>
      </c>
      <c r="M92" s="210">
        <f t="shared" si="6"/>
        <v>1.4024999999999999</v>
      </c>
      <c r="N92" s="26">
        <f>VLOOKUP(A92,kurspris!$A$1:$Q$809,15)</f>
        <v>23641</v>
      </c>
      <c r="O92" s="26">
        <f>VLOOKUP(A92,kurspris!$A$1:$Q$809,16)</f>
        <v>28786</v>
      </c>
      <c r="P92" s="26">
        <f>VLOOKUP(A92,kurspris!$A$1:$Q$809,17)</f>
        <v>5800</v>
      </c>
      <c r="Q92" s="26">
        <f t="shared" si="7"/>
        <v>79380.014999999999</v>
      </c>
      <c r="R92" s="26">
        <f>(Q92*Prislapp!$R$5)*-1</f>
        <v>-5556.6010500000002</v>
      </c>
      <c r="S92" s="26">
        <f t="shared" si="8"/>
        <v>73823.413950000002</v>
      </c>
      <c r="T92" s="26">
        <f t="shared" si="9"/>
        <v>9570</v>
      </c>
      <c r="V92" t="s">
        <v>1671</v>
      </c>
    </row>
    <row r="93" spans="1:23" x14ac:dyDescent="0.25">
      <c r="A93" s="62" t="s">
        <v>1745</v>
      </c>
      <c r="B93" t="str">
        <f>VLOOKUP(A93,kurspris!$A$1:$Q$809,2,FALSE)</f>
        <v>Kunskap, undervisning och lärande 2</v>
      </c>
      <c r="C93" s="31">
        <v>1650</v>
      </c>
      <c r="D93" t="str">
        <f>VLOOKUP(C93,Orgenheter!$A$1:$B$213,2)</f>
        <v xml:space="preserve">Estetiska ämnen               </v>
      </c>
      <c r="E93" t="str">
        <f>VLOOKUP(C93,Orgenheter!$A$1:$C$165,3,FALSE)</f>
        <v>Hum</v>
      </c>
      <c r="F93" s="294">
        <f>4/15</f>
        <v>0.26666666666666666</v>
      </c>
      <c r="G93">
        <f>VLOOKUP(A93,'Ansvar kurs'!$A$85:$C$976,2,FALSE)</f>
        <v>5740</v>
      </c>
      <c r="H93" t="str">
        <f>VLOOKUP(G93,Orgenheter!$A$1:$B$213,2)</f>
        <v>NMD</v>
      </c>
      <c r="I93" t="str">
        <f>VLOOKUP(G93,Orgenheter!$A$1:$C$165,3,FALSE)</f>
        <v>TekNat</v>
      </c>
      <c r="J93" s="210">
        <f>IF(ISERROR(VLOOKUP(A93,'Totalt pivot'!$A$5:$C$397,2,FALSE)),0,(VLOOKUP(A93,'Totalt pivot'!$A$5:$C$397,2,FALSE)))</f>
        <v>5.75</v>
      </c>
      <c r="K93" s="210">
        <f t="shared" si="5"/>
        <v>1.5333333333333332</v>
      </c>
      <c r="L93" s="210">
        <f>IF(ISERROR(VLOOKUP(A93,'Totalt pivot'!$A$5:$C$397,3,FALSE)),0,(VLOOKUP(A93,'Totalt pivot'!$A$5:$C$397,3,FALSE)))</f>
        <v>4.8875000000000002</v>
      </c>
      <c r="M93" s="210">
        <f t="shared" si="6"/>
        <v>1.3033333333333335</v>
      </c>
      <c r="N93" s="26">
        <f>VLOOKUP(A93,kurspris!$A$1:$Q$809,15)</f>
        <v>23641</v>
      </c>
      <c r="O93" s="26">
        <f>VLOOKUP(A93,kurspris!$A$1:$Q$809,16)</f>
        <v>28786</v>
      </c>
      <c r="P93" s="26">
        <f>VLOOKUP(A93,kurspris!$A$1:$Q$809,17)</f>
        <v>5800</v>
      </c>
      <c r="Q93" s="26">
        <f t="shared" si="7"/>
        <v>73767.286666666667</v>
      </c>
      <c r="R93" s="26">
        <f>(Q93*Prislapp!$R$5)*-1</f>
        <v>-5163.7100666666674</v>
      </c>
      <c r="S93" s="26">
        <f t="shared" si="8"/>
        <v>68603.5766</v>
      </c>
      <c r="T93" s="26">
        <f t="shared" si="9"/>
        <v>8893.3333333333321</v>
      </c>
    </row>
    <row r="94" spans="1:23" x14ac:dyDescent="0.25">
      <c r="A94" s="62" t="s">
        <v>1745</v>
      </c>
      <c r="B94" t="str">
        <f>VLOOKUP(A94,kurspris!$A$1:$Q$809,2,FALSE)</f>
        <v>Kunskap, undervisning och lärande 2</v>
      </c>
      <c r="C94" s="31">
        <v>2193</v>
      </c>
      <c r="D94" t="str">
        <f>VLOOKUP(C94,Orgenheter!$A$1:$B$213,2)</f>
        <v xml:space="preserve">TUV </v>
      </c>
      <c r="E94" t="str">
        <f>VLOOKUP(C94,Orgenheter!$A$1:$C$165,3,FALSE)</f>
        <v>Sam</v>
      </c>
      <c r="F94" s="294">
        <f>3/15</f>
        <v>0.2</v>
      </c>
      <c r="G94">
        <f>VLOOKUP(A94,'Ansvar kurs'!$A$85:$C$976,2,FALSE)</f>
        <v>5740</v>
      </c>
      <c r="H94" t="str">
        <f>VLOOKUP(G94,Orgenheter!$A$1:$B$213,2)</f>
        <v>NMD</v>
      </c>
      <c r="I94" t="str">
        <f>VLOOKUP(G94,Orgenheter!$A$1:$C$165,3,FALSE)</f>
        <v>TekNat</v>
      </c>
      <c r="J94" s="210">
        <f>IF(ISERROR(VLOOKUP(A94,'Totalt pivot'!$A$5:$C$397,2,FALSE)),0,(VLOOKUP(A94,'Totalt pivot'!$A$5:$C$397,2,FALSE)))</f>
        <v>5.75</v>
      </c>
      <c r="K94" s="210">
        <f t="shared" si="5"/>
        <v>1.1500000000000001</v>
      </c>
      <c r="L94" s="210">
        <f>IF(ISERROR(VLOOKUP(A94,'Totalt pivot'!$A$5:$C$397,3,FALSE)),0,(VLOOKUP(A94,'Totalt pivot'!$A$5:$C$397,3,FALSE)))</f>
        <v>4.8875000000000002</v>
      </c>
      <c r="M94" s="210">
        <f t="shared" si="6"/>
        <v>0.97750000000000004</v>
      </c>
      <c r="N94" s="26">
        <f>VLOOKUP(A94,kurspris!$A$1:$Q$809,15)</f>
        <v>23641</v>
      </c>
      <c r="O94" s="26">
        <f>VLOOKUP(A94,kurspris!$A$1:$Q$809,16)</f>
        <v>28786</v>
      </c>
      <c r="P94" s="26">
        <f>VLOOKUP(A94,kurspris!$A$1:$Q$809,17)</f>
        <v>5800</v>
      </c>
      <c r="Q94" s="26">
        <f t="shared" si="7"/>
        <v>55325.465000000004</v>
      </c>
      <c r="R94" s="26">
        <f>(Q94*Prislapp!$R$5)*-1</f>
        <v>-3872.7825500000008</v>
      </c>
      <c r="S94" s="26">
        <f t="shared" si="8"/>
        <v>51452.68245</v>
      </c>
      <c r="T94" s="26">
        <f t="shared" si="9"/>
        <v>6670.0000000000009</v>
      </c>
    </row>
    <row r="95" spans="1:23" x14ac:dyDescent="0.25">
      <c r="A95" s="62" t="s">
        <v>1745</v>
      </c>
      <c r="B95" t="str">
        <f>VLOOKUP(A95,kurspris!$A$1:$Q$809,2,FALSE)</f>
        <v>Kunskap, undervisning och lärande 2</v>
      </c>
      <c r="C95" s="31">
        <v>2180</v>
      </c>
      <c r="D95" t="str">
        <f>VLOOKUP(C95,Orgenheter!$A$1:$B$213,2)</f>
        <v xml:space="preserve">Pedagogik                     </v>
      </c>
      <c r="E95" t="str">
        <f>VLOOKUP(C95,Orgenheter!$A$1:$C$165,3,FALSE)</f>
        <v>Sam</v>
      </c>
      <c r="F95" s="294">
        <f>3/15</f>
        <v>0.2</v>
      </c>
      <c r="G95">
        <f>VLOOKUP(A95,'Ansvar kurs'!$A$85:$C$976,2,FALSE)</f>
        <v>5740</v>
      </c>
      <c r="H95" t="str">
        <f>VLOOKUP(G95,Orgenheter!$A$1:$B$213,2)</f>
        <v>NMD</v>
      </c>
      <c r="I95" t="str">
        <f>VLOOKUP(G95,Orgenheter!$A$1:$C$165,3,FALSE)</f>
        <v>TekNat</v>
      </c>
      <c r="J95" s="210">
        <f>IF(ISERROR(VLOOKUP(A95,'Totalt pivot'!$A$5:$C$397,2,FALSE)),0,(VLOOKUP(A95,'Totalt pivot'!$A$5:$C$397,2,FALSE)))</f>
        <v>5.75</v>
      </c>
      <c r="K95" s="210">
        <f t="shared" si="5"/>
        <v>1.1500000000000001</v>
      </c>
      <c r="L95" s="210">
        <f>IF(ISERROR(VLOOKUP(A95,'Totalt pivot'!$A$5:$C$397,3,FALSE)),0,(VLOOKUP(A95,'Totalt pivot'!$A$5:$C$397,3,FALSE)))</f>
        <v>4.8875000000000002</v>
      </c>
      <c r="M95" s="210">
        <f t="shared" si="6"/>
        <v>0.97750000000000004</v>
      </c>
      <c r="N95" s="26">
        <f>VLOOKUP(A95,kurspris!$A$1:$Q$809,15)</f>
        <v>23641</v>
      </c>
      <c r="O95" s="26">
        <f>VLOOKUP(A95,kurspris!$A$1:$Q$809,16)</f>
        <v>28786</v>
      </c>
      <c r="P95" s="26">
        <f>VLOOKUP(A95,kurspris!$A$1:$Q$809,17)</f>
        <v>5800</v>
      </c>
      <c r="Q95" s="26">
        <f t="shared" si="7"/>
        <v>55325.465000000004</v>
      </c>
      <c r="R95" s="26">
        <f>(Q95*Prislapp!$R$5)*-1</f>
        <v>-3872.7825500000008</v>
      </c>
      <c r="S95" s="26">
        <f t="shared" si="8"/>
        <v>51452.68245</v>
      </c>
      <c r="T95" s="26">
        <f t="shared" si="9"/>
        <v>6670.0000000000009</v>
      </c>
    </row>
    <row r="96" spans="1:23" x14ac:dyDescent="0.25">
      <c r="A96" s="31" t="s">
        <v>1733</v>
      </c>
      <c r="B96" t="str">
        <f>VLOOKUP(A96,kurspris!$A$1:$Q$809,2,FALSE)</f>
        <v>Läraryrkets dimensioner för förskoleklass och grundskolans årskurs 1-3 (VFU)</v>
      </c>
      <c r="C96" s="31">
        <v>1620</v>
      </c>
      <c r="D96" t="str">
        <f>VLOOKUP(C96,Orgenheter!$A$1:$B$213,2)</f>
        <v>Inst för språkstudier</v>
      </c>
      <c r="E96" t="str">
        <f>VLOOKUP(C96,Orgenheter!$A$1:$C$165,3,FALSE)</f>
        <v>Hum</v>
      </c>
      <c r="F96" s="294">
        <f>8/22.5</f>
        <v>0.35555555555555557</v>
      </c>
      <c r="G96">
        <f>VLOOKUP(A96,'Ansvar kurs'!$A$85:$C$976,2,FALSE)</f>
        <v>5740</v>
      </c>
      <c r="H96" t="str">
        <f>VLOOKUP(G96,Orgenheter!$A$1:$B$213,2)</f>
        <v>NMD</v>
      </c>
      <c r="I96" t="str">
        <f>VLOOKUP(G96,Orgenheter!$A$1:$C$165,3,FALSE)</f>
        <v>TekNat</v>
      </c>
      <c r="J96" s="210">
        <f>IF(ISERROR(VLOOKUP(A96,'Totalt pivot'!$A$5:$C$397,2,FALSE)),0,(VLOOKUP(A96,'Totalt pivot'!$A$5:$C$397,2,FALSE)))</f>
        <v>15</v>
      </c>
      <c r="K96" s="210">
        <f t="shared" si="5"/>
        <v>5.3333333333333339</v>
      </c>
      <c r="L96" s="210">
        <f>IF(ISERROR(VLOOKUP(A96,'Totalt pivot'!$A$5:$C$397,3,FALSE)),0,(VLOOKUP(A96,'Totalt pivot'!$A$5:$C$397,3,FALSE)))</f>
        <v>12.75</v>
      </c>
      <c r="M96" s="210">
        <f t="shared" si="6"/>
        <v>4.5333333333333332</v>
      </c>
      <c r="N96" s="26">
        <f>VLOOKUP(A96,kurspris!$A$1:$Q$809,15)</f>
        <v>21634</v>
      </c>
      <c r="O96" s="26">
        <f>VLOOKUP(A96,kurspris!$A$1:$Q$809,16)</f>
        <v>26986</v>
      </c>
      <c r="P96" s="26">
        <f>VLOOKUP(A96,kurspris!$A$1:$Q$809,17)</f>
        <v>3400</v>
      </c>
      <c r="Q96" s="26">
        <f t="shared" si="7"/>
        <v>237717.86666666667</v>
      </c>
      <c r="R96" s="26">
        <f>(Q96*Prislapp!$R$5)*-1</f>
        <v>-16640.250666666667</v>
      </c>
      <c r="S96" s="26">
        <f t="shared" si="8"/>
        <v>221077.61600000001</v>
      </c>
      <c r="T96" s="26">
        <f t="shared" si="9"/>
        <v>18133.333333333336</v>
      </c>
    </row>
    <row r="97" spans="1:24" x14ac:dyDescent="0.25">
      <c r="A97" s="31" t="s">
        <v>1733</v>
      </c>
      <c r="B97" t="str">
        <f>VLOOKUP(A97,kurspris!$A$1:$Q$809,2,FALSE)</f>
        <v>Läraryrkets dimensioner för förskoleklass och grundskolans årskurs 1-3 (VFU)</v>
      </c>
      <c r="C97" s="31">
        <v>2180</v>
      </c>
      <c r="D97" t="str">
        <f>VLOOKUP(C97,Orgenheter!$A$1:$B$213,2)</f>
        <v xml:space="preserve">Pedagogik                     </v>
      </c>
      <c r="E97" t="str">
        <f>VLOOKUP(C97,Orgenheter!$A$1:$C$165,3,FALSE)</f>
        <v>Sam</v>
      </c>
      <c r="F97" s="294">
        <f>3/22.5</f>
        <v>0.13333333333333333</v>
      </c>
      <c r="G97">
        <f>VLOOKUP(A97,'Ansvar kurs'!$A$85:$C$976,2,FALSE)</f>
        <v>5740</v>
      </c>
      <c r="H97" t="str">
        <f>VLOOKUP(G97,Orgenheter!$A$1:$B$213,2)</f>
        <v>NMD</v>
      </c>
      <c r="I97" t="str">
        <f>VLOOKUP(G97,Orgenheter!$A$1:$C$165,3,FALSE)</f>
        <v>TekNat</v>
      </c>
      <c r="J97" s="210">
        <f>IF(ISERROR(VLOOKUP(A97,'Totalt pivot'!$A$5:$C$397,2,FALSE)),0,(VLOOKUP(A97,'Totalt pivot'!$A$5:$C$397,2,FALSE)))</f>
        <v>15</v>
      </c>
      <c r="K97" s="210">
        <f t="shared" si="5"/>
        <v>2</v>
      </c>
      <c r="L97" s="210">
        <f>IF(ISERROR(VLOOKUP(A97,'Totalt pivot'!$A$5:$C$397,3,FALSE)),0,(VLOOKUP(A97,'Totalt pivot'!$A$5:$C$397,3,FALSE)))</f>
        <v>12.75</v>
      </c>
      <c r="M97" s="210">
        <f t="shared" si="6"/>
        <v>1.7</v>
      </c>
      <c r="N97" s="26">
        <f>VLOOKUP(A97,kurspris!$A$1:$Q$809,15)</f>
        <v>21634</v>
      </c>
      <c r="O97" s="26">
        <f>VLOOKUP(A97,kurspris!$A$1:$Q$809,16)</f>
        <v>26986</v>
      </c>
      <c r="P97" s="26">
        <f>VLOOKUP(A97,kurspris!$A$1:$Q$809,17)</f>
        <v>3400</v>
      </c>
      <c r="Q97" s="26">
        <f t="shared" si="7"/>
        <v>89144.2</v>
      </c>
      <c r="R97" s="26">
        <f>(Q97*Prislapp!$R$5)*-1</f>
        <v>-6240.0940000000001</v>
      </c>
      <c r="S97" s="26">
        <f t="shared" si="8"/>
        <v>82904.106</v>
      </c>
      <c r="T97" s="26">
        <f t="shared" si="9"/>
        <v>6800</v>
      </c>
    </row>
    <row r="98" spans="1:24" x14ac:dyDescent="0.25">
      <c r="A98" s="31" t="s">
        <v>1732</v>
      </c>
      <c r="B98" t="str">
        <f>VLOOKUP(A98,kurspris!$A$1:$Q$809,2,FALSE)</f>
        <v>Läraryrkets dimensioner för grundskolans årskurs 4-6 (VFU)</v>
      </c>
      <c r="C98" s="31">
        <v>1620</v>
      </c>
      <c r="D98" t="str">
        <f>VLOOKUP(C98,Orgenheter!$A$1:$B$213,2)</f>
        <v>Inst för språkstudier</v>
      </c>
      <c r="E98" t="str">
        <f>VLOOKUP(C98,Orgenheter!$A$1:$C$165,3,FALSE)</f>
        <v>Hum</v>
      </c>
      <c r="F98" s="294">
        <f>9/22.5</f>
        <v>0.4</v>
      </c>
      <c r="G98">
        <f>VLOOKUP(A98,'Ansvar kurs'!$A$85:$C$976,2,FALSE)</f>
        <v>5740</v>
      </c>
      <c r="H98" t="str">
        <f>VLOOKUP(G98,Orgenheter!$A$1:$B$213,2)</f>
        <v>NMD</v>
      </c>
      <c r="I98" t="str">
        <f>VLOOKUP(G98,Orgenheter!$A$1:$C$165,3,FALSE)</f>
        <v>TekNat</v>
      </c>
      <c r="J98" s="210">
        <f>IF(ISERROR(VLOOKUP(A98,'Totalt pivot'!$A$5:$C$397,2,FALSE)),0,(VLOOKUP(A98,'Totalt pivot'!$A$5:$C$397,2,FALSE)))</f>
        <v>9.375</v>
      </c>
      <c r="K98" s="210">
        <f t="shared" si="5"/>
        <v>3.75</v>
      </c>
      <c r="L98" s="210">
        <f>IF(ISERROR(VLOOKUP(A98,'Totalt pivot'!$A$5:$C$397,3,FALSE)),0,(VLOOKUP(A98,'Totalt pivot'!$A$5:$C$397,3,FALSE)))</f>
        <v>7.96875</v>
      </c>
      <c r="M98" s="210">
        <f t="shared" si="6"/>
        <v>3.1875</v>
      </c>
      <c r="N98" s="26">
        <f>VLOOKUP(A98,kurspris!$A$1:$Q$809,15)</f>
        <v>21634</v>
      </c>
      <c r="O98" s="26">
        <f>VLOOKUP(A98,kurspris!$A$1:$Q$809,16)</f>
        <v>26986</v>
      </c>
      <c r="P98" s="26">
        <f>VLOOKUP(A98,kurspris!$A$1:$Q$809,17)</f>
        <v>3400</v>
      </c>
      <c r="Q98" s="26">
        <f t="shared" si="7"/>
        <v>167145.375</v>
      </c>
      <c r="R98" s="26">
        <f>(Q98*Prislapp!$R$5)*-1</f>
        <v>-11700.17625</v>
      </c>
      <c r="S98" s="26">
        <f t="shared" si="8"/>
        <v>155445.19875000001</v>
      </c>
      <c r="T98" s="26">
        <f t="shared" si="9"/>
        <v>12750</v>
      </c>
    </row>
    <row r="99" spans="1:24" x14ac:dyDescent="0.25">
      <c r="A99" s="31" t="s">
        <v>1863</v>
      </c>
      <c r="B99" t="str">
        <f>VLOOKUP(A99,kurspris!$A$1:$Q$809,2,FALSE)</f>
        <v>Samhällsorientering för förskolan</v>
      </c>
      <c r="C99" s="31">
        <v>2180</v>
      </c>
      <c r="D99" t="str">
        <f>VLOOKUP(C99,Orgenheter!$A$1:$B$213,2)</f>
        <v xml:space="preserve">Pedagogik                     </v>
      </c>
      <c r="E99" t="str">
        <f>VLOOKUP(C99,Orgenheter!$A$1:$C$165,3,FALSE)</f>
        <v>Sam</v>
      </c>
      <c r="F99" s="294">
        <f>4.5/15</f>
        <v>0.3</v>
      </c>
      <c r="G99">
        <f>VLOOKUP(A99,'Ansvar kurs'!$A$85:$C$976,2,FALSE)</f>
        <v>2193</v>
      </c>
      <c r="H99" t="str">
        <f>VLOOKUP(G99,Orgenheter!$A$1:$B$213,2)</f>
        <v xml:space="preserve">TUV </v>
      </c>
      <c r="I99" t="str">
        <f>VLOOKUP(G99,Orgenheter!$A$1:$C$165,3,FALSE)</f>
        <v>Sam</v>
      </c>
      <c r="J99" s="210">
        <f>IF(ISERROR(VLOOKUP(A99,'Totalt pivot'!$A$5:$C$397,2,FALSE)),0,(VLOOKUP(A99,'Totalt pivot'!$A$5:$C$397,2,FALSE)))</f>
        <v>21.25</v>
      </c>
      <c r="K99" s="210">
        <f t="shared" si="5"/>
        <v>6.375</v>
      </c>
      <c r="L99" s="210">
        <f>IF(ISERROR(VLOOKUP(A99,'Totalt pivot'!$A$5:$C$397,3,FALSE)),0,(VLOOKUP(A99,'Totalt pivot'!$A$5:$C$397,3,FALSE)))</f>
        <v>18.0625</v>
      </c>
      <c r="M99" s="210">
        <f t="shared" si="6"/>
        <v>5.4187500000000002</v>
      </c>
      <c r="N99" s="26">
        <f>VLOOKUP(A99,kurspris!$A$1:$Q$809,15)</f>
        <v>18405</v>
      </c>
      <c r="O99" s="26">
        <f>VLOOKUP(A99,kurspris!$A$1:$Q$809,16)</f>
        <v>15773</v>
      </c>
      <c r="P99" s="26">
        <f>VLOOKUP(A99,kurspris!$A$1:$Q$809,17)</f>
        <v>5800</v>
      </c>
      <c r="Q99" s="26">
        <f t="shared" si="7"/>
        <v>202801.81875000001</v>
      </c>
      <c r="R99" s="26">
        <f>(Q99*Prislapp!$R$5)*-1</f>
        <v>-14196.127312500003</v>
      </c>
      <c r="S99" s="26">
        <f t="shared" si="8"/>
        <v>188605.69143750001</v>
      </c>
      <c r="T99" s="26">
        <f t="shared" si="9"/>
        <v>36975</v>
      </c>
    </row>
    <row r="100" spans="1:24" x14ac:dyDescent="0.25">
      <c r="A100" s="31" t="s">
        <v>1863</v>
      </c>
      <c r="B100" t="str">
        <f>VLOOKUP(A100,kurspris!$A$1:$Q$809,2,FALSE)</f>
        <v>Samhällsorientering för förskolan</v>
      </c>
      <c r="C100" s="31">
        <v>5740</v>
      </c>
      <c r="D100" t="str">
        <f>VLOOKUP(C100,Orgenheter!$A$1:$B$213,2)</f>
        <v>NMD</v>
      </c>
      <c r="E100" t="str">
        <f>VLOOKUP(C100,Orgenheter!$A$1:$C$165,3,FALSE)</f>
        <v>TekNat</v>
      </c>
      <c r="F100" s="294">
        <f>2/15</f>
        <v>0.13333333333333333</v>
      </c>
      <c r="G100">
        <f>VLOOKUP(A100,'Ansvar kurs'!$A$85:$C$976,2,FALSE)</f>
        <v>2193</v>
      </c>
      <c r="H100" t="str">
        <f>VLOOKUP(G100,Orgenheter!$A$1:$B$213,2)</f>
        <v xml:space="preserve">TUV </v>
      </c>
      <c r="I100" t="str">
        <f>VLOOKUP(G100,Orgenheter!$A$1:$C$165,3,FALSE)</f>
        <v>Sam</v>
      </c>
      <c r="J100" s="210">
        <f>IF(ISERROR(VLOOKUP(A100,'Totalt pivot'!$A$5:$C$397,2,FALSE)),0,(VLOOKUP(A100,'Totalt pivot'!$A$5:$C$397,2,FALSE)))</f>
        <v>21.25</v>
      </c>
      <c r="K100" s="210">
        <f t="shared" si="5"/>
        <v>2.8333333333333335</v>
      </c>
      <c r="L100" s="210">
        <f>IF(ISERROR(VLOOKUP(A100,'Totalt pivot'!$A$5:$C$397,3,FALSE)),0,(VLOOKUP(A100,'Totalt pivot'!$A$5:$C$397,3,FALSE)))</f>
        <v>18.0625</v>
      </c>
      <c r="M100" s="210">
        <f t="shared" si="6"/>
        <v>2.4083333333333332</v>
      </c>
      <c r="N100" s="26">
        <f>VLOOKUP(A100,kurspris!$A$1:$Q$809,15)</f>
        <v>18405</v>
      </c>
      <c r="O100" s="26">
        <f>VLOOKUP(A100,kurspris!$A$1:$Q$809,16)</f>
        <v>15773</v>
      </c>
      <c r="P100" s="26">
        <f>VLOOKUP(A100,kurspris!$A$1:$Q$809,17)</f>
        <v>5800</v>
      </c>
      <c r="Q100" s="26">
        <f t="shared" si="7"/>
        <v>90134.141666666663</v>
      </c>
      <c r="R100" s="26">
        <f>(Q100*Prislapp!$R$5)*-1</f>
        <v>-6309.389916666667</v>
      </c>
      <c r="S100" s="26">
        <f t="shared" si="8"/>
        <v>83824.751749999996</v>
      </c>
      <c r="T100" s="26">
        <f t="shared" si="9"/>
        <v>16433.333333333336</v>
      </c>
    </row>
    <row r="101" spans="1:24" x14ac:dyDescent="0.25">
      <c r="A101" s="31" t="s">
        <v>1864</v>
      </c>
      <c r="B101" t="str">
        <f>VLOOKUP(A101,kurspris!$A$1:$Q$809,2,FALSE)</f>
        <v>Profession och vetenskap för förskolan (UK)</v>
      </c>
      <c r="C101" s="31">
        <v>2180</v>
      </c>
      <c r="D101" t="str">
        <f>VLOOKUP(C101,Orgenheter!$A$1:$B$213,2)</f>
        <v xml:space="preserve">Pedagogik                     </v>
      </c>
      <c r="E101" t="str">
        <f>VLOOKUP(C101,Orgenheter!$A$1:$C$165,3,FALSE)</f>
        <v>Sam</v>
      </c>
      <c r="F101" s="294">
        <f>3.5/7.5</f>
        <v>0.46666666666666667</v>
      </c>
      <c r="G101">
        <f>VLOOKUP(A101,'Ansvar kurs'!$A$85:$C$976,2,FALSE)</f>
        <v>2193</v>
      </c>
      <c r="H101" t="str">
        <f>VLOOKUP(G101,Orgenheter!$A$1:$B$213,2)</f>
        <v xml:space="preserve">TUV </v>
      </c>
      <c r="I101" t="str">
        <f>VLOOKUP(G101,Orgenheter!$A$1:$C$165,3,FALSE)</f>
        <v>Sam</v>
      </c>
      <c r="J101" s="210">
        <f>IF(ISERROR(VLOOKUP(A101,'Totalt pivot'!$A$5:$C$397,2,FALSE)),0,(VLOOKUP(A101,'Totalt pivot'!$A$5:$C$397,2,FALSE)))</f>
        <v>10.625</v>
      </c>
      <c r="K101" s="210">
        <f t="shared" si="5"/>
        <v>4.958333333333333</v>
      </c>
      <c r="L101" s="210">
        <f>IF(ISERROR(VLOOKUP(A101,'Totalt pivot'!$A$5:$C$397,3,FALSE)),0,(VLOOKUP(A101,'Totalt pivot'!$A$5:$C$397,3,FALSE)))</f>
        <v>9.03125</v>
      </c>
      <c r="M101" s="210">
        <f t="shared" si="6"/>
        <v>4.2145833333333336</v>
      </c>
      <c r="N101" s="26">
        <f>VLOOKUP(A101,kurspris!$A$1:$Q$809,15)</f>
        <v>23641</v>
      </c>
      <c r="O101" s="26">
        <f>VLOOKUP(A101,kurspris!$A$1:$Q$809,16)</f>
        <v>28786</v>
      </c>
      <c r="P101" s="26">
        <f>VLOOKUP(A101,kurspris!$A$1:$Q$809,17)</f>
        <v>5800</v>
      </c>
      <c r="Q101" s="26">
        <f t="shared" si="7"/>
        <v>238540.95416666666</v>
      </c>
      <c r="R101" s="26">
        <f>(Q101*Prislapp!$R$5)*-1</f>
        <v>-16697.866791666667</v>
      </c>
      <c r="S101" s="26">
        <f t="shared" si="8"/>
        <v>221843.087375</v>
      </c>
      <c r="T101" s="26">
        <f t="shared" si="9"/>
        <v>28758.333333333332</v>
      </c>
      <c r="V101" t="s">
        <v>1922</v>
      </c>
    </row>
    <row r="102" spans="1:24" x14ac:dyDescent="0.25">
      <c r="A102" s="31" t="s">
        <v>1865</v>
      </c>
      <c r="B102" t="str">
        <f>VLOOKUP(A102,kurspris!$A$1:$Q$809,2,FALSE)</f>
        <v>Profession och vetenskap för fritidshem (UK)</v>
      </c>
      <c r="C102" s="31">
        <v>2180</v>
      </c>
      <c r="D102" t="str">
        <f>VLOOKUP(C102,Orgenheter!$A$1:$B$213,2)</f>
        <v xml:space="preserve">Pedagogik                     </v>
      </c>
      <c r="E102" t="str">
        <f>VLOOKUP(C102,Orgenheter!$A$1:$C$165,3,FALSE)</f>
        <v>Sam</v>
      </c>
      <c r="F102" s="294">
        <f>3.5/7.5</f>
        <v>0.46666666666666667</v>
      </c>
      <c r="G102">
        <f>VLOOKUP(A102,'Ansvar kurs'!$A$85:$C$976,2,FALSE)</f>
        <v>2193</v>
      </c>
      <c r="H102" t="str">
        <f>VLOOKUP(G102,Orgenheter!$A$1:$B$213,2)</f>
        <v xml:space="preserve">TUV </v>
      </c>
      <c r="I102" t="str">
        <f>VLOOKUP(G102,Orgenheter!$A$1:$C$165,3,FALSE)</f>
        <v>Sam</v>
      </c>
      <c r="J102" s="210">
        <f>IF(ISERROR(VLOOKUP(A102,'Totalt pivot'!$A$5:$C$397,2,FALSE)),0,(VLOOKUP(A102,'Totalt pivot'!$A$5:$C$397,2,FALSE)))</f>
        <v>2.75</v>
      </c>
      <c r="K102" s="210">
        <f t="shared" si="5"/>
        <v>1.2833333333333334</v>
      </c>
      <c r="L102" s="210">
        <f>IF(ISERROR(VLOOKUP(A102,'Totalt pivot'!$A$5:$C$397,3,FALSE)),0,(VLOOKUP(A102,'Totalt pivot'!$A$5:$C$397,3,FALSE)))</f>
        <v>2.3374999999999999</v>
      </c>
      <c r="M102" s="210">
        <f t="shared" si="6"/>
        <v>1.0908333333333333</v>
      </c>
      <c r="N102" s="26">
        <f>VLOOKUP(A102,kurspris!$A$1:$Q$809,15)</f>
        <v>23641</v>
      </c>
      <c r="O102" s="26">
        <f>VLOOKUP(A102,kurspris!$A$1:$Q$809,16)</f>
        <v>28786</v>
      </c>
      <c r="P102" s="26">
        <f>VLOOKUP(A102,kurspris!$A$1:$Q$809,17)</f>
        <v>5800</v>
      </c>
      <c r="Q102" s="26">
        <f t="shared" si="7"/>
        <v>61740.011666666673</v>
      </c>
      <c r="R102" s="26">
        <f>(Q102*Prislapp!$R$5)*-1</f>
        <v>-4321.8008166666677</v>
      </c>
      <c r="S102" s="26">
        <f t="shared" si="8"/>
        <v>57418.210850000003</v>
      </c>
      <c r="T102" s="26">
        <f t="shared" si="9"/>
        <v>7443.3333333333339</v>
      </c>
      <c r="V102" t="s">
        <v>1922</v>
      </c>
    </row>
    <row r="103" spans="1:24" x14ac:dyDescent="0.25">
      <c r="A103" s="62" t="s">
        <v>1887</v>
      </c>
      <c r="B103" t="str">
        <f>VLOOKUP(A103,kurspris!$A$1:$Q$809,2,FALSE)</f>
        <v>Grundlärare som profession (UK)</v>
      </c>
      <c r="C103" s="31">
        <v>1620</v>
      </c>
      <c r="D103" t="str">
        <f>VLOOKUP(C103,Orgenheter!$A$1:$B$213,2)</f>
        <v>Inst för språkstudier</v>
      </c>
      <c r="E103" t="str">
        <f>VLOOKUP(C103,Orgenheter!$A$1:$C$165,3,FALSE)</f>
        <v>Hum</v>
      </c>
      <c r="F103" s="294">
        <f>2.5/6</f>
        <v>0.41666666666666669</v>
      </c>
      <c r="G103">
        <f>VLOOKUP(A103,'Ansvar kurs'!$A$85:$C$976,2,FALSE)</f>
        <v>5740</v>
      </c>
      <c r="H103" t="str">
        <f>VLOOKUP(G103,Orgenheter!$A$1:$B$213,2)</f>
        <v>NMD</v>
      </c>
      <c r="I103" t="str">
        <f>VLOOKUP(G103,Orgenheter!$A$1:$C$165,3,FALSE)</f>
        <v>TekNat</v>
      </c>
      <c r="J103" s="210">
        <f>IF(ISERROR(VLOOKUP(A103,'Totalt pivot'!$A$5:$C$397,2,FALSE)),0,(VLOOKUP(A103,'Totalt pivot'!$A$5:$C$397,2,FALSE)))</f>
        <v>11.3</v>
      </c>
      <c r="K103" s="210">
        <f t="shared" si="5"/>
        <v>4.7083333333333339</v>
      </c>
      <c r="L103" s="210">
        <f>IF(ISERROR(VLOOKUP(A103,'Totalt pivot'!$A$5:$C$397,3,FALSE)),0,(VLOOKUP(A103,'Totalt pivot'!$A$5:$C$397,3,FALSE)))</f>
        <v>9.6050000000000004</v>
      </c>
      <c r="M103" s="210">
        <f t="shared" si="6"/>
        <v>4.0020833333333341</v>
      </c>
      <c r="N103" s="26">
        <f>VLOOKUP(A103,kurspris!$A$1:$Q$809,15)</f>
        <v>23641</v>
      </c>
      <c r="O103" s="26">
        <f>VLOOKUP(A103,kurspris!$A$1:$Q$809,16)</f>
        <v>28786</v>
      </c>
      <c r="P103" s="26">
        <f>VLOOKUP(A103,kurspris!$A$1:$Q$809,17)</f>
        <v>5800</v>
      </c>
      <c r="Q103" s="26">
        <f t="shared" si="7"/>
        <v>226513.6791666667</v>
      </c>
      <c r="R103" s="26">
        <f>(Q103*Prislapp!$R$5)*-1</f>
        <v>-15855.95754166667</v>
      </c>
      <c r="S103" s="26">
        <f t="shared" si="8"/>
        <v>210657.72162500003</v>
      </c>
      <c r="T103" s="26">
        <f t="shared" si="9"/>
        <v>27308.333333333336</v>
      </c>
      <c r="V103" t="s">
        <v>1131</v>
      </c>
    </row>
    <row r="104" spans="1:24" x14ac:dyDescent="0.25">
      <c r="A104" s="62" t="s">
        <v>1887</v>
      </c>
      <c r="B104" t="str">
        <f>VLOOKUP(A104,kurspris!$A$1:$Q$809,2,FALSE)</f>
        <v>Grundlärare som profession (UK)</v>
      </c>
      <c r="C104" s="31">
        <v>1650</v>
      </c>
      <c r="D104" t="str">
        <f>VLOOKUP(C104,Orgenheter!$A$1:$B$213,2)</f>
        <v xml:space="preserve">Estetiska ämnen               </v>
      </c>
      <c r="E104" t="str">
        <f>VLOOKUP(C104,Orgenheter!$A$1:$C$165,3,FALSE)</f>
        <v>Hum</v>
      </c>
      <c r="F104" s="294">
        <f>1/6</f>
        <v>0.16666666666666666</v>
      </c>
      <c r="G104">
        <f>VLOOKUP(A104,'Ansvar kurs'!$A$85:$C$976,2,FALSE)</f>
        <v>5740</v>
      </c>
      <c r="H104" t="str">
        <f>VLOOKUP(G104,Orgenheter!$A$1:$B$213,2)</f>
        <v>NMD</v>
      </c>
      <c r="I104" t="str">
        <f>VLOOKUP(G104,Orgenheter!$A$1:$C$165,3,FALSE)</f>
        <v>TekNat</v>
      </c>
      <c r="J104" s="210">
        <f>IF(ISERROR(VLOOKUP(A104,'Totalt pivot'!$A$5:$C$397,2,FALSE)),0,(VLOOKUP(A104,'Totalt pivot'!$A$5:$C$397,2,FALSE)))</f>
        <v>11.3</v>
      </c>
      <c r="K104" s="210">
        <f t="shared" si="5"/>
        <v>1.8833333333333333</v>
      </c>
      <c r="L104" s="210">
        <f>IF(ISERROR(VLOOKUP(A104,'Totalt pivot'!$A$5:$C$397,3,FALSE)),0,(VLOOKUP(A104,'Totalt pivot'!$A$5:$C$397,3,FALSE)))</f>
        <v>9.6050000000000004</v>
      </c>
      <c r="M104" s="210">
        <f t="shared" si="6"/>
        <v>1.6008333333333333</v>
      </c>
      <c r="N104" s="26">
        <f>VLOOKUP(A104,kurspris!$A$1:$Q$809,15)</f>
        <v>23641</v>
      </c>
      <c r="O104" s="26">
        <f>VLOOKUP(A104,kurspris!$A$1:$Q$809,16)</f>
        <v>28786</v>
      </c>
      <c r="P104" s="26">
        <f>VLOOKUP(A104,kurspris!$A$1:$Q$809,17)</f>
        <v>5800</v>
      </c>
      <c r="Q104" s="26">
        <f t="shared" si="7"/>
        <v>90605.471666666665</v>
      </c>
      <c r="R104" s="26">
        <f>(Q104*Prislapp!$R$5)*-1</f>
        <v>-6342.3830166666676</v>
      </c>
      <c r="S104" s="26">
        <f t="shared" si="8"/>
        <v>84263.088649999991</v>
      </c>
      <c r="T104" s="26">
        <f t="shared" si="9"/>
        <v>10923.333333333334</v>
      </c>
      <c r="V104" t="s">
        <v>1131</v>
      </c>
    </row>
    <row r="105" spans="1:24" x14ac:dyDescent="0.25">
      <c r="A105" s="31" t="s">
        <v>1885</v>
      </c>
      <c r="B105" t="str">
        <f>VLOOKUP(A105,kurspris!$A$1:$Q$809,2,FALSE)</f>
        <v>Profession och vetenskap för åk 4-6 (UK III)</v>
      </c>
      <c r="C105" s="31">
        <v>1620</v>
      </c>
      <c r="D105" t="str">
        <f>VLOOKUP(C105,Orgenheter!$A$1:$B$213,2)</f>
        <v>Inst för språkstudier</v>
      </c>
      <c r="E105" t="str">
        <f>VLOOKUP(C105,Orgenheter!$A$1:$C$165,3,FALSE)</f>
        <v>Hum</v>
      </c>
      <c r="F105" s="294">
        <f>3/7.5</f>
        <v>0.4</v>
      </c>
      <c r="G105">
        <f>VLOOKUP(A105,'Ansvar kurs'!$A$85:$C$976,2,FALSE)</f>
        <v>5740</v>
      </c>
      <c r="H105" t="str">
        <f>VLOOKUP(G105,Orgenheter!$A$1:$B$213,2)</f>
        <v>NMD</v>
      </c>
      <c r="I105" t="str">
        <f>VLOOKUP(G105,Orgenheter!$A$1:$C$165,3,FALSE)</f>
        <v>TekNat</v>
      </c>
      <c r="J105" s="210">
        <f>IF(ISERROR(VLOOKUP(A105,'Totalt pivot'!$A$5:$C$397,2,FALSE)),0,(VLOOKUP(A105,'Totalt pivot'!$A$5:$C$397,2,FALSE)))</f>
        <v>3.375</v>
      </c>
      <c r="K105" s="210">
        <f t="shared" si="5"/>
        <v>1.35</v>
      </c>
      <c r="L105" s="210">
        <f>IF(ISERROR(VLOOKUP(A105,'Totalt pivot'!$A$5:$C$397,3,FALSE)),0,(VLOOKUP(A105,'Totalt pivot'!$A$5:$C$397,3,FALSE)))</f>
        <v>2.8687499999999999</v>
      </c>
      <c r="M105" s="210">
        <f t="shared" si="6"/>
        <v>1.1475</v>
      </c>
      <c r="N105" s="26">
        <f>VLOOKUP(A105,kurspris!$A$1:$Q$809,15)</f>
        <v>23641</v>
      </c>
      <c r="O105" s="26">
        <f>VLOOKUP(A105,kurspris!$A$1:$Q$809,16)</f>
        <v>28786</v>
      </c>
      <c r="P105" s="26">
        <f>VLOOKUP(A105,kurspris!$A$1:$Q$809,17)</f>
        <v>5800</v>
      </c>
      <c r="Q105" s="26">
        <f t="shared" si="7"/>
        <v>64947.285000000003</v>
      </c>
      <c r="R105" s="26">
        <f>(Q105*Prislapp!$R$5)*-1</f>
        <v>-4546.3099500000008</v>
      </c>
      <c r="S105" s="26">
        <f t="shared" si="8"/>
        <v>60400.975050000001</v>
      </c>
      <c r="T105" s="26">
        <f t="shared" si="9"/>
        <v>7830.0000000000009</v>
      </c>
      <c r="V105" s="39" t="s">
        <v>991</v>
      </c>
      <c r="W105">
        <v>141004</v>
      </c>
    </row>
    <row r="106" spans="1:24" x14ac:dyDescent="0.25">
      <c r="A106" s="31" t="s">
        <v>1886</v>
      </c>
      <c r="B106" t="str">
        <f>VLOOKUP(A106,kurspris!$A$1:$Q$809,2,FALSE)</f>
        <v>Profession och vetenskap för F-3 (UK III)</v>
      </c>
      <c r="C106" s="31">
        <v>1620</v>
      </c>
      <c r="D106" t="str">
        <f>VLOOKUP(C106,Orgenheter!$A$1:$B$213,2)</f>
        <v>Inst för språkstudier</v>
      </c>
      <c r="E106" t="str">
        <f>VLOOKUP(C106,Orgenheter!$A$1:$C$165,3,FALSE)</f>
        <v>Hum</v>
      </c>
      <c r="F106" s="294">
        <f>3/7.5</f>
        <v>0.4</v>
      </c>
      <c r="G106">
        <f>VLOOKUP(A106,'Ansvar kurs'!$A$85:$C$976,2,FALSE)</f>
        <v>5740</v>
      </c>
      <c r="H106" t="str">
        <f>VLOOKUP(G106,Orgenheter!$A$1:$B$213,2)</f>
        <v>NMD</v>
      </c>
      <c r="I106" t="str">
        <f>VLOOKUP(G106,Orgenheter!$A$1:$C$165,3,FALSE)</f>
        <v>TekNat</v>
      </c>
      <c r="J106" s="210">
        <f>IF(ISERROR(VLOOKUP(A106,'Totalt pivot'!$A$5:$C$397,2,FALSE)),0,(VLOOKUP(A106,'Totalt pivot'!$A$5:$C$397,2,FALSE)))</f>
        <v>6</v>
      </c>
      <c r="K106" s="210">
        <f t="shared" si="5"/>
        <v>2.4000000000000004</v>
      </c>
      <c r="L106" s="210">
        <f>IF(ISERROR(VLOOKUP(A106,'Totalt pivot'!$A$5:$C$397,3,FALSE)),0,(VLOOKUP(A106,'Totalt pivot'!$A$5:$C$397,3,FALSE)))</f>
        <v>5.0999999999999996</v>
      </c>
      <c r="M106" s="210">
        <f t="shared" si="6"/>
        <v>2.04</v>
      </c>
      <c r="N106" s="26">
        <f>VLOOKUP(A106,kurspris!$A$1:$Q$809,15)</f>
        <v>23641</v>
      </c>
      <c r="O106" s="26">
        <f>VLOOKUP(A106,kurspris!$A$1:$Q$809,16)</f>
        <v>28786</v>
      </c>
      <c r="P106" s="26">
        <f>VLOOKUP(A106,kurspris!$A$1:$Q$809,17)</f>
        <v>5800</v>
      </c>
      <c r="Q106" s="26">
        <f t="shared" si="7"/>
        <v>115461.84000000001</v>
      </c>
      <c r="R106" s="26">
        <f>(Q106*Prislapp!$R$5)*-1</f>
        <v>-8082.3288000000011</v>
      </c>
      <c r="S106" s="26">
        <f t="shared" si="8"/>
        <v>107379.51120000001</v>
      </c>
      <c r="T106" s="26">
        <f t="shared" si="9"/>
        <v>13920.000000000002</v>
      </c>
      <c r="V106" s="39" t="s">
        <v>991</v>
      </c>
      <c r="W106">
        <v>141004</v>
      </c>
    </row>
    <row r="107" spans="1:24" x14ac:dyDescent="0.25">
      <c r="A107" s="62" t="s">
        <v>1889</v>
      </c>
      <c r="B107" t="str">
        <f>VLOOKUP(A107,kurspris!$A$1:$Q$809,2,FALSE)</f>
        <v>Att vara grundlärare (VFU)</v>
      </c>
      <c r="C107" s="31">
        <v>1620</v>
      </c>
      <c r="D107" t="str">
        <f>VLOOKUP(C107,Orgenheter!$A$1:$B$213,2)</f>
        <v>Inst för språkstudier</v>
      </c>
      <c r="E107" t="str">
        <f>VLOOKUP(C107,Orgenheter!$A$1:$C$165,3,FALSE)</f>
        <v>Hum</v>
      </c>
      <c r="F107" s="294">
        <f>0.5/1.5</f>
        <v>0.33333333333333331</v>
      </c>
      <c r="G107">
        <f>VLOOKUP(A107,'Ansvar kurs'!$A$85:$C$976,2,FALSE)</f>
        <v>5740</v>
      </c>
      <c r="H107" t="str">
        <f>VLOOKUP(G107,Orgenheter!$A$1:$B$213,2)</f>
        <v>NMD</v>
      </c>
      <c r="I107" t="str">
        <f>VLOOKUP(G107,Orgenheter!$A$1:$C$165,3,FALSE)</f>
        <v>TekNat</v>
      </c>
      <c r="J107" s="210">
        <f>IF(ISERROR(VLOOKUP(A107,'Totalt pivot'!$A$5:$C$397,2,FALSE)),0,(VLOOKUP(A107,'Totalt pivot'!$A$5:$C$397,2,FALSE)))</f>
        <v>2.5750000000000002</v>
      </c>
      <c r="K107" s="210">
        <f t="shared" si="5"/>
        <v>0.85833333333333339</v>
      </c>
      <c r="L107" s="210">
        <f>IF(ISERROR(VLOOKUP(A107,'Totalt pivot'!$A$5:$C$397,3,FALSE)),0,(VLOOKUP(A107,'Totalt pivot'!$A$5:$C$397,3,FALSE)))</f>
        <v>2.1887499999999998</v>
      </c>
      <c r="M107" s="210">
        <f t="shared" si="6"/>
        <v>0.72958333333333325</v>
      </c>
      <c r="N107" s="26">
        <f>VLOOKUP(A107,kurspris!$A$1:$Q$809,15)</f>
        <v>21634</v>
      </c>
      <c r="O107" s="26">
        <f>VLOOKUP(A107,kurspris!$A$1:$Q$809,16)</f>
        <v>26986</v>
      </c>
      <c r="P107" s="26">
        <f>VLOOKUP(A107,kurspris!$A$1:$Q$809,17)</f>
        <v>3400</v>
      </c>
      <c r="Q107" s="26">
        <f t="shared" si="7"/>
        <v>38257.719166666662</v>
      </c>
      <c r="R107" s="26">
        <f>(Q107*Prislapp!$R$5)*-1</f>
        <v>-2678.0403416666668</v>
      </c>
      <c r="S107" s="26">
        <f t="shared" si="8"/>
        <v>35579.678824999995</v>
      </c>
      <c r="T107" s="26">
        <f t="shared" si="9"/>
        <v>2918.3333333333335</v>
      </c>
      <c r="V107" t="s">
        <v>1465</v>
      </c>
    </row>
    <row r="108" spans="1:24" x14ac:dyDescent="0.25">
      <c r="A108" s="62" t="s">
        <v>1889</v>
      </c>
      <c r="B108" t="str">
        <f>VLOOKUP(A108,kurspris!$A$1:$Q$809,2,FALSE)</f>
        <v>Att vara grundlärare (VFU)</v>
      </c>
      <c r="C108" s="31">
        <v>1650</v>
      </c>
      <c r="D108" t="str">
        <f>VLOOKUP(C108,Orgenheter!$A$1:$B$213,2)</f>
        <v xml:space="preserve">Estetiska ämnen               </v>
      </c>
      <c r="E108" t="str">
        <f>VLOOKUP(C108,Orgenheter!$A$1:$C$165,3,FALSE)</f>
        <v>Hum</v>
      </c>
      <c r="F108" s="294">
        <f>0.5/1.5</f>
        <v>0.33333333333333331</v>
      </c>
      <c r="G108">
        <f>VLOOKUP(A108,'Ansvar kurs'!$A$85:$C$976,2,FALSE)</f>
        <v>5740</v>
      </c>
      <c r="H108" t="str">
        <f>VLOOKUP(G108,Orgenheter!$A$1:$B$213,2)</f>
        <v>NMD</v>
      </c>
      <c r="I108" t="str">
        <f>VLOOKUP(G108,Orgenheter!$A$1:$C$165,3,FALSE)</f>
        <v>TekNat</v>
      </c>
      <c r="J108" s="210">
        <f>IF(ISERROR(VLOOKUP(A108,'Totalt pivot'!$A$5:$C$397,2,FALSE)),0,(VLOOKUP(A108,'Totalt pivot'!$A$5:$C$397,2,FALSE)))</f>
        <v>2.5750000000000002</v>
      </c>
      <c r="K108" s="210">
        <f t="shared" si="5"/>
        <v>0.85833333333333339</v>
      </c>
      <c r="L108" s="210">
        <f>IF(ISERROR(VLOOKUP(A108,'Totalt pivot'!$A$5:$C$397,3,FALSE)),0,(VLOOKUP(A108,'Totalt pivot'!$A$5:$C$397,3,FALSE)))</f>
        <v>2.1887499999999998</v>
      </c>
      <c r="M108" s="210">
        <f t="shared" si="6"/>
        <v>0.72958333333333325</v>
      </c>
      <c r="N108" s="26">
        <f>VLOOKUP(A108,kurspris!$A$1:$Q$809,15)</f>
        <v>21634</v>
      </c>
      <c r="O108" s="26">
        <f>VLOOKUP(A108,kurspris!$A$1:$Q$809,16)</f>
        <v>26986</v>
      </c>
      <c r="P108" s="26">
        <f>VLOOKUP(A108,kurspris!$A$1:$Q$809,17)</f>
        <v>3400</v>
      </c>
      <c r="Q108" s="26">
        <f t="shared" si="7"/>
        <v>38257.719166666662</v>
      </c>
      <c r="R108" s="26">
        <f>(Q108*Prislapp!$R$5)*-1</f>
        <v>-2678.0403416666668</v>
      </c>
      <c r="S108" s="26">
        <f t="shared" si="8"/>
        <v>35579.678824999995</v>
      </c>
      <c r="T108" s="26">
        <f t="shared" si="9"/>
        <v>2918.3333333333335</v>
      </c>
      <c r="V108" t="s">
        <v>1465</v>
      </c>
    </row>
    <row r="109" spans="1:24" x14ac:dyDescent="0.25">
      <c r="A109" s="62" t="s">
        <v>2085</v>
      </c>
      <c r="B109" t="str">
        <f>VLOOKUP(A109,kurspris!$A$1:$Q$809,2,FALSE)</f>
        <v>Språk och matematik i ett specialpedagogiskt perspektiv</v>
      </c>
      <c r="C109" s="31">
        <v>1620</v>
      </c>
      <c r="D109" t="str">
        <f>VLOOKUP(C109,Orgenheter!$A$1:$B$213,2)</f>
        <v>Inst för språkstudier</v>
      </c>
      <c r="E109" t="str">
        <f>VLOOKUP(C109,Orgenheter!$A$1:$C$165,3,FALSE)</f>
        <v>Hum</v>
      </c>
      <c r="F109" s="294">
        <f>3.5/7.5</f>
        <v>0.46666666666666667</v>
      </c>
      <c r="G109">
        <f>VLOOKUP(A109,'Ansvar kurs'!$A$85:$C$976,2,FALSE)</f>
        <v>5740</v>
      </c>
      <c r="H109" t="str">
        <f>VLOOKUP(G109,Orgenheter!$A$1:$B$213,2)</f>
        <v>NMD</v>
      </c>
      <c r="I109" t="str">
        <f>VLOOKUP(G109,Orgenheter!$A$1:$C$165,3,FALSE)</f>
        <v>TekNat</v>
      </c>
      <c r="J109" s="210">
        <f>IF(ISERROR(VLOOKUP(A109,'Totalt pivot'!$A$5:$C$397,2,FALSE)),0,(VLOOKUP(A109,'Totalt pivot'!$A$5:$C$397,2,FALSE)))</f>
        <v>4.75</v>
      </c>
      <c r="K109" s="210">
        <f t="shared" si="5"/>
        <v>2.2166666666666668</v>
      </c>
      <c r="L109" s="210">
        <f>IF(ISERROR(VLOOKUP(A109,'Totalt pivot'!$A$5:$C$397,3,FALSE)),0,(VLOOKUP(A109,'Totalt pivot'!$A$5:$C$397,3,FALSE)))</f>
        <v>4.0374999999999996</v>
      </c>
      <c r="M109" s="210">
        <f t="shared" si="6"/>
        <v>1.8841666666666665</v>
      </c>
      <c r="N109" s="26">
        <f>VLOOKUP(A109,kurspris!$A$1:$Q$809,15)</f>
        <v>19473</v>
      </c>
      <c r="O109" s="26">
        <f>VLOOKUP(A109,kurspris!$A$1:$Q$809,16)</f>
        <v>34806</v>
      </c>
      <c r="P109" s="26">
        <f>VLOOKUP(A109,kurspris!$A$1:$Q$809,17)</f>
        <v>21800</v>
      </c>
      <c r="Q109" s="26">
        <f t="shared" si="7"/>
        <v>108745.45499999999</v>
      </c>
      <c r="R109" s="26">
        <f>(Q109*Prislapp!$R$5)*-1</f>
        <v>-7612.1818499999999</v>
      </c>
      <c r="S109" s="26">
        <f t="shared" si="8"/>
        <v>101133.27314999999</v>
      </c>
      <c r="T109" s="26">
        <f t="shared" si="9"/>
        <v>48323.333333333336</v>
      </c>
    </row>
    <row r="110" spans="1:24" x14ac:dyDescent="0.25">
      <c r="A110" s="62" t="s">
        <v>600</v>
      </c>
      <c r="B110" t="str">
        <f>VLOOKUP(A110,kurspris!$A$1:$Q$809,2,FALSE)</f>
        <v>Pedagogiskt ledarskap, sociala relationer och konflikthantering</v>
      </c>
      <c r="C110" s="31">
        <v>2193</v>
      </c>
      <c r="D110" t="str">
        <f>VLOOKUP(C110,Orgenheter!$A$1:$B$213,2)</f>
        <v xml:space="preserve">TUV </v>
      </c>
      <c r="E110" t="str">
        <f>VLOOKUP(C110,Orgenheter!$A$1:$C$165,3,FALSE)</f>
        <v>Sam</v>
      </c>
      <c r="F110" s="295">
        <f>4/10</f>
        <v>0.4</v>
      </c>
      <c r="G110">
        <f>VLOOKUP(A110,'Ansvar kurs'!$A$85:$C$976,2,FALSE)</f>
        <v>2180</v>
      </c>
      <c r="H110" t="str">
        <f>VLOOKUP(G110,Orgenheter!$A$1:$B$213,2)</f>
        <v xml:space="preserve">Pedagogik                     </v>
      </c>
      <c r="I110" t="str">
        <f>VLOOKUP(G110,Orgenheter!$A$1:$C$165,3,FALSE)</f>
        <v>Sam</v>
      </c>
      <c r="J110" s="210">
        <f>IF(ISERROR(VLOOKUP(A110,'Totalt pivot'!$A$5:$C$397,2,FALSE)),0,(VLOOKUP(A110,'Totalt pivot'!$A$5:$C$397,2,FALSE)))</f>
        <v>11</v>
      </c>
      <c r="K110" s="210">
        <f t="shared" si="5"/>
        <v>4.4000000000000004</v>
      </c>
      <c r="L110" s="210">
        <f>IF(ISERROR(VLOOKUP(A110,'Totalt pivot'!$A$5:$C$397,3,FALSE)),0,(VLOOKUP(A110,'Totalt pivot'!$A$5:$C$397,3,FALSE)))</f>
        <v>9.35</v>
      </c>
      <c r="M110" s="210">
        <f t="shared" si="6"/>
        <v>3.74</v>
      </c>
      <c r="N110" s="26">
        <f>VLOOKUP(A110,kurspris!$A$1:$Q$809,15)</f>
        <v>23641</v>
      </c>
      <c r="O110" s="26">
        <f>VLOOKUP(A110,kurspris!$A$1:$Q$809,16)</f>
        <v>28786</v>
      </c>
      <c r="P110" s="26">
        <f>VLOOKUP(A110,kurspris!$A$1:$Q$809,17)</f>
        <v>5800</v>
      </c>
      <c r="Q110" s="26">
        <f t="shared" si="7"/>
        <v>211680.04</v>
      </c>
      <c r="R110" s="26">
        <f>(Q110*Prislapp!$R$5)*-1</f>
        <v>-14817.602800000002</v>
      </c>
      <c r="S110" s="26">
        <f t="shared" si="8"/>
        <v>196862.43720000001</v>
      </c>
      <c r="T110" s="26">
        <f t="shared" si="9"/>
        <v>25520.000000000004</v>
      </c>
      <c r="V110" t="s">
        <v>1297</v>
      </c>
    </row>
    <row r="111" spans="1:24" x14ac:dyDescent="0.25">
      <c r="A111" s="62" t="s">
        <v>1266</v>
      </c>
      <c r="B111" t="str">
        <f>VLOOKUP(A111,kurspris!$A$1:$Q$809,2,FALSE)</f>
        <v>Examensarbete i svenska för ämneslärarexamen</v>
      </c>
      <c r="C111" s="31">
        <v>1640</v>
      </c>
      <c r="D111" t="str">
        <f>VLOOKUP(C111,Orgenheter!$A$1:$B$213,2)</f>
        <v>Inst för kultur- o medievetenskap</v>
      </c>
      <c r="E111" t="str">
        <f>VLOOKUP(C111,Orgenheter!$A$1:$C$165,3,FALSE)</f>
        <v>Hum</v>
      </c>
      <c r="F111" s="295">
        <f>15/30</f>
        <v>0.5</v>
      </c>
      <c r="G111">
        <f>VLOOKUP(A111,'Ansvar kurs'!$A$85:$C$976,2,FALSE)</f>
        <v>1620</v>
      </c>
      <c r="H111" t="str">
        <f>VLOOKUP(G111,Orgenheter!$A$1:$B$213,2)</f>
        <v>Inst för språkstudier</v>
      </c>
      <c r="I111" t="str">
        <f>VLOOKUP(G111,Orgenheter!$A$1:$C$165,3,FALSE)</f>
        <v>Hum</v>
      </c>
      <c r="J111" s="210">
        <f>IF(ISERROR(VLOOKUP(A111,'Totalt pivot'!$A$5:$C$397,2,FALSE)),0,(VLOOKUP(A111,'Totalt pivot'!$A$5:$C$397,2,FALSE)))</f>
        <v>6</v>
      </c>
      <c r="K111" s="210">
        <f t="shared" si="5"/>
        <v>3</v>
      </c>
      <c r="L111" s="210">
        <f>IF(ISERROR(VLOOKUP(A111,'Totalt pivot'!$A$5:$C$397,3,FALSE)),0,(VLOOKUP(A111,'Totalt pivot'!$A$5:$C$397,3,FALSE)))</f>
        <v>5.0999999999999996</v>
      </c>
      <c r="M111" s="210">
        <f t="shared" si="6"/>
        <v>2.5499999999999998</v>
      </c>
      <c r="N111" s="26">
        <f>VLOOKUP(A111,kurspris!$A$1:$Q$809,15)</f>
        <v>18405</v>
      </c>
      <c r="O111" s="26">
        <f>VLOOKUP(A111,kurspris!$A$1:$Q$809,16)</f>
        <v>15773</v>
      </c>
      <c r="P111" s="26">
        <f>VLOOKUP(A111,kurspris!$A$1:$Q$809,17)</f>
        <v>5800</v>
      </c>
      <c r="Q111" s="26">
        <f t="shared" si="7"/>
        <v>95436.15</v>
      </c>
      <c r="R111" s="26">
        <f>(Q111*Prislapp!$R$5)*-1</f>
        <v>-6680.5304999999998</v>
      </c>
      <c r="S111" s="26">
        <f t="shared" si="8"/>
        <v>88755.619500000001</v>
      </c>
      <c r="T111" s="26">
        <f t="shared" si="9"/>
        <v>17400</v>
      </c>
      <c r="V111" s="179" t="s">
        <v>1552</v>
      </c>
      <c r="W111" s="179"/>
      <c r="X111" s="179"/>
    </row>
    <row r="112" spans="1:24" x14ac:dyDescent="0.25">
      <c r="A112" s="31" t="s">
        <v>512</v>
      </c>
      <c r="B112" t="str">
        <f>VLOOKUP(A112,kurspris!$A$1:$Q$809,2,FALSE)</f>
        <v>Samhällskunskap 1</v>
      </c>
      <c r="C112" s="31">
        <v>2360</v>
      </c>
      <c r="D112" t="str">
        <f>VLOOKUP(C112,Orgenheter!$A$1:$B$213,2)</f>
        <v xml:space="preserve">Ekonomisk historia            </v>
      </c>
      <c r="E112" t="str">
        <f>VLOOKUP(C112,Orgenheter!$A$1:$C$165,3,FALSE)</f>
        <v>Sam</v>
      </c>
      <c r="F112" s="294">
        <f>4.8/30</f>
        <v>0.16</v>
      </c>
      <c r="G112">
        <f>VLOOKUP(A112,'Ansvar kurs'!$A$85:$C$976,2,FALSE)</f>
        <v>2340</v>
      </c>
      <c r="H112" t="str">
        <f>VLOOKUP(G112,Orgenheter!$A$1:$B$213,2)</f>
        <v xml:space="preserve">Statsvetenskap                </v>
      </c>
      <c r="I112" t="str">
        <f>VLOOKUP(G112,Orgenheter!$A$1:$C$165,3,FALSE)</f>
        <v>Sam</v>
      </c>
      <c r="J112" s="210">
        <f>IF(ISERROR(VLOOKUP(A112,'Totalt pivot'!$A$5:$C$397,2,FALSE)),0,(VLOOKUP(A112,'Totalt pivot'!$A$5:$C$397,2,FALSE)))</f>
        <v>11</v>
      </c>
      <c r="K112" s="210">
        <f t="shared" si="5"/>
        <v>1.76</v>
      </c>
      <c r="L112" s="210">
        <f>IF(ISERROR(VLOOKUP(A112,'Totalt pivot'!$A$5:$C$397,3,FALSE)),0,(VLOOKUP(A112,'Totalt pivot'!$A$5:$C$397,3,FALSE)))</f>
        <v>9.35</v>
      </c>
      <c r="M112" s="210">
        <f t="shared" si="6"/>
        <v>1.496</v>
      </c>
      <c r="N112" s="26">
        <f>VLOOKUP(A112,kurspris!$A$1:$Q$809,15)</f>
        <v>18405</v>
      </c>
      <c r="O112" s="26">
        <f>VLOOKUP(A112,kurspris!$A$1:$Q$809,16)</f>
        <v>15773</v>
      </c>
      <c r="P112" s="26">
        <f>VLOOKUP(A112,kurspris!$A$1:$Q$809,17)</f>
        <v>5800</v>
      </c>
      <c r="Q112" s="26">
        <f t="shared" si="7"/>
        <v>55989.207999999999</v>
      </c>
      <c r="R112" s="26">
        <f>(Q112*Prislapp!$R$5)*-1</f>
        <v>-3919.2445600000001</v>
      </c>
      <c r="S112" s="26">
        <f t="shared" si="8"/>
        <v>52069.96344</v>
      </c>
      <c r="T112" s="26">
        <f t="shared" si="9"/>
        <v>10208</v>
      </c>
      <c r="V112" t="s">
        <v>1837</v>
      </c>
    </row>
    <row r="113" spans="1:22" x14ac:dyDescent="0.25">
      <c r="A113" s="31" t="s">
        <v>512</v>
      </c>
      <c r="B113" t="str">
        <f>VLOOKUP(A113,kurspris!$A$1:$Q$809,2,FALSE)</f>
        <v>Samhällskunskap 1</v>
      </c>
      <c r="C113" s="31">
        <v>2271</v>
      </c>
      <c r="D113" t="str">
        <f>VLOOKUP(C113,Orgenheter!$A$1:$B$213,2)</f>
        <v xml:space="preserve">Nationalekonomi               </v>
      </c>
      <c r="E113" t="str">
        <f>VLOOKUP(C113,Orgenheter!$A$1:$C$165,3,FALSE)</f>
        <v>Sam</v>
      </c>
      <c r="F113" s="294">
        <f>7.2/30</f>
        <v>0.24000000000000002</v>
      </c>
      <c r="G113">
        <f>VLOOKUP(A113,'Ansvar kurs'!$A$85:$C$976,2,FALSE)</f>
        <v>2340</v>
      </c>
      <c r="H113" t="str">
        <f>VLOOKUP(G113,Orgenheter!$A$1:$B$213,2)</f>
        <v xml:space="preserve">Statsvetenskap                </v>
      </c>
      <c r="I113" t="str">
        <f>VLOOKUP(G113,Orgenheter!$A$1:$C$165,3,FALSE)</f>
        <v>Sam</v>
      </c>
      <c r="J113" s="210">
        <f>IF(ISERROR(VLOOKUP(A113,'Totalt pivot'!$A$5:$C$397,2,FALSE)),0,(VLOOKUP(A113,'Totalt pivot'!$A$5:$C$397,2,FALSE)))</f>
        <v>11</v>
      </c>
      <c r="K113" s="210">
        <f t="shared" si="5"/>
        <v>2.64</v>
      </c>
      <c r="L113" s="210">
        <f>IF(ISERROR(VLOOKUP(A113,'Totalt pivot'!$A$5:$C$397,3,FALSE)),0,(VLOOKUP(A113,'Totalt pivot'!$A$5:$C$397,3,FALSE)))</f>
        <v>9.35</v>
      </c>
      <c r="M113" s="210">
        <f t="shared" si="6"/>
        <v>2.2440000000000002</v>
      </c>
      <c r="N113" s="26">
        <f>VLOOKUP(A113,kurspris!$A$1:$Q$809,15)</f>
        <v>18405</v>
      </c>
      <c r="O113" s="26">
        <f>VLOOKUP(A113,kurspris!$A$1:$Q$809,16)</f>
        <v>15773</v>
      </c>
      <c r="P113" s="26">
        <f>VLOOKUP(A113,kurspris!$A$1:$Q$809,17)</f>
        <v>5800</v>
      </c>
      <c r="Q113" s="26">
        <f t="shared" si="7"/>
        <v>83983.812000000005</v>
      </c>
      <c r="R113" s="26">
        <f>(Q113*Prislapp!$R$5)*-1</f>
        <v>-5878.8668400000006</v>
      </c>
      <c r="S113" s="26">
        <f t="shared" si="8"/>
        <v>78104.945160000003</v>
      </c>
      <c r="T113" s="26">
        <f t="shared" si="9"/>
        <v>15312</v>
      </c>
      <c r="V113" t="s">
        <v>1837</v>
      </c>
    </row>
    <row r="114" spans="1:22" x14ac:dyDescent="0.25">
      <c r="A114" s="31" t="s">
        <v>512</v>
      </c>
      <c r="B114" t="str">
        <f>VLOOKUP(A114,kurspris!$A$1:$Q$809,2,FALSE)</f>
        <v>Samhällskunskap 1</v>
      </c>
      <c r="C114" s="31">
        <v>2180</v>
      </c>
      <c r="D114" t="str">
        <f>VLOOKUP(C114,Orgenheter!$A$1:$B$213,2)</f>
        <v xml:space="preserve">Pedagogik                     </v>
      </c>
      <c r="E114" t="str">
        <f>VLOOKUP(C114,Orgenheter!$A$1:$C$165,3,FALSE)</f>
        <v>Sam</v>
      </c>
      <c r="F114" s="294">
        <f>6/30</f>
        <v>0.2</v>
      </c>
      <c r="G114">
        <f>VLOOKUP(A114,'Ansvar kurs'!$A$85:$C$976,2,FALSE)</f>
        <v>2340</v>
      </c>
      <c r="H114" t="str">
        <f>VLOOKUP(G114,Orgenheter!$A$1:$B$213,2)</f>
        <v xml:space="preserve">Statsvetenskap                </v>
      </c>
      <c r="I114" t="str">
        <f>VLOOKUP(G114,Orgenheter!$A$1:$C$165,3,FALSE)</f>
        <v>Sam</v>
      </c>
      <c r="J114" s="210">
        <f>IF(ISERROR(VLOOKUP(A114,'Totalt pivot'!$A$5:$C$397,2,FALSE)),0,(VLOOKUP(A114,'Totalt pivot'!$A$5:$C$397,2,FALSE)))</f>
        <v>11</v>
      </c>
      <c r="K114" s="210">
        <f t="shared" si="5"/>
        <v>2.2000000000000002</v>
      </c>
      <c r="L114" s="210">
        <f>IF(ISERROR(VLOOKUP(A114,'Totalt pivot'!$A$5:$C$397,3,FALSE)),0,(VLOOKUP(A114,'Totalt pivot'!$A$5:$C$397,3,FALSE)))</f>
        <v>9.35</v>
      </c>
      <c r="M114" s="210">
        <f t="shared" si="6"/>
        <v>1.87</v>
      </c>
      <c r="N114" s="26">
        <f>VLOOKUP(A114,kurspris!$A$1:$Q$809,15)</f>
        <v>18405</v>
      </c>
      <c r="O114" s="26">
        <f>VLOOKUP(A114,kurspris!$A$1:$Q$809,16)</f>
        <v>15773</v>
      </c>
      <c r="P114" s="26">
        <f>VLOOKUP(A114,kurspris!$A$1:$Q$809,17)</f>
        <v>5800</v>
      </c>
      <c r="Q114" s="26">
        <f t="shared" si="7"/>
        <v>69986.510000000009</v>
      </c>
      <c r="R114" s="26">
        <f>(Q114*Prislapp!$R$5)*-1</f>
        <v>-4899.0557000000008</v>
      </c>
      <c r="S114" s="26">
        <f t="shared" si="8"/>
        <v>65087.454300000012</v>
      </c>
      <c r="T114" s="26">
        <f t="shared" si="9"/>
        <v>12760.000000000002</v>
      </c>
      <c r="V114" t="s">
        <v>1837</v>
      </c>
    </row>
    <row r="115" spans="1:22" x14ac:dyDescent="0.25">
      <c r="A115" s="31" t="s">
        <v>513</v>
      </c>
      <c r="B115" t="str">
        <f>VLOOKUP(A115,kurspris!$A$1:$Q$809,2,FALSE)</f>
        <v>Samhällskunskap 2</v>
      </c>
      <c r="C115" s="31">
        <v>2220</v>
      </c>
      <c r="D115" t="str">
        <f>VLOOKUP(C115,Orgenheter!$A$1:$B$213,2)</f>
        <v xml:space="preserve">Sociologi                     </v>
      </c>
      <c r="E115" t="str">
        <f>VLOOKUP(C115,Orgenheter!$A$1:$C$165,3,FALSE)</f>
        <v>Sam</v>
      </c>
      <c r="F115" s="294">
        <f>12/30</f>
        <v>0.4</v>
      </c>
      <c r="G115">
        <f>VLOOKUP(A115,'Ansvar kurs'!$A$85:$C$976,2,FALSE)</f>
        <v>2340</v>
      </c>
      <c r="H115" t="str">
        <f>VLOOKUP(G115,Orgenheter!$A$1:$B$213,2)</f>
        <v xml:space="preserve">Statsvetenskap                </v>
      </c>
      <c r="I115" t="str">
        <f>VLOOKUP(G115,Orgenheter!$A$1:$C$165,3,FALSE)</f>
        <v>Sam</v>
      </c>
      <c r="J115" s="210">
        <f>IF(ISERROR(VLOOKUP(A115,'Totalt pivot'!$A$5:$C$397,2,FALSE)),0,(VLOOKUP(A115,'Totalt pivot'!$A$5:$C$397,2,FALSE)))</f>
        <v>9</v>
      </c>
      <c r="K115" s="210">
        <f t="shared" si="5"/>
        <v>3.6</v>
      </c>
      <c r="L115" s="210">
        <f>IF(ISERROR(VLOOKUP(A115,'Totalt pivot'!$A$5:$C$397,3,FALSE)),0,(VLOOKUP(A115,'Totalt pivot'!$A$5:$C$397,3,FALSE)))</f>
        <v>7.6499999999999995</v>
      </c>
      <c r="M115" s="210">
        <f t="shared" si="6"/>
        <v>3.06</v>
      </c>
      <c r="N115" s="26">
        <f>VLOOKUP(A115,kurspris!$A$1:$Q$809,15)</f>
        <v>18405</v>
      </c>
      <c r="O115" s="26">
        <f>VLOOKUP(A115,kurspris!$A$1:$Q$809,16)</f>
        <v>15773</v>
      </c>
      <c r="P115" s="26">
        <f>VLOOKUP(A115,kurspris!$A$1:$Q$809,17)</f>
        <v>5800</v>
      </c>
      <c r="Q115" s="26">
        <f t="shared" si="7"/>
        <v>114523.38</v>
      </c>
      <c r="R115" s="26">
        <f>(Q115*Prislapp!$R$5)*-1</f>
        <v>-8016.6366000000007</v>
      </c>
      <c r="S115" s="26">
        <f t="shared" si="8"/>
        <v>106506.74340000001</v>
      </c>
      <c r="T115" s="26">
        <f t="shared" si="9"/>
        <v>20880</v>
      </c>
      <c r="V115" t="s">
        <v>1837</v>
      </c>
    </row>
    <row r="116" spans="1:22" x14ac:dyDescent="0.25">
      <c r="A116" s="31" t="s">
        <v>513</v>
      </c>
      <c r="B116" t="str">
        <f>VLOOKUP(A116,kurspris!$A$1:$Q$809,2,FALSE)</f>
        <v>Samhällskunskap 2</v>
      </c>
      <c r="C116" s="31">
        <v>2180</v>
      </c>
      <c r="D116" t="str">
        <f>VLOOKUP(C116,Orgenheter!$A$1:$B$213,2)</f>
        <v xml:space="preserve">Pedagogik                     </v>
      </c>
      <c r="E116" t="str">
        <f>VLOOKUP(C116,Orgenheter!$A$1:$C$165,3,FALSE)</f>
        <v>Sam</v>
      </c>
      <c r="F116" s="294">
        <f>6/30</f>
        <v>0.2</v>
      </c>
      <c r="G116">
        <f>VLOOKUP(A116,'Ansvar kurs'!$A$85:$C$976,2,FALSE)</f>
        <v>2340</v>
      </c>
      <c r="H116" t="str">
        <f>VLOOKUP(G116,Orgenheter!$A$1:$B$213,2)</f>
        <v xml:space="preserve">Statsvetenskap                </v>
      </c>
      <c r="I116" t="str">
        <f>VLOOKUP(G116,Orgenheter!$A$1:$C$165,3,FALSE)</f>
        <v>Sam</v>
      </c>
      <c r="J116" s="210">
        <f>IF(ISERROR(VLOOKUP(A116,'Totalt pivot'!$A$5:$C$397,2,FALSE)),0,(VLOOKUP(A116,'Totalt pivot'!$A$5:$C$397,2,FALSE)))</f>
        <v>9</v>
      </c>
      <c r="K116" s="210">
        <f t="shared" si="5"/>
        <v>1.8</v>
      </c>
      <c r="L116" s="210">
        <f>IF(ISERROR(VLOOKUP(A116,'Totalt pivot'!$A$5:$C$397,3,FALSE)),0,(VLOOKUP(A116,'Totalt pivot'!$A$5:$C$397,3,FALSE)))</f>
        <v>7.6499999999999995</v>
      </c>
      <c r="M116" s="210">
        <f t="shared" si="6"/>
        <v>1.53</v>
      </c>
      <c r="N116" s="26">
        <f>VLOOKUP(A116,kurspris!$A$1:$Q$809,15)</f>
        <v>18405</v>
      </c>
      <c r="O116" s="26">
        <f>VLOOKUP(A116,kurspris!$A$1:$Q$809,16)</f>
        <v>15773</v>
      </c>
      <c r="P116" s="26">
        <f>VLOOKUP(A116,kurspris!$A$1:$Q$809,17)</f>
        <v>5800</v>
      </c>
      <c r="Q116" s="26">
        <f t="shared" si="7"/>
        <v>57261.69</v>
      </c>
      <c r="R116" s="26">
        <f>(Q116*Prislapp!$R$5)*-1</f>
        <v>-4008.3183000000004</v>
      </c>
      <c r="S116" s="26">
        <f t="shared" si="8"/>
        <v>53253.371700000003</v>
      </c>
      <c r="T116" s="26">
        <f t="shared" si="9"/>
        <v>10440</v>
      </c>
      <c r="V116" t="s">
        <v>1837</v>
      </c>
    </row>
    <row r="117" spans="1:22" x14ac:dyDescent="0.25">
      <c r="A117" s="31" t="s">
        <v>603</v>
      </c>
      <c r="B117" t="str">
        <f>VLOOKUP(A117,kurspris!$A$1:$Q$809,2,FALSE)</f>
        <v>Samhällskunskap 3</v>
      </c>
      <c r="C117" s="31">
        <v>2360</v>
      </c>
      <c r="D117" t="str">
        <f>VLOOKUP(C117,Orgenheter!$A$1:$B$213,2)</f>
        <v xml:space="preserve">Ekonomisk historia            </v>
      </c>
      <c r="E117" t="str">
        <f>VLOOKUP(C117,Orgenheter!$A$1:$C$165,3,FALSE)</f>
        <v>Sam</v>
      </c>
      <c r="F117" s="294">
        <f>5.4/30</f>
        <v>0.18000000000000002</v>
      </c>
      <c r="G117">
        <f>VLOOKUP(A117,'Ansvar kurs'!$A$85:$C$976,2,FALSE)</f>
        <v>2340</v>
      </c>
      <c r="H117" t="str">
        <f>VLOOKUP(G117,Orgenheter!$A$1:$B$213,2)</f>
        <v xml:space="preserve">Statsvetenskap                </v>
      </c>
      <c r="I117" t="str">
        <f>VLOOKUP(G117,Orgenheter!$A$1:$C$165,3,FALSE)</f>
        <v>Sam</v>
      </c>
      <c r="J117" s="210">
        <f>IF(ISERROR(VLOOKUP(A117,'Totalt pivot'!$A$5:$C$397,2,FALSE)),0,(VLOOKUP(A117,'Totalt pivot'!$A$5:$C$397,2,FALSE)))</f>
        <v>6.5</v>
      </c>
      <c r="K117" s="210">
        <f t="shared" si="5"/>
        <v>1.1700000000000002</v>
      </c>
      <c r="L117" s="210">
        <f>IF(ISERROR(VLOOKUP(A117,'Totalt pivot'!$A$5:$C$397,3,FALSE)),0,(VLOOKUP(A117,'Totalt pivot'!$A$5:$C$397,3,FALSE)))</f>
        <v>5.5249999999999995</v>
      </c>
      <c r="M117" s="210">
        <f t="shared" si="6"/>
        <v>0.99450000000000005</v>
      </c>
      <c r="N117" s="26">
        <f>VLOOKUP(A117,kurspris!$A$1:$Q$809,15)</f>
        <v>18405</v>
      </c>
      <c r="O117" s="26">
        <f>VLOOKUP(A117,kurspris!$A$1:$Q$809,16)</f>
        <v>15773</v>
      </c>
      <c r="P117" s="26">
        <f>VLOOKUP(A117,kurspris!$A$1:$Q$809,17)</f>
        <v>5800</v>
      </c>
      <c r="Q117" s="26">
        <f t="shared" si="7"/>
        <v>37220.098500000007</v>
      </c>
      <c r="R117" s="26">
        <f>(Q117*Prislapp!$R$5)*-1</f>
        <v>-2605.406895000001</v>
      </c>
      <c r="S117" s="26">
        <f t="shared" si="8"/>
        <v>34614.691605000007</v>
      </c>
      <c r="T117" s="26">
        <f t="shared" si="9"/>
        <v>6786.0000000000009</v>
      </c>
      <c r="V117" t="s">
        <v>1837</v>
      </c>
    </row>
    <row r="118" spans="1:22" x14ac:dyDescent="0.25">
      <c r="A118" s="31" t="s">
        <v>603</v>
      </c>
      <c r="B118" t="str">
        <f>VLOOKUP(A118,kurspris!$A$1:$Q$809,2,FALSE)</f>
        <v>Samhällskunskap 3</v>
      </c>
      <c r="C118" s="31">
        <v>2271</v>
      </c>
      <c r="D118" t="str">
        <f>VLOOKUP(C118,Orgenheter!$A$1:$B$213,2)</f>
        <v xml:space="preserve">Nationalekonomi               </v>
      </c>
      <c r="E118" t="str">
        <f>VLOOKUP(C118,Orgenheter!$A$1:$C$165,3,FALSE)</f>
        <v>Sam</v>
      </c>
      <c r="F118" s="294">
        <f>8.1/30</f>
        <v>0.26999999999999996</v>
      </c>
      <c r="G118">
        <f>VLOOKUP(A118,'Ansvar kurs'!$A$85:$C$976,2,FALSE)</f>
        <v>2340</v>
      </c>
      <c r="H118" t="str">
        <f>VLOOKUP(G118,Orgenheter!$A$1:$B$213,2)</f>
        <v xml:space="preserve">Statsvetenskap                </v>
      </c>
      <c r="I118" t="str">
        <f>VLOOKUP(G118,Orgenheter!$A$1:$C$165,3,FALSE)</f>
        <v>Sam</v>
      </c>
      <c r="J118" s="210">
        <f>IF(ISERROR(VLOOKUP(A118,'Totalt pivot'!$A$5:$C$397,2,FALSE)),0,(VLOOKUP(A118,'Totalt pivot'!$A$5:$C$397,2,FALSE)))</f>
        <v>6.5</v>
      </c>
      <c r="K118" s="210">
        <f t="shared" si="5"/>
        <v>1.7549999999999997</v>
      </c>
      <c r="L118" s="210">
        <f>IF(ISERROR(VLOOKUP(A118,'Totalt pivot'!$A$5:$C$397,3,FALSE)),0,(VLOOKUP(A118,'Totalt pivot'!$A$5:$C$397,3,FALSE)))</f>
        <v>5.5249999999999995</v>
      </c>
      <c r="M118" s="210">
        <f t="shared" si="6"/>
        <v>1.4917499999999997</v>
      </c>
      <c r="N118" s="26">
        <f>VLOOKUP(A118,kurspris!$A$1:$Q$809,15)</f>
        <v>18405</v>
      </c>
      <c r="O118" s="26">
        <f>VLOOKUP(A118,kurspris!$A$1:$Q$809,16)</f>
        <v>15773</v>
      </c>
      <c r="P118" s="26">
        <f>VLOOKUP(A118,kurspris!$A$1:$Q$809,17)</f>
        <v>5800</v>
      </c>
      <c r="Q118" s="26">
        <f t="shared" si="7"/>
        <v>55830.147749999989</v>
      </c>
      <c r="R118" s="26">
        <f>(Q118*Prislapp!$R$5)*-1</f>
        <v>-3908.1103424999997</v>
      </c>
      <c r="S118" s="26">
        <f t="shared" si="8"/>
        <v>51922.037407499993</v>
      </c>
      <c r="T118" s="26">
        <f t="shared" si="9"/>
        <v>10178.999999999998</v>
      </c>
      <c r="V118" t="s">
        <v>1837</v>
      </c>
    </row>
    <row r="119" spans="1:22" x14ac:dyDescent="0.25">
      <c r="A119" s="31" t="s">
        <v>603</v>
      </c>
      <c r="B119" t="str">
        <f>VLOOKUP(A119,kurspris!$A$1:$Q$809,2,FALSE)</f>
        <v>Samhällskunskap 3</v>
      </c>
      <c r="C119" s="31">
        <v>2180</v>
      </c>
      <c r="D119" t="str">
        <f>VLOOKUP(C119,Orgenheter!$A$1:$B$213,2)</f>
        <v xml:space="preserve">Pedagogik                     </v>
      </c>
      <c r="E119" t="str">
        <f>VLOOKUP(C119,Orgenheter!$A$1:$C$165,3,FALSE)</f>
        <v>Sam</v>
      </c>
      <c r="F119" s="294">
        <f>1.5/30</f>
        <v>0.05</v>
      </c>
      <c r="G119">
        <f>VLOOKUP(A119,'Ansvar kurs'!$A$85:$C$976,2,FALSE)</f>
        <v>2340</v>
      </c>
      <c r="H119" t="str">
        <f>VLOOKUP(G119,Orgenheter!$A$1:$B$213,2)</f>
        <v xml:space="preserve">Statsvetenskap                </v>
      </c>
      <c r="I119" t="str">
        <f>VLOOKUP(G119,Orgenheter!$A$1:$C$165,3,FALSE)</f>
        <v>Sam</v>
      </c>
      <c r="J119" s="210">
        <f>IF(ISERROR(VLOOKUP(A119,'Totalt pivot'!$A$5:$C$397,2,FALSE)),0,(VLOOKUP(A119,'Totalt pivot'!$A$5:$C$397,2,FALSE)))</f>
        <v>6.5</v>
      </c>
      <c r="K119" s="210">
        <f t="shared" si="5"/>
        <v>0.32500000000000001</v>
      </c>
      <c r="L119" s="210">
        <f>IF(ISERROR(VLOOKUP(A119,'Totalt pivot'!$A$5:$C$397,3,FALSE)),0,(VLOOKUP(A119,'Totalt pivot'!$A$5:$C$397,3,FALSE)))</f>
        <v>5.5249999999999995</v>
      </c>
      <c r="M119" s="210">
        <f t="shared" si="6"/>
        <v>0.27625</v>
      </c>
      <c r="N119" s="26">
        <f>VLOOKUP(A119,kurspris!$A$1:$Q$809,15)</f>
        <v>18405</v>
      </c>
      <c r="O119" s="26">
        <f>VLOOKUP(A119,kurspris!$A$1:$Q$809,16)</f>
        <v>15773</v>
      </c>
      <c r="P119" s="26">
        <f>VLOOKUP(A119,kurspris!$A$1:$Q$809,17)</f>
        <v>5800</v>
      </c>
      <c r="Q119" s="26">
        <f t="shared" si="7"/>
        <v>10338.91625</v>
      </c>
      <c r="R119" s="26">
        <f>(Q119*Prislapp!$R$5)*-1</f>
        <v>-723.7241375000001</v>
      </c>
      <c r="S119" s="26">
        <f t="shared" si="8"/>
        <v>9615.1921125000008</v>
      </c>
      <c r="T119" s="26">
        <f t="shared" si="9"/>
        <v>1885</v>
      </c>
      <c r="V119" t="s">
        <v>1837</v>
      </c>
    </row>
    <row r="120" spans="1:22" x14ac:dyDescent="0.25">
      <c r="A120" s="31" t="s">
        <v>1044</v>
      </c>
      <c r="B120" t="str">
        <f>VLOOKUP(A120,kurspris!$A$1:$Q$809,2,FALSE)</f>
        <v>Profession och vetenskap</v>
      </c>
      <c r="C120" s="31">
        <v>2300</v>
      </c>
      <c r="D120" t="str">
        <f>VLOOKUP(C120,Orgenheter!$A$1:$B$213,2)</f>
        <v xml:space="preserve">Juridiska institutionen       </v>
      </c>
      <c r="E120" t="str">
        <f>VLOOKUP(C120,Orgenheter!$A$1:$C$165,3,FALSE)</f>
        <v>Sam</v>
      </c>
      <c r="F120" s="294">
        <f>3.75/7.5</f>
        <v>0.5</v>
      </c>
      <c r="G120">
        <f>VLOOKUP(A120,'Ansvar kurs'!$A$85:$C$976,2,FALSE)</f>
        <v>2340</v>
      </c>
      <c r="H120" t="str">
        <f>VLOOKUP(G120,Orgenheter!$A$1:$B$213,2)</f>
        <v xml:space="preserve">Statsvetenskap                </v>
      </c>
      <c r="I120" t="str">
        <f>VLOOKUP(G120,Orgenheter!$A$1:$C$165,3,FALSE)</f>
        <v>Sam</v>
      </c>
      <c r="J120" s="210">
        <f>IF(ISERROR(VLOOKUP(A120,'Totalt pivot'!$A$5:$C$397,2,FALSE)),0,(VLOOKUP(A120,'Totalt pivot'!$A$5:$C$397,2,FALSE)))</f>
        <v>8.625</v>
      </c>
      <c r="K120" s="210">
        <f t="shared" si="5"/>
        <v>4.3125</v>
      </c>
      <c r="L120" s="210">
        <f>IF(ISERROR(VLOOKUP(A120,'Totalt pivot'!$A$5:$C$397,3,FALSE)),0,(VLOOKUP(A120,'Totalt pivot'!$A$5:$C$397,3,FALSE)))</f>
        <v>7.3249999999999993</v>
      </c>
      <c r="M120" s="210">
        <f t="shared" si="6"/>
        <v>3.6624999999999996</v>
      </c>
      <c r="N120" s="26">
        <f>VLOOKUP(A120,kurspris!$A$1:$Q$809,15)</f>
        <v>23641</v>
      </c>
      <c r="O120" s="26">
        <f>VLOOKUP(A120,kurspris!$A$1:$Q$809,16)</f>
        <v>28786</v>
      </c>
      <c r="P120" s="26">
        <f>VLOOKUP(A120,kurspris!$A$1:$Q$809,17)</f>
        <v>5800</v>
      </c>
      <c r="Q120" s="26">
        <f t="shared" si="7"/>
        <v>207380.53749999998</v>
      </c>
      <c r="R120" s="26">
        <f>(Q120*Prislapp!$R$5)*-1</f>
        <v>-14516.637624999999</v>
      </c>
      <c r="S120" s="26">
        <f t="shared" si="8"/>
        <v>192863.89987499997</v>
      </c>
      <c r="T120" s="26">
        <f t="shared" si="9"/>
        <v>25012.5</v>
      </c>
      <c r="V120" t="s">
        <v>1414</v>
      </c>
    </row>
    <row r="121" spans="1:22" x14ac:dyDescent="0.25">
      <c r="A121" s="31" t="s">
        <v>1923</v>
      </c>
      <c r="B121" t="str">
        <f>VLOOKUP(A121,kurspris!$A$1:$Q$809,2,FALSE)</f>
        <v>Introduktion till det specialpedagogiska fältet</v>
      </c>
      <c r="C121" s="31">
        <v>1620</v>
      </c>
      <c r="D121" t="str">
        <f>VLOOKUP(C121,Orgenheter!$A$1:$B$213,2)</f>
        <v>Inst för språkstudier</v>
      </c>
      <c r="E121" t="str">
        <f>VLOOKUP(C121,Orgenheter!$A$1:$C$165,3,FALSE)</f>
        <v>Hum</v>
      </c>
      <c r="F121" s="295">
        <f>1.5/7.5</f>
        <v>0.2</v>
      </c>
      <c r="G121">
        <f>VLOOKUP(A121,'Ansvar kurs'!$A$85:$C$976,2,FALSE)</f>
        <v>2180</v>
      </c>
      <c r="H121" t="str">
        <f>VLOOKUP(G121,Orgenheter!$A$1:$B$213,2)</f>
        <v xml:space="preserve">Pedagogik                     </v>
      </c>
      <c r="I121" t="str">
        <f>VLOOKUP(G121,Orgenheter!$A$1:$C$165,3,FALSE)</f>
        <v>Sam</v>
      </c>
      <c r="J121" s="210">
        <f>IF(ISERROR(VLOOKUP(A121,'Totalt pivot'!$A$5:$C$397,2,FALSE)),0,(VLOOKUP(A121,'Totalt pivot'!$A$5:$C$397,2,FALSE)))</f>
        <v>10.75</v>
      </c>
      <c r="K121" s="210">
        <f t="shared" si="5"/>
        <v>2.15</v>
      </c>
      <c r="L121" s="210">
        <f>IF(ISERROR(VLOOKUP(A121,'Totalt pivot'!$A$5:$C$397,3,FALSE)),0,(VLOOKUP(A121,'Totalt pivot'!$A$5:$C$397,3,FALSE)))</f>
        <v>9.1374999999999993</v>
      </c>
      <c r="M121" s="210">
        <f t="shared" si="6"/>
        <v>1.8274999999999999</v>
      </c>
      <c r="N121" s="26">
        <f>VLOOKUP(A121,kurspris!$A$1:$Q$809,15)</f>
        <v>18405</v>
      </c>
      <c r="O121" s="26">
        <f>VLOOKUP(A121,kurspris!$A$1:$Q$809,16)</f>
        <v>15773</v>
      </c>
      <c r="P121" s="26">
        <f>VLOOKUP(A121,kurspris!$A$1:$Q$809,17)</f>
        <v>5800</v>
      </c>
      <c r="Q121" s="26">
        <f t="shared" si="7"/>
        <v>68395.907500000001</v>
      </c>
      <c r="R121" s="26">
        <f>(Q121*Prislapp!$R$5)*-1</f>
        <v>-4787.7135250000001</v>
      </c>
      <c r="S121" s="26">
        <f t="shared" si="8"/>
        <v>63608.193975000002</v>
      </c>
      <c r="T121" s="26">
        <f t="shared" si="9"/>
        <v>12470</v>
      </c>
      <c r="V121" t="s">
        <v>1929</v>
      </c>
    </row>
    <row r="122" spans="1:22" x14ac:dyDescent="0.25">
      <c r="A122" s="31" t="s">
        <v>1923</v>
      </c>
      <c r="B122" t="str">
        <f>VLOOKUP(A122,kurspris!$A$1:$Q$809,2,FALSE)</f>
        <v>Introduktion till det specialpedagogiska fältet</v>
      </c>
      <c r="C122" s="31">
        <v>2200</v>
      </c>
      <c r="D122" t="str">
        <f>VLOOKUP(C122,Orgenheter!$A$1:$B$213,2)</f>
        <v xml:space="preserve">Inst för psykologi            </v>
      </c>
      <c r="E122" t="str">
        <f>VLOOKUP(C122,Orgenheter!$A$1:$C$165,3,FALSE)</f>
        <v>Sam</v>
      </c>
      <c r="F122" s="295">
        <f>1.5/7.5</f>
        <v>0.2</v>
      </c>
      <c r="G122">
        <f>VLOOKUP(A122,'Ansvar kurs'!$A$85:$C$976,2,FALSE)</f>
        <v>2180</v>
      </c>
      <c r="H122" t="str">
        <f>VLOOKUP(G122,Orgenheter!$A$1:$B$213,2)</f>
        <v xml:space="preserve">Pedagogik                     </v>
      </c>
      <c r="I122" t="str">
        <f>VLOOKUP(G122,Orgenheter!$A$1:$C$165,3,FALSE)</f>
        <v>Sam</v>
      </c>
      <c r="J122" s="210">
        <f>IF(ISERROR(VLOOKUP(A122,'Totalt pivot'!$A$5:$C$397,2,FALSE)),0,(VLOOKUP(A122,'Totalt pivot'!$A$5:$C$397,2,FALSE)))</f>
        <v>10.75</v>
      </c>
      <c r="K122" s="210">
        <f t="shared" si="5"/>
        <v>2.15</v>
      </c>
      <c r="L122" s="210">
        <f>IF(ISERROR(VLOOKUP(A122,'Totalt pivot'!$A$5:$C$397,3,FALSE)),0,(VLOOKUP(A122,'Totalt pivot'!$A$5:$C$397,3,FALSE)))</f>
        <v>9.1374999999999993</v>
      </c>
      <c r="M122" s="210">
        <f t="shared" si="6"/>
        <v>1.8274999999999999</v>
      </c>
      <c r="N122" s="26">
        <f>VLOOKUP(A122,kurspris!$A$1:$Q$809,15)</f>
        <v>18405</v>
      </c>
      <c r="O122" s="26">
        <f>VLOOKUP(A122,kurspris!$A$1:$Q$809,16)</f>
        <v>15773</v>
      </c>
      <c r="P122" s="26">
        <f>VLOOKUP(A122,kurspris!$A$1:$Q$809,17)</f>
        <v>5800</v>
      </c>
      <c r="Q122" s="26">
        <f t="shared" si="7"/>
        <v>68395.907500000001</v>
      </c>
      <c r="R122" s="26">
        <f>(Q122*Prislapp!$R$5)*-1</f>
        <v>-4787.7135250000001</v>
      </c>
      <c r="S122" s="26">
        <f t="shared" si="8"/>
        <v>63608.193975000002</v>
      </c>
      <c r="T122" s="26">
        <f t="shared" si="9"/>
        <v>12470</v>
      </c>
      <c r="V122" t="s">
        <v>1929</v>
      </c>
    </row>
    <row r="123" spans="1:22" x14ac:dyDescent="0.25">
      <c r="A123" s="31" t="s">
        <v>1926</v>
      </c>
      <c r="B123" t="str">
        <f>VLOOKUP(A123,kurspris!$A$1:$Q$809,2,FALSE)</f>
        <v>Neuropsykiatriska svårigheter i olika lärmiljöer</v>
      </c>
      <c r="C123" s="31">
        <v>2193</v>
      </c>
      <c r="D123" t="str">
        <f>VLOOKUP(C123,Orgenheter!$A$1:$B$213,2)</f>
        <v xml:space="preserve">TUV </v>
      </c>
      <c r="E123" t="str">
        <f>VLOOKUP(C123,Orgenheter!$A$1:$C$165,3,FALSE)</f>
        <v>Sam</v>
      </c>
      <c r="F123" s="295">
        <f>2/7.5</f>
        <v>0.26666666666666666</v>
      </c>
      <c r="G123">
        <f>VLOOKUP(A123,'Ansvar kurs'!$A$85:$C$976,2,FALSE)</f>
        <v>2180</v>
      </c>
      <c r="H123" t="str">
        <f>VLOOKUP(G123,Orgenheter!$A$1:$B$213,2)</f>
        <v xml:space="preserve">Pedagogik                     </v>
      </c>
      <c r="I123" t="str">
        <f>VLOOKUP(G123,Orgenheter!$A$1:$C$165,3,FALSE)</f>
        <v>Sam</v>
      </c>
      <c r="J123" s="210">
        <f>IF(ISERROR(VLOOKUP(A123,'Totalt pivot'!$A$5:$C$397,2,FALSE)),0,(VLOOKUP(A123,'Totalt pivot'!$A$5:$C$397,2,FALSE)))</f>
        <v>9.75</v>
      </c>
      <c r="K123" s="210">
        <f t="shared" si="5"/>
        <v>2.6</v>
      </c>
      <c r="L123" s="210">
        <f>IF(ISERROR(VLOOKUP(A123,'Totalt pivot'!$A$5:$C$397,3,FALSE)),0,(VLOOKUP(A123,'Totalt pivot'!$A$5:$C$397,3,FALSE)))</f>
        <v>8.2562499999999996</v>
      </c>
      <c r="M123" s="210">
        <f t="shared" si="6"/>
        <v>2.2016666666666667</v>
      </c>
      <c r="N123" s="26">
        <f>VLOOKUP(A123,kurspris!$A$1:$Q$809,15)</f>
        <v>18405</v>
      </c>
      <c r="O123" s="26">
        <f>VLOOKUP(A123,kurspris!$A$1:$Q$809,16)</f>
        <v>15773</v>
      </c>
      <c r="P123" s="26">
        <f>VLOOKUP(A123,kurspris!$A$1:$Q$809,17)</f>
        <v>5800</v>
      </c>
      <c r="Q123" s="26">
        <f t="shared" si="7"/>
        <v>82579.888333333336</v>
      </c>
      <c r="R123" s="26">
        <f>(Q123*Prislapp!$R$5)*-1</f>
        <v>-5780.5921833333341</v>
      </c>
      <c r="S123" s="26">
        <f t="shared" si="8"/>
        <v>76799.296150000009</v>
      </c>
      <c r="T123" s="26">
        <f t="shared" si="9"/>
        <v>15080</v>
      </c>
      <c r="V123" t="s">
        <v>1929</v>
      </c>
    </row>
    <row r="124" spans="1:22" x14ac:dyDescent="0.25">
      <c r="A124" s="31" t="s">
        <v>1926</v>
      </c>
      <c r="B124" t="str">
        <f>VLOOKUP(A124,kurspris!$A$1:$Q$809,2,FALSE)</f>
        <v>Neuropsykiatriska svårigheter i olika lärmiljöer</v>
      </c>
      <c r="C124" s="31">
        <v>2200</v>
      </c>
      <c r="D124" t="str">
        <f>VLOOKUP(C124,Orgenheter!$A$1:$B$213,2)</f>
        <v xml:space="preserve">Inst för psykologi            </v>
      </c>
      <c r="E124" t="str">
        <f>VLOOKUP(C124,Orgenheter!$A$1:$C$165,3,FALSE)</f>
        <v>Sam</v>
      </c>
      <c r="F124" s="295">
        <f>2/7.5</f>
        <v>0.26666666666666666</v>
      </c>
      <c r="G124">
        <f>VLOOKUP(A124,'Ansvar kurs'!$A$85:$C$976,2,FALSE)</f>
        <v>2180</v>
      </c>
      <c r="H124" t="str">
        <f>VLOOKUP(G124,Orgenheter!$A$1:$B$213,2)</f>
        <v xml:space="preserve">Pedagogik                     </v>
      </c>
      <c r="I124" t="str">
        <f>VLOOKUP(G124,Orgenheter!$A$1:$C$165,3,FALSE)</f>
        <v>Sam</v>
      </c>
      <c r="J124" s="210">
        <f>IF(ISERROR(VLOOKUP(A124,'Totalt pivot'!$A$5:$C$397,2,FALSE)),0,(VLOOKUP(A124,'Totalt pivot'!$A$5:$C$397,2,FALSE)))</f>
        <v>9.75</v>
      </c>
      <c r="K124" s="210">
        <f t="shared" si="5"/>
        <v>2.6</v>
      </c>
      <c r="L124" s="210">
        <f>IF(ISERROR(VLOOKUP(A124,'Totalt pivot'!$A$5:$C$397,3,FALSE)),0,(VLOOKUP(A124,'Totalt pivot'!$A$5:$C$397,3,FALSE)))</f>
        <v>8.2562499999999996</v>
      </c>
      <c r="M124" s="210">
        <f t="shared" si="6"/>
        <v>2.2016666666666667</v>
      </c>
      <c r="N124" s="26">
        <f>VLOOKUP(A124,kurspris!$A$1:$Q$809,15)</f>
        <v>18405</v>
      </c>
      <c r="O124" s="26">
        <f>VLOOKUP(A124,kurspris!$A$1:$Q$809,16)</f>
        <v>15773</v>
      </c>
      <c r="P124" s="26">
        <f>VLOOKUP(A124,kurspris!$A$1:$Q$809,17)</f>
        <v>5800</v>
      </c>
      <c r="Q124" s="26">
        <f t="shared" si="7"/>
        <v>82579.888333333336</v>
      </c>
      <c r="R124" s="26">
        <f>(Q124*Prislapp!$R$5)*-1</f>
        <v>-5780.5921833333341</v>
      </c>
      <c r="S124" s="26">
        <f t="shared" si="8"/>
        <v>76799.296150000009</v>
      </c>
      <c r="T124" s="26">
        <f t="shared" si="9"/>
        <v>15080</v>
      </c>
      <c r="V124" t="s">
        <v>1929</v>
      </c>
    </row>
    <row r="125" spans="1:22" x14ac:dyDescent="0.25">
      <c r="A125" s="31" t="s">
        <v>1925</v>
      </c>
      <c r="B125" t="str">
        <f>VLOOKUP(A125,kurspris!$A$1:$Q$809,2,FALSE)</f>
        <v>Speciallärarens och specialpedagogens yrkesfunktion</v>
      </c>
      <c r="C125" s="31">
        <v>2180</v>
      </c>
      <c r="D125" t="str">
        <f>VLOOKUP(C125,Orgenheter!$A$1:$B$213,2)</f>
        <v xml:space="preserve">Pedagogik                     </v>
      </c>
      <c r="E125" t="str">
        <f>VLOOKUP(C125,Orgenheter!$A$1:$C$165,3,FALSE)</f>
        <v>Sam</v>
      </c>
      <c r="F125" s="295">
        <f>5/15</f>
        <v>0.33333333333333331</v>
      </c>
      <c r="G125">
        <f>VLOOKUP(A125,'Ansvar kurs'!$A$85:$C$976,2,FALSE)</f>
        <v>2193</v>
      </c>
      <c r="H125" t="str">
        <f>VLOOKUP(G125,Orgenheter!$A$1:$B$213,2)</f>
        <v xml:space="preserve">TUV </v>
      </c>
      <c r="I125" t="str">
        <f>VLOOKUP(G125,Orgenheter!$A$1:$C$165,3,FALSE)</f>
        <v>Sam</v>
      </c>
      <c r="J125" s="210">
        <f>IF(ISERROR(VLOOKUP(A125,'Totalt pivot'!$A$5:$C$397,2,FALSE)),0,(VLOOKUP(A125,'Totalt pivot'!$A$5:$C$397,2,FALSE)))</f>
        <v>18.5</v>
      </c>
      <c r="K125" s="210">
        <f t="shared" si="5"/>
        <v>6.1666666666666661</v>
      </c>
      <c r="L125" s="210">
        <f>IF(ISERROR(VLOOKUP(A125,'Totalt pivot'!$A$5:$C$397,3,FALSE)),0,(VLOOKUP(A125,'Totalt pivot'!$A$5:$C$397,3,FALSE)))</f>
        <v>15.724999999999998</v>
      </c>
      <c r="M125" s="210">
        <f t="shared" si="6"/>
        <v>5.2416666666666654</v>
      </c>
      <c r="N125" s="26">
        <f>VLOOKUP(A125,kurspris!$A$1:$Q$809,15)</f>
        <v>34144.199999999997</v>
      </c>
      <c r="O125" s="26">
        <f>VLOOKUP(A125,kurspris!$A$1:$Q$809,16)</f>
        <v>33557.800000000003</v>
      </c>
      <c r="P125" s="26">
        <f>VLOOKUP(A125,kurspris!$A$1:$Q$809,17)</f>
        <v>5800</v>
      </c>
      <c r="Q125" s="26">
        <f t="shared" si="7"/>
        <v>386454.7016666666</v>
      </c>
      <c r="R125" s="26">
        <f>(Q125*Prislapp!$R$5)*-1</f>
        <v>-27051.829116666664</v>
      </c>
      <c r="S125" s="26">
        <f t="shared" si="8"/>
        <v>359402.87254999991</v>
      </c>
      <c r="T125" s="26">
        <f t="shared" si="9"/>
        <v>35766.666666666664</v>
      </c>
      <c r="V125" t="s">
        <v>1929</v>
      </c>
    </row>
    <row r="126" spans="1:22" x14ac:dyDescent="0.25">
      <c r="A126" s="31" t="s">
        <v>2047</v>
      </c>
      <c r="B126" t="str">
        <f>VLOOKUP(A126,kurspris!$A$1:$Q$809,2,FALSE)</f>
        <v>Utvärdering, ledarskap och förändringsarbete</v>
      </c>
      <c r="C126" s="31">
        <v>2200</v>
      </c>
      <c r="D126" t="str">
        <f>VLOOKUP(C126,Orgenheter!$A$1:$B$213,2)</f>
        <v xml:space="preserve">Inst för psykologi            </v>
      </c>
      <c r="E126" t="str">
        <f>VLOOKUP(C126,Orgenheter!$A$1:$C$165,3,FALSE)</f>
        <v>Sam</v>
      </c>
      <c r="F126" s="295">
        <v>0.5</v>
      </c>
      <c r="G126">
        <f>VLOOKUP(A126,'Ansvar kurs'!$A$85:$C$976,2,FALSE)</f>
        <v>2180</v>
      </c>
      <c r="H126" t="str">
        <f>VLOOKUP(G126,Orgenheter!$A$1:$B$213,2)</f>
        <v xml:space="preserve">Pedagogik                     </v>
      </c>
      <c r="I126" t="str">
        <f>VLOOKUP(G126,Orgenheter!$A$1:$C$165,3,FALSE)</f>
        <v>Sam</v>
      </c>
      <c r="J126" s="210">
        <f>IF(ISERROR(VLOOKUP(A126,'Totalt pivot'!$A$5:$C$397,2,FALSE)),0,(VLOOKUP(A126,'Totalt pivot'!$A$5:$C$397,2,FALSE)))</f>
        <v>15</v>
      </c>
      <c r="K126" s="210">
        <f>F126*J126</f>
        <v>7.5</v>
      </c>
      <c r="L126" s="210">
        <f>IF(ISERROR(VLOOKUP(A126,'Totalt pivot'!$A$5:$C$397,3,FALSE)),0,(VLOOKUP(A126,'Totalt pivot'!$A$5:$C$397,3,FALSE)))</f>
        <v>12.731250000000001</v>
      </c>
      <c r="M126" s="210">
        <f>F126*L126</f>
        <v>6.3656250000000005</v>
      </c>
      <c r="N126" s="26">
        <f>VLOOKUP(A126,kurspris!$A$1:$Q$809,15)</f>
        <v>18405</v>
      </c>
      <c r="O126" s="26">
        <f>VLOOKUP(A126,kurspris!$A$1:$Q$809,16)</f>
        <v>15773</v>
      </c>
      <c r="P126" s="26">
        <f>VLOOKUP(A126,kurspris!$A$1:$Q$809,17)</f>
        <v>5800</v>
      </c>
      <c r="Q126" s="26">
        <f>K126*N126+M126*O126</f>
        <v>238442.50312499999</v>
      </c>
      <c r="R126" s="26">
        <f>(Q126*Prislapp!$R$5)*-1</f>
        <v>-16690.975218750002</v>
      </c>
      <c r="S126" s="26">
        <f>Q126+R126</f>
        <v>221751.52790624998</v>
      </c>
      <c r="T126" s="26">
        <f>K126*P126</f>
        <v>43500</v>
      </c>
    </row>
    <row r="127" spans="1:22" x14ac:dyDescent="0.25">
      <c r="A127" s="31" t="s">
        <v>516</v>
      </c>
      <c r="B127" t="str">
        <f>VLOOKUP(A127,kurspris!$A$1:$Q$809,2,FALSE)</f>
        <v>Svenska I för ämneslärare</v>
      </c>
      <c r="C127" s="31">
        <v>1640</v>
      </c>
      <c r="D127" t="str">
        <f>VLOOKUP(C127,Orgenheter!$A$1:$B$213,2)</f>
        <v>Inst för kultur- o medievetenskap</v>
      </c>
      <c r="E127" t="str">
        <f>VLOOKUP(C127,Orgenheter!$A$1:$C$165,3,FALSE)</f>
        <v>Hum</v>
      </c>
      <c r="F127" s="294">
        <v>0.5</v>
      </c>
      <c r="G127">
        <f>VLOOKUP(A127,'Ansvar kurs'!$A$85:$C$976,2,FALSE)</f>
        <v>1620</v>
      </c>
      <c r="H127" t="str">
        <f>VLOOKUP(G127,Orgenheter!$A$1:$B$213,2)</f>
        <v>Inst för språkstudier</v>
      </c>
      <c r="I127" t="str">
        <f>VLOOKUP(G127,Orgenheter!$A$1:$C$165,3,FALSE)</f>
        <v>Hum</v>
      </c>
      <c r="J127" s="210">
        <f>IF(ISERROR(VLOOKUP(A127,'Totalt pivot'!$A$5:$C$397,2,FALSE)),0,(VLOOKUP(A127,'Totalt pivot'!$A$5:$C$397,2,FALSE)))</f>
        <v>13.5</v>
      </c>
      <c r="K127" s="210">
        <f t="shared" si="5"/>
        <v>6.75</v>
      </c>
      <c r="L127" s="210">
        <f>IF(ISERROR(VLOOKUP(A127,'Totalt pivot'!$A$5:$C$397,3,FALSE)),0,(VLOOKUP(A127,'Totalt pivot'!$A$5:$C$397,3,FALSE)))</f>
        <v>11.475</v>
      </c>
      <c r="M127" s="210">
        <f t="shared" si="6"/>
        <v>5.7374999999999998</v>
      </c>
      <c r="N127" s="26">
        <f>VLOOKUP(A127,kurspris!$A$1:$Q$809,15)</f>
        <v>18405</v>
      </c>
      <c r="O127" s="26">
        <f>VLOOKUP(A127,kurspris!$A$1:$Q$809,16)</f>
        <v>15773</v>
      </c>
      <c r="P127" s="26">
        <f>VLOOKUP(A127,kurspris!$A$1:$Q$809,17)</f>
        <v>5800</v>
      </c>
      <c r="Q127" s="26">
        <f t="shared" si="7"/>
        <v>214731.33749999999</v>
      </c>
      <c r="R127" s="26">
        <f>(Q127*Prislapp!$R$5)*-1</f>
        <v>-15031.193625000002</v>
      </c>
      <c r="S127" s="26">
        <f t="shared" si="8"/>
        <v>199700.14387499998</v>
      </c>
      <c r="T127" s="26">
        <f t="shared" si="9"/>
        <v>39150</v>
      </c>
    </row>
    <row r="128" spans="1:22" x14ac:dyDescent="0.25">
      <c r="A128" s="31" t="s">
        <v>521</v>
      </c>
      <c r="B128" t="str">
        <f>VLOOKUP(A128,kurspris!$A$1:$Q$809,2,FALSE)</f>
        <v>Svenska II för ämneslärare</v>
      </c>
      <c r="C128" s="31">
        <v>1640</v>
      </c>
      <c r="D128" t="str">
        <f>VLOOKUP(C128,Orgenheter!$A$1:$B$213,2)</f>
        <v>Inst för kultur- o medievetenskap</v>
      </c>
      <c r="E128" t="str">
        <f>VLOOKUP(C128,Orgenheter!$A$1:$C$165,3,FALSE)</f>
        <v>Hum</v>
      </c>
      <c r="F128" s="294">
        <v>0.5</v>
      </c>
      <c r="G128">
        <f>VLOOKUP(A128,'Ansvar kurs'!$A$85:$C$976,2,FALSE)</f>
        <v>1620</v>
      </c>
      <c r="H128" t="str">
        <f>VLOOKUP(G128,Orgenheter!$A$1:$B$213,2)</f>
        <v>Inst för språkstudier</v>
      </c>
      <c r="I128" t="str">
        <f>VLOOKUP(G128,Orgenheter!$A$1:$C$165,3,FALSE)</f>
        <v>Hum</v>
      </c>
      <c r="J128" s="210">
        <f>IF(ISERROR(VLOOKUP(A128,'Totalt pivot'!$A$5:$C$397,2,FALSE)),0,(VLOOKUP(A128,'Totalt pivot'!$A$5:$C$397,2,FALSE)))</f>
        <v>13</v>
      </c>
      <c r="K128" s="210">
        <f t="shared" si="5"/>
        <v>6.5</v>
      </c>
      <c r="L128" s="210">
        <f>IF(ISERROR(VLOOKUP(A128,'Totalt pivot'!$A$5:$C$397,3,FALSE)),0,(VLOOKUP(A128,'Totalt pivot'!$A$5:$C$397,3,FALSE)))</f>
        <v>11.049999999999999</v>
      </c>
      <c r="M128" s="210">
        <f t="shared" si="6"/>
        <v>5.5249999999999995</v>
      </c>
      <c r="N128" s="26">
        <f>VLOOKUP(A128,kurspris!$A$1:$Q$809,15)</f>
        <v>18405</v>
      </c>
      <c r="O128" s="26">
        <f>VLOOKUP(A128,kurspris!$A$1:$Q$809,16)</f>
        <v>15773</v>
      </c>
      <c r="P128" s="26">
        <f>VLOOKUP(A128,kurspris!$A$1:$Q$809,17)</f>
        <v>5800</v>
      </c>
      <c r="Q128" s="26">
        <f t="shared" si="7"/>
        <v>206778.32500000001</v>
      </c>
      <c r="R128" s="26">
        <f>(Q128*Prislapp!$R$5)*-1</f>
        <v>-14474.482750000003</v>
      </c>
      <c r="S128" s="26">
        <f t="shared" si="8"/>
        <v>192303.84225000002</v>
      </c>
      <c r="T128" s="26">
        <f t="shared" si="9"/>
        <v>37700</v>
      </c>
    </row>
    <row r="129" spans="1:20" x14ac:dyDescent="0.25">
      <c r="A129" s="31" t="s">
        <v>606</v>
      </c>
      <c r="B129" t="str">
        <f>VLOOKUP(A129,kurspris!$A$1:$Q$809,2,FALSE)</f>
        <v>Svenska III för ämneslärare</v>
      </c>
      <c r="C129" s="31">
        <v>1640</v>
      </c>
      <c r="D129" t="str">
        <f>VLOOKUP(C129,Orgenheter!$A$1:$B$213,2)</f>
        <v>Inst för kultur- o medievetenskap</v>
      </c>
      <c r="E129" t="str">
        <f>VLOOKUP(C129,Orgenheter!$A$1:$C$165,3,FALSE)</f>
        <v>Hum</v>
      </c>
      <c r="F129" s="294">
        <v>0.5</v>
      </c>
      <c r="G129">
        <f>VLOOKUP(A129,'Ansvar kurs'!$A$85:$C$976,2,FALSE)</f>
        <v>1620</v>
      </c>
      <c r="H129" t="str">
        <f>VLOOKUP(G129,Orgenheter!$A$1:$B$213,2)</f>
        <v>Inst för språkstudier</v>
      </c>
      <c r="I129" t="str">
        <f>VLOOKUP(G129,Orgenheter!$A$1:$C$165,3,FALSE)</f>
        <v>Hum</v>
      </c>
      <c r="J129" s="210">
        <f>IF(ISERROR(VLOOKUP(A129,'Totalt pivot'!$A$5:$C$397,2,FALSE)),0,(VLOOKUP(A129,'Totalt pivot'!$A$5:$C$397,2,FALSE)))</f>
        <v>7</v>
      </c>
      <c r="K129" s="210">
        <f t="shared" si="5"/>
        <v>3.5</v>
      </c>
      <c r="L129" s="210">
        <f>IF(ISERROR(VLOOKUP(A129,'Totalt pivot'!$A$5:$C$397,3,FALSE)),0,(VLOOKUP(A129,'Totalt pivot'!$A$5:$C$397,3,FALSE)))</f>
        <v>5.95</v>
      </c>
      <c r="M129" s="210">
        <f t="shared" si="6"/>
        <v>2.9750000000000001</v>
      </c>
      <c r="N129" s="26">
        <f>VLOOKUP(A129,kurspris!$A$1:$Q$809,15)</f>
        <v>18405</v>
      </c>
      <c r="O129" s="26">
        <f>VLOOKUP(A129,kurspris!$A$1:$Q$809,16)</f>
        <v>15773</v>
      </c>
      <c r="P129" s="26">
        <f>VLOOKUP(A129,kurspris!$A$1:$Q$809,17)</f>
        <v>5800</v>
      </c>
      <c r="Q129" s="26">
        <f t="shared" si="7"/>
        <v>111342.175</v>
      </c>
      <c r="R129" s="26">
        <f>(Q129*Prislapp!$R$5)*-1</f>
        <v>-7793.9522500000012</v>
      </c>
      <c r="S129" s="26">
        <f t="shared" si="8"/>
        <v>103548.22275</v>
      </c>
      <c r="T129" s="26">
        <f t="shared" si="9"/>
        <v>20300</v>
      </c>
    </row>
    <row r="130" spans="1:20" x14ac:dyDescent="0.25">
      <c r="A130" s="31" t="s">
        <v>935</v>
      </c>
      <c r="B130" t="str">
        <f>VLOOKUP(A130,kurspris!$A$1:$Q$809,2,FALSE)</f>
        <v>Samhällsvetenskap</v>
      </c>
      <c r="C130" s="31">
        <v>2340</v>
      </c>
      <c r="D130" t="str">
        <f>VLOOKUP(C130,Orgenheter!$A$1:$B$213,2)</f>
        <v xml:space="preserve">Statsvetenskap                </v>
      </c>
      <c r="E130" t="str">
        <f>VLOOKUP(C130,Orgenheter!$A$1:$C$165,3,FALSE)</f>
        <v>Sam</v>
      </c>
      <c r="F130" s="294">
        <f>7/10</f>
        <v>0.7</v>
      </c>
      <c r="G130">
        <f>VLOOKUP(A130,'Ansvar kurs'!$A$85:$C$976,2,FALSE)</f>
        <v>2193</v>
      </c>
      <c r="H130" t="str">
        <f>VLOOKUP(G130,Orgenheter!$A$1:$B$213,2)</f>
        <v xml:space="preserve">TUV </v>
      </c>
      <c r="I130" t="str">
        <f>VLOOKUP(G130,Orgenheter!$A$1:$C$165,3,FALSE)</f>
        <v>Sam</v>
      </c>
      <c r="J130" s="210">
        <f>IF(ISERROR(VLOOKUP(A130,'Totalt pivot'!$A$5:$C$397,2,FALSE)),0,(VLOOKUP(A130,'Totalt pivot'!$A$5:$C$397,2,FALSE)))</f>
        <v>4.8333300000000001</v>
      </c>
      <c r="K130" s="210">
        <f t="shared" si="5"/>
        <v>3.3833310000000001</v>
      </c>
      <c r="L130" s="210">
        <f>IF(ISERROR(VLOOKUP(A130,'Totalt pivot'!$A$5:$C$397,3,FALSE)),0,(VLOOKUP(A130,'Totalt pivot'!$A$5:$C$397,3,FALSE)))</f>
        <v>3.8666640000000001</v>
      </c>
      <c r="M130" s="210">
        <f t="shared" ref="M130:M132" si="10">F130*L130</f>
        <v>2.7066648</v>
      </c>
      <c r="N130" s="26">
        <f>VLOOKUP(A130,kurspris!$A$1:$Q$809,15)</f>
        <v>18405</v>
      </c>
      <c r="O130" s="26">
        <f>VLOOKUP(A130,kurspris!$A$1:$Q$809,16)</f>
        <v>15773</v>
      </c>
      <c r="P130" s="26">
        <f>VLOOKUP(A130,kurspris!$A$1:$Q$809,17)</f>
        <v>5800</v>
      </c>
      <c r="Q130" s="26">
        <f t="shared" ref="Q130:Q132" si="11">K130*N130+M130*O130</f>
        <v>104962.4309454</v>
      </c>
      <c r="R130" s="26">
        <f>(Q130*Prislapp!$R$5)*-1</f>
        <v>-7347.3701661780005</v>
      </c>
      <c r="S130" s="26">
        <f t="shared" ref="S130:S132" si="12">Q130+R130</f>
        <v>97615.060779221996</v>
      </c>
      <c r="T130" s="26">
        <f t="shared" ref="T130:T132" si="13">K130*P130</f>
        <v>19623.319800000001</v>
      </c>
    </row>
    <row r="131" spans="1:20" x14ac:dyDescent="0.25">
      <c r="A131" s="31" t="s">
        <v>935</v>
      </c>
      <c r="B131" t="str">
        <f>VLOOKUP(A131,kurspris!$A$1:$Q$809,2,FALSE)</f>
        <v>Samhällsvetenskap</v>
      </c>
      <c r="C131" s="31">
        <v>2180</v>
      </c>
      <c r="D131" t="str">
        <f>VLOOKUP(C131,Orgenheter!$A$1:$B$213,2)</f>
        <v xml:space="preserve">Pedagogik                     </v>
      </c>
      <c r="E131" t="str">
        <f>VLOOKUP(C131,Orgenheter!$A$1:$C$165,3,FALSE)</f>
        <v>Sam</v>
      </c>
      <c r="F131" s="294">
        <f>3/10</f>
        <v>0.3</v>
      </c>
      <c r="G131">
        <f>VLOOKUP(A131,'Ansvar kurs'!$A$85:$C$976,2,FALSE)</f>
        <v>2193</v>
      </c>
      <c r="H131" t="str">
        <f>VLOOKUP(G131,Orgenheter!$A$1:$B$213,2)</f>
        <v xml:space="preserve">TUV </v>
      </c>
      <c r="I131" t="str">
        <f>VLOOKUP(G131,Orgenheter!$A$1:$C$165,3,FALSE)</f>
        <v>Sam</v>
      </c>
      <c r="J131" s="210">
        <f>IF(ISERROR(VLOOKUP(A131,'Totalt pivot'!$A$5:$C$397,2,FALSE)),0,(VLOOKUP(A131,'Totalt pivot'!$A$5:$C$397,2,FALSE)))</f>
        <v>4.8333300000000001</v>
      </c>
      <c r="K131" s="210">
        <f t="shared" si="5"/>
        <v>1.449999</v>
      </c>
      <c r="L131" s="210">
        <f>IF(ISERROR(VLOOKUP(A131,'Totalt pivot'!$A$5:$C$397,3,FALSE)),0,(VLOOKUP(A131,'Totalt pivot'!$A$5:$C$397,3,FALSE)))</f>
        <v>3.8666640000000001</v>
      </c>
      <c r="M131" s="210">
        <f t="shared" si="10"/>
        <v>1.1599991999999999</v>
      </c>
      <c r="N131" s="26">
        <f>VLOOKUP(A131,kurspris!$A$1:$Q$809,15)</f>
        <v>18405</v>
      </c>
      <c r="O131" s="26">
        <f>VLOOKUP(A131,kurspris!$A$1:$Q$809,16)</f>
        <v>15773</v>
      </c>
      <c r="P131" s="26">
        <f>VLOOKUP(A131,kurspris!$A$1:$Q$809,17)</f>
        <v>5800</v>
      </c>
      <c r="Q131" s="26">
        <f t="shared" si="11"/>
        <v>44983.898976600001</v>
      </c>
      <c r="R131" s="26">
        <f>(Q131*Prislapp!$R$5)*-1</f>
        <v>-3148.8729283620005</v>
      </c>
      <c r="S131" s="26">
        <f t="shared" si="12"/>
        <v>41835.026048238004</v>
      </c>
      <c r="T131" s="26">
        <f t="shared" si="13"/>
        <v>8409.994200000001</v>
      </c>
    </row>
    <row r="132" spans="1:20" x14ac:dyDescent="0.25">
      <c r="A132" s="31" t="s">
        <v>1604</v>
      </c>
      <c r="B132" t="str">
        <f>VLOOKUP(A132,kurspris!$A$1:$Q$809,2,FALSE)</f>
        <v>Beteendevetenskapliga grunder</v>
      </c>
      <c r="C132" s="31">
        <v>2180</v>
      </c>
      <c r="D132" t="str">
        <f>VLOOKUP(C132,Orgenheter!$A$1:$B$213,2)</f>
        <v xml:space="preserve">Pedagogik                     </v>
      </c>
      <c r="E132" t="str">
        <f>VLOOKUP(C132,Orgenheter!$A$1:$C$165,3,FALSE)</f>
        <v>Sam</v>
      </c>
      <c r="F132" s="294">
        <f>4.5/7.5</f>
        <v>0.6</v>
      </c>
      <c r="G132">
        <f>VLOOKUP(A132,'Ansvar kurs'!$A$85:$C$976,2,FALSE)</f>
        <v>2193</v>
      </c>
      <c r="H132" t="str">
        <f>VLOOKUP(G132,Orgenheter!$A$1:$B$213,2)</f>
        <v xml:space="preserve">TUV </v>
      </c>
      <c r="I132" t="str">
        <f>VLOOKUP(G132,Orgenheter!$A$1:$C$165,3,FALSE)</f>
        <v>Sam</v>
      </c>
      <c r="J132" s="210">
        <f>IF(ISERROR(VLOOKUP(A132,'Totalt pivot'!$A$5:$C$397,2,FALSE)),0,(VLOOKUP(A132,'Totalt pivot'!$A$5:$C$397,2,FALSE)))</f>
        <v>6.75</v>
      </c>
      <c r="K132" s="210">
        <f t="shared" si="5"/>
        <v>4.05</v>
      </c>
      <c r="L132" s="210">
        <f>IF(ISERROR(VLOOKUP(A132,'Totalt pivot'!$A$5:$C$397,3,FALSE)),0,(VLOOKUP(A132,'Totalt pivot'!$A$5:$C$397,3,FALSE)))</f>
        <v>5.7374999999999998</v>
      </c>
      <c r="M132" s="210">
        <f t="shared" si="10"/>
        <v>3.4424999999999999</v>
      </c>
      <c r="N132" s="26">
        <f>VLOOKUP(A132,kurspris!$A$1:$Q$809,15)</f>
        <v>18405</v>
      </c>
      <c r="O132" s="26">
        <f>VLOOKUP(A132,kurspris!$A$1:$Q$809,16)</f>
        <v>15773</v>
      </c>
      <c r="P132" s="26">
        <f>VLOOKUP(A132,kurspris!$A$1:$Q$809,17)</f>
        <v>5800</v>
      </c>
      <c r="Q132" s="26">
        <f t="shared" si="11"/>
        <v>128838.80249999999</v>
      </c>
      <c r="R132" s="26">
        <f>(Q132*Prislapp!$R$5)*-1</f>
        <v>-9018.7161749999996</v>
      </c>
      <c r="S132" s="26">
        <f t="shared" si="12"/>
        <v>119820.086325</v>
      </c>
      <c r="T132" s="26">
        <f t="shared" si="13"/>
        <v>23490</v>
      </c>
    </row>
  </sheetData>
  <autoFilter ref="A1:T132"/>
  <pageMargins left="0.70866141732283472" right="0.70866141732283472" top="0.74803149606299213" bottom="0.74803149606299213" header="0.31496062992125984" footer="0.31496062992125984"/>
  <pageSetup paperSize="9" scale="51"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12"/>
    <pageSetUpPr fitToPage="1"/>
  </sheetPr>
  <dimension ref="A1:M291"/>
  <sheetViews>
    <sheetView workbookViewId="0">
      <selection activeCell="D1" sqref="D1"/>
    </sheetView>
  </sheetViews>
  <sheetFormatPr defaultColWidth="10.42578125" defaultRowHeight="15" x14ac:dyDescent="0.25"/>
  <cols>
    <col min="1" max="1" width="12.42578125" style="1" bestFit="1" customWidth="1"/>
    <col min="2" max="2" width="9.5703125" customWidth="1"/>
    <col min="3" max="3" width="36.85546875" style="29" customWidth="1"/>
    <col min="4" max="4" width="14" customWidth="1"/>
    <col min="5" max="5" width="68.42578125" customWidth="1"/>
    <col min="6" max="6" width="28" customWidth="1"/>
    <col min="7" max="7" width="10" customWidth="1"/>
    <col min="8" max="8" width="6.140625" customWidth="1"/>
    <col min="9" max="9" width="9.85546875" customWidth="1"/>
    <col min="10" max="10" width="10.7109375" customWidth="1"/>
    <col min="11" max="11" width="10.28515625" customWidth="1"/>
    <col min="12" max="12" width="11.42578125" bestFit="1" customWidth="1"/>
  </cols>
  <sheetData>
    <row r="1" spans="1:13" ht="15.75" x14ac:dyDescent="0.25">
      <c r="A1" s="351" t="s">
        <v>9</v>
      </c>
      <c r="B1" s="351"/>
      <c r="C1" s="351"/>
      <c r="D1" s="351"/>
      <c r="E1" s="351"/>
    </row>
    <row r="2" spans="1:13" x14ac:dyDescent="0.25">
      <c r="A2" s="577"/>
      <c r="B2" s="577"/>
      <c r="C2" s="577"/>
      <c r="D2" s="577"/>
      <c r="E2" s="577"/>
      <c r="F2" s="577"/>
      <c r="G2" s="577"/>
      <c r="H2" s="63" t="s">
        <v>4</v>
      </c>
    </row>
    <row r="3" spans="1:13" s="68" customFormat="1" ht="45" x14ac:dyDescent="0.25">
      <c r="A3" s="158" t="s">
        <v>78</v>
      </c>
      <c r="B3" s="63" t="s">
        <v>399</v>
      </c>
      <c r="C3" s="578" t="s">
        <v>326</v>
      </c>
      <c r="D3" s="578" t="s">
        <v>59</v>
      </c>
      <c r="E3" s="578" t="s">
        <v>158</v>
      </c>
      <c r="F3" s="578" t="s">
        <v>2</v>
      </c>
      <c r="G3" s="158" t="s">
        <v>10</v>
      </c>
      <c r="H3" s="576" t="s">
        <v>449</v>
      </c>
      <c r="I3" s="576" t="s">
        <v>419</v>
      </c>
      <c r="J3" s="576" t="s">
        <v>458</v>
      </c>
      <c r="K3" s="576" t="s">
        <v>910</v>
      </c>
      <c r="L3" s="29"/>
      <c r="M3" s="29"/>
    </row>
    <row r="4" spans="1:13" x14ac:dyDescent="0.25">
      <c r="A4" t="s">
        <v>72</v>
      </c>
      <c r="B4">
        <v>1620</v>
      </c>
      <c r="C4" s="577" t="s">
        <v>176</v>
      </c>
      <c r="D4" t="s">
        <v>1733</v>
      </c>
      <c r="E4" t="s">
        <v>1741</v>
      </c>
      <c r="F4" t="s">
        <v>461</v>
      </c>
      <c r="G4" s="272">
        <v>0.35555555555555557</v>
      </c>
      <c r="H4" s="300">
        <v>5.3333333333333339</v>
      </c>
      <c r="I4" s="300">
        <v>4.5333333333333332</v>
      </c>
      <c r="J4" s="34">
        <v>221077.61600000001</v>
      </c>
      <c r="K4" s="34">
        <v>18133.333333333336</v>
      </c>
    </row>
    <row r="5" spans="1:13" ht="18" customHeight="1" x14ac:dyDescent="0.25">
      <c r="A5"/>
      <c r="C5" s="577"/>
      <c r="D5" t="s">
        <v>1732</v>
      </c>
      <c r="E5" t="s">
        <v>1740</v>
      </c>
      <c r="F5" t="s">
        <v>461</v>
      </c>
      <c r="G5" s="272">
        <v>0.4</v>
      </c>
      <c r="H5" s="300">
        <v>3.75</v>
      </c>
      <c r="I5" s="300">
        <v>3.1875</v>
      </c>
      <c r="J5" s="34">
        <v>155445.19875000001</v>
      </c>
      <c r="K5" s="34">
        <v>12750</v>
      </c>
    </row>
    <row r="6" spans="1:13" ht="18" customHeight="1" x14ac:dyDescent="0.25">
      <c r="A6"/>
      <c r="C6" s="577"/>
      <c r="D6" t="s">
        <v>1885</v>
      </c>
      <c r="E6" t="s">
        <v>1212</v>
      </c>
      <c r="F6" t="s">
        <v>461</v>
      </c>
      <c r="G6" s="272">
        <v>0.4</v>
      </c>
      <c r="H6" s="300">
        <v>1.35</v>
      </c>
      <c r="I6" s="300">
        <v>1.1475</v>
      </c>
      <c r="J6" s="34">
        <v>60400.975050000001</v>
      </c>
      <c r="K6" s="34">
        <v>7830.0000000000009</v>
      </c>
    </row>
    <row r="7" spans="1:13" ht="18" customHeight="1" x14ac:dyDescent="0.25">
      <c r="A7"/>
      <c r="C7" s="577"/>
      <c r="D7" t="s">
        <v>1886</v>
      </c>
      <c r="E7" t="s">
        <v>1213</v>
      </c>
      <c r="F7" t="s">
        <v>461</v>
      </c>
      <c r="G7" s="272">
        <v>0.4</v>
      </c>
      <c r="H7" s="300">
        <v>2.4000000000000004</v>
      </c>
      <c r="I7" s="300">
        <v>2.04</v>
      </c>
      <c r="J7" s="34">
        <v>107379.51120000001</v>
      </c>
      <c r="K7" s="34">
        <v>13920.000000000002</v>
      </c>
    </row>
    <row r="8" spans="1:13" ht="18" customHeight="1" x14ac:dyDescent="0.25">
      <c r="A8"/>
      <c r="C8" s="577"/>
      <c r="D8" t="s">
        <v>1887</v>
      </c>
      <c r="E8" t="s">
        <v>1888</v>
      </c>
      <c r="F8" t="s">
        <v>461</v>
      </c>
      <c r="G8" s="272">
        <v>0.41666666666666669</v>
      </c>
      <c r="H8" s="300">
        <v>4.7083333333333339</v>
      </c>
      <c r="I8" s="300">
        <v>4.0020833333333341</v>
      </c>
      <c r="J8" s="34">
        <v>210657.72162500003</v>
      </c>
      <c r="K8" s="34">
        <v>27308.333333333336</v>
      </c>
    </row>
    <row r="9" spans="1:13" ht="18" customHeight="1" x14ac:dyDescent="0.25">
      <c r="A9"/>
      <c r="C9" s="577"/>
      <c r="D9" t="s">
        <v>1889</v>
      </c>
      <c r="E9" t="s">
        <v>1286</v>
      </c>
      <c r="F9" t="s">
        <v>461</v>
      </c>
      <c r="G9" s="272">
        <v>0.33333333333333331</v>
      </c>
      <c r="H9" s="300">
        <v>0.85833333333333339</v>
      </c>
      <c r="I9" s="300">
        <v>0.72958333333333325</v>
      </c>
      <c r="J9" s="34">
        <v>35579.678824999995</v>
      </c>
      <c r="K9" s="34">
        <v>2918.3333333333335</v>
      </c>
    </row>
    <row r="10" spans="1:13" ht="18" customHeight="1" x14ac:dyDescent="0.25">
      <c r="A10"/>
      <c r="C10" s="577"/>
      <c r="D10" t="s">
        <v>1923</v>
      </c>
      <c r="E10" t="s">
        <v>1924</v>
      </c>
      <c r="F10" t="s">
        <v>192</v>
      </c>
      <c r="G10" s="272">
        <v>0.2</v>
      </c>
      <c r="H10" s="300">
        <v>2.15</v>
      </c>
      <c r="I10" s="300">
        <v>1.8274999999999999</v>
      </c>
      <c r="J10" s="34">
        <v>63608.193975000002</v>
      </c>
      <c r="K10" s="34">
        <v>12470</v>
      </c>
    </row>
    <row r="11" spans="1:13" ht="18" customHeight="1" x14ac:dyDescent="0.25">
      <c r="A11"/>
      <c r="C11" s="577"/>
      <c r="D11" t="s">
        <v>2085</v>
      </c>
      <c r="E11" t="s">
        <v>2086</v>
      </c>
      <c r="F11" t="s">
        <v>461</v>
      </c>
      <c r="G11" s="272">
        <v>0.46666666666666667</v>
      </c>
      <c r="H11" s="300">
        <v>2.2166666666666668</v>
      </c>
      <c r="I11" s="300">
        <v>1.8841666666666665</v>
      </c>
      <c r="J11" s="34">
        <v>101133.27314999999</v>
      </c>
      <c r="K11" s="34">
        <v>48323.333333333336</v>
      </c>
    </row>
    <row r="12" spans="1:13" ht="18" customHeight="1" x14ac:dyDescent="0.25">
      <c r="A12"/>
      <c r="B12" t="s">
        <v>846</v>
      </c>
      <c r="C12"/>
      <c r="H12" s="300">
        <v>22.766666666666666</v>
      </c>
      <c r="I12" s="300">
        <v>19.351666666666667</v>
      </c>
      <c r="J12" s="34">
        <v>955282.16857500002</v>
      </c>
      <c r="K12" s="34">
        <v>143653.33333333334</v>
      </c>
    </row>
    <row r="13" spans="1:13" ht="18" customHeight="1" x14ac:dyDescent="0.25">
      <c r="A13"/>
      <c r="B13">
        <v>1640</v>
      </c>
      <c r="C13" s="577" t="s">
        <v>173</v>
      </c>
      <c r="D13" t="s">
        <v>470</v>
      </c>
      <c r="E13" t="s">
        <v>473</v>
      </c>
      <c r="F13" t="s">
        <v>172</v>
      </c>
      <c r="G13" s="272">
        <v>0.5</v>
      </c>
      <c r="H13" s="300">
        <v>6.6666699999999999</v>
      </c>
      <c r="I13" s="300">
        <v>5.6666695000000002</v>
      </c>
      <c r="J13" s="34">
        <v>298276.56913820998</v>
      </c>
      <c r="K13" s="34">
        <v>38666.686000000002</v>
      </c>
    </row>
    <row r="14" spans="1:13" x14ac:dyDescent="0.25">
      <c r="A14"/>
      <c r="C14" s="577"/>
      <c r="D14" t="s">
        <v>516</v>
      </c>
      <c r="E14" t="s">
        <v>535</v>
      </c>
      <c r="F14" t="s">
        <v>176</v>
      </c>
      <c r="G14" s="272">
        <v>0.5</v>
      </c>
      <c r="H14" s="300">
        <v>6.75</v>
      </c>
      <c r="I14" s="300">
        <v>5.7374999999999998</v>
      </c>
      <c r="J14" s="34">
        <v>199700.14387499998</v>
      </c>
      <c r="K14" s="34">
        <v>39150</v>
      </c>
    </row>
    <row r="15" spans="1:13" x14ac:dyDescent="0.25">
      <c r="A15"/>
      <c r="C15" s="577"/>
      <c r="D15" t="s">
        <v>521</v>
      </c>
      <c r="E15" t="s">
        <v>536</v>
      </c>
      <c r="F15" t="s">
        <v>176</v>
      </c>
      <c r="G15" s="272">
        <v>0.5</v>
      </c>
      <c r="H15" s="300">
        <v>6.5</v>
      </c>
      <c r="I15" s="300">
        <v>5.5249999999999995</v>
      </c>
      <c r="J15" s="34">
        <v>192303.84225000002</v>
      </c>
      <c r="K15" s="34">
        <v>37700</v>
      </c>
    </row>
    <row r="16" spans="1:13" x14ac:dyDescent="0.25">
      <c r="A16"/>
      <c r="C16" s="577"/>
      <c r="D16" t="s">
        <v>606</v>
      </c>
      <c r="E16" t="s">
        <v>624</v>
      </c>
      <c r="F16" t="s">
        <v>176</v>
      </c>
      <c r="G16" s="272">
        <v>0.5</v>
      </c>
      <c r="H16" s="300">
        <v>3.5</v>
      </c>
      <c r="I16" s="300">
        <v>2.9750000000000001</v>
      </c>
      <c r="J16" s="34">
        <v>103548.22275</v>
      </c>
      <c r="K16" s="34">
        <v>20300</v>
      </c>
    </row>
    <row r="17" spans="1:11" x14ac:dyDescent="0.25">
      <c r="A17"/>
      <c r="C17" s="577"/>
      <c r="D17" t="s">
        <v>1145</v>
      </c>
      <c r="E17" t="s">
        <v>1130</v>
      </c>
      <c r="F17" t="s">
        <v>172</v>
      </c>
      <c r="G17" s="272">
        <v>0.46666666666666667</v>
      </c>
      <c r="H17" s="300">
        <v>17.149999999999999</v>
      </c>
      <c r="I17" s="300">
        <v>14.577500000000001</v>
      </c>
      <c r="J17" s="34">
        <v>767316.0904499999</v>
      </c>
      <c r="K17" s="34">
        <v>99469.999999999985</v>
      </c>
    </row>
    <row r="18" spans="1:11" ht="18" customHeight="1" x14ac:dyDescent="0.25">
      <c r="A18"/>
      <c r="C18" s="577"/>
      <c r="D18" t="s">
        <v>1266</v>
      </c>
      <c r="E18" t="s">
        <v>1275</v>
      </c>
      <c r="F18" t="s">
        <v>176</v>
      </c>
      <c r="G18" s="272">
        <v>0.5</v>
      </c>
      <c r="H18" s="300">
        <v>3</v>
      </c>
      <c r="I18" s="300">
        <v>2.5499999999999998</v>
      </c>
      <c r="J18" s="34">
        <v>88755.619500000001</v>
      </c>
      <c r="K18" s="34">
        <v>17400</v>
      </c>
    </row>
    <row r="19" spans="1:11" ht="18" customHeight="1" x14ac:dyDescent="0.25">
      <c r="A19"/>
      <c r="B19" t="s">
        <v>1358</v>
      </c>
      <c r="C19"/>
      <c r="H19" s="300">
        <v>43.566670000000002</v>
      </c>
      <c r="I19" s="300">
        <v>37.0316695</v>
      </c>
      <c r="J19" s="34">
        <v>1649900.4879632099</v>
      </c>
      <c r="K19" s="34">
        <v>252686.68599999999</v>
      </c>
    </row>
    <row r="20" spans="1:11" ht="18" customHeight="1" x14ac:dyDescent="0.25">
      <c r="A20"/>
      <c r="B20">
        <v>1650</v>
      </c>
      <c r="C20" s="577" t="s">
        <v>11</v>
      </c>
      <c r="D20" t="s">
        <v>506</v>
      </c>
      <c r="E20" t="s">
        <v>555</v>
      </c>
      <c r="F20" t="s">
        <v>1121</v>
      </c>
      <c r="G20" s="272">
        <v>0.4</v>
      </c>
      <c r="H20" s="300">
        <v>1.25</v>
      </c>
      <c r="I20" s="300">
        <v>1.0625</v>
      </c>
      <c r="J20" s="34">
        <v>36981.508125</v>
      </c>
      <c r="K20" s="34">
        <v>7250</v>
      </c>
    </row>
    <row r="21" spans="1:11" ht="18" customHeight="1" x14ac:dyDescent="0.25">
      <c r="A21"/>
      <c r="C21" s="577"/>
      <c r="D21" t="s">
        <v>1745</v>
      </c>
      <c r="E21" t="s">
        <v>1746</v>
      </c>
      <c r="F21" t="s">
        <v>461</v>
      </c>
      <c r="G21" s="272">
        <v>0.26666666666666666</v>
      </c>
      <c r="H21" s="300">
        <v>1.5333333333333332</v>
      </c>
      <c r="I21" s="300">
        <v>1.3033333333333335</v>
      </c>
      <c r="J21" s="34">
        <v>68603.5766</v>
      </c>
      <c r="K21" s="34">
        <v>8893.3333333333321</v>
      </c>
    </row>
    <row r="22" spans="1:11" ht="18" customHeight="1" x14ac:dyDescent="0.25">
      <c r="A22"/>
      <c r="C22" s="577"/>
      <c r="D22" t="s">
        <v>1887</v>
      </c>
      <c r="E22" t="s">
        <v>1888</v>
      </c>
      <c r="F22" t="s">
        <v>461</v>
      </c>
      <c r="G22" s="272">
        <v>0.16666666666666666</v>
      </c>
      <c r="H22" s="300">
        <v>1.8833333333333333</v>
      </c>
      <c r="I22" s="300">
        <v>1.6008333333333333</v>
      </c>
      <c r="J22" s="34">
        <v>84263.088649999991</v>
      </c>
      <c r="K22" s="34">
        <v>10923.333333333334</v>
      </c>
    </row>
    <row r="23" spans="1:11" x14ac:dyDescent="0.25">
      <c r="A23"/>
      <c r="C23" s="577"/>
      <c r="D23" t="s">
        <v>1889</v>
      </c>
      <c r="E23" t="s">
        <v>1286</v>
      </c>
      <c r="F23" t="s">
        <v>461</v>
      </c>
      <c r="G23" s="272">
        <v>0.33333333333333331</v>
      </c>
      <c r="H23" s="300">
        <v>0.85833333333333339</v>
      </c>
      <c r="I23" s="300">
        <v>0.72958333333333325</v>
      </c>
      <c r="J23" s="34">
        <v>35579.678824999995</v>
      </c>
      <c r="K23" s="34">
        <v>2918.3333333333335</v>
      </c>
    </row>
    <row r="24" spans="1:11" x14ac:dyDescent="0.25">
      <c r="A24"/>
      <c r="B24" t="s">
        <v>1359</v>
      </c>
      <c r="C24"/>
      <c r="H24" s="300">
        <v>5.5249999999999995</v>
      </c>
      <c r="I24" s="300">
        <v>4.69625</v>
      </c>
      <c r="J24" s="34">
        <v>225427.85219999996</v>
      </c>
      <c r="K24" s="34">
        <v>29984.999999999996</v>
      </c>
    </row>
    <row r="25" spans="1:11" ht="18" customHeight="1" x14ac:dyDescent="0.25">
      <c r="A25" s="272" t="s">
        <v>773</v>
      </c>
      <c r="B25" s="272"/>
      <c r="C25" s="272"/>
      <c r="D25" s="272"/>
      <c r="E25" s="272"/>
      <c r="F25" s="272"/>
      <c r="G25" s="272"/>
      <c r="H25" s="300">
        <v>71.858336666666673</v>
      </c>
      <c r="I25" s="300">
        <v>61.079586166666665</v>
      </c>
      <c r="J25" s="34">
        <v>2830610.5087382095</v>
      </c>
      <c r="K25" s="34">
        <v>426325.0193333333</v>
      </c>
    </row>
    <row r="26" spans="1:11" ht="18" customHeight="1" x14ac:dyDescent="0.25">
      <c r="A26" t="s">
        <v>74</v>
      </c>
      <c r="B26">
        <v>3306</v>
      </c>
      <c r="C26" s="577" t="s">
        <v>242</v>
      </c>
      <c r="D26" t="s">
        <v>586</v>
      </c>
      <c r="E26" t="s">
        <v>677</v>
      </c>
      <c r="F26" t="s">
        <v>192</v>
      </c>
      <c r="G26" s="272">
        <v>0.25</v>
      </c>
      <c r="H26" s="300">
        <v>3.125</v>
      </c>
      <c r="I26" s="300">
        <v>2.65</v>
      </c>
      <c r="J26" s="34">
        <v>208627.644</v>
      </c>
      <c r="K26" s="34">
        <v>107812.5</v>
      </c>
    </row>
    <row r="27" spans="1:11" ht="18" customHeight="1" x14ac:dyDescent="0.25">
      <c r="A27"/>
      <c r="C27" s="577"/>
      <c r="D27" t="s">
        <v>1577</v>
      </c>
      <c r="E27" t="s">
        <v>1593</v>
      </c>
      <c r="F27" t="s">
        <v>192</v>
      </c>
      <c r="G27" s="272">
        <v>0.25</v>
      </c>
      <c r="H27" s="300">
        <v>3.625</v>
      </c>
      <c r="I27" s="300">
        <v>3.0562499999999999</v>
      </c>
      <c r="J27" s="34">
        <v>241487.30493749998</v>
      </c>
      <c r="K27" s="34">
        <v>125062.5</v>
      </c>
    </row>
    <row r="28" spans="1:11" ht="18" customHeight="1" x14ac:dyDescent="0.25">
      <c r="A28"/>
      <c r="B28" t="s">
        <v>1673</v>
      </c>
      <c r="C28"/>
      <c r="H28" s="300">
        <v>6.75</v>
      </c>
      <c r="I28" s="300">
        <v>5.7062499999999998</v>
      </c>
      <c r="J28" s="34">
        <v>450114.94893750001</v>
      </c>
      <c r="K28" s="34">
        <v>232875</v>
      </c>
    </row>
    <row r="29" spans="1:11" ht="18" customHeight="1" x14ac:dyDescent="0.25">
      <c r="A29"/>
      <c r="B29">
        <v>3850</v>
      </c>
      <c r="C29" s="577" t="s">
        <v>813</v>
      </c>
      <c r="D29" t="s">
        <v>1821</v>
      </c>
      <c r="E29" t="s">
        <v>1831</v>
      </c>
      <c r="F29" t="s">
        <v>192</v>
      </c>
      <c r="G29" s="272">
        <v>0.16666666666666666</v>
      </c>
      <c r="H29" s="300">
        <v>1.9166666666666665</v>
      </c>
      <c r="I29" s="300">
        <v>1.6124999999999998</v>
      </c>
      <c r="J29" s="34">
        <v>127581.774875</v>
      </c>
      <c r="K29" s="34">
        <v>66125</v>
      </c>
    </row>
    <row r="30" spans="1:11" ht="18" customHeight="1" x14ac:dyDescent="0.25">
      <c r="A30"/>
      <c r="B30" t="s">
        <v>2136</v>
      </c>
      <c r="C30"/>
      <c r="H30" s="300">
        <v>1.9166666666666665</v>
      </c>
      <c r="I30" s="300">
        <v>1.6124999999999998</v>
      </c>
      <c r="J30" s="34">
        <v>127581.774875</v>
      </c>
      <c r="K30" s="34">
        <v>66125</v>
      </c>
    </row>
    <row r="31" spans="1:11" ht="18" customHeight="1" x14ac:dyDescent="0.25">
      <c r="A31" s="272" t="s">
        <v>1674</v>
      </c>
      <c r="B31" s="272"/>
      <c r="C31" s="272"/>
      <c r="D31" s="272"/>
      <c r="E31" s="272"/>
      <c r="F31" s="272"/>
      <c r="G31" s="272"/>
      <c r="H31" s="300">
        <v>8.6666666666666661</v>
      </c>
      <c r="I31" s="300">
        <v>7.3187499999999996</v>
      </c>
      <c r="J31" s="34">
        <v>577696.72381250001</v>
      </c>
      <c r="K31" s="34">
        <v>299000</v>
      </c>
    </row>
    <row r="32" spans="1:11" x14ac:dyDescent="0.25">
      <c r="A32" t="s">
        <v>73</v>
      </c>
      <c r="B32">
        <v>2180</v>
      </c>
      <c r="C32" s="577" t="s">
        <v>192</v>
      </c>
      <c r="D32" t="s">
        <v>512</v>
      </c>
      <c r="E32" t="s">
        <v>558</v>
      </c>
      <c r="F32" t="s">
        <v>198</v>
      </c>
      <c r="G32" s="272">
        <v>0.2</v>
      </c>
      <c r="H32" s="300">
        <v>2.2000000000000002</v>
      </c>
      <c r="I32" s="300">
        <v>1.87</v>
      </c>
      <c r="J32" s="34">
        <v>65087.454300000012</v>
      </c>
      <c r="K32" s="34">
        <v>12760.000000000002</v>
      </c>
    </row>
    <row r="33" spans="1:11" x14ac:dyDescent="0.25">
      <c r="A33"/>
      <c r="C33" s="577"/>
      <c r="D33" t="s">
        <v>513</v>
      </c>
      <c r="E33" t="s">
        <v>559</v>
      </c>
      <c r="F33" t="s">
        <v>198</v>
      </c>
      <c r="G33" s="272">
        <v>0.2</v>
      </c>
      <c r="H33" s="300">
        <v>1.8</v>
      </c>
      <c r="I33" s="300">
        <v>1.53</v>
      </c>
      <c r="J33" s="34">
        <v>53253.371700000003</v>
      </c>
      <c r="K33" s="34">
        <v>10440</v>
      </c>
    </row>
    <row r="34" spans="1:11" ht="18" customHeight="1" x14ac:dyDescent="0.25">
      <c r="A34"/>
      <c r="C34" s="577"/>
      <c r="D34" t="s">
        <v>603</v>
      </c>
      <c r="E34" t="s">
        <v>618</v>
      </c>
      <c r="F34" t="s">
        <v>198</v>
      </c>
      <c r="G34" s="272">
        <v>0.05</v>
      </c>
      <c r="H34" s="300">
        <v>0.32500000000000001</v>
      </c>
      <c r="I34" s="300">
        <v>0.27625</v>
      </c>
      <c r="J34" s="34">
        <v>9615.1921125000008</v>
      </c>
      <c r="K34" s="34">
        <v>1885</v>
      </c>
    </row>
    <row r="35" spans="1:11" x14ac:dyDescent="0.25">
      <c r="A35"/>
      <c r="C35" s="577"/>
      <c r="D35" t="s">
        <v>864</v>
      </c>
      <c r="E35" t="s">
        <v>1173</v>
      </c>
      <c r="F35" t="s">
        <v>172</v>
      </c>
      <c r="G35" s="272">
        <v>0.5</v>
      </c>
      <c r="H35" s="300">
        <v>3.5</v>
      </c>
      <c r="I35" s="300">
        <v>2.9750000000000001</v>
      </c>
      <c r="J35" s="34">
        <v>103548.22275</v>
      </c>
      <c r="K35" s="34">
        <v>20300</v>
      </c>
    </row>
    <row r="36" spans="1:11" x14ac:dyDescent="0.25">
      <c r="A36"/>
      <c r="C36" s="577"/>
      <c r="D36" t="s">
        <v>935</v>
      </c>
      <c r="E36" t="s">
        <v>752</v>
      </c>
      <c r="F36" t="s">
        <v>1121</v>
      </c>
      <c r="G36" s="272">
        <v>0.3</v>
      </c>
      <c r="H36" s="300">
        <v>1.449999</v>
      </c>
      <c r="I36" s="300">
        <v>1.1599991999999999</v>
      </c>
      <c r="J36" s="34">
        <v>41835.026048238004</v>
      </c>
      <c r="K36" s="34">
        <v>8409.994200000001</v>
      </c>
    </row>
    <row r="37" spans="1:11" ht="18" customHeight="1" x14ac:dyDescent="0.25">
      <c r="A37"/>
      <c r="C37" s="577"/>
      <c r="D37" t="s">
        <v>912</v>
      </c>
      <c r="E37" t="s">
        <v>1250</v>
      </c>
      <c r="F37" t="s">
        <v>1121</v>
      </c>
      <c r="G37" s="272">
        <v>0.4</v>
      </c>
      <c r="H37" s="300">
        <v>0.83333200000000007</v>
      </c>
      <c r="I37" s="300">
        <v>0.70833220000000008</v>
      </c>
      <c r="J37" s="34">
        <v>37284.492844716005</v>
      </c>
      <c r="K37" s="34">
        <v>4833.3256000000001</v>
      </c>
    </row>
    <row r="38" spans="1:11" ht="18" customHeight="1" x14ac:dyDescent="0.25">
      <c r="A38"/>
      <c r="C38" s="577"/>
      <c r="D38" t="s">
        <v>1143</v>
      </c>
      <c r="E38" t="s">
        <v>1129</v>
      </c>
      <c r="F38" t="s">
        <v>172</v>
      </c>
      <c r="G38" s="272">
        <v>0.13333333333333333</v>
      </c>
      <c r="H38" s="300">
        <v>5.083333333333333</v>
      </c>
      <c r="I38" s="300">
        <v>4.3208333333333329</v>
      </c>
      <c r="J38" s="34">
        <v>227435.77024999997</v>
      </c>
      <c r="K38" s="34">
        <v>29483.333333333332</v>
      </c>
    </row>
    <row r="39" spans="1:11" x14ac:dyDescent="0.25">
      <c r="A39"/>
      <c r="C39" s="577"/>
      <c r="D39" t="s">
        <v>911</v>
      </c>
      <c r="E39" t="s">
        <v>1249</v>
      </c>
      <c r="F39" t="s">
        <v>1121</v>
      </c>
      <c r="G39" s="272">
        <v>0.4</v>
      </c>
      <c r="H39" s="300">
        <v>1.7333320000000001</v>
      </c>
      <c r="I39" s="300">
        <v>1.4733322</v>
      </c>
      <c r="J39" s="34">
        <v>77551.809544716001</v>
      </c>
      <c r="K39" s="34">
        <v>10053.3256</v>
      </c>
    </row>
    <row r="40" spans="1:11" x14ac:dyDescent="0.25">
      <c r="A40"/>
      <c r="C40" s="577"/>
      <c r="D40" t="s">
        <v>1435</v>
      </c>
      <c r="E40" t="s">
        <v>1415</v>
      </c>
      <c r="F40" t="s">
        <v>1121</v>
      </c>
      <c r="G40" s="272">
        <v>0.2</v>
      </c>
      <c r="H40" s="300">
        <v>3.2</v>
      </c>
      <c r="I40" s="300">
        <v>2.72</v>
      </c>
      <c r="J40" s="34">
        <v>94672.660799999998</v>
      </c>
      <c r="K40" s="34">
        <v>18560</v>
      </c>
    </row>
    <row r="41" spans="1:11" x14ac:dyDescent="0.25">
      <c r="A41"/>
      <c r="C41" s="577"/>
      <c r="D41" t="s">
        <v>1559</v>
      </c>
      <c r="E41" t="s">
        <v>1592</v>
      </c>
      <c r="F41" t="s">
        <v>11</v>
      </c>
      <c r="G41" s="272">
        <v>0.2</v>
      </c>
      <c r="H41" s="300">
        <v>2.0249999999999999</v>
      </c>
      <c r="I41" s="300">
        <v>1.7212499999999999</v>
      </c>
      <c r="J41" s="34">
        <v>72944.110574999999</v>
      </c>
      <c r="K41" s="34">
        <v>35032.5</v>
      </c>
    </row>
    <row r="42" spans="1:11" x14ac:dyDescent="0.25">
      <c r="A42"/>
      <c r="C42" s="577"/>
      <c r="D42" t="s">
        <v>1529</v>
      </c>
      <c r="E42" t="s">
        <v>1544</v>
      </c>
      <c r="F42" t="s">
        <v>461</v>
      </c>
      <c r="G42" s="272">
        <v>0.26666666666666666</v>
      </c>
      <c r="H42" s="300">
        <v>1.6</v>
      </c>
      <c r="I42" s="300">
        <v>1.3599999999999999</v>
      </c>
      <c r="J42" s="34">
        <v>71586.340799999991</v>
      </c>
      <c r="K42" s="34">
        <v>9280</v>
      </c>
    </row>
    <row r="43" spans="1:11" x14ac:dyDescent="0.25">
      <c r="A43"/>
      <c r="C43" s="577"/>
      <c r="D43" t="s">
        <v>1608</v>
      </c>
      <c r="E43" t="s">
        <v>1609</v>
      </c>
      <c r="F43" t="s">
        <v>1121</v>
      </c>
      <c r="G43" s="272">
        <v>0.26666666666666666</v>
      </c>
      <c r="H43" s="300">
        <v>1.5333333333333332</v>
      </c>
      <c r="I43" s="300">
        <v>1.3033333333333332</v>
      </c>
      <c r="J43" s="34">
        <v>68603.5766</v>
      </c>
      <c r="K43" s="34">
        <v>8893.3333333333321</v>
      </c>
    </row>
    <row r="44" spans="1:11" x14ac:dyDescent="0.25">
      <c r="A44"/>
      <c r="C44" s="577"/>
      <c r="D44" t="s">
        <v>1561</v>
      </c>
      <c r="E44" t="s">
        <v>1599</v>
      </c>
      <c r="F44" t="s">
        <v>1121</v>
      </c>
      <c r="G44" s="272">
        <v>0.125</v>
      </c>
      <c r="H44" s="300">
        <v>1.25</v>
      </c>
      <c r="I44" s="300">
        <v>1.0625</v>
      </c>
      <c r="J44" s="34">
        <v>55926.828750000001</v>
      </c>
      <c r="K44" s="34">
        <v>7250</v>
      </c>
    </row>
    <row r="45" spans="1:11" x14ac:dyDescent="0.25">
      <c r="A45"/>
      <c r="C45" s="577"/>
      <c r="D45" t="s">
        <v>1558</v>
      </c>
      <c r="E45" t="s">
        <v>1598</v>
      </c>
      <c r="F45" t="s">
        <v>1121</v>
      </c>
      <c r="G45" s="272">
        <v>0.41666666666666669</v>
      </c>
      <c r="H45" s="300">
        <v>3.0416666666666665</v>
      </c>
      <c r="I45" s="300">
        <v>2.5854166666666667</v>
      </c>
      <c r="J45" s="34">
        <v>136088.616625</v>
      </c>
      <c r="K45" s="34">
        <v>17641.666666666664</v>
      </c>
    </row>
    <row r="46" spans="1:11" x14ac:dyDescent="0.25">
      <c r="A46"/>
      <c r="C46" s="577"/>
      <c r="D46" t="s">
        <v>1569</v>
      </c>
      <c r="E46" t="s">
        <v>1602</v>
      </c>
      <c r="F46" t="s">
        <v>461</v>
      </c>
      <c r="G46" s="272">
        <v>0.22727272727272727</v>
      </c>
      <c r="H46" s="300">
        <v>3.4166681818181814</v>
      </c>
      <c r="I46" s="300">
        <v>2.9041679545454544</v>
      </c>
      <c r="J46" s="34">
        <v>152866.73304009545</v>
      </c>
      <c r="K46" s="34">
        <v>19816.675454545453</v>
      </c>
    </row>
    <row r="47" spans="1:11" x14ac:dyDescent="0.25">
      <c r="A47"/>
      <c r="C47" s="577"/>
      <c r="D47" t="s">
        <v>1604</v>
      </c>
      <c r="E47" t="s">
        <v>1188</v>
      </c>
      <c r="F47" t="s">
        <v>1121</v>
      </c>
      <c r="G47" s="272">
        <v>0.6</v>
      </c>
      <c r="H47" s="300">
        <v>4.05</v>
      </c>
      <c r="I47" s="300">
        <v>3.4424999999999999</v>
      </c>
      <c r="J47" s="34">
        <v>119820.086325</v>
      </c>
      <c r="K47" s="34">
        <v>23490</v>
      </c>
    </row>
    <row r="48" spans="1:11" x14ac:dyDescent="0.25">
      <c r="A48"/>
      <c r="C48" s="577"/>
      <c r="D48" t="s">
        <v>1686</v>
      </c>
      <c r="E48" t="s">
        <v>1687</v>
      </c>
      <c r="F48" t="s">
        <v>461</v>
      </c>
      <c r="G48" s="272">
        <v>0.22727272727272727</v>
      </c>
      <c r="H48" s="300">
        <v>4.1249999999999991</v>
      </c>
      <c r="I48" s="300">
        <v>3.5062499999999996</v>
      </c>
      <c r="J48" s="34">
        <v>184558.53487499998</v>
      </c>
      <c r="K48" s="34">
        <v>23924.999999999996</v>
      </c>
    </row>
    <row r="49" spans="1:11" x14ac:dyDescent="0.25">
      <c r="A49"/>
      <c r="C49" s="577"/>
      <c r="D49" t="s">
        <v>1563</v>
      </c>
      <c r="E49" t="s">
        <v>1421</v>
      </c>
      <c r="F49" t="s">
        <v>1121</v>
      </c>
      <c r="G49" s="272">
        <v>0.2</v>
      </c>
      <c r="H49" s="300">
        <v>1.3</v>
      </c>
      <c r="I49" s="300">
        <v>1.105</v>
      </c>
      <c r="J49" s="34">
        <v>38460.768450000003</v>
      </c>
      <c r="K49" s="34">
        <v>7540</v>
      </c>
    </row>
    <row r="50" spans="1:11" x14ac:dyDescent="0.25">
      <c r="A50"/>
      <c r="C50" s="577"/>
      <c r="D50" t="s">
        <v>1745</v>
      </c>
      <c r="E50" t="s">
        <v>1746</v>
      </c>
      <c r="F50" t="s">
        <v>461</v>
      </c>
      <c r="G50" s="272">
        <v>0.2</v>
      </c>
      <c r="H50" s="300">
        <v>1.1500000000000001</v>
      </c>
      <c r="I50" s="300">
        <v>0.97750000000000004</v>
      </c>
      <c r="J50" s="34">
        <v>51452.68245</v>
      </c>
      <c r="K50" s="34">
        <v>6670.0000000000009</v>
      </c>
    </row>
    <row r="51" spans="1:11" x14ac:dyDescent="0.25">
      <c r="A51"/>
      <c r="C51" s="577"/>
      <c r="D51" t="s">
        <v>1733</v>
      </c>
      <c r="E51" t="s">
        <v>1741</v>
      </c>
      <c r="F51" t="s">
        <v>461</v>
      </c>
      <c r="G51" s="272">
        <v>0.13333333333333333</v>
      </c>
      <c r="H51" s="300">
        <v>2</v>
      </c>
      <c r="I51" s="300">
        <v>1.7</v>
      </c>
      <c r="J51" s="34">
        <v>82904.106</v>
      </c>
      <c r="K51" s="34">
        <v>6800</v>
      </c>
    </row>
    <row r="52" spans="1:11" x14ac:dyDescent="0.25">
      <c r="A52"/>
      <c r="C52" s="577"/>
      <c r="D52" t="s">
        <v>1863</v>
      </c>
      <c r="E52" t="s">
        <v>1419</v>
      </c>
      <c r="F52" t="s">
        <v>1121</v>
      </c>
      <c r="G52" s="272">
        <v>0.3</v>
      </c>
      <c r="H52" s="300">
        <v>6.375</v>
      </c>
      <c r="I52" s="300">
        <v>5.4187500000000002</v>
      </c>
      <c r="J52" s="34">
        <v>188605.69143750001</v>
      </c>
      <c r="K52" s="34">
        <v>36975</v>
      </c>
    </row>
    <row r="53" spans="1:11" x14ac:dyDescent="0.25">
      <c r="A53"/>
      <c r="C53" s="577"/>
      <c r="D53" t="s">
        <v>1864</v>
      </c>
      <c r="E53" t="s">
        <v>1487</v>
      </c>
      <c r="F53" t="s">
        <v>1121</v>
      </c>
      <c r="G53" s="272">
        <v>0.46666666666666667</v>
      </c>
      <c r="H53" s="300">
        <v>4.958333333333333</v>
      </c>
      <c r="I53" s="300">
        <v>4.2145833333333336</v>
      </c>
      <c r="J53" s="34">
        <v>221843.087375</v>
      </c>
      <c r="K53" s="34">
        <v>28758.333333333332</v>
      </c>
    </row>
    <row r="54" spans="1:11" x14ac:dyDescent="0.25">
      <c r="A54"/>
      <c r="C54" s="577"/>
      <c r="D54" t="s">
        <v>1865</v>
      </c>
      <c r="E54" t="s">
        <v>1876</v>
      </c>
      <c r="F54" t="s">
        <v>1121</v>
      </c>
      <c r="G54" s="272">
        <v>0.46666666666666667</v>
      </c>
      <c r="H54" s="300">
        <v>1.2833333333333334</v>
      </c>
      <c r="I54" s="300">
        <v>1.0908333333333333</v>
      </c>
      <c r="J54" s="34">
        <v>57418.210850000003</v>
      </c>
      <c r="K54" s="34">
        <v>7443.3333333333339</v>
      </c>
    </row>
    <row r="55" spans="1:11" x14ac:dyDescent="0.25">
      <c r="A55"/>
      <c r="C55" s="577"/>
      <c r="D55" t="s">
        <v>1925</v>
      </c>
      <c r="E55" t="s">
        <v>1928</v>
      </c>
      <c r="F55" t="s">
        <v>1121</v>
      </c>
      <c r="G55" s="272">
        <v>0.33333333333333331</v>
      </c>
      <c r="H55" s="300">
        <v>6.1666666666666661</v>
      </c>
      <c r="I55" s="300">
        <v>5.2416666666666654</v>
      </c>
      <c r="J55" s="34">
        <v>359402.87254999991</v>
      </c>
      <c r="K55" s="34">
        <v>35766.666666666664</v>
      </c>
    </row>
    <row r="56" spans="1:11" x14ac:dyDescent="0.25">
      <c r="A56"/>
      <c r="C56" s="577"/>
      <c r="D56" t="s">
        <v>2054</v>
      </c>
      <c r="E56" t="s">
        <v>1420</v>
      </c>
      <c r="F56" t="s">
        <v>11</v>
      </c>
      <c r="G56" s="272">
        <v>0.1</v>
      </c>
      <c r="H56" s="300">
        <v>2.1</v>
      </c>
      <c r="I56" s="300">
        <v>1.7849999999999999</v>
      </c>
      <c r="J56" s="34">
        <v>75645.744299999991</v>
      </c>
      <c r="K56" s="34">
        <v>36330</v>
      </c>
    </row>
    <row r="57" spans="1:11" x14ac:dyDescent="0.25">
      <c r="A57"/>
      <c r="B57" t="s">
        <v>780</v>
      </c>
      <c r="C57"/>
      <c r="H57" s="300">
        <v>66.499997848484838</v>
      </c>
      <c r="I57" s="300">
        <v>56.452498221212117</v>
      </c>
      <c r="J57" s="34">
        <v>2648411.9913527654</v>
      </c>
      <c r="K57" s="34">
        <v>428337.48752121208</v>
      </c>
    </row>
    <row r="58" spans="1:11" x14ac:dyDescent="0.25">
      <c r="A58"/>
      <c r="B58">
        <v>2193</v>
      </c>
      <c r="C58" s="577" t="s">
        <v>1121</v>
      </c>
      <c r="D58" t="s">
        <v>826</v>
      </c>
      <c r="E58" t="s">
        <v>1194</v>
      </c>
      <c r="F58" t="s">
        <v>192</v>
      </c>
      <c r="G58" s="272">
        <v>0.4</v>
      </c>
      <c r="H58" s="300">
        <v>4.3</v>
      </c>
      <c r="I58" s="300">
        <v>3.6549999999999998</v>
      </c>
      <c r="J58" s="34">
        <v>192388.29089999999</v>
      </c>
      <c r="K58" s="34">
        <v>24940</v>
      </c>
    </row>
    <row r="59" spans="1:11" x14ac:dyDescent="0.25">
      <c r="A59"/>
      <c r="C59" s="577"/>
      <c r="D59" t="s">
        <v>600</v>
      </c>
      <c r="E59" t="s">
        <v>725</v>
      </c>
      <c r="F59" t="s">
        <v>192</v>
      </c>
      <c r="G59" s="272">
        <v>0.4</v>
      </c>
      <c r="H59" s="300">
        <v>4.4000000000000004</v>
      </c>
      <c r="I59" s="300">
        <v>3.74</v>
      </c>
      <c r="J59" s="34">
        <v>196862.43720000001</v>
      </c>
      <c r="K59" s="34">
        <v>25520.000000000004</v>
      </c>
    </row>
    <row r="60" spans="1:11" x14ac:dyDescent="0.25">
      <c r="A60"/>
      <c r="C60" s="577"/>
      <c r="D60" t="s">
        <v>1559</v>
      </c>
      <c r="E60" t="s">
        <v>1592</v>
      </c>
      <c r="F60" t="s">
        <v>11</v>
      </c>
      <c r="G60" s="272">
        <v>0.2</v>
      </c>
      <c r="H60" s="300">
        <v>2.0249999999999999</v>
      </c>
      <c r="I60" s="300">
        <v>1.7212499999999999</v>
      </c>
      <c r="J60" s="34">
        <v>72944.110574999999</v>
      </c>
      <c r="K60" s="34">
        <v>35032.5</v>
      </c>
    </row>
    <row r="61" spans="1:11" x14ac:dyDescent="0.25">
      <c r="A61"/>
      <c r="C61" s="577"/>
      <c r="D61" t="s">
        <v>1556</v>
      </c>
      <c r="E61" t="s">
        <v>1585</v>
      </c>
      <c r="F61" t="s">
        <v>176</v>
      </c>
      <c r="G61" s="272">
        <v>0.2</v>
      </c>
      <c r="H61" s="300">
        <v>4.25</v>
      </c>
      <c r="I61" s="300">
        <v>3.6125000000000003</v>
      </c>
      <c r="J61" s="34">
        <v>125737.12762499999</v>
      </c>
      <c r="K61" s="34">
        <v>24650</v>
      </c>
    </row>
    <row r="62" spans="1:11" x14ac:dyDescent="0.25">
      <c r="A62"/>
      <c r="C62" s="577"/>
      <c r="D62" t="s">
        <v>1557</v>
      </c>
      <c r="E62" t="s">
        <v>1417</v>
      </c>
      <c r="F62" t="s">
        <v>461</v>
      </c>
      <c r="G62" s="272">
        <v>0.26666666666666666</v>
      </c>
      <c r="H62" s="300">
        <v>2.7666666666666666</v>
      </c>
      <c r="I62" s="300">
        <v>2.3516666666666666</v>
      </c>
      <c r="J62" s="34">
        <v>126226.49129999999</v>
      </c>
      <c r="K62" s="34">
        <v>60313.333333333328</v>
      </c>
    </row>
    <row r="63" spans="1:11" x14ac:dyDescent="0.25">
      <c r="A63"/>
      <c r="C63" s="577"/>
      <c r="D63" t="s">
        <v>1529</v>
      </c>
      <c r="E63" t="s">
        <v>1544</v>
      </c>
      <c r="F63" t="s">
        <v>461</v>
      </c>
      <c r="G63" s="272">
        <v>0.26666666666666666</v>
      </c>
      <c r="H63" s="300">
        <v>1.6</v>
      </c>
      <c r="I63" s="300">
        <v>1.3599999999999999</v>
      </c>
      <c r="J63" s="34">
        <v>71586.340799999991</v>
      </c>
      <c r="K63" s="34">
        <v>9280</v>
      </c>
    </row>
    <row r="64" spans="1:11" x14ac:dyDescent="0.25">
      <c r="A64"/>
      <c r="C64" s="577"/>
      <c r="D64" t="s">
        <v>1550</v>
      </c>
      <c r="E64" t="s">
        <v>1551</v>
      </c>
      <c r="F64" t="s">
        <v>192</v>
      </c>
      <c r="G64" s="272">
        <v>0.4</v>
      </c>
      <c r="H64" s="300">
        <v>2.8666640000000001</v>
      </c>
      <c r="I64" s="300">
        <v>2.4316644000000003</v>
      </c>
      <c r="J64" s="34">
        <v>128124.88638943201</v>
      </c>
      <c r="K64" s="34">
        <v>16626.6512</v>
      </c>
    </row>
    <row r="65" spans="1:11" x14ac:dyDescent="0.25">
      <c r="A65"/>
      <c r="C65" s="577"/>
      <c r="D65" t="s">
        <v>1567</v>
      </c>
      <c r="E65" t="s">
        <v>1600</v>
      </c>
      <c r="F65" t="s">
        <v>192</v>
      </c>
      <c r="G65" s="272">
        <v>0.375</v>
      </c>
      <c r="H65" s="300">
        <v>0.75</v>
      </c>
      <c r="I65" s="300">
        <v>0.63749999999999996</v>
      </c>
      <c r="J65" s="34">
        <v>33556.097249999999</v>
      </c>
      <c r="K65" s="34">
        <v>4350</v>
      </c>
    </row>
    <row r="66" spans="1:11" x14ac:dyDescent="0.25">
      <c r="A66"/>
      <c r="C66" s="577"/>
      <c r="D66" t="s">
        <v>1610</v>
      </c>
      <c r="E66" t="s">
        <v>1611</v>
      </c>
      <c r="F66" t="s">
        <v>192</v>
      </c>
      <c r="G66" s="272">
        <v>0.26666666666666666</v>
      </c>
      <c r="H66" s="300">
        <v>1.6</v>
      </c>
      <c r="I66" s="300">
        <v>1.3599999999999999</v>
      </c>
      <c r="J66" s="34">
        <v>71586.340799999991</v>
      </c>
      <c r="K66" s="34">
        <v>9280</v>
      </c>
    </row>
    <row r="67" spans="1:11" x14ac:dyDescent="0.25">
      <c r="A67"/>
      <c r="C67" s="577"/>
      <c r="D67" t="s">
        <v>1569</v>
      </c>
      <c r="E67" t="s">
        <v>1602</v>
      </c>
      <c r="F67" t="s">
        <v>461</v>
      </c>
      <c r="G67" s="272">
        <v>0.22727272727272727</v>
      </c>
      <c r="H67" s="300">
        <v>3.4166681818181814</v>
      </c>
      <c r="I67" s="300">
        <v>2.9041679545454544</v>
      </c>
      <c r="J67" s="34">
        <v>152866.73304009545</v>
      </c>
      <c r="K67" s="34">
        <v>19816.675454545453</v>
      </c>
    </row>
    <row r="68" spans="1:11" x14ac:dyDescent="0.25">
      <c r="A68"/>
      <c r="C68" s="577"/>
      <c r="D68" t="s">
        <v>1560</v>
      </c>
      <c r="E68" t="s">
        <v>1603</v>
      </c>
      <c r="F68" t="s">
        <v>461</v>
      </c>
      <c r="G68" s="272">
        <v>0.3</v>
      </c>
      <c r="H68" s="300">
        <v>3.03</v>
      </c>
      <c r="I68" s="300">
        <v>2.5754999999999995</v>
      </c>
      <c r="J68" s="34">
        <v>135566.63288999998</v>
      </c>
      <c r="K68" s="34">
        <v>17574</v>
      </c>
    </row>
    <row r="69" spans="1:11" x14ac:dyDescent="0.25">
      <c r="A69"/>
      <c r="C69" s="577"/>
      <c r="D69" t="s">
        <v>1637</v>
      </c>
      <c r="E69" t="s">
        <v>1658</v>
      </c>
      <c r="F69" t="s">
        <v>192</v>
      </c>
      <c r="G69" s="272">
        <v>0.4</v>
      </c>
      <c r="H69" s="300">
        <v>3.5333333333333337</v>
      </c>
      <c r="I69" s="300">
        <v>3.0033333333333334</v>
      </c>
      <c r="J69" s="34">
        <v>158086.50260000004</v>
      </c>
      <c r="K69" s="34">
        <v>20493.333333333336</v>
      </c>
    </row>
    <row r="70" spans="1:11" x14ac:dyDescent="0.25">
      <c r="A70"/>
      <c r="C70" s="577"/>
      <c r="D70" t="s">
        <v>1686</v>
      </c>
      <c r="E70" t="s">
        <v>1687</v>
      </c>
      <c r="F70" t="s">
        <v>461</v>
      </c>
      <c r="G70" s="272">
        <v>0.22727272727272727</v>
      </c>
      <c r="H70" s="300">
        <v>4.1249999999999991</v>
      </c>
      <c r="I70" s="300">
        <v>3.5062499999999996</v>
      </c>
      <c r="J70" s="34">
        <v>184558.53487499998</v>
      </c>
      <c r="K70" s="34">
        <v>23924.999999999996</v>
      </c>
    </row>
    <row r="71" spans="1:11" x14ac:dyDescent="0.25">
      <c r="A71"/>
      <c r="C71" s="577"/>
      <c r="D71" t="s">
        <v>1661</v>
      </c>
      <c r="E71" t="s">
        <v>1662</v>
      </c>
      <c r="F71" t="s">
        <v>176</v>
      </c>
      <c r="G71" s="272">
        <v>0.33333333333333331</v>
      </c>
      <c r="H71" s="300">
        <v>1.0416666666666665</v>
      </c>
      <c r="I71" s="300">
        <v>0.88541666666666663</v>
      </c>
      <c r="J71" s="34">
        <v>30817.923437499994</v>
      </c>
      <c r="K71" s="34">
        <v>6041.6666666666661</v>
      </c>
    </row>
    <row r="72" spans="1:11" x14ac:dyDescent="0.25">
      <c r="A72"/>
      <c r="C72" s="577"/>
      <c r="D72" t="s">
        <v>1745</v>
      </c>
      <c r="E72" t="s">
        <v>1746</v>
      </c>
      <c r="F72" t="s">
        <v>461</v>
      </c>
      <c r="G72" s="272">
        <v>0.2</v>
      </c>
      <c r="H72" s="300">
        <v>1.1500000000000001</v>
      </c>
      <c r="I72" s="300">
        <v>0.97750000000000004</v>
      </c>
      <c r="J72" s="34">
        <v>51452.68245</v>
      </c>
      <c r="K72" s="34">
        <v>6670.0000000000009</v>
      </c>
    </row>
    <row r="73" spans="1:11" x14ac:dyDescent="0.25">
      <c r="A73"/>
      <c r="C73" s="577"/>
      <c r="D73" t="s">
        <v>1473</v>
      </c>
      <c r="E73" t="s">
        <v>1472</v>
      </c>
      <c r="F73" t="s">
        <v>192</v>
      </c>
      <c r="G73" s="272">
        <v>0.5</v>
      </c>
      <c r="H73" s="300">
        <v>4.625</v>
      </c>
      <c r="I73" s="300">
        <v>3.9312499999999999</v>
      </c>
      <c r="J73" s="34">
        <v>191715.74512499999</v>
      </c>
      <c r="K73" s="34">
        <v>15725</v>
      </c>
    </row>
    <row r="74" spans="1:11" x14ac:dyDescent="0.25">
      <c r="A74"/>
      <c r="C74" s="577"/>
      <c r="D74" t="s">
        <v>1926</v>
      </c>
      <c r="E74" t="s">
        <v>1927</v>
      </c>
      <c r="F74" t="s">
        <v>192</v>
      </c>
      <c r="G74" s="272">
        <v>0.26666666666666666</v>
      </c>
      <c r="H74" s="300">
        <v>2.6</v>
      </c>
      <c r="I74" s="300">
        <v>2.2016666666666667</v>
      </c>
      <c r="J74" s="34">
        <v>76799.296150000009</v>
      </c>
      <c r="K74" s="34">
        <v>15080</v>
      </c>
    </row>
    <row r="75" spans="1:11" x14ac:dyDescent="0.25">
      <c r="A75"/>
      <c r="C75" s="577"/>
      <c r="D75" t="s">
        <v>1862</v>
      </c>
      <c r="E75" t="s">
        <v>1875</v>
      </c>
      <c r="F75" t="s">
        <v>461</v>
      </c>
      <c r="G75" s="272">
        <v>0.2</v>
      </c>
      <c r="H75" s="300">
        <v>2.6500000000000004</v>
      </c>
      <c r="I75" s="300">
        <v>2.2524999999999999</v>
      </c>
      <c r="J75" s="34">
        <v>120903.68745</v>
      </c>
      <c r="K75" s="34">
        <v>57770.000000000007</v>
      </c>
    </row>
    <row r="76" spans="1:11" x14ac:dyDescent="0.25">
      <c r="A76"/>
      <c r="C76" s="577"/>
      <c r="D76" t="s">
        <v>2054</v>
      </c>
      <c r="E76" t="s">
        <v>1420</v>
      </c>
      <c r="F76" t="s">
        <v>11</v>
      </c>
      <c r="G76" s="272">
        <v>0.1</v>
      </c>
      <c r="H76" s="300">
        <v>2.1</v>
      </c>
      <c r="I76" s="300">
        <v>1.7849999999999999</v>
      </c>
      <c r="J76" s="34">
        <v>75645.744299999991</v>
      </c>
      <c r="K76" s="34">
        <v>36330</v>
      </c>
    </row>
    <row r="77" spans="1:11" x14ac:dyDescent="0.25">
      <c r="A77"/>
      <c r="B77" t="s">
        <v>848</v>
      </c>
      <c r="C77"/>
      <c r="H77" s="300">
        <v>52.829998848484848</v>
      </c>
      <c r="I77" s="300">
        <v>44.892165687878773</v>
      </c>
      <c r="J77" s="34">
        <v>2197425.605157027</v>
      </c>
      <c r="K77" s="34">
        <v>429418.15998787875</v>
      </c>
    </row>
    <row r="78" spans="1:11" x14ac:dyDescent="0.25">
      <c r="A78"/>
      <c r="B78">
        <v>2200</v>
      </c>
      <c r="C78" s="577" t="s">
        <v>194</v>
      </c>
      <c r="D78" t="s">
        <v>471</v>
      </c>
      <c r="E78" t="s">
        <v>474</v>
      </c>
      <c r="F78" t="s">
        <v>172</v>
      </c>
      <c r="G78" s="272">
        <v>0.2</v>
      </c>
      <c r="H78" s="300">
        <v>3.3000000000000003</v>
      </c>
      <c r="I78" s="300">
        <v>2.8049999999999997</v>
      </c>
      <c r="J78" s="34">
        <v>147646.8279</v>
      </c>
      <c r="K78" s="34">
        <v>19140</v>
      </c>
    </row>
    <row r="79" spans="1:11" x14ac:dyDescent="0.25">
      <c r="A79"/>
      <c r="C79" s="577"/>
      <c r="D79" t="s">
        <v>1277</v>
      </c>
      <c r="E79" t="s">
        <v>1283</v>
      </c>
      <c r="F79" t="s">
        <v>192</v>
      </c>
      <c r="G79" s="272">
        <v>0.4</v>
      </c>
      <c r="H79" s="300">
        <v>15.450000000000001</v>
      </c>
      <c r="I79" s="300">
        <v>13.1325</v>
      </c>
      <c r="J79" s="34">
        <v>691255.60334999999</v>
      </c>
      <c r="K79" s="34">
        <v>89610</v>
      </c>
    </row>
    <row r="80" spans="1:11" x14ac:dyDescent="0.25">
      <c r="A80"/>
      <c r="C80" s="577"/>
      <c r="D80" t="s">
        <v>1561</v>
      </c>
      <c r="E80" t="s">
        <v>1599</v>
      </c>
      <c r="F80" t="s">
        <v>1121</v>
      </c>
      <c r="G80" s="272">
        <v>0.25</v>
      </c>
      <c r="H80" s="300">
        <v>2.5</v>
      </c>
      <c r="I80" s="300">
        <v>2.125</v>
      </c>
      <c r="J80" s="34">
        <v>111853.6575</v>
      </c>
      <c r="K80" s="34">
        <v>14500</v>
      </c>
    </row>
    <row r="81" spans="1:11" x14ac:dyDescent="0.25">
      <c r="A81"/>
      <c r="C81" s="577"/>
      <c r="D81" t="s">
        <v>1558</v>
      </c>
      <c r="E81" t="s">
        <v>1598</v>
      </c>
      <c r="F81" t="s">
        <v>1121</v>
      </c>
      <c r="G81" s="272">
        <v>8.3333333333333329E-2</v>
      </c>
      <c r="H81" s="300">
        <v>0.60833333333333328</v>
      </c>
      <c r="I81" s="300">
        <v>0.51708333333333334</v>
      </c>
      <c r="J81" s="34">
        <v>27217.723324999999</v>
      </c>
      <c r="K81" s="34">
        <v>3528.333333333333</v>
      </c>
    </row>
    <row r="82" spans="1:11" x14ac:dyDescent="0.25">
      <c r="A82"/>
      <c r="C82" s="577"/>
      <c r="D82" t="s">
        <v>1550</v>
      </c>
      <c r="E82" t="s">
        <v>1551</v>
      </c>
      <c r="F82" t="s">
        <v>192</v>
      </c>
      <c r="G82" s="272">
        <v>0.1</v>
      </c>
      <c r="H82" s="300">
        <v>0.71666600000000003</v>
      </c>
      <c r="I82" s="300">
        <v>0.60791610000000007</v>
      </c>
      <c r="J82" s="34">
        <v>32031.221597358002</v>
      </c>
      <c r="K82" s="34">
        <v>4156.6628000000001</v>
      </c>
    </row>
    <row r="83" spans="1:11" x14ac:dyDescent="0.25">
      <c r="A83"/>
      <c r="C83" s="577"/>
      <c r="D83" t="s">
        <v>1567</v>
      </c>
      <c r="E83" t="s">
        <v>1600</v>
      </c>
      <c r="F83" t="s">
        <v>192</v>
      </c>
      <c r="G83" s="272">
        <v>0.25</v>
      </c>
      <c r="H83" s="300">
        <v>0.5</v>
      </c>
      <c r="I83" s="300">
        <v>0.42499999999999999</v>
      </c>
      <c r="J83" s="34">
        <v>22370.731499999998</v>
      </c>
      <c r="K83" s="34">
        <v>2900</v>
      </c>
    </row>
    <row r="84" spans="1:11" x14ac:dyDescent="0.25">
      <c r="A84"/>
      <c r="C84" s="577"/>
      <c r="D84" t="s">
        <v>1568</v>
      </c>
      <c r="E84" t="s">
        <v>1601</v>
      </c>
      <c r="F84" t="s">
        <v>192</v>
      </c>
      <c r="G84" s="272">
        <v>0.25</v>
      </c>
      <c r="H84" s="300">
        <v>2.4</v>
      </c>
      <c r="I84" s="300">
        <v>2.04</v>
      </c>
      <c r="J84" s="34">
        <v>107379.51119999999</v>
      </c>
      <c r="K84" s="34">
        <v>13920</v>
      </c>
    </row>
    <row r="85" spans="1:11" x14ac:dyDescent="0.25">
      <c r="A85"/>
      <c r="C85" s="577"/>
      <c r="D85" t="s">
        <v>1637</v>
      </c>
      <c r="E85" t="s">
        <v>1658</v>
      </c>
      <c r="F85" t="s">
        <v>192</v>
      </c>
      <c r="G85" s="272">
        <v>0.1</v>
      </c>
      <c r="H85" s="300">
        <v>0.88333333333333341</v>
      </c>
      <c r="I85" s="300">
        <v>0.75083333333333335</v>
      </c>
      <c r="J85" s="34">
        <v>39521.625650000009</v>
      </c>
      <c r="K85" s="34">
        <v>5123.3333333333339</v>
      </c>
    </row>
    <row r="86" spans="1:11" x14ac:dyDescent="0.25">
      <c r="A86"/>
      <c r="C86" s="577"/>
      <c r="D86" t="s">
        <v>1669</v>
      </c>
      <c r="E86" t="s">
        <v>1670</v>
      </c>
      <c r="F86" t="s">
        <v>192</v>
      </c>
      <c r="G86" s="272">
        <v>0.25</v>
      </c>
      <c r="H86" s="300">
        <v>3.3666649999999998</v>
      </c>
      <c r="I86" s="300">
        <v>2.8616652499999997</v>
      </c>
      <c r="J86" s="34">
        <v>150629.51753089498</v>
      </c>
      <c r="K86" s="34">
        <v>19526.656999999999</v>
      </c>
    </row>
    <row r="87" spans="1:11" x14ac:dyDescent="0.25">
      <c r="A87"/>
      <c r="C87" s="577"/>
      <c r="D87" t="s">
        <v>1923</v>
      </c>
      <c r="E87" t="s">
        <v>1924</v>
      </c>
      <c r="F87" t="s">
        <v>192</v>
      </c>
      <c r="G87" s="272">
        <v>0.2</v>
      </c>
      <c r="H87" s="300">
        <v>2.15</v>
      </c>
      <c r="I87" s="300">
        <v>1.8274999999999999</v>
      </c>
      <c r="J87" s="34">
        <v>63608.193975000002</v>
      </c>
      <c r="K87" s="34">
        <v>12470</v>
      </c>
    </row>
    <row r="88" spans="1:11" x14ac:dyDescent="0.25">
      <c r="A88"/>
      <c r="C88" s="577"/>
      <c r="D88" t="s">
        <v>1926</v>
      </c>
      <c r="E88" t="s">
        <v>1927</v>
      </c>
      <c r="F88" t="s">
        <v>192</v>
      </c>
      <c r="G88" s="272">
        <v>0.26666666666666666</v>
      </c>
      <c r="H88" s="300">
        <v>2.6</v>
      </c>
      <c r="I88" s="300">
        <v>2.2016666666666667</v>
      </c>
      <c r="J88" s="34">
        <v>76799.296150000009</v>
      </c>
      <c r="K88" s="34">
        <v>15080</v>
      </c>
    </row>
    <row r="89" spans="1:11" x14ac:dyDescent="0.25">
      <c r="A89"/>
      <c r="C89" s="577"/>
      <c r="D89" t="s">
        <v>2047</v>
      </c>
      <c r="E89" t="s">
        <v>442</v>
      </c>
      <c r="F89" t="s">
        <v>192</v>
      </c>
      <c r="G89" s="272">
        <v>0.5</v>
      </c>
      <c r="H89" s="300">
        <v>7.5</v>
      </c>
      <c r="I89" s="300">
        <v>6.3656250000000005</v>
      </c>
      <c r="J89" s="34">
        <v>221751.52790624998</v>
      </c>
      <c r="K89" s="34">
        <v>43500</v>
      </c>
    </row>
    <row r="90" spans="1:11" x14ac:dyDescent="0.25">
      <c r="A90"/>
      <c r="B90" t="s">
        <v>1675</v>
      </c>
      <c r="C90"/>
      <c r="H90" s="300">
        <v>41.974997666666667</v>
      </c>
      <c r="I90" s="300">
        <v>35.659789683333337</v>
      </c>
      <c r="J90" s="34">
        <v>1692065.4375845031</v>
      </c>
      <c r="K90" s="34">
        <v>243454.98646666668</v>
      </c>
    </row>
    <row r="91" spans="1:11" x14ac:dyDescent="0.25">
      <c r="A91"/>
      <c r="B91">
        <v>2220</v>
      </c>
      <c r="C91" s="577" t="s">
        <v>195</v>
      </c>
      <c r="D91" t="s">
        <v>513</v>
      </c>
      <c r="E91" t="s">
        <v>559</v>
      </c>
      <c r="F91" t="s">
        <v>198</v>
      </c>
      <c r="G91" s="272">
        <v>0.4</v>
      </c>
      <c r="H91" s="300">
        <v>3.6</v>
      </c>
      <c r="I91" s="300">
        <v>3.06</v>
      </c>
      <c r="J91" s="34">
        <v>106506.74340000001</v>
      </c>
      <c r="K91" s="34">
        <v>20880</v>
      </c>
    </row>
    <row r="92" spans="1:11" x14ac:dyDescent="0.25">
      <c r="A92"/>
      <c r="B92" t="s">
        <v>1676</v>
      </c>
      <c r="C92"/>
      <c r="H92" s="300">
        <v>3.6</v>
      </c>
      <c r="I92" s="300">
        <v>3.06</v>
      </c>
      <c r="J92" s="34">
        <v>106506.74340000001</v>
      </c>
      <c r="K92" s="34">
        <v>20880</v>
      </c>
    </row>
    <row r="93" spans="1:11" x14ac:dyDescent="0.25">
      <c r="A93"/>
      <c r="B93">
        <v>2271</v>
      </c>
      <c r="C93" s="577" t="s">
        <v>196</v>
      </c>
      <c r="D93" t="s">
        <v>512</v>
      </c>
      <c r="E93" t="s">
        <v>558</v>
      </c>
      <c r="F93" t="s">
        <v>198</v>
      </c>
      <c r="G93" s="272">
        <v>0.24000000000000002</v>
      </c>
      <c r="H93" s="300">
        <v>2.64</v>
      </c>
      <c r="I93" s="300">
        <v>2.2440000000000002</v>
      </c>
      <c r="J93" s="34">
        <v>78104.945160000003</v>
      </c>
      <c r="K93" s="34">
        <v>15312</v>
      </c>
    </row>
    <row r="94" spans="1:11" x14ac:dyDescent="0.25">
      <c r="A94"/>
      <c r="C94" s="577"/>
      <c r="D94" t="s">
        <v>603</v>
      </c>
      <c r="E94" t="s">
        <v>618</v>
      </c>
      <c r="F94" t="s">
        <v>198</v>
      </c>
      <c r="G94" s="272">
        <v>0.26999999999999996</v>
      </c>
      <c r="H94" s="300">
        <v>1.7549999999999997</v>
      </c>
      <c r="I94" s="300">
        <v>1.4917499999999997</v>
      </c>
      <c r="J94" s="34">
        <v>51922.037407499993</v>
      </c>
      <c r="K94" s="34">
        <v>10178.999999999998</v>
      </c>
    </row>
    <row r="95" spans="1:11" x14ac:dyDescent="0.25">
      <c r="A95"/>
      <c r="B95" t="s">
        <v>1677</v>
      </c>
      <c r="C95"/>
      <c r="H95" s="300">
        <v>4.3949999999999996</v>
      </c>
      <c r="I95" s="300">
        <v>3.7357499999999999</v>
      </c>
      <c r="J95" s="34">
        <v>130026.9825675</v>
      </c>
      <c r="K95" s="34">
        <v>25491</v>
      </c>
    </row>
    <row r="96" spans="1:11" x14ac:dyDescent="0.25">
      <c r="A96"/>
      <c r="B96">
        <v>2272</v>
      </c>
      <c r="C96" s="577" t="s">
        <v>200</v>
      </c>
      <c r="D96" t="s">
        <v>471</v>
      </c>
      <c r="E96" t="s">
        <v>474</v>
      </c>
      <c r="F96" t="s">
        <v>172</v>
      </c>
      <c r="G96" s="272">
        <v>0.05</v>
      </c>
      <c r="H96" s="300">
        <v>0.82500000000000007</v>
      </c>
      <c r="I96" s="300">
        <v>0.70124999999999993</v>
      </c>
      <c r="J96" s="34">
        <v>36911.706975000001</v>
      </c>
      <c r="K96" s="34">
        <v>4785</v>
      </c>
    </row>
    <row r="97" spans="1:11" x14ac:dyDescent="0.25">
      <c r="A97"/>
      <c r="C97" s="577"/>
      <c r="D97" t="s">
        <v>1143</v>
      </c>
      <c r="E97" t="s">
        <v>1129</v>
      </c>
      <c r="F97" t="s">
        <v>172</v>
      </c>
      <c r="G97" s="272">
        <v>0.2</v>
      </c>
      <c r="H97" s="300">
        <v>7.625</v>
      </c>
      <c r="I97" s="300">
        <v>6.4812500000000002</v>
      </c>
      <c r="J97" s="34">
        <v>341153.65537500003</v>
      </c>
      <c r="K97" s="34">
        <v>44225</v>
      </c>
    </row>
    <row r="98" spans="1:11" x14ac:dyDescent="0.25">
      <c r="A98"/>
      <c r="B98" t="s">
        <v>1678</v>
      </c>
      <c r="C98"/>
      <c r="H98" s="300">
        <v>8.4499999999999993</v>
      </c>
      <c r="I98" s="300">
        <v>7.1825000000000001</v>
      </c>
      <c r="J98" s="34">
        <v>378065.36235000001</v>
      </c>
      <c r="K98" s="34">
        <v>49010</v>
      </c>
    </row>
    <row r="99" spans="1:11" x14ac:dyDescent="0.25">
      <c r="A99"/>
      <c r="B99">
        <v>2300</v>
      </c>
      <c r="C99" s="577" t="s">
        <v>197</v>
      </c>
      <c r="D99" t="s">
        <v>1141</v>
      </c>
      <c r="E99" t="s">
        <v>1219</v>
      </c>
      <c r="F99" t="s">
        <v>1121</v>
      </c>
      <c r="G99" s="272">
        <v>0.25</v>
      </c>
      <c r="H99" s="300">
        <v>1.95</v>
      </c>
      <c r="I99" s="300">
        <v>1.6575</v>
      </c>
      <c r="J99" s="34">
        <v>87245.852849999996</v>
      </c>
      <c r="K99" s="34">
        <v>11310</v>
      </c>
    </row>
    <row r="100" spans="1:11" x14ac:dyDescent="0.25">
      <c r="A100"/>
      <c r="C100" s="577"/>
      <c r="D100" t="s">
        <v>1279</v>
      </c>
      <c r="E100" t="s">
        <v>1284</v>
      </c>
      <c r="F100" t="s">
        <v>192</v>
      </c>
      <c r="G100" s="272">
        <v>0.25</v>
      </c>
      <c r="H100" s="300">
        <v>3.6749999999999998</v>
      </c>
      <c r="I100" s="300">
        <v>3.1237499999999998</v>
      </c>
      <c r="J100" s="34">
        <v>164424.876525</v>
      </c>
      <c r="K100" s="34">
        <v>21315</v>
      </c>
    </row>
    <row r="101" spans="1:11" x14ac:dyDescent="0.25">
      <c r="A101"/>
      <c r="C101" s="577"/>
      <c r="D101" t="s">
        <v>1044</v>
      </c>
      <c r="E101" t="s">
        <v>1211</v>
      </c>
      <c r="F101" t="s">
        <v>198</v>
      </c>
      <c r="G101" s="272">
        <v>0.5</v>
      </c>
      <c r="H101" s="300">
        <v>4.3125</v>
      </c>
      <c r="I101" s="300">
        <v>3.6624999999999996</v>
      </c>
      <c r="J101" s="34">
        <v>192863.89987499997</v>
      </c>
      <c r="K101" s="34">
        <v>25012.5</v>
      </c>
    </row>
    <row r="102" spans="1:11" x14ac:dyDescent="0.25">
      <c r="A102"/>
      <c r="C102" s="577"/>
      <c r="D102" t="s">
        <v>1569</v>
      </c>
      <c r="E102" t="s">
        <v>1602</v>
      </c>
      <c r="F102" t="s">
        <v>461</v>
      </c>
      <c r="G102" s="272">
        <v>9.0909090909090912E-2</v>
      </c>
      <c r="H102" s="300">
        <v>1.3666672727272726</v>
      </c>
      <c r="I102" s="300">
        <v>1.1616671818181818</v>
      </c>
      <c r="J102" s="34">
        <v>61146.693216038184</v>
      </c>
      <c r="K102" s="34">
        <v>7926.6701818181809</v>
      </c>
    </row>
    <row r="103" spans="1:11" x14ac:dyDescent="0.25">
      <c r="A103"/>
      <c r="C103" s="577"/>
      <c r="D103" t="s">
        <v>1560</v>
      </c>
      <c r="E103" t="s">
        <v>1603</v>
      </c>
      <c r="F103" t="s">
        <v>461</v>
      </c>
      <c r="G103" s="272">
        <v>0.1</v>
      </c>
      <c r="H103" s="300">
        <v>1.01</v>
      </c>
      <c r="I103" s="300">
        <v>0.85849999999999993</v>
      </c>
      <c r="J103" s="34">
        <v>45188.877629999995</v>
      </c>
      <c r="K103" s="34">
        <v>5858</v>
      </c>
    </row>
    <row r="104" spans="1:11" x14ac:dyDescent="0.25">
      <c r="A104"/>
      <c r="C104" s="577"/>
      <c r="D104" t="s">
        <v>1686</v>
      </c>
      <c r="E104" t="s">
        <v>1687</v>
      </c>
      <c r="F104" t="s">
        <v>461</v>
      </c>
      <c r="G104" s="272">
        <v>9.0909090909090912E-2</v>
      </c>
      <c r="H104" s="300">
        <v>1.65</v>
      </c>
      <c r="I104" s="300">
        <v>1.4024999999999999</v>
      </c>
      <c r="J104" s="34">
        <v>73823.413950000002</v>
      </c>
      <c r="K104" s="34">
        <v>9570</v>
      </c>
    </row>
    <row r="105" spans="1:11" x14ac:dyDescent="0.25">
      <c r="A105"/>
      <c r="B105" t="s">
        <v>1679</v>
      </c>
      <c r="C105"/>
      <c r="H105" s="300">
        <v>13.964167272727273</v>
      </c>
      <c r="I105" s="300">
        <v>11.86641718181818</v>
      </c>
      <c r="J105" s="34">
        <v>624693.61404603813</v>
      </c>
      <c r="K105" s="34">
        <v>80992.170181818175</v>
      </c>
    </row>
    <row r="106" spans="1:11" x14ac:dyDescent="0.25">
      <c r="A106"/>
      <c r="B106">
        <v>2340</v>
      </c>
      <c r="C106" s="577" t="s">
        <v>198</v>
      </c>
      <c r="D106" t="s">
        <v>935</v>
      </c>
      <c r="E106" t="s">
        <v>752</v>
      </c>
      <c r="F106" t="s">
        <v>1121</v>
      </c>
      <c r="G106" s="272">
        <v>0.7</v>
      </c>
      <c r="H106" s="300">
        <v>3.3833310000000001</v>
      </c>
      <c r="I106" s="300">
        <v>2.7066648</v>
      </c>
      <c r="J106" s="34">
        <v>97615.060779221996</v>
      </c>
      <c r="K106" s="34">
        <v>19623.319800000001</v>
      </c>
    </row>
    <row r="107" spans="1:11" x14ac:dyDescent="0.25">
      <c r="A107"/>
      <c r="C107" s="577"/>
      <c r="D107" t="s">
        <v>1605</v>
      </c>
      <c r="E107" t="s">
        <v>1606</v>
      </c>
      <c r="F107" t="s">
        <v>1121</v>
      </c>
      <c r="G107" s="272">
        <v>0.2</v>
      </c>
      <c r="H107" s="300">
        <v>1.375</v>
      </c>
      <c r="I107" s="300">
        <v>1.16875</v>
      </c>
      <c r="J107" s="34">
        <v>61519.511624999999</v>
      </c>
      <c r="K107" s="34">
        <v>7975</v>
      </c>
    </row>
    <row r="108" spans="1:11" x14ac:dyDescent="0.25">
      <c r="A108"/>
      <c r="B108" t="s">
        <v>849</v>
      </c>
      <c r="C108"/>
      <c r="H108" s="300">
        <v>4.7583310000000001</v>
      </c>
      <c r="I108" s="300">
        <v>3.8754147999999997</v>
      </c>
      <c r="J108" s="34">
        <v>159134.57240422198</v>
      </c>
      <c r="K108" s="34">
        <v>27598.319800000001</v>
      </c>
    </row>
    <row r="109" spans="1:11" x14ac:dyDescent="0.25">
      <c r="A109"/>
      <c r="B109">
        <v>2360</v>
      </c>
      <c r="C109" s="577" t="s">
        <v>199</v>
      </c>
      <c r="D109" t="s">
        <v>512</v>
      </c>
      <c r="E109" t="s">
        <v>558</v>
      </c>
      <c r="F109" t="s">
        <v>198</v>
      </c>
      <c r="G109" s="272">
        <v>0.16</v>
      </c>
      <c r="H109" s="300">
        <v>1.76</v>
      </c>
      <c r="I109" s="300">
        <v>1.496</v>
      </c>
      <c r="J109" s="34">
        <v>52069.96344</v>
      </c>
      <c r="K109" s="34">
        <v>10208</v>
      </c>
    </row>
    <row r="110" spans="1:11" x14ac:dyDescent="0.25">
      <c r="A110"/>
      <c r="C110" s="577"/>
      <c r="D110" t="s">
        <v>603</v>
      </c>
      <c r="E110" t="s">
        <v>618</v>
      </c>
      <c r="F110" t="s">
        <v>198</v>
      </c>
      <c r="G110" s="272">
        <v>0.18000000000000002</v>
      </c>
      <c r="H110" s="300">
        <v>1.1700000000000002</v>
      </c>
      <c r="I110" s="300">
        <v>0.99450000000000005</v>
      </c>
      <c r="J110" s="34">
        <v>34614.691605000007</v>
      </c>
      <c r="K110" s="34">
        <v>6786.0000000000009</v>
      </c>
    </row>
    <row r="111" spans="1:11" x14ac:dyDescent="0.25">
      <c r="A111"/>
      <c r="C111" s="577"/>
      <c r="D111" t="s">
        <v>2057</v>
      </c>
      <c r="E111" t="s">
        <v>2072</v>
      </c>
      <c r="F111" t="s">
        <v>172</v>
      </c>
      <c r="G111" s="272">
        <v>0.25</v>
      </c>
      <c r="H111" s="300">
        <v>3</v>
      </c>
      <c r="I111" s="300">
        <v>2.5499999999999998</v>
      </c>
      <c r="J111" s="34">
        <v>88755.619500000001</v>
      </c>
      <c r="K111" s="34">
        <v>17400</v>
      </c>
    </row>
    <row r="112" spans="1:11" x14ac:dyDescent="0.25">
      <c r="A112"/>
      <c r="B112" t="s">
        <v>1680</v>
      </c>
      <c r="C112"/>
      <c r="H112" s="300">
        <v>5.93</v>
      </c>
      <c r="I112" s="300">
        <v>5.0404999999999998</v>
      </c>
      <c r="J112" s="34">
        <v>175440.27454499999</v>
      </c>
      <c r="K112" s="34">
        <v>34394</v>
      </c>
    </row>
    <row r="113" spans="1:11" x14ac:dyDescent="0.25">
      <c r="A113"/>
      <c r="B113">
        <v>2500</v>
      </c>
      <c r="C113" s="577" t="s">
        <v>2096</v>
      </c>
      <c r="D113" t="s">
        <v>864</v>
      </c>
      <c r="E113" t="s">
        <v>1173</v>
      </c>
      <c r="F113" t="s">
        <v>172</v>
      </c>
      <c r="G113" s="272">
        <v>0.16666666666666666</v>
      </c>
      <c r="H113" s="300">
        <v>1.1666666666666665</v>
      </c>
      <c r="I113" s="300">
        <v>0.9916666666666667</v>
      </c>
      <c r="J113" s="34">
        <v>34516.074249999998</v>
      </c>
      <c r="K113" s="34">
        <v>6766.6666666666661</v>
      </c>
    </row>
    <row r="114" spans="1:11" x14ac:dyDescent="0.25">
      <c r="A114"/>
      <c r="B114" t="s">
        <v>909</v>
      </c>
      <c r="C114"/>
      <c r="H114" s="300">
        <v>1.1666666666666665</v>
      </c>
      <c r="I114" s="300">
        <v>0.9916666666666667</v>
      </c>
      <c r="J114" s="34">
        <v>34516.074249999998</v>
      </c>
      <c r="K114" s="34">
        <v>6766.6666666666661</v>
      </c>
    </row>
    <row r="115" spans="1:11" x14ac:dyDescent="0.25">
      <c r="A115"/>
      <c r="B115">
        <v>2750</v>
      </c>
      <c r="C115" s="577" t="s">
        <v>205</v>
      </c>
      <c r="D115" t="s">
        <v>1577</v>
      </c>
      <c r="E115" t="s">
        <v>1593</v>
      </c>
      <c r="F115" t="s">
        <v>192</v>
      </c>
      <c r="G115" s="272">
        <v>0.15</v>
      </c>
      <c r="H115" s="300">
        <v>2.1749999999999998</v>
      </c>
      <c r="I115" s="300">
        <v>1.8337499999999998</v>
      </c>
      <c r="J115" s="34">
        <v>144892.38296249998</v>
      </c>
      <c r="K115" s="34">
        <v>75037.5</v>
      </c>
    </row>
    <row r="116" spans="1:11" x14ac:dyDescent="0.25">
      <c r="A116"/>
      <c r="B116" t="s">
        <v>1681</v>
      </c>
      <c r="C116"/>
      <c r="H116" s="300">
        <v>2.1749999999999998</v>
      </c>
      <c r="I116" s="300">
        <v>1.8337499999999998</v>
      </c>
      <c r="J116" s="34">
        <v>144892.38296249998</v>
      </c>
      <c r="K116" s="34">
        <v>75037.5</v>
      </c>
    </row>
    <row r="117" spans="1:11" x14ac:dyDescent="0.25">
      <c r="A117" s="272" t="s">
        <v>1682</v>
      </c>
      <c r="B117" s="272"/>
      <c r="C117" s="272"/>
      <c r="D117" s="272"/>
      <c r="E117" s="272"/>
      <c r="F117" s="272"/>
      <c r="G117" s="272"/>
      <c r="H117" s="300">
        <v>205.74415930303024</v>
      </c>
      <c r="I117" s="300">
        <v>174.59045224090906</v>
      </c>
      <c r="J117" s="34">
        <v>8291179.0406195549</v>
      </c>
      <c r="K117" s="34">
        <v>1421380.2906242425</v>
      </c>
    </row>
    <row r="118" spans="1:11" x14ac:dyDescent="0.25">
      <c r="A118" t="s">
        <v>75</v>
      </c>
      <c r="B118">
        <v>5100</v>
      </c>
      <c r="C118" s="577" t="s">
        <v>164</v>
      </c>
      <c r="D118" t="s">
        <v>1857</v>
      </c>
      <c r="E118" t="s">
        <v>1814</v>
      </c>
      <c r="F118" t="s">
        <v>2096</v>
      </c>
      <c r="G118" s="272">
        <v>0.5</v>
      </c>
      <c r="H118" s="300">
        <v>0.375</v>
      </c>
      <c r="I118" s="300">
        <v>0.31874999999999998</v>
      </c>
      <c r="J118" s="34">
        <v>11094.4524375</v>
      </c>
      <c r="K118" s="34">
        <v>2175</v>
      </c>
    </row>
    <row r="119" spans="1:11" x14ac:dyDescent="0.25">
      <c r="A119"/>
      <c r="C119" s="577"/>
      <c r="D119" t="s">
        <v>1934</v>
      </c>
      <c r="E119" t="s">
        <v>1817</v>
      </c>
      <c r="F119" t="s">
        <v>2096</v>
      </c>
      <c r="G119" s="272">
        <v>0.5</v>
      </c>
      <c r="H119" s="300">
        <v>0.375</v>
      </c>
      <c r="I119" s="300">
        <v>0.31874999999999998</v>
      </c>
      <c r="J119" s="34">
        <v>14101.732406250001</v>
      </c>
      <c r="K119" s="34">
        <v>5175</v>
      </c>
    </row>
    <row r="120" spans="1:11" x14ac:dyDescent="0.25">
      <c r="A120"/>
      <c r="B120" t="s">
        <v>1683</v>
      </c>
      <c r="C120"/>
      <c r="H120" s="300">
        <v>0.75</v>
      </c>
      <c r="I120" s="300">
        <v>0.63749999999999996</v>
      </c>
      <c r="J120" s="34">
        <v>25196.184843750001</v>
      </c>
      <c r="K120" s="34">
        <v>7350</v>
      </c>
    </row>
    <row r="121" spans="1:11" x14ac:dyDescent="0.25">
      <c r="A121"/>
      <c r="B121">
        <v>5730</v>
      </c>
      <c r="C121" s="577" t="s">
        <v>166</v>
      </c>
      <c r="D121" t="s">
        <v>1451</v>
      </c>
      <c r="E121" t="s">
        <v>1452</v>
      </c>
      <c r="F121" t="s">
        <v>461</v>
      </c>
      <c r="G121" s="272">
        <v>0.33333333333333331</v>
      </c>
      <c r="H121" s="300">
        <v>1.3333333333333333</v>
      </c>
      <c r="I121" s="300">
        <v>1.1333333333333333</v>
      </c>
      <c r="J121" s="34">
        <v>60832.043999999994</v>
      </c>
      <c r="K121" s="34">
        <v>29066.666666666664</v>
      </c>
    </row>
    <row r="122" spans="1:11" x14ac:dyDescent="0.25">
      <c r="A122"/>
      <c r="C122" s="577"/>
      <c r="D122" t="s">
        <v>1455</v>
      </c>
      <c r="E122" t="s">
        <v>1456</v>
      </c>
      <c r="F122" t="s">
        <v>461</v>
      </c>
      <c r="G122" s="272">
        <v>0.33333333333333331</v>
      </c>
      <c r="H122" s="300">
        <v>0.91666666666666663</v>
      </c>
      <c r="I122" s="300">
        <v>0.77916666666666656</v>
      </c>
      <c r="J122" s="34">
        <v>41822.030249999996</v>
      </c>
      <c r="K122" s="34">
        <v>19983.333333333332</v>
      </c>
    </row>
    <row r="123" spans="1:11" x14ac:dyDescent="0.25">
      <c r="A123"/>
      <c r="C123" s="577"/>
      <c r="D123" t="s">
        <v>1457</v>
      </c>
      <c r="E123" t="s">
        <v>1458</v>
      </c>
      <c r="F123" t="s">
        <v>461</v>
      </c>
      <c r="G123" s="272">
        <v>0.33333333333333331</v>
      </c>
      <c r="H123" s="300">
        <v>1.1666666666666665</v>
      </c>
      <c r="I123" s="300">
        <v>0.9916666666666667</v>
      </c>
      <c r="J123" s="34">
        <v>53228.038499999995</v>
      </c>
      <c r="K123" s="34">
        <v>25433.333333333328</v>
      </c>
    </row>
    <row r="124" spans="1:11" x14ac:dyDescent="0.25">
      <c r="A124"/>
      <c r="B124" t="s">
        <v>1684</v>
      </c>
      <c r="C124"/>
      <c r="H124" s="300">
        <v>3.4166666666666665</v>
      </c>
      <c r="I124" s="300">
        <v>2.9041666666666668</v>
      </c>
      <c r="J124" s="34">
        <v>155882.11274999997</v>
      </c>
      <c r="K124" s="34">
        <v>74483.333333333328</v>
      </c>
    </row>
    <row r="125" spans="1:11" x14ac:dyDescent="0.25">
      <c r="A125"/>
      <c r="B125">
        <v>5740</v>
      </c>
      <c r="C125" s="577" t="s">
        <v>461</v>
      </c>
      <c r="D125" t="s">
        <v>819</v>
      </c>
      <c r="E125" t="s">
        <v>621</v>
      </c>
      <c r="F125" t="s">
        <v>176</v>
      </c>
      <c r="G125" s="272">
        <v>0.33333333333333331</v>
      </c>
      <c r="H125" s="300">
        <v>0.96666666666666656</v>
      </c>
      <c r="I125" s="300">
        <v>0.82166666666666655</v>
      </c>
      <c r="J125" s="34">
        <v>40070.317899999995</v>
      </c>
      <c r="K125" s="34">
        <v>3286.6666666666665</v>
      </c>
    </row>
    <row r="126" spans="1:11" x14ac:dyDescent="0.25">
      <c r="A126"/>
      <c r="C126" s="577"/>
      <c r="D126" t="s">
        <v>818</v>
      </c>
      <c r="E126" t="s">
        <v>620</v>
      </c>
      <c r="F126" t="s">
        <v>176</v>
      </c>
      <c r="G126" s="272">
        <v>0.33333333333333331</v>
      </c>
      <c r="H126" s="300">
        <v>1.1333333333333333</v>
      </c>
      <c r="I126" s="300">
        <v>0.96333333333333315</v>
      </c>
      <c r="J126" s="34">
        <v>46978.993399999992</v>
      </c>
      <c r="K126" s="34">
        <v>3853.333333333333</v>
      </c>
    </row>
    <row r="127" spans="1:11" x14ac:dyDescent="0.25">
      <c r="A127"/>
      <c r="C127" s="577"/>
      <c r="D127" t="s">
        <v>1568</v>
      </c>
      <c r="E127" t="s">
        <v>1601</v>
      </c>
      <c r="F127" t="s">
        <v>192</v>
      </c>
      <c r="G127" s="272">
        <v>0.375</v>
      </c>
      <c r="H127" s="300">
        <v>3.5999999999999996</v>
      </c>
      <c r="I127" s="300">
        <v>3.06</v>
      </c>
      <c r="J127" s="34">
        <v>161069.26680000001</v>
      </c>
      <c r="K127" s="34">
        <v>20879.999999999996</v>
      </c>
    </row>
    <row r="128" spans="1:11" x14ac:dyDescent="0.25">
      <c r="A128"/>
      <c r="C128" s="577"/>
      <c r="D128" t="s">
        <v>1669</v>
      </c>
      <c r="E128" t="s">
        <v>1670</v>
      </c>
      <c r="F128" t="s">
        <v>192</v>
      </c>
      <c r="G128" s="272">
        <v>0.125</v>
      </c>
      <c r="H128" s="300">
        <v>1.6833324999999999</v>
      </c>
      <c r="I128" s="300">
        <v>1.4308326249999999</v>
      </c>
      <c r="J128" s="34">
        <v>75314.758765447492</v>
      </c>
      <c r="K128" s="34">
        <v>9763.3284999999996</v>
      </c>
    </row>
    <row r="129" spans="1:11" x14ac:dyDescent="0.25">
      <c r="A129"/>
      <c r="C129" s="577"/>
      <c r="D129" t="s">
        <v>1863</v>
      </c>
      <c r="E129" t="s">
        <v>1419</v>
      </c>
      <c r="F129" t="s">
        <v>1121</v>
      </c>
      <c r="G129" s="272">
        <v>0.13333333333333333</v>
      </c>
      <c r="H129" s="300">
        <v>2.8333333333333335</v>
      </c>
      <c r="I129" s="300">
        <v>2.4083333333333332</v>
      </c>
      <c r="J129" s="34">
        <v>83824.751749999996</v>
      </c>
      <c r="K129" s="34">
        <v>16433.333333333336</v>
      </c>
    </row>
    <row r="130" spans="1:11" x14ac:dyDescent="0.25">
      <c r="A130"/>
      <c r="C130" s="577"/>
      <c r="D130" t="s">
        <v>1950</v>
      </c>
      <c r="E130" t="s">
        <v>1172</v>
      </c>
      <c r="F130" t="s">
        <v>176</v>
      </c>
      <c r="G130" s="272">
        <v>0.5</v>
      </c>
      <c r="H130" s="300">
        <v>4.125</v>
      </c>
      <c r="I130" s="300">
        <v>3.5062500000000001</v>
      </c>
      <c r="J130" s="34">
        <v>122038.97681249998</v>
      </c>
      <c r="K130" s="34">
        <v>23925</v>
      </c>
    </row>
    <row r="131" spans="1:11" x14ac:dyDescent="0.25">
      <c r="A131"/>
      <c r="B131" t="s">
        <v>850</v>
      </c>
      <c r="C131"/>
      <c r="H131" s="300">
        <v>14.341665833333332</v>
      </c>
      <c r="I131" s="300">
        <v>12.190415958333332</v>
      </c>
      <c r="J131" s="34">
        <v>529297.06542794744</v>
      </c>
      <c r="K131" s="34">
        <v>78141.661833333332</v>
      </c>
    </row>
    <row r="132" spans="1:11" x14ac:dyDescent="0.25">
      <c r="A132" s="272" t="s">
        <v>1685</v>
      </c>
      <c r="B132" s="272"/>
      <c r="C132" s="272"/>
      <c r="D132" s="272"/>
      <c r="E132" s="272"/>
      <c r="F132" s="272"/>
      <c r="G132" s="272"/>
      <c r="H132" s="300">
        <v>18.508332500000002</v>
      </c>
      <c r="I132" s="300">
        <v>15.732082625</v>
      </c>
      <c r="J132" s="34">
        <v>710375.36302169738</v>
      </c>
      <c r="K132" s="34">
        <v>159974.99516666666</v>
      </c>
    </row>
    <row r="133" spans="1:11" x14ac:dyDescent="0.25">
      <c r="A133" s="579" t="s">
        <v>772</v>
      </c>
      <c r="B133" s="579"/>
      <c r="C133" s="579"/>
      <c r="D133" s="579"/>
      <c r="E133" s="579"/>
      <c r="F133" s="579"/>
      <c r="G133" s="579"/>
      <c r="H133" s="300">
        <v>304.77749513636365</v>
      </c>
      <c r="I133" s="300">
        <v>258.7208710325757</v>
      </c>
      <c r="J133" s="34">
        <v>12409861.636191962</v>
      </c>
      <c r="K133" s="34">
        <v>2306680.3051242419</v>
      </c>
    </row>
    <row r="134" spans="1:11" x14ac:dyDescent="0.25">
      <c r="A134"/>
      <c r="C134"/>
    </row>
    <row r="135" spans="1:11" x14ac:dyDescent="0.25">
      <c r="A135"/>
      <c r="C135"/>
    </row>
    <row r="136" spans="1:11" x14ac:dyDescent="0.25">
      <c r="A136"/>
      <c r="C136"/>
    </row>
    <row r="137" spans="1:11" x14ac:dyDescent="0.25">
      <c r="A137"/>
      <c r="C137"/>
    </row>
    <row r="138" spans="1:11" x14ac:dyDescent="0.25">
      <c r="A138"/>
      <c r="C138"/>
    </row>
    <row r="139" spans="1:11" x14ac:dyDescent="0.25">
      <c r="A139"/>
      <c r="C139"/>
    </row>
    <row r="140" spans="1:11" x14ac:dyDescent="0.25">
      <c r="A140"/>
      <c r="C140"/>
    </row>
    <row r="141" spans="1:11" x14ac:dyDescent="0.25">
      <c r="A141"/>
      <c r="C141"/>
    </row>
    <row r="142" spans="1:11" x14ac:dyDescent="0.25">
      <c r="A142"/>
      <c r="C142"/>
    </row>
    <row r="143" spans="1:11" x14ac:dyDescent="0.25">
      <c r="A143"/>
      <c r="C143"/>
    </row>
    <row r="144" spans="1:11" x14ac:dyDescent="0.25">
      <c r="A144"/>
      <c r="C144"/>
    </row>
    <row r="145" spans="1:3" x14ac:dyDescent="0.25">
      <c r="A145"/>
      <c r="C145"/>
    </row>
    <row r="146" spans="1:3" x14ac:dyDescent="0.25">
      <c r="A146"/>
      <c r="C146"/>
    </row>
    <row r="147" spans="1:3" x14ac:dyDescent="0.25">
      <c r="A147"/>
      <c r="C147"/>
    </row>
    <row r="148" spans="1:3" x14ac:dyDescent="0.25">
      <c r="A148"/>
      <c r="C148"/>
    </row>
    <row r="149" spans="1:3" x14ac:dyDescent="0.25">
      <c r="A149"/>
      <c r="C149"/>
    </row>
    <row r="150" spans="1:3" x14ac:dyDescent="0.25">
      <c r="A150"/>
      <c r="C150"/>
    </row>
    <row r="151" spans="1:3" x14ac:dyDescent="0.25">
      <c r="A151"/>
      <c r="C151"/>
    </row>
    <row r="152" spans="1:3" x14ac:dyDescent="0.25">
      <c r="A152"/>
      <c r="C152"/>
    </row>
    <row r="153" spans="1:3" x14ac:dyDescent="0.25">
      <c r="A153"/>
      <c r="C153"/>
    </row>
    <row r="154" spans="1:3" x14ac:dyDescent="0.25">
      <c r="A154"/>
      <c r="C154"/>
    </row>
    <row r="155" spans="1:3" x14ac:dyDescent="0.25">
      <c r="A155"/>
      <c r="C155"/>
    </row>
    <row r="156" spans="1:3" x14ac:dyDescent="0.25">
      <c r="A156"/>
      <c r="C156"/>
    </row>
    <row r="157" spans="1:3" x14ac:dyDescent="0.25">
      <c r="A157"/>
      <c r="C157"/>
    </row>
    <row r="158" spans="1:3" x14ac:dyDescent="0.25">
      <c r="A158"/>
      <c r="C158"/>
    </row>
    <row r="159" spans="1:3" x14ac:dyDescent="0.25">
      <c r="A159"/>
      <c r="C159"/>
    </row>
    <row r="160" spans="1:3" x14ac:dyDescent="0.25">
      <c r="A160"/>
      <c r="C160"/>
    </row>
    <row r="161" spans="1:3" x14ac:dyDescent="0.25">
      <c r="A161"/>
      <c r="C161"/>
    </row>
    <row r="162" spans="1:3" x14ac:dyDescent="0.25">
      <c r="A162"/>
      <c r="C162"/>
    </row>
    <row r="163" spans="1:3" x14ac:dyDescent="0.25">
      <c r="A163"/>
      <c r="C163"/>
    </row>
    <row r="164" spans="1:3" x14ac:dyDescent="0.25">
      <c r="A164"/>
      <c r="C164"/>
    </row>
    <row r="165" spans="1:3" x14ac:dyDescent="0.25">
      <c r="A165"/>
      <c r="C165"/>
    </row>
    <row r="166" spans="1:3" x14ac:dyDescent="0.25">
      <c r="A166"/>
      <c r="C166"/>
    </row>
    <row r="167" spans="1:3" x14ac:dyDescent="0.25">
      <c r="A167"/>
      <c r="C167"/>
    </row>
    <row r="168" spans="1:3" x14ac:dyDescent="0.25">
      <c r="A168"/>
      <c r="C168"/>
    </row>
    <row r="169" spans="1:3" x14ac:dyDescent="0.25">
      <c r="A169"/>
      <c r="C169"/>
    </row>
    <row r="170" spans="1:3" x14ac:dyDescent="0.25">
      <c r="A170"/>
      <c r="C170"/>
    </row>
    <row r="171" spans="1:3" x14ac:dyDescent="0.25">
      <c r="A171"/>
      <c r="C171"/>
    </row>
    <row r="172" spans="1:3" x14ac:dyDescent="0.25">
      <c r="A172"/>
      <c r="C172"/>
    </row>
    <row r="173" spans="1:3" x14ac:dyDescent="0.25">
      <c r="A173"/>
      <c r="C173"/>
    </row>
    <row r="174" spans="1:3" x14ac:dyDescent="0.25">
      <c r="A174"/>
      <c r="C174"/>
    </row>
    <row r="175" spans="1:3" x14ac:dyDescent="0.25">
      <c r="A175"/>
      <c r="C175"/>
    </row>
    <row r="176" spans="1:3" x14ac:dyDescent="0.25">
      <c r="A176"/>
      <c r="C176"/>
    </row>
    <row r="177" spans="1:3" x14ac:dyDescent="0.25">
      <c r="A177"/>
      <c r="C177"/>
    </row>
    <row r="178" spans="1:3" x14ac:dyDescent="0.25">
      <c r="A178"/>
      <c r="C178"/>
    </row>
    <row r="179" spans="1:3" x14ac:dyDescent="0.25">
      <c r="A179"/>
      <c r="C179"/>
    </row>
    <row r="180" spans="1:3" x14ac:dyDescent="0.25">
      <c r="A180"/>
      <c r="C180"/>
    </row>
    <row r="181" spans="1:3" x14ac:dyDescent="0.25">
      <c r="A181"/>
      <c r="C181"/>
    </row>
    <row r="182" spans="1:3" x14ac:dyDescent="0.25">
      <c r="A182"/>
      <c r="C182"/>
    </row>
    <row r="183" spans="1:3" x14ac:dyDescent="0.25">
      <c r="A183"/>
      <c r="C183"/>
    </row>
    <row r="184" spans="1:3" x14ac:dyDescent="0.25">
      <c r="A184"/>
      <c r="C184"/>
    </row>
    <row r="185" spans="1:3" x14ac:dyDescent="0.25">
      <c r="A185"/>
      <c r="C185"/>
    </row>
    <row r="186" spans="1:3" x14ac:dyDescent="0.25">
      <c r="A186"/>
      <c r="C186"/>
    </row>
    <row r="187" spans="1:3" x14ac:dyDescent="0.25">
      <c r="A187"/>
      <c r="C187"/>
    </row>
    <row r="188" spans="1:3" x14ac:dyDescent="0.25">
      <c r="A188"/>
      <c r="C188"/>
    </row>
    <row r="189" spans="1:3" x14ac:dyDescent="0.25">
      <c r="A189"/>
      <c r="C189"/>
    </row>
    <row r="190" spans="1:3" x14ac:dyDescent="0.25">
      <c r="A190"/>
      <c r="C190"/>
    </row>
    <row r="191" spans="1:3" x14ac:dyDescent="0.25">
      <c r="A191"/>
      <c r="C191"/>
    </row>
    <row r="192" spans="1:3" x14ac:dyDescent="0.25">
      <c r="A192"/>
      <c r="C192"/>
    </row>
    <row r="193" spans="1:3" x14ac:dyDescent="0.25">
      <c r="A193"/>
      <c r="C193"/>
    </row>
    <row r="194" spans="1:3" x14ac:dyDescent="0.25">
      <c r="A194"/>
      <c r="C194"/>
    </row>
    <row r="195" spans="1:3" x14ac:dyDescent="0.25">
      <c r="A195"/>
      <c r="C195"/>
    </row>
    <row r="196" spans="1:3" x14ac:dyDescent="0.25">
      <c r="A196"/>
      <c r="C196"/>
    </row>
    <row r="197" spans="1:3" x14ac:dyDescent="0.25">
      <c r="A197"/>
      <c r="C197"/>
    </row>
    <row r="198" spans="1:3" x14ac:dyDescent="0.25">
      <c r="A198"/>
      <c r="C198"/>
    </row>
    <row r="199" spans="1:3" x14ac:dyDescent="0.25">
      <c r="A199"/>
      <c r="C199"/>
    </row>
    <row r="200" spans="1:3" x14ac:dyDescent="0.25">
      <c r="A200"/>
      <c r="C200"/>
    </row>
    <row r="201" spans="1:3" x14ac:dyDescent="0.25">
      <c r="A201"/>
      <c r="C201"/>
    </row>
    <row r="202" spans="1:3" x14ac:dyDescent="0.25">
      <c r="A202"/>
      <c r="C202"/>
    </row>
    <row r="203" spans="1:3" x14ac:dyDescent="0.25">
      <c r="A203"/>
      <c r="C203"/>
    </row>
    <row r="204" spans="1:3" x14ac:dyDescent="0.25">
      <c r="A204"/>
      <c r="C204"/>
    </row>
    <row r="205" spans="1:3" x14ac:dyDescent="0.25">
      <c r="A205"/>
      <c r="C205"/>
    </row>
    <row r="206" spans="1:3" x14ac:dyDescent="0.25">
      <c r="A206"/>
      <c r="C206"/>
    </row>
    <row r="207" spans="1:3" x14ac:dyDescent="0.25">
      <c r="A207"/>
      <c r="C207"/>
    </row>
    <row r="208" spans="1:3" x14ac:dyDescent="0.25">
      <c r="A208"/>
      <c r="C208"/>
    </row>
    <row r="209" spans="1:3" x14ac:dyDescent="0.25">
      <c r="A209"/>
      <c r="C209"/>
    </row>
    <row r="210" spans="1:3" x14ac:dyDescent="0.25">
      <c r="A210"/>
      <c r="C210"/>
    </row>
    <row r="211" spans="1:3" x14ac:dyDescent="0.25">
      <c r="A211"/>
      <c r="C211"/>
    </row>
    <row r="212" spans="1:3" x14ac:dyDescent="0.25">
      <c r="A212"/>
      <c r="C212"/>
    </row>
    <row r="213" spans="1:3" x14ac:dyDescent="0.25">
      <c r="A213"/>
      <c r="C213"/>
    </row>
    <row r="214" spans="1:3" x14ac:dyDescent="0.25">
      <c r="A214"/>
      <c r="C214"/>
    </row>
    <row r="215" spans="1:3" x14ac:dyDescent="0.25">
      <c r="A215"/>
      <c r="C215"/>
    </row>
    <row r="216" spans="1:3" x14ac:dyDescent="0.25">
      <c r="A216"/>
      <c r="C216"/>
    </row>
    <row r="217" spans="1:3" x14ac:dyDescent="0.25">
      <c r="A217"/>
      <c r="C217"/>
    </row>
    <row r="218" spans="1:3" x14ac:dyDescent="0.25">
      <c r="A218"/>
      <c r="C218"/>
    </row>
    <row r="219" spans="1:3" x14ac:dyDescent="0.25">
      <c r="A219"/>
      <c r="C219"/>
    </row>
    <row r="220" spans="1:3" x14ac:dyDescent="0.25">
      <c r="A220"/>
      <c r="C220"/>
    </row>
    <row r="221" spans="1:3" x14ac:dyDescent="0.25">
      <c r="A221"/>
      <c r="C221"/>
    </row>
    <row r="222" spans="1:3" x14ac:dyDescent="0.25">
      <c r="A222"/>
      <c r="C222"/>
    </row>
    <row r="223" spans="1:3" x14ac:dyDescent="0.25">
      <c r="A223"/>
      <c r="C223"/>
    </row>
    <row r="224" spans="1:3" x14ac:dyDescent="0.25">
      <c r="A224"/>
      <c r="C224"/>
    </row>
    <row r="225" spans="1:3" x14ac:dyDescent="0.25">
      <c r="A225"/>
      <c r="C225"/>
    </row>
    <row r="226" spans="1:3" x14ac:dyDescent="0.25">
      <c r="A226"/>
      <c r="C226"/>
    </row>
    <row r="227" spans="1:3" x14ac:dyDescent="0.25">
      <c r="A227"/>
      <c r="C227"/>
    </row>
    <row r="228" spans="1:3" x14ac:dyDescent="0.25">
      <c r="A228"/>
      <c r="C228"/>
    </row>
    <row r="229" spans="1:3" x14ac:dyDescent="0.25">
      <c r="A229"/>
      <c r="C229"/>
    </row>
    <row r="230" spans="1:3" x14ac:dyDescent="0.25">
      <c r="A230"/>
      <c r="C230"/>
    </row>
    <row r="231" spans="1:3" x14ac:dyDescent="0.25">
      <c r="A231"/>
      <c r="C231"/>
    </row>
    <row r="232" spans="1:3" x14ac:dyDescent="0.25">
      <c r="A232"/>
      <c r="C232"/>
    </row>
    <row r="233" spans="1:3" x14ac:dyDescent="0.25">
      <c r="A233"/>
      <c r="C233"/>
    </row>
    <row r="234" spans="1:3" x14ac:dyDescent="0.25">
      <c r="A234"/>
      <c r="C234"/>
    </row>
    <row r="235" spans="1:3" x14ac:dyDescent="0.25">
      <c r="A235"/>
      <c r="C235"/>
    </row>
    <row r="236" spans="1:3" x14ac:dyDescent="0.25">
      <c r="A236"/>
      <c r="C236"/>
    </row>
    <row r="237" spans="1:3" x14ac:dyDescent="0.25">
      <c r="A237"/>
      <c r="C237"/>
    </row>
    <row r="238" spans="1:3" x14ac:dyDescent="0.25">
      <c r="A238"/>
      <c r="C238"/>
    </row>
    <row r="239" spans="1:3" x14ac:dyDescent="0.25">
      <c r="A239"/>
      <c r="C239"/>
    </row>
    <row r="240" spans="1:3" x14ac:dyDescent="0.25">
      <c r="A240"/>
      <c r="C240"/>
    </row>
    <row r="241" spans="1:3" x14ac:dyDescent="0.25">
      <c r="A241"/>
      <c r="C241"/>
    </row>
    <row r="242" spans="1:3" x14ac:dyDescent="0.25">
      <c r="A242"/>
      <c r="C242"/>
    </row>
    <row r="243" spans="1:3" x14ac:dyDescent="0.25">
      <c r="A243"/>
      <c r="C243"/>
    </row>
    <row r="244" spans="1:3" x14ac:dyDescent="0.25">
      <c r="A244"/>
      <c r="C244"/>
    </row>
    <row r="245" spans="1:3" x14ac:dyDescent="0.25">
      <c r="A245"/>
      <c r="C245"/>
    </row>
    <row r="246" spans="1:3" x14ac:dyDescent="0.25">
      <c r="A246"/>
      <c r="C246"/>
    </row>
    <row r="247" spans="1:3" x14ac:dyDescent="0.25">
      <c r="A247"/>
      <c r="C247"/>
    </row>
    <row r="248" spans="1:3" x14ac:dyDescent="0.25">
      <c r="A248"/>
      <c r="C248"/>
    </row>
    <row r="249" spans="1:3" x14ac:dyDescent="0.25">
      <c r="A249"/>
      <c r="C249"/>
    </row>
    <row r="250" spans="1:3" x14ac:dyDescent="0.25">
      <c r="A250"/>
      <c r="C250"/>
    </row>
    <row r="251" spans="1:3" x14ac:dyDescent="0.25">
      <c r="A251"/>
      <c r="C251"/>
    </row>
    <row r="252" spans="1:3" x14ac:dyDescent="0.25">
      <c r="A252"/>
      <c r="C252"/>
    </row>
    <row r="253" spans="1:3" x14ac:dyDescent="0.25">
      <c r="A253"/>
      <c r="C253"/>
    </row>
    <row r="254" spans="1:3" x14ac:dyDescent="0.25">
      <c r="A254"/>
      <c r="C254"/>
    </row>
    <row r="255" spans="1:3" x14ac:dyDescent="0.25">
      <c r="A255"/>
      <c r="C255"/>
    </row>
    <row r="256" spans="1:3" x14ac:dyDescent="0.25">
      <c r="A256"/>
      <c r="C256"/>
    </row>
    <row r="257" spans="1:3" x14ac:dyDescent="0.25">
      <c r="A257"/>
      <c r="C257"/>
    </row>
    <row r="258" spans="1:3" x14ac:dyDescent="0.25">
      <c r="A258"/>
      <c r="C258"/>
    </row>
    <row r="259" spans="1:3" x14ac:dyDescent="0.25">
      <c r="A259"/>
      <c r="C259"/>
    </row>
    <row r="260" spans="1:3" x14ac:dyDescent="0.25">
      <c r="A260"/>
      <c r="C260"/>
    </row>
    <row r="261" spans="1:3" x14ac:dyDescent="0.25">
      <c r="A261"/>
      <c r="C261"/>
    </row>
    <row r="262" spans="1:3" x14ac:dyDescent="0.25">
      <c r="A262"/>
      <c r="C262"/>
    </row>
    <row r="263" spans="1:3" x14ac:dyDescent="0.25">
      <c r="A263"/>
      <c r="C263"/>
    </row>
    <row r="264" spans="1:3" x14ac:dyDescent="0.25">
      <c r="A264"/>
      <c r="C264"/>
    </row>
    <row r="265" spans="1:3" x14ac:dyDescent="0.25">
      <c r="A265"/>
      <c r="C265"/>
    </row>
    <row r="266" spans="1:3" x14ac:dyDescent="0.25">
      <c r="A266"/>
      <c r="C266"/>
    </row>
    <row r="267" spans="1:3" x14ac:dyDescent="0.25">
      <c r="A267"/>
      <c r="C267"/>
    </row>
    <row r="268" spans="1:3" x14ac:dyDescent="0.25">
      <c r="A268"/>
      <c r="C268"/>
    </row>
    <row r="269" spans="1:3" x14ac:dyDescent="0.25">
      <c r="A269"/>
      <c r="C269"/>
    </row>
    <row r="270" spans="1:3" x14ac:dyDescent="0.25">
      <c r="A270"/>
      <c r="C270"/>
    </row>
    <row r="271" spans="1:3" x14ac:dyDescent="0.25">
      <c r="A271"/>
      <c r="C271"/>
    </row>
    <row r="272" spans="1:3" x14ac:dyDescent="0.25">
      <c r="A272"/>
      <c r="C272"/>
    </row>
    <row r="273" spans="1:3" x14ac:dyDescent="0.25">
      <c r="A273"/>
      <c r="C273"/>
    </row>
    <row r="274" spans="1:3" x14ac:dyDescent="0.25">
      <c r="A274"/>
      <c r="C274"/>
    </row>
    <row r="275" spans="1:3" x14ac:dyDescent="0.25">
      <c r="A275"/>
      <c r="C275"/>
    </row>
    <row r="276" spans="1:3" x14ac:dyDescent="0.25">
      <c r="A276"/>
      <c r="C276"/>
    </row>
    <row r="277" spans="1:3" x14ac:dyDescent="0.25">
      <c r="A277"/>
      <c r="C277"/>
    </row>
    <row r="278" spans="1:3" x14ac:dyDescent="0.25">
      <c r="A278"/>
      <c r="C278"/>
    </row>
    <row r="279" spans="1:3" x14ac:dyDescent="0.25">
      <c r="A279"/>
      <c r="C279"/>
    </row>
    <row r="280" spans="1:3" x14ac:dyDescent="0.25">
      <c r="A280"/>
      <c r="C280"/>
    </row>
    <row r="281" spans="1:3" x14ac:dyDescent="0.25">
      <c r="A281"/>
      <c r="C281"/>
    </row>
    <row r="282" spans="1:3" x14ac:dyDescent="0.25">
      <c r="A282"/>
      <c r="C282"/>
    </row>
    <row r="283" spans="1:3" x14ac:dyDescent="0.25">
      <c r="A283"/>
      <c r="C283"/>
    </row>
    <row r="284" spans="1:3" x14ac:dyDescent="0.25">
      <c r="A284"/>
      <c r="C284"/>
    </row>
    <row r="285" spans="1:3" x14ac:dyDescent="0.25">
      <c r="A285"/>
      <c r="C285"/>
    </row>
    <row r="286" spans="1:3" x14ac:dyDescent="0.25">
      <c r="A286"/>
      <c r="C286"/>
    </row>
    <row r="287" spans="1:3" x14ac:dyDescent="0.25">
      <c r="A287"/>
      <c r="C287"/>
    </row>
    <row r="288" spans="1:3" x14ac:dyDescent="0.25">
      <c r="A288"/>
      <c r="C288"/>
    </row>
    <row r="289" spans="1:3" x14ac:dyDescent="0.25">
      <c r="A289"/>
      <c r="C289"/>
    </row>
    <row r="290" spans="1:3" x14ac:dyDescent="0.25">
      <c r="A290"/>
      <c r="C290"/>
    </row>
    <row r="291" spans="1:3" x14ac:dyDescent="0.25">
      <c r="A291"/>
      <c r="C291"/>
    </row>
  </sheetData>
  <sheetProtection sheet="1" objects="1" scenarios="1"/>
  <phoneticPr fontId="41" type="noConversion"/>
  <printOptions horizontalCentered="1"/>
  <pageMargins left="0.31496062992125984" right="0.31496062992125984" top="0.94488188976377963" bottom="0.55118110236220474" header="0.31496062992125984" footer="0.31496062992125984"/>
  <pageSetup paperSize="9" scale="66" orientation="landscape" r:id="rId2"/>
  <headerFooter>
    <oddHeader>&amp;R&amp;F</oddHeader>
    <oddFooter>Sida &amp;P av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indexed="12"/>
    <pageSetUpPr fitToPage="1"/>
  </sheetPr>
  <dimension ref="A1:DM326"/>
  <sheetViews>
    <sheetView workbookViewId="0"/>
  </sheetViews>
  <sheetFormatPr defaultColWidth="8.85546875" defaultRowHeight="15" x14ac:dyDescent="0.25"/>
  <cols>
    <col min="1" max="1" width="11.42578125" style="25" customWidth="1"/>
    <col min="2" max="2" width="33.5703125" style="25" customWidth="1"/>
    <col min="3" max="3" width="15.140625" style="25" customWidth="1"/>
    <col min="4" max="4" width="69.5703125" style="25" customWidth="1"/>
    <col min="5" max="5" width="29.28515625" style="25" customWidth="1"/>
    <col min="6" max="6" width="10.7109375" style="25" customWidth="1"/>
    <col min="7" max="7" width="8.5703125" style="25" customWidth="1"/>
    <col min="8" max="8" width="10.7109375" style="25" customWidth="1"/>
    <col min="9" max="9" width="10.28515625" style="25" customWidth="1"/>
    <col min="10" max="11" width="6.7109375" style="25" customWidth="1"/>
    <col min="12" max="12" width="17" style="25" customWidth="1"/>
    <col min="13" max="21" width="29.42578125" style="25" bestFit="1" customWidth="1"/>
    <col min="22" max="22" width="29.42578125" style="25" customWidth="1"/>
    <col min="23" max="111" width="29.42578125" style="25" bestFit="1" customWidth="1"/>
    <col min="112" max="112" width="16" style="25" bestFit="1" customWidth="1"/>
    <col min="113" max="113" width="22.85546875" style="25" bestFit="1" customWidth="1"/>
    <col min="114" max="114" width="25.42578125" style="25" bestFit="1" customWidth="1"/>
    <col min="115" max="115" width="10.42578125" style="25" bestFit="1" customWidth="1"/>
    <col min="116" max="116" width="10.5703125" style="25" bestFit="1" customWidth="1"/>
    <col min="117" max="117" width="25.5703125" style="25" bestFit="1" customWidth="1"/>
    <col min="118" max="16384" width="8.85546875" style="25"/>
  </cols>
  <sheetData>
    <row r="1" spans="1:117" x14ac:dyDescent="0.25">
      <c r="A1"/>
      <c r="B1"/>
    </row>
    <row r="2" spans="1:117" s="27" customFormat="1" ht="15" customHeight="1" x14ac:dyDescent="0.2">
      <c r="A2" s="600" t="s">
        <v>1668</v>
      </c>
      <c r="B2" s="600"/>
      <c r="D2" s="600"/>
      <c r="E2" s="600"/>
    </row>
    <row r="3" spans="1:117" x14ac:dyDescent="0.25">
      <c r="A3" s="585"/>
      <c r="B3" s="586"/>
      <c r="C3" s="586"/>
      <c r="D3" s="586"/>
      <c r="E3" s="586"/>
      <c r="F3" s="587" t="s">
        <v>4</v>
      </c>
      <c r="G3" s="586"/>
      <c r="H3" s="586"/>
      <c r="I3" s="586"/>
      <c r="J3" s="586"/>
      <c r="K3" s="588"/>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row>
    <row r="4" spans="1:117" s="28" customFormat="1" ht="45" x14ac:dyDescent="0.25">
      <c r="A4" s="559" t="s">
        <v>327</v>
      </c>
      <c r="B4" s="558" t="s">
        <v>2</v>
      </c>
      <c r="C4" s="558" t="s">
        <v>59</v>
      </c>
      <c r="D4" s="552" t="s">
        <v>158</v>
      </c>
      <c r="E4" s="558" t="s">
        <v>326</v>
      </c>
      <c r="F4" s="560" t="s">
        <v>448</v>
      </c>
      <c r="G4" s="560" t="s">
        <v>376</v>
      </c>
      <c r="H4" s="560" t="s">
        <v>458</v>
      </c>
      <c r="I4" s="560" t="s">
        <v>910</v>
      </c>
      <c r="J4" s="560" t="s">
        <v>61</v>
      </c>
      <c r="K4" s="561" t="s">
        <v>62</v>
      </c>
      <c r="L4"/>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row>
    <row r="5" spans="1:117" x14ac:dyDescent="0.25">
      <c r="A5" s="554">
        <v>1620</v>
      </c>
      <c r="B5" s="553" t="s">
        <v>176</v>
      </c>
      <c r="C5" s="553" t="s">
        <v>516</v>
      </c>
      <c r="D5" s="553" t="s">
        <v>535</v>
      </c>
      <c r="E5" s="553" t="s">
        <v>173</v>
      </c>
      <c r="F5" s="555">
        <v>214731.33749999999</v>
      </c>
      <c r="G5" s="555">
        <v>-15031.193625000002</v>
      </c>
      <c r="H5" s="555">
        <v>199700.14387499998</v>
      </c>
      <c r="I5" s="555">
        <v>39150</v>
      </c>
      <c r="J5" s="556">
        <v>6.75</v>
      </c>
      <c r="K5" s="557">
        <v>5.7374999999999998</v>
      </c>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row>
    <row r="6" spans="1:117" x14ac:dyDescent="0.25">
      <c r="A6" s="554"/>
      <c r="B6" s="553"/>
      <c r="C6" s="553" t="s">
        <v>521</v>
      </c>
      <c r="D6" s="553" t="s">
        <v>536</v>
      </c>
      <c r="E6" s="553" t="s">
        <v>173</v>
      </c>
      <c r="F6" s="555">
        <v>206778.32500000001</v>
      </c>
      <c r="G6" s="555">
        <v>-14474.482750000003</v>
      </c>
      <c r="H6" s="555">
        <v>192303.84225000002</v>
      </c>
      <c r="I6" s="555">
        <v>37700</v>
      </c>
      <c r="J6" s="556">
        <v>6.5</v>
      </c>
      <c r="K6" s="557">
        <v>5.5249999999999995</v>
      </c>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row>
    <row r="7" spans="1:117" x14ac:dyDescent="0.25">
      <c r="A7" s="554"/>
      <c r="B7" s="553"/>
      <c r="C7" s="553" t="s">
        <v>606</v>
      </c>
      <c r="D7" s="553" t="s">
        <v>624</v>
      </c>
      <c r="E7" s="553" t="s">
        <v>173</v>
      </c>
      <c r="F7" s="555">
        <v>111342.175</v>
      </c>
      <c r="G7" s="555">
        <v>-7793.9522500000012</v>
      </c>
      <c r="H7" s="555">
        <v>103548.22275</v>
      </c>
      <c r="I7" s="555">
        <v>20300</v>
      </c>
      <c r="J7" s="556">
        <v>3.5</v>
      </c>
      <c r="K7" s="557">
        <v>2.9750000000000001</v>
      </c>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row>
    <row r="8" spans="1:117" x14ac:dyDescent="0.25">
      <c r="A8" s="554"/>
      <c r="B8" s="553"/>
      <c r="C8" s="553" t="s">
        <v>819</v>
      </c>
      <c r="D8" s="553" t="s">
        <v>621</v>
      </c>
      <c r="E8" s="553" t="s">
        <v>461</v>
      </c>
      <c r="F8" s="555">
        <v>43086.363333333327</v>
      </c>
      <c r="G8" s="555">
        <v>-3016.0454333333332</v>
      </c>
      <c r="H8" s="555">
        <v>40070.317899999995</v>
      </c>
      <c r="I8" s="555">
        <v>3286.6666666666665</v>
      </c>
      <c r="J8" s="556">
        <v>0.96666666666666656</v>
      </c>
      <c r="K8" s="557">
        <v>0.82166666666666655</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row>
    <row r="9" spans="1:117" x14ac:dyDescent="0.25">
      <c r="A9" s="554"/>
      <c r="B9" s="553"/>
      <c r="C9" s="553" t="s">
        <v>818</v>
      </c>
      <c r="D9" s="553" t="s">
        <v>620</v>
      </c>
      <c r="E9" s="553" t="s">
        <v>461</v>
      </c>
      <c r="F9" s="555">
        <v>50515.046666666662</v>
      </c>
      <c r="G9" s="555">
        <v>-3536.0532666666668</v>
      </c>
      <c r="H9" s="555">
        <v>46978.993399999992</v>
      </c>
      <c r="I9" s="555">
        <v>3853.333333333333</v>
      </c>
      <c r="J9" s="556">
        <v>1.1333333333333333</v>
      </c>
      <c r="K9" s="557">
        <v>0.96333333333333315</v>
      </c>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row>
    <row r="10" spans="1:117" x14ac:dyDescent="0.25">
      <c r="A10" s="554"/>
      <c r="B10" s="553"/>
      <c r="C10" s="553" t="s">
        <v>1556</v>
      </c>
      <c r="D10" s="553" t="s">
        <v>1585</v>
      </c>
      <c r="E10" s="553" t="s">
        <v>1121</v>
      </c>
      <c r="F10" s="555">
        <v>135201.21249999999</v>
      </c>
      <c r="G10" s="555">
        <v>-9464.0848750000005</v>
      </c>
      <c r="H10" s="555">
        <v>125737.12762499999</v>
      </c>
      <c r="I10" s="555">
        <v>24650</v>
      </c>
      <c r="J10" s="556">
        <v>4.25</v>
      </c>
      <c r="K10" s="557">
        <v>3.6125000000000003</v>
      </c>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row>
    <row r="11" spans="1:117" x14ac:dyDescent="0.25">
      <c r="A11" s="554"/>
      <c r="B11" s="553"/>
      <c r="C11" s="553" t="s">
        <v>1266</v>
      </c>
      <c r="D11" s="553" t="s">
        <v>1275</v>
      </c>
      <c r="E11" s="553" t="s">
        <v>173</v>
      </c>
      <c r="F11" s="555">
        <v>95436.15</v>
      </c>
      <c r="G11" s="555">
        <v>-6680.5304999999998</v>
      </c>
      <c r="H11" s="555">
        <v>88755.619500000001</v>
      </c>
      <c r="I11" s="555">
        <v>17400</v>
      </c>
      <c r="J11" s="556">
        <v>3</v>
      </c>
      <c r="K11" s="557">
        <v>2.5499999999999998</v>
      </c>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row>
    <row r="12" spans="1:117" x14ac:dyDescent="0.25">
      <c r="A12" s="554"/>
      <c r="B12" s="553"/>
      <c r="C12" s="553" t="s">
        <v>1661</v>
      </c>
      <c r="D12" s="553" t="s">
        <v>1662</v>
      </c>
      <c r="E12" s="553" t="s">
        <v>1121</v>
      </c>
      <c r="F12" s="555">
        <v>33137.552083333328</v>
      </c>
      <c r="G12" s="555">
        <v>-2319.6286458333334</v>
      </c>
      <c r="H12" s="555">
        <v>30817.923437499994</v>
      </c>
      <c r="I12" s="555">
        <v>6041.6666666666661</v>
      </c>
      <c r="J12" s="556">
        <v>1.0416666666666665</v>
      </c>
      <c r="K12" s="557">
        <v>0.88541666666666663</v>
      </c>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row>
    <row r="13" spans="1:117" x14ac:dyDescent="0.25">
      <c r="A13" s="554"/>
      <c r="B13" s="553"/>
      <c r="C13" s="553" t="s">
        <v>1950</v>
      </c>
      <c r="D13" s="553" t="s">
        <v>1172</v>
      </c>
      <c r="E13" s="553" t="s">
        <v>461</v>
      </c>
      <c r="F13" s="555">
        <v>131224.70624999999</v>
      </c>
      <c r="G13" s="555">
        <v>-9185.7294375000001</v>
      </c>
      <c r="H13" s="555">
        <v>122038.97681249998</v>
      </c>
      <c r="I13" s="555">
        <v>23925</v>
      </c>
      <c r="J13" s="556">
        <v>4.125</v>
      </c>
      <c r="K13" s="557">
        <v>3.5062500000000001</v>
      </c>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row>
    <row r="14" spans="1:117" x14ac:dyDescent="0.25">
      <c r="A14" s="554" t="s">
        <v>846</v>
      </c>
      <c r="B14" s="553"/>
      <c r="C14" s="553"/>
      <c r="D14" s="553"/>
      <c r="E14" s="553"/>
      <c r="F14" s="555">
        <v>1021452.8683333334</v>
      </c>
      <c r="G14" s="555">
        <v>-71501.700783333348</v>
      </c>
      <c r="H14" s="555">
        <v>949951.16755000013</v>
      </c>
      <c r="I14" s="555">
        <v>176306.66666666666</v>
      </c>
      <c r="J14" s="556">
        <v>31.266666666666666</v>
      </c>
      <c r="K14" s="557">
        <v>26.576666666666672</v>
      </c>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row>
    <row r="15" spans="1:117" x14ac:dyDescent="0.25">
      <c r="A15" s="554">
        <v>1630</v>
      </c>
      <c r="B15" s="553" t="s">
        <v>172</v>
      </c>
      <c r="C15" s="553" t="s">
        <v>470</v>
      </c>
      <c r="D15" s="553" t="s">
        <v>473</v>
      </c>
      <c r="E15" s="553" t="s">
        <v>173</v>
      </c>
      <c r="F15" s="555">
        <v>320727.49369699997</v>
      </c>
      <c r="G15" s="555">
        <v>-22450.92455879</v>
      </c>
      <c r="H15" s="555">
        <v>298276.56913820998</v>
      </c>
      <c r="I15" s="555">
        <v>38666.686000000002</v>
      </c>
      <c r="J15" s="556">
        <v>6.6666699999999999</v>
      </c>
      <c r="K15" s="557">
        <v>5.6666695000000002</v>
      </c>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row>
    <row r="16" spans="1:117" x14ac:dyDescent="0.25">
      <c r="A16" s="554"/>
      <c r="B16" s="553"/>
      <c r="C16" s="553" t="s">
        <v>471</v>
      </c>
      <c r="D16" s="553" t="s">
        <v>474</v>
      </c>
      <c r="E16" s="553" t="s">
        <v>194</v>
      </c>
      <c r="F16" s="555">
        <v>158760.03</v>
      </c>
      <c r="G16" s="555">
        <v>-11113.2021</v>
      </c>
      <c r="H16" s="555">
        <v>147646.8279</v>
      </c>
      <c r="I16" s="555">
        <v>19140</v>
      </c>
      <c r="J16" s="556">
        <v>3.3000000000000003</v>
      </c>
      <c r="K16" s="557">
        <v>2.8049999999999997</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row>
    <row r="17" spans="1:117" x14ac:dyDescent="0.25">
      <c r="A17" s="554"/>
      <c r="B17" s="553"/>
      <c r="C17" s="553"/>
      <c r="D17" s="553"/>
      <c r="E17" s="553" t="s">
        <v>200</v>
      </c>
      <c r="F17" s="555">
        <v>39690.0075</v>
      </c>
      <c r="G17" s="555">
        <v>-2778.3005250000001</v>
      </c>
      <c r="H17" s="555">
        <v>36911.706975000001</v>
      </c>
      <c r="I17" s="555">
        <v>4785</v>
      </c>
      <c r="J17" s="556">
        <v>0.82500000000000007</v>
      </c>
      <c r="K17" s="557">
        <v>0.70124999999999993</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row>
    <row r="18" spans="1:117" x14ac:dyDescent="0.25">
      <c r="A18" s="554"/>
      <c r="B18" s="553"/>
      <c r="C18" s="553" t="s">
        <v>864</v>
      </c>
      <c r="D18" s="553" t="s">
        <v>1173</v>
      </c>
      <c r="E18" s="553" t="s">
        <v>192</v>
      </c>
      <c r="F18" s="555">
        <v>111342.175</v>
      </c>
      <c r="G18" s="555">
        <v>-7793.9522500000012</v>
      </c>
      <c r="H18" s="555">
        <v>103548.22275</v>
      </c>
      <c r="I18" s="555">
        <v>20300</v>
      </c>
      <c r="J18" s="556">
        <v>3.5</v>
      </c>
      <c r="K18" s="557">
        <v>2.9750000000000001</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row>
    <row r="19" spans="1:117" x14ac:dyDescent="0.25">
      <c r="A19" s="554"/>
      <c r="B19" s="553"/>
      <c r="C19" s="553"/>
      <c r="D19" s="553"/>
      <c r="E19" s="553" t="s">
        <v>2096</v>
      </c>
      <c r="F19" s="555">
        <v>37114.058333333334</v>
      </c>
      <c r="G19" s="555">
        <v>-2597.9840833333337</v>
      </c>
      <c r="H19" s="555">
        <v>34516.074249999998</v>
      </c>
      <c r="I19" s="555">
        <v>6766.6666666666661</v>
      </c>
      <c r="J19" s="556">
        <v>1.1666666666666665</v>
      </c>
      <c r="K19" s="557">
        <v>0.9916666666666667</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row>
    <row r="20" spans="1:117" x14ac:dyDescent="0.25">
      <c r="A20" s="554"/>
      <c r="B20" s="553"/>
      <c r="C20" s="553" t="s">
        <v>1143</v>
      </c>
      <c r="D20" s="553" t="s">
        <v>1129</v>
      </c>
      <c r="E20" s="553" t="s">
        <v>192</v>
      </c>
      <c r="F20" s="555">
        <v>244554.59166666665</v>
      </c>
      <c r="G20" s="555">
        <v>-17118.821416666666</v>
      </c>
      <c r="H20" s="555">
        <v>227435.77024999997</v>
      </c>
      <c r="I20" s="555">
        <v>29483.333333333332</v>
      </c>
      <c r="J20" s="556">
        <v>5.083333333333333</v>
      </c>
      <c r="K20" s="557">
        <v>4.3208333333333329</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row>
    <row r="21" spans="1:117" x14ac:dyDescent="0.25">
      <c r="A21" s="554"/>
      <c r="B21" s="553"/>
      <c r="C21" s="553"/>
      <c r="D21" s="553"/>
      <c r="E21" s="553" t="s">
        <v>200</v>
      </c>
      <c r="F21" s="555">
        <v>366831.88750000001</v>
      </c>
      <c r="G21" s="555">
        <v>-25678.232125000002</v>
      </c>
      <c r="H21" s="555">
        <v>341153.65537500003</v>
      </c>
      <c r="I21" s="555">
        <v>44225</v>
      </c>
      <c r="J21" s="556">
        <v>7.625</v>
      </c>
      <c r="K21" s="557">
        <v>6.4812500000000002</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row>
    <row r="22" spans="1:117" x14ac:dyDescent="0.25">
      <c r="A22" s="554"/>
      <c r="B22" s="553"/>
      <c r="C22" s="553" t="s">
        <v>1145</v>
      </c>
      <c r="D22" s="553" t="s">
        <v>1130</v>
      </c>
      <c r="E22" s="553" t="s">
        <v>173</v>
      </c>
      <c r="F22" s="555">
        <v>825071.06499999994</v>
      </c>
      <c r="G22" s="555">
        <v>-57754.974549999999</v>
      </c>
      <c r="H22" s="555">
        <v>767316.0904499999</v>
      </c>
      <c r="I22" s="555">
        <v>99469.999999999985</v>
      </c>
      <c r="J22" s="556">
        <v>17.149999999999999</v>
      </c>
      <c r="K22" s="557">
        <v>14.577500000000001</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row>
    <row r="23" spans="1:117" x14ac:dyDescent="0.25">
      <c r="A23" s="554"/>
      <c r="B23" s="553"/>
      <c r="C23" s="553" t="s">
        <v>2057</v>
      </c>
      <c r="D23" s="553" t="s">
        <v>2072</v>
      </c>
      <c r="E23" s="553" t="s">
        <v>199</v>
      </c>
      <c r="F23" s="555">
        <v>95436.15</v>
      </c>
      <c r="G23" s="555">
        <v>-6680.5304999999998</v>
      </c>
      <c r="H23" s="555">
        <v>88755.619500000001</v>
      </c>
      <c r="I23" s="555">
        <v>17400</v>
      </c>
      <c r="J23" s="556">
        <v>3</v>
      </c>
      <c r="K23" s="557">
        <v>2.5499999999999998</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row>
    <row r="24" spans="1:117" x14ac:dyDescent="0.25">
      <c r="A24" s="554" t="s">
        <v>847</v>
      </c>
      <c r="B24" s="553"/>
      <c r="C24" s="553"/>
      <c r="D24" s="553"/>
      <c r="E24" s="553"/>
      <c r="F24" s="555">
        <v>2199527.4586970001</v>
      </c>
      <c r="G24" s="555">
        <v>-153966.92210879002</v>
      </c>
      <c r="H24" s="555">
        <v>2045560.5365882097</v>
      </c>
      <c r="I24" s="555">
        <v>280236.68599999999</v>
      </c>
      <c r="J24" s="556">
        <v>48.316670000000002</v>
      </c>
      <c r="K24" s="557">
        <v>41.069169500000001</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row>
    <row r="25" spans="1:117" x14ac:dyDescent="0.25">
      <c r="A25" s="554">
        <v>1650</v>
      </c>
      <c r="B25" s="553" t="s">
        <v>11</v>
      </c>
      <c r="C25" s="553" t="s">
        <v>1559</v>
      </c>
      <c r="D25" s="553" t="s">
        <v>1592</v>
      </c>
      <c r="E25" s="553" t="s">
        <v>192</v>
      </c>
      <c r="F25" s="555">
        <v>78434.527499999997</v>
      </c>
      <c r="G25" s="555">
        <v>-5490.4169250000004</v>
      </c>
      <c r="H25" s="555">
        <v>72944.110574999999</v>
      </c>
      <c r="I25" s="555">
        <v>35032.5</v>
      </c>
      <c r="J25" s="556">
        <v>2.0249999999999999</v>
      </c>
      <c r="K25" s="557">
        <v>1.7212499999999999</v>
      </c>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row>
    <row r="26" spans="1:117" x14ac:dyDescent="0.25">
      <c r="A26" s="554"/>
      <c r="B26" s="553"/>
      <c r="C26" s="553"/>
      <c r="D26" s="553"/>
      <c r="E26" s="553" t="s">
        <v>1121</v>
      </c>
      <c r="F26" s="555">
        <v>78434.527499999997</v>
      </c>
      <c r="G26" s="555">
        <v>-5490.4169250000004</v>
      </c>
      <c r="H26" s="555">
        <v>72944.110574999999</v>
      </c>
      <c r="I26" s="555">
        <v>35032.5</v>
      </c>
      <c r="J26" s="556">
        <v>2.0249999999999999</v>
      </c>
      <c r="K26" s="557">
        <v>1.7212499999999999</v>
      </c>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row>
    <row r="27" spans="1:117" x14ac:dyDescent="0.25">
      <c r="A27" s="554"/>
      <c r="B27" s="553"/>
      <c r="C27" s="553" t="s">
        <v>2054</v>
      </c>
      <c r="D27" s="553" t="s">
        <v>1420</v>
      </c>
      <c r="E27" s="553" t="s">
        <v>192</v>
      </c>
      <c r="F27" s="555">
        <v>81339.509999999995</v>
      </c>
      <c r="G27" s="555">
        <v>-5693.7656999999999</v>
      </c>
      <c r="H27" s="555">
        <v>75645.744299999991</v>
      </c>
      <c r="I27" s="555">
        <v>36330</v>
      </c>
      <c r="J27" s="556">
        <v>2.1</v>
      </c>
      <c r="K27" s="557">
        <v>1.7849999999999999</v>
      </c>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row>
    <row r="28" spans="1:117" x14ac:dyDescent="0.25">
      <c r="A28" s="554"/>
      <c r="B28" s="553"/>
      <c r="C28" s="553"/>
      <c r="D28" s="553"/>
      <c r="E28" s="553" t="s">
        <v>1121</v>
      </c>
      <c r="F28" s="555">
        <v>81339.509999999995</v>
      </c>
      <c r="G28" s="555">
        <v>-5693.7656999999999</v>
      </c>
      <c r="H28" s="555">
        <v>75645.744299999991</v>
      </c>
      <c r="I28" s="555">
        <v>36330</v>
      </c>
      <c r="J28" s="556">
        <v>2.1</v>
      </c>
      <c r="K28" s="557">
        <v>1.7849999999999999</v>
      </c>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row>
    <row r="29" spans="1:117" x14ac:dyDescent="0.25">
      <c r="A29" s="554" t="s">
        <v>1359</v>
      </c>
      <c r="B29" s="553"/>
      <c r="C29" s="553"/>
      <c r="D29" s="553"/>
      <c r="E29" s="553"/>
      <c r="F29" s="555">
        <v>319548.07500000001</v>
      </c>
      <c r="G29" s="555">
        <v>-22368.365249999999</v>
      </c>
      <c r="H29" s="555">
        <v>297179.70974999998</v>
      </c>
      <c r="I29" s="555">
        <v>142725</v>
      </c>
      <c r="J29" s="556">
        <v>8.25</v>
      </c>
      <c r="K29" s="557">
        <v>7.0125000000000002</v>
      </c>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row>
    <row r="30" spans="1:117" x14ac:dyDescent="0.25">
      <c r="A30" s="554">
        <v>2180</v>
      </c>
      <c r="B30" s="553" t="s">
        <v>192</v>
      </c>
      <c r="C30" s="553" t="s">
        <v>586</v>
      </c>
      <c r="D30" s="553" t="s">
        <v>677</v>
      </c>
      <c r="E30" s="553" t="s">
        <v>242</v>
      </c>
      <c r="F30" s="555">
        <v>224330.8</v>
      </c>
      <c r="G30" s="555">
        <v>-15703.156000000001</v>
      </c>
      <c r="H30" s="555">
        <v>208627.644</v>
      </c>
      <c r="I30" s="555">
        <v>107812.5</v>
      </c>
      <c r="J30" s="556">
        <v>3.125</v>
      </c>
      <c r="K30" s="557">
        <v>2.65</v>
      </c>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row>
    <row r="31" spans="1:117" x14ac:dyDescent="0.25">
      <c r="A31" s="554"/>
      <c r="B31" s="553"/>
      <c r="C31" s="553" t="s">
        <v>826</v>
      </c>
      <c r="D31" s="553" t="s">
        <v>1194</v>
      </c>
      <c r="E31" s="553" t="s">
        <v>1121</v>
      </c>
      <c r="F31" s="555">
        <v>206869.13</v>
      </c>
      <c r="G31" s="555">
        <v>-14480.839100000001</v>
      </c>
      <c r="H31" s="555">
        <v>192388.29089999999</v>
      </c>
      <c r="I31" s="555">
        <v>24940</v>
      </c>
      <c r="J31" s="556">
        <v>4.3</v>
      </c>
      <c r="K31" s="557">
        <v>3.6549999999999998</v>
      </c>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row>
    <row r="32" spans="1:117" x14ac:dyDescent="0.25">
      <c r="A32" s="554"/>
      <c r="B32" s="553"/>
      <c r="C32" s="553" t="s">
        <v>1279</v>
      </c>
      <c r="D32" s="553" t="s">
        <v>1284</v>
      </c>
      <c r="E32" s="553" t="s">
        <v>197</v>
      </c>
      <c r="F32" s="555">
        <v>176800.9425</v>
      </c>
      <c r="G32" s="555">
        <v>-12376.065975000001</v>
      </c>
      <c r="H32" s="555">
        <v>164424.876525</v>
      </c>
      <c r="I32" s="555">
        <v>21315</v>
      </c>
      <c r="J32" s="556">
        <v>3.6749999999999998</v>
      </c>
      <c r="K32" s="557">
        <v>3.1237499999999998</v>
      </c>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row>
    <row r="33" spans="1:117" x14ac:dyDescent="0.25">
      <c r="A33" s="554"/>
      <c r="B33" s="553"/>
      <c r="C33" s="553" t="s">
        <v>1277</v>
      </c>
      <c r="D33" s="553" t="s">
        <v>1283</v>
      </c>
      <c r="E33" s="553" t="s">
        <v>194</v>
      </c>
      <c r="F33" s="555">
        <v>743285.59499999997</v>
      </c>
      <c r="G33" s="555">
        <v>-52029.991650000004</v>
      </c>
      <c r="H33" s="555">
        <v>691255.60334999999</v>
      </c>
      <c r="I33" s="555">
        <v>89610</v>
      </c>
      <c r="J33" s="556">
        <v>15.450000000000001</v>
      </c>
      <c r="K33" s="557">
        <v>13.1325</v>
      </c>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row>
    <row r="34" spans="1:117" x14ac:dyDescent="0.25">
      <c r="A34" s="554"/>
      <c r="B34" s="553"/>
      <c r="C34" s="553" t="s">
        <v>600</v>
      </c>
      <c r="D34" s="553" t="s">
        <v>725</v>
      </c>
      <c r="E34" s="553" t="s">
        <v>1121</v>
      </c>
      <c r="F34" s="555">
        <v>211680.04</v>
      </c>
      <c r="G34" s="555">
        <v>-14817.602800000002</v>
      </c>
      <c r="H34" s="555">
        <v>196862.43720000001</v>
      </c>
      <c r="I34" s="555">
        <v>25520.000000000004</v>
      </c>
      <c r="J34" s="556">
        <v>4.4000000000000004</v>
      </c>
      <c r="K34" s="557">
        <v>3.74</v>
      </c>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row>
    <row r="35" spans="1:117" x14ac:dyDescent="0.25">
      <c r="A35" s="554"/>
      <c r="B35" s="553"/>
      <c r="C35" s="553" t="s">
        <v>1577</v>
      </c>
      <c r="D35" s="553" t="s">
        <v>1593</v>
      </c>
      <c r="E35" s="553" t="s">
        <v>242</v>
      </c>
      <c r="F35" s="555">
        <v>259663.76874999999</v>
      </c>
      <c r="G35" s="555">
        <v>-18176.463812500002</v>
      </c>
      <c r="H35" s="555">
        <v>241487.30493749998</v>
      </c>
      <c r="I35" s="555">
        <v>125062.5</v>
      </c>
      <c r="J35" s="556">
        <v>3.625</v>
      </c>
      <c r="K35" s="557">
        <v>3.0562499999999999</v>
      </c>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row>
    <row r="36" spans="1:117" x14ac:dyDescent="0.25">
      <c r="A36" s="554"/>
      <c r="B36" s="553"/>
      <c r="C36" s="553"/>
      <c r="D36" s="553"/>
      <c r="E36" s="553" t="s">
        <v>205</v>
      </c>
      <c r="F36" s="555">
        <v>155798.26124999998</v>
      </c>
      <c r="G36" s="555">
        <v>-10905.8782875</v>
      </c>
      <c r="H36" s="555">
        <v>144892.38296249998</v>
      </c>
      <c r="I36" s="555">
        <v>75037.5</v>
      </c>
      <c r="J36" s="556">
        <v>2.1749999999999998</v>
      </c>
      <c r="K36" s="557">
        <v>1.8337499999999998</v>
      </c>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row>
    <row r="37" spans="1:117" x14ac:dyDescent="0.25">
      <c r="A37" s="554"/>
      <c r="B37" s="553"/>
      <c r="C37" s="553" t="s">
        <v>1550</v>
      </c>
      <c r="D37" s="553" t="s">
        <v>1551</v>
      </c>
      <c r="E37" s="553" t="s">
        <v>194</v>
      </c>
      <c r="F37" s="555">
        <v>34442.173760600002</v>
      </c>
      <c r="G37" s="555">
        <v>-2410.9521632420006</v>
      </c>
      <c r="H37" s="555">
        <v>32031.221597358002</v>
      </c>
      <c r="I37" s="555">
        <v>4156.6628000000001</v>
      </c>
      <c r="J37" s="556">
        <v>0.71666600000000003</v>
      </c>
      <c r="K37" s="557">
        <v>0.60791610000000007</v>
      </c>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row>
    <row r="38" spans="1:117" x14ac:dyDescent="0.25">
      <c r="A38" s="554"/>
      <c r="B38" s="553"/>
      <c r="C38" s="553"/>
      <c r="D38" s="553"/>
      <c r="E38" s="553" t="s">
        <v>1121</v>
      </c>
      <c r="F38" s="555">
        <v>137768.69504240001</v>
      </c>
      <c r="G38" s="555">
        <v>-9643.8086529680022</v>
      </c>
      <c r="H38" s="555">
        <v>128124.88638943201</v>
      </c>
      <c r="I38" s="555">
        <v>16626.6512</v>
      </c>
      <c r="J38" s="556">
        <v>2.8666640000000001</v>
      </c>
      <c r="K38" s="557">
        <v>2.4316644000000003</v>
      </c>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row>
    <row r="39" spans="1:117" x14ac:dyDescent="0.25">
      <c r="A39" s="554"/>
      <c r="B39" s="553"/>
      <c r="C39" s="553" t="s">
        <v>1567</v>
      </c>
      <c r="D39" s="553" t="s">
        <v>1600</v>
      </c>
      <c r="E39" s="553" t="s">
        <v>194</v>
      </c>
      <c r="F39" s="555">
        <v>24054.55</v>
      </c>
      <c r="G39" s="555">
        <v>-1683.8185000000001</v>
      </c>
      <c r="H39" s="555">
        <v>22370.731499999998</v>
      </c>
      <c r="I39" s="555">
        <v>2900</v>
      </c>
      <c r="J39" s="556">
        <v>0.5</v>
      </c>
      <c r="K39" s="557">
        <v>0.42499999999999999</v>
      </c>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row>
    <row r="40" spans="1:117" x14ac:dyDescent="0.25">
      <c r="A40" s="554"/>
      <c r="B40" s="553"/>
      <c r="C40" s="553"/>
      <c r="D40" s="553"/>
      <c r="E40" s="553" t="s">
        <v>1121</v>
      </c>
      <c r="F40" s="555">
        <v>36081.824999999997</v>
      </c>
      <c r="G40" s="555">
        <v>-2525.72775</v>
      </c>
      <c r="H40" s="555">
        <v>33556.097249999999</v>
      </c>
      <c r="I40" s="555">
        <v>4350</v>
      </c>
      <c r="J40" s="556">
        <v>0.75</v>
      </c>
      <c r="K40" s="557">
        <v>0.63749999999999996</v>
      </c>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row>
    <row r="41" spans="1:117" x14ac:dyDescent="0.25">
      <c r="A41" s="554"/>
      <c r="B41" s="553"/>
      <c r="C41" s="553" t="s">
        <v>1568</v>
      </c>
      <c r="D41" s="553" t="s">
        <v>1601</v>
      </c>
      <c r="E41" s="553" t="s">
        <v>194</v>
      </c>
      <c r="F41" s="555">
        <v>115461.84</v>
      </c>
      <c r="G41" s="555">
        <v>-8082.3288000000002</v>
      </c>
      <c r="H41" s="555">
        <v>107379.51119999999</v>
      </c>
      <c r="I41" s="555">
        <v>13920</v>
      </c>
      <c r="J41" s="556">
        <v>2.4</v>
      </c>
      <c r="K41" s="557">
        <v>2.04</v>
      </c>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row>
    <row r="42" spans="1:117" x14ac:dyDescent="0.25">
      <c r="A42" s="554"/>
      <c r="B42" s="553"/>
      <c r="C42" s="553"/>
      <c r="D42" s="553"/>
      <c r="E42" s="553" t="s">
        <v>461</v>
      </c>
      <c r="F42" s="555">
        <v>173192.76</v>
      </c>
      <c r="G42" s="555">
        <v>-12123.493200000003</v>
      </c>
      <c r="H42" s="555">
        <v>161069.26680000001</v>
      </c>
      <c r="I42" s="555">
        <v>20879.999999999996</v>
      </c>
      <c r="J42" s="556">
        <v>3.5999999999999996</v>
      </c>
      <c r="K42" s="557">
        <v>3.06</v>
      </c>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row>
    <row r="43" spans="1:117" x14ac:dyDescent="0.25">
      <c r="A43" s="554"/>
      <c r="B43" s="553"/>
      <c r="C43" s="553" t="s">
        <v>1610</v>
      </c>
      <c r="D43" s="553" t="s">
        <v>1611</v>
      </c>
      <c r="E43" s="553" t="s">
        <v>1121</v>
      </c>
      <c r="F43" s="555">
        <v>76974.559999999998</v>
      </c>
      <c r="G43" s="555">
        <v>-5388.2192000000005</v>
      </c>
      <c r="H43" s="555">
        <v>71586.340799999991</v>
      </c>
      <c r="I43" s="555">
        <v>9280</v>
      </c>
      <c r="J43" s="556">
        <v>1.6</v>
      </c>
      <c r="K43" s="557">
        <v>1.3599999999999999</v>
      </c>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row>
    <row r="44" spans="1:117" x14ac:dyDescent="0.25">
      <c r="A44" s="554"/>
      <c r="B44" s="553"/>
      <c r="C44" s="553" t="s">
        <v>1637</v>
      </c>
      <c r="D44" s="553" t="s">
        <v>1658</v>
      </c>
      <c r="E44" s="553" t="s">
        <v>194</v>
      </c>
      <c r="F44" s="555">
        <v>42496.371666666673</v>
      </c>
      <c r="G44" s="555">
        <v>-2974.7460166666674</v>
      </c>
      <c r="H44" s="555">
        <v>39521.625650000009</v>
      </c>
      <c r="I44" s="555">
        <v>5123.3333333333339</v>
      </c>
      <c r="J44" s="556">
        <v>0.88333333333333341</v>
      </c>
      <c r="K44" s="557">
        <v>0.75083333333333335</v>
      </c>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row>
    <row r="45" spans="1:117" x14ac:dyDescent="0.25">
      <c r="A45" s="554"/>
      <c r="B45" s="553"/>
      <c r="C45" s="553"/>
      <c r="D45" s="553"/>
      <c r="E45" s="553" t="s">
        <v>1121</v>
      </c>
      <c r="F45" s="555">
        <v>169985.48666666669</v>
      </c>
      <c r="G45" s="555">
        <v>-11898.98406666667</v>
      </c>
      <c r="H45" s="555">
        <v>158086.50260000004</v>
      </c>
      <c r="I45" s="555">
        <v>20493.333333333336</v>
      </c>
      <c r="J45" s="556">
        <v>3.5333333333333337</v>
      </c>
      <c r="K45" s="557">
        <v>3.0033333333333334</v>
      </c>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row>
    <row r="46" spans="1:117" x14ac:dyDescent="0.25">
      <c r="A46" s="554"/>
      <c r="B46" s="553"/>
      <c r="C46" s="553" t="s">
        <v>1669</v>
      </c>
      <c r="D46" s="553" t="s">
        <v>1670</v>
      </c>
      <c r="E46" s="553" t="s">
        <v>194</v>
      </c>
      <c r="F46" s="555">
        <v>161967.22315149999</v>
      </c>
      <c r="G46" s="555">
        <v>-11337.705620605</v>
      </c>
      <c r="H46" s="555">
        <v>150629.51753089498</v>
      </c>
      <c r="I46" s="555">
        <v>19526.656999999999</v>
      </c>
      <c r="J46" s="556">
        <v>3.3666649999999998</v>
      </c>
      <c r="K46" s="557">
        <v>2.8616652499999997</v>
      </c>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row>
    <row r="47" spans="1:117" x14ac:dyDescent="0.25">
      <c r="A47" s="554"/>
      <c r="B47" s="553"/>
      <c r="C47" s="553"/>
      <c r="D47" s="553"/>
      <c r="E47" s="553" t="s">
        <v>461</v>
      </c>
      <c r="F47" s="555">
        <v>80983.611575749994</v>
      </c>
      <c r="G47" s="555">
        <v>-5668.8528103025001</v>
      </c>
      <c r="H47" s="555">
        <v>75314.758765447492</v>
      </c>
      <c r="I47" s="555">
        <v>9763.3284999999996</v>
      </c>
      <c r="J47" s="556">
        <v>1.6833324999999999</v>
      </c>
      <c r="K47" s="557">
        <v>1.4308326249999999</v>
      </c>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row>
    <row r="48" spans="1:117" x14ac:dyDescent="0.25">
      <c r="A48" s="554"/>
      <c r="B48" s="553"/>
      <c r="C48" s="553" t="s">
        <v>1821</v>
      </c>
      <c r="D48" s="553" t="s">
        <v>1831</v>
      </c>
      <c r="E48" s="553" t="s">
        <v>813</v>
      </c>
      <c r="F48" s="555">
        <v>137184.70416666666</v>
      </c>
      <c r="G48" s="555">
        <v>-9602.9292916666673</v>
      </c>
      <c r="H48" s="555">
        <v>127581.774875</v>
      </c>
      <c r="I48" s="555">
        <v>66125</v>
      </c>
      <c r="J48" s="556">
        <v>1.9166666666666665</v>
      </c>
      <c r="K48" s="557">
        <v>1.6124999999999998</v>
      </c>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row>
    <row r="49" spans="1:117" x14ac:dyDescent="0.25">
      <c r="A49" s="554"/>
      <c r="B49" s="553"/>
      <c r="C49" s="553" t="s">
        <v>1473</v>
      </c>
      <c r="D49" s="553" t="s">
        <v>1472</v>
      </c>
      <c r="E49" s="553" t="s">
        <v>1121</v>
      </c>
      <c r="F49" s="555">
        <v>206145.96249999999</v>
      </c>
      <c r="G49" s="555">
        <v>-14430.217375</v>
      </c>
      <c r="H49" s="555">
        <v>191715.74512499999</v>
      </c>
      <c r="I49" s="555">
        <v>15725</v>
      </c>
      <c r="J49" s="556">
        <v>4.625</v>
      </c>
      <c r="K49" s="557">
        <v>3.9312499999999999</v>
      </c>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row>
    <row r="50" spans="1:117" x14ac:dyDescent="0.25">
      <c r="A50" s="554"/>
      <c r="B50" s="553"/>
      <c r="C50" s="553" t="s">
        <v>1923</v>
      </c>
      <c r="D50" s="553" t="s">
        <v>1924</v>
      </c>
      <c r="E50" s="553" t="s">
        <v>176</v>
      </c>
      <c r="F50" s="555">
        <v>68395.907500000001</v>
      </c>
      <c r="G50" s="555">
        <v>-4787.7135250000001</v>
      </c>
      <c r="H50" s="555">
        <v>63608.193975000002</v>
      </c>
      <c r="I50" s="555">
        <v>12470</v>
      </c>
      <c r="J50" s="556">
        <v>2.15</v>
      </c>
      <c r="K50" s="557">
        <v>1.8274999999999999</v>
      </c>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row>
    <row r="51" spans="1:117" x14ac:dyDescent="0.25">
      <c r="A51" s="554"/>
      <c r="B51" s="553"/>
      <c r="C51" s="553"/>
      <c r="D51" s="553"/>
      <c r="E51" s="553" t="s">
        <v>194</v>
      </c>
      <c r="F51" s="555">
        <v>68395.907500000001</v>
      </c>
      <c r="G51" s="555">
        <v>-4787.7135250000001</v>
      </c>
      <c r="H51" s="555">
        <v>63608.193975000002</v>
      </c>
      <c r="I51" s="555">
        <v>12470</v>
      </c>
      <c r="J51" s="556">
        <v>2.15</v>
      </c>
      <c r="K51" s="557">
        <v>1.8274999999999999</v>
      </c>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row>
    <row r="52" spans="1:117" x14ac:dyDescent="0.25">
      <c r="A52" s="554"/>
      <c r="B52" s="553"/>
      <c r="C52" s="553" t="s">
        <v>1926</v>
      </c>
      <c r="D52" s="553" t="s">
        <v>1927</v>
      </c>
      <c r="E52" s="553" t="s">
        <v>194</v>
      </c>
      <c r="F52" s="555">
        <v>82579.888333333336</v>
      </c>
      <c r="G52" s="555">
        <v>-5780.5921833333341</v>
      </c>
      <c r="H52" s="555">
        <v>76799.296150000009</v>
      </c>
      <c r="I52" s="555">
        <v>15080</v>
      </c>
      <c r="J52" s="556">
        <v>2.6</v>
      </c>
      <c r="K52" s="557">
        <v>2.2016666666666667</v>
      </c>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row>
    <row r="53" spans="1:117" x14ac:dyDescent="0.25">
      <c r="A53" s="554"/>
      <c r="B53" s="553"/>
      <c r="C53" s="553"/>
      <c r="D53" s="553"/>
      <c r="E53" s="553" t="s">
        <v>1121</v>
      </c>
      <c r="F53" s="555">
        <v>82579.888333333336</v>
      </c>
      <c r="G53" s="555">
        <v>-5780.5921833333341</v>
      </c>
      <c r="H53" s="555">
        <v>76799.296150000009</v>
      </c>
      <c r="I53" s="555">
        <v>15080</v>
      </c>
      <c r="J53" s="556">
        <v>2.6</v>
      </c>
      <c r="K53" s="557">
        <v>2.2016666666666667</v>
      </c>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row>
    <row r="54" spans="1:117" x14ac:dyDescent="0.25">
      <c r="A54" s="554"/>
      <c r="B54" s="553"/>
      <c r="C54" s="553" t="s">
        <v>2047</v>
      </c>
      <c r="D54" s="553" t="s">
        <v>442</v>
      </c>
      <c r="E54" s="553" t="s">
        <v>194</v>
      </c>
      <c r="F54" s="555">
        <v>238442.50312499999</v>
      </c>
      <c r="G54" s="555">
        <v>-16690.975218750002</v>
      </c>
      <c r="H54" s="555">
        <v>221751.52790624998</v>
      </c>
      <c r="I54" s="555">
        <v>43500</v>
      </c>
      <c r="J54" s="556">
        <v>7.5</v>
      </c>
      <c r="K54" s="557">
        <v>6.3656250000000005</v>
      </c>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row>
    <row r="55" spans="1:117" x14ac:dyDescent="0.25">
      <c r="A55" s="554" t="s">
        <v>780</v>
      </c>
      <c r="B55" s="553"/>
      <c r="C55" s="553"/>
      <c r="D55" s="553"/>
      <c r="E55" s="553"/>
      <c r="F55" s="555">
        <v>3915562.3958219169</v>
      </c>
      <c r="G55" s="555">
        <v>-274089.36770753411</v>
      </c>
      <c r="H55" s="555">
        <v>3641473.0281143822</v>
      </c>
      <c r="I55" s="555">
        <v>776767.46616666671</v>
      </c>
      <c r="J55" s="556">
        <v>82.19166083333333</v>
      </c>
      <c r="K55" s="557">
        <v>69.767703374999996</v>
      </c>
      <c r="L55"/>
    </row>
    <row r="56" spans="1:117" x14ac:dyDescent="0.25">
      <c r="A56" s="554">
        <v>2193</v>
      </c>
      <c r="B56" s="553" t="s">
        <v>1121</v>
      </c>
      <c r="C56" s="553" t="s">
        <v>506</v>
      </c>
      <c r="D56" s="553" t="s">
        <v>555</v>
      </c>
      <c r="E56" s="553" t="s">
        <v>11</v>
      </c>
      <c r="F56" s="555">
        <v>39765.0625</v>
      </c>
      <c r="G56" s="555">
        <v>-2783.5543750000002</v>
      </c>
      <c r="H56" s="555">
        <v>36981.508125</v>
      </c>
      <c r="I56" s="555">
        <v>7250</v>
      </c>
      <c r="J56" s="556">
        <v>1.25</v>
      </c>
      <c r="K56" s="557">
        <v>1.0625</v>
      </c>
      <c r="L56"/>
    </row>
    <row r="57" spans="1:117" x14ac:dyDescent="0.25">
      <c r="A57" s="554"/>
      <c r="B57" s="553"/>
      <c r="C57" s="553" t="s">
        <v>935</v>
      </c>
      <c r="D57" s="553" t="s">
        <v>752</v>
      </c>
      <c r="E57" s="553" t="s">
        <v>192</v>
      </c>
      <c r="F57" s="555">
        <v>44983.898976600001</v>
      </c>
      <c r="G57" s="555">
        <v>-3148.8729283620005</v>
      </c>
      <c r="H57" s="555">
        <v>41835.026048238004</v>
      </c>
      <c r="I57" s="555">
        <v>8409.994200000001</v>
      </c>
      <c r="J57" s="556">
        <v>1.449999</v>
      </c>
      <c r="K57" s="557">
        <v>1.1599991999999999</v>
      </c>
      <c r="L57"/>
    </row>
    <row r="58" spans="1:117" x14ac:dyDescent="0.25">
      <c r="A58" s="554"/>
      <c r="B58" s="553"/>
      <c r="C58" s="553"/>
      <c r="D58" s="553"/>
      <c r="E58" s="553" t="s">
        <v>198</v>
      </c>
      <c r="F58" s="555">
        <v>104962.4309454</v>
      </c>
      <c r="G58" s="555">
        <v>-7347.3701661780005</v>
      </c>
      <c r="H58" s="555">
        <v>97615.060779221996</v>
      </c>
      <c r="I58" s="555">
        <v>19623.319800000001</v>
      </c>
      <c r="J58" s="556">
        <v>3.3833310000000001</v>
      </c>
      <c r="K58" s="557">
        <v>2.7066648</v>
      </c>
      <c r="L58"/>
    </row>
    <row r="59" spans="1:117" x14ac:dyDescent="0.25">
      <c r="A59" s="554"/>
      <c r="B59" s="553"/>
      <c r="C59" s="553" t="s">
        <v>912</v>
      </c>
      <c r="D59" s="553" t="s">
        <v>1250</v>
      </c>
      <c r="E59" s="553" t="s">
        <v>192</v>
      </c>
      <c r="F59" s="555">
        <v>40090.852521200002</v>
      </c>
      <c r="G59" s="555">
        <v>-2806.3596764840004</v>
      </c>
      <c r="H59" s="555">
        <v>37284.492844716005</v>
      </c>
      <c r="I59" s="555">
        <v>4833.3256000000001</v>
      </c>
      <c r="J59" s="556">
        <v>0.83333200000000007</v>
      </c>
      <c r="K59" s="557">
        <v>0.70833220000000008</v>
      </c>
      <c r="L59"/>
    </row>
    <row r="60" spans="1:117" x14ac:dyDescent="0.25">
      <c r="A60" s="554"/>
      <c r="B60" s="553"/>
      <c r="C60" s="553" t="s">
        <v>1141</v>
      </c>
      <c r="D60" s="553" t="s">
        <v>1219</v>
      </c>
      <c r="E60" s="553" t="s">
        <v>197</v>
      </c>
      <c r="F60" s="555">
        <v>93812.744999999995</v>
      </c>
      <c r="G60" s="555">
        <v>-6566.8921500000006</v>
      </c>
      <c r="H60" s="555">
        <v>87245.852849999996</v>
      </c>
      <c r="I60" s="555">
        <v>11310</v>
      </c>
      <c r="J60" s="556">
        <v>1.95</v>
      </c>
      <c r="K60" s="557">
        <v>1.6575</v>
      </c>
      <c r="L60"/>
    </row>
    <row r="61" spans="1:117" x14ac:dyDescent="0.25">
      <c r="A61" s="554"/>
      <c r="B61" s="553"/>
      <c r="C61" s="553" t="s">
        <v>911</v>
      </c>
      <c r="D61" s="553" t="s">
        <v>1249</v>
      </c>
      <c r="E61" s="553" t="s">
        <v>192</v>
      </c>
      <c r="F61" s="555">
        <v>83389.042521199997</v>
      </c>
      <c r="G61" s="555">
        <v>-5837.2329764840006</v>
      </c>
      <c r="H61" s="555">
        <v>77551.809544716001</v>
      </c>
      <c r="I61" s="555">
        <v>10053.3256</v>
      </c>
      <c r="J61" s="556">
        <v>1.7333320000000001</v>
      </c>
      <c r="K61" s="557">
        <v>1.4733322</v>
      </c>
      <c r="L61"/>
    </row>
    <row r="62" spans="1:117" x14ac:dyDescent="0.25">
      <c r="A62" s="554"/>
      <c r="B62" s="553"/>
      <c r="C62" s="553" t="s">
        <v>1435</v>
      </c>
      <c r="D62" s="553" t="s">
        <v>1415</v>
      </c>
      <c r="E62" s="553" t="s">
        <v>192</v>
      </c>
      <c r="F62" s="555">
        <v>101798.56</v>
      </c>
      <c r="G62" s="555">
        <v>-7125.8992000000007</v>
      </c>
      <c r="H62" s="555">
        <v>94672.660799999998</v>
      </c>
      <c r="I62" s="555">
        <v>18560</v>
      </c>
      <c r="J62" s="556">
        <v>3.2</v>
      </c>
      <c r="K62" s="557">
        <v>2.72</v>
      </c>
      <c r="L62"/>
    </row>
    <row r="63" spans="1:117" x14ac:dyDescent="0.25">
      <c r="A63" s="554"/>
      <c r="B63" s="553"/>
      <c r="C63" s="553" t="s">
        <v>1605</v>
      </c>
      <c r="D63" s="553" t="s">
        <v>1606</v>
      </c>
      <c r="E63" s="553" t="s">
        <v>198</v>
      </c>
      <c r="F63" s="555">
        <v>66150.012499999997</v>
      </c>
      <c r="G63" s="555">
        <v>-4630.5008750000006</v>
      </c>
      <c r="H63" s="555">
        <v>61519.511624999999</v>
      </c>
      <c r="I63" s="555">
        <v>7975</v>
      </c>
      <c r="J63" s="556">
        <v>1.375</v>
      </c>
      <c r="K63" s="557">
        <v>1.16875</v>
      </c>
      <c r="L63"/>
    </row>
    <row r="64" spans="1:117" x14ac:dyDescent="0.25">
      <c r="A64" s="554"/>
      <c r="B64" s="553"/>
      <c r="C64" s="553" t="s">
        <v>1608</v>
      </c>
      <c r="D64" s="553" t="s">
        <v>1609</v>
      </c>
      <c r="E64" s="553" t="s">
        <v>192</v>
      </c>
      <c r="F64" s="555">
        <v>73767.286666666667</v>
      </c>
      <c r="G64" s="555">
        <v>-5163.7100666666674</v>
      </c>
      <c r="H64" s="555">
        <v>68603.5766</v>
      </c>
      <c r="I64" s="555">
        <v>8893.3333333333321</v>
      </c>
      <c r="J64" s="556">
        <v>1.5333333333333332</v>
      </c>
      <c r="K64" s="557">
        <v>1.3033333333333332</v>
      </c>
      <c r="L64"/>
    </row>
    <row r="65" spans="1:12" x14ac:dyDescent="0.25">
      <c r="A65" s="554"/>
      <c r="B65" s="553"/>
      <c r="C65" s="553" t="s">
        <v>1561</v>
      </c>
      <c r="D65" s="553" t="s">
        <v>1599</v>
      </c>
      <c r="E65" s="553" t="s">
        <v>192</v>
      </c>
      <c r="F65" s="555">
        <v>60136.375</v>
      </c>
      <c r="G65" s="555">
        <v>-4209.5462500000003</v>
      </c>
      <c r="H65" s="555">
        <v>55926.828750000001</v>
      </c>
      <c r="I65" s="555">
        <v>7250</v>
      </c>
      <c r="J65" s="556">
        <v>1.25</v>
      </c>
      <c r="K65" s="557">
        <v>1.0625</v>
      </c>
      <c r="L65"/>
    </row>
    <row r="66" spans="1:12" x14ac:dyDescent="0.25">
      <c r="A66" s="554"/>
      <c r="B66" s="553"/>
      <c r="C66" s="553"/>
      <c r="D66" s="553"/>
      <c r="E66" s="553" t="s">
        <v>194</v>
      </c>
      <c r="F66" s="555">
        <v>120272.75</v>
      </c>
      <c r="G66" s="555">
        <v>-8419.0925000000007</v>
      </c>
      <c r="H66" s="555">
        <v>111853.6575</v>
      </c>
      <c r="I66" s="555">
        <v>14500</v>
      </c>
      <c r="J66" s="556">
        <v>2.5</v>
      </c>
      <c r="K66" s="557">
        <v>2.125</v>
      </c>
      <c r="L66"/>
    </row>
    <row r="67" spans="1:12" x14ac:dyDescent="0.25">
      <c r="A67" s="554"/>
      <c r="B67" s="553"/>
      <c r="C67" s="553" t="s">
        <v>1558</v>
      </c>
      <c r="D67" s="553" t="s">
        <v>1598</v>
      </c>
      <c r="E67" s="553" t="s">
        <v>192</v>
      </c>
      <c r="F67" s="555">
        <v>146331.84583333333</v>
      </c>
      <c r="G67" s="555">
        <v>-10243.229208333334</v>
      </c>
      <c r="H67" s="555">
        <v>136088.616625</v>
      </c>
      <c r="I67" s="555">
        <v>17641.666666666664</v>
      </c>
      <c r="J67" s="556">
        <v>3.0416666666666665</v>
      </c>
      <c r="K67" s="557">
        <v>2.5854166666666667</v>
      </c>
      <c r="L67"/>
    </row>
    <row r="68" spans="1:12" x14ac:dyDescent="0.25">
      <c r="A68" s="554"/>
      <c r="B68" s="553"/>
      <c r="C68" s="553"/>
      <c r="D68" s="553"/>
      <c r="E68" s="553" t="s">
        <v>194</v>
      </c>
      <c r="F68" s="555">
        <v>29266.369166666664</v>
      </c>
      <c r="G68" s="555">
        <v>-2048.6458416666665</v>
      </c>
      <c r="H68" s="555">
        <v>27217.723324999999</v>
      </c>
      <c r="I68" s="555">
        <v>3528.333333333333</v>
      </c>
      <c r="J68" s="556">
        <v>0.60833333333333328</v>
      </c>
      <c r="K68" s="557">
        <v>0.51708333333333334</v>
      </c>
      <c r="L68"/>
    </row>
    <row r="69" spans="1:12" x14ac:dyDescent="0.25">
      <c r="A69" s="554"/>
      <c r="B69" s="553"/>
      <c r="C69" s="553" t="s">
        <v>1604</v>
      </c>
      <c r="D69" s="553" t="s">
        <v>1188</v>
      </c>
      <c r="E69" s="553" t="s">
        <v>192</v>
      </c>
      <c r="F69" s="555">
        <v>128838.80249999999</v>
      </c>
      <c r="G69" s="555">
        <v>-9018.7161749999996</v>
      </c>
      <c r="H69" s="555">
        <v>119820.086325</v>
      </c>
      <c r="I69" s="555">
        <v>23490</v>
      </c>
      <c r="J69" s="556">
        <v>4.05</v>
      </c>
      <c r="K69" s="557">
        <v>3.4424999999999999</v>
      </c>
      <c r="L69"/>
    </row>
    <row r="70" spans="1:12" x14ac:dyDescent="0.25">
      <c r="A70" s="554"/>
      <c r="B70" s="553"/>
      <c r="C70" s="553" t="s">
        <v>1563</v>
      </c>
      <c r="D70" s="553" t="s">
        <v>1421</v>
      </c>
      <c r="E70" s="553" t="s">
        <v>192</v>
      </c>
      <c r="F70" s="555">
        <v>41355.665000000001</v>
      </c>
      <c r="G70" s="555">
        <v>-2894.8965500000004</v>
      </c>
      <c r="H70" s="555">
        <v>38460.768450000003</v>
      </c>
      <c r="I70" s="555">
        <v>7540</v>
      </c>
      <c r="J70" s="556">
        <v>1.3</v>
      </c>
      <c r="K70" s="557">
        <v>1.105</v>
      </c>
      <c r="L70"/>
    </row>
    <row r="71" spans="1:12" x14ac:dyDescent="0.25">
      <c r="A71" s="554"/>
      <c r="B71" s="553"/>
      <c r="C71" s="553" t="s">
        <v>1863</v>
      </c>
      <c r="D71" s="553" t="s">
        <v>1419</v>
      </c>
      <c r="E71" s="553" t="s">
        <v>192</v>
      </c>
      <c r="F71" s="555">
        <v>202801.81875000001</v>
      </c>
      <c r="G71" s="555">
        <v>-14196.127312500003</v>
      </c>
      <c r="H71" s="555">
        <v>188605.69143750001</v>
      </c>
      <c r="I71" s="555">
        <v>36975</v>
      </c>
      <c r="J71" s="556">
        <v>6.375</v>
      </c>
      <c r="K71" s="557">
        <v>5.4187500000000002</v>
      </c>
      <c r="L71"/>
    </row>
    <row r="72" spans="1:12" x14ac:dyDescent="0.25">
      <c r="A72" s="554"/>
      <c r="B72" s="553"/>
      <c r="C72" s="553"/>
      <c r="D72" s="553"/>
      <c r="E72" s="553" t="s">
        <v>461</v>
      </c>
      <c r="F72" s="555">
        <v>90134.141666666663</v>
      </c>
      <c r="G72" s="555">
        <v>-6309.389916666667</v>
      </c>
      <c r="H72" s="555">
        <v>83824.751749999996</v>
      </c>
      <c r="I72" s="555">
        <v>16433.333333333336</v>
      </c>
      <c r="J72" s="556">
        <v>2.8333333333333335</v>
      </c>
      <c r="K72" s="557">
        <v>2.4083333333333332</v>
      </c>
      <c r="L72"/>
    </row>
    <row r="73" spans="1:12" x14ac:dyDescent="0.25">
      <c r="A73" s="554"/>
      <c r="B73" s="553"/>
      <c r="C73" s="553" t="s">
        <v>1864</v>
      </c>
      <c r="D73" s="553" t="s">
        <v>1487</v>
      </c>
      <c r="E73" s="553" t="s">
        <v>192</v>
      </c>
      <c r="F73" s="555">
        <v>238540.95416666666</v>
      </c>
      <c r="G73" s="555">
        <v>-16697.866791666667</v>
      </c>
      <c r="H73" s="555">
        <v>221843.087375</v>
      </c>
      <c r="I73" s="555">
        <v>28758.333333333332</v>
      </c>
      <c r="J73" s="556">
        <v>4.958333333333333</v>
      </c>
      <c r="K73" s="557">
        <v>4.2145833333333336</v>
      </c>
      <c r="L73"/>
    </row>
    <row r="74" spans="1:12" x14ac:dyDescent="0.25">
      <c r="A74" s="554"/>
      <c r="B74" s="553"/>
      <c r="C74" s="553" t="s">
        <v>1865</v>
      </c>
      <c r="D74" s="553" t="s">
        <v>1876</v>
      </c>
      <c r="E74" s="553" t="s">
        <v>192</v>
      </c>
      <c r="F74" s="555">
        <v>61740.011666666673</v>
      </c>
      <c r="G74" s="555">
        <v>-4321.8008166666677</v>
      </c>
      <c r="H74" s="555">
        <v>57418.210850000003</v>
      </c>
      <c r="I74" s="555">
        <v>7443.3333333333339</v>
      </c>
      <c r="J74" s="556">
        <v>1.2833333333333334</v>
      </c>
      <c r="K74" s="557">
        <v>1.0908333333333333</v>
      </c>
      <c r="L74"/>
    </row>
    <row r="75" spans="1:12" x14ac:dyDescent="0.25">
      <c r="A75" s="554"/>
      <c r="B75" s="553"/>
      <c r="C75" s="553" t="s">
        <v>1925</v>
      </c>
      <c r="D75" s="553" t="s">
        <v>1928</v>
      </c>
      <c r="E75" s="553" t="s">
        <v>192</v>
      </c>
      <c r="F75" s="555">
        <v>386454.7016666666</v>
      </c>
      <c r="G75" s="555">
        <v>-27051.829116666664</v>
      </c>
      <c r="H75" s="555">
        <v>359402.87254999991</v>
      </c>
      <c r="I75" s="555">
        <v>35766.666666666664</v>
      </c>
      <c r="J75" s="556">
        <v>6.1666666666666661</v>
      </c>
      <c r="K75" s="557">
        <v>5.2416666666666654</v>
      </c>
      <c r="L75"/>
    </row>
    <row r="76" spans="1:12" x14ac:dyDescent="0.25">
      <c r="A76" s="554" t="s">
        <v>848</v>
      </c>
      <c r="B76" s="553"/>
      <c r="C76" s="553"/>
      <c r="D76" s="553"/>
      <c r="E76" s="553"/>
      <c r="F76" s="555">
        <v>2154593.3270477331</v>
      </c>
      <c r="G76" s="555">
        <v>-150821.53289334135</v>
      </c>
      <c r="H76" s="555">
        <v>2003771.7941543921</v>
      </c>
      <c r="I76" s="555">
        <v>296234.96520000004</v>
      </c>
      <c r="J76" s="556">
        <v>51.074994000000011</v>
      </c>
      <c r="K76" s="557">
        <v>43.172078399999997</v>
      </c>
      <c r="L76"/>
    </row>
    <row r="77" spans="1:12" x14ac:dyDescent="0.25">
      <c r="A77" s="554">
        <v>2340</v>
      </c>
      <c r="B77" s="553" t="s">
        <v>198</v>
      </c>
      <c r="C77" s="553" t="s">
        <v>512</v>
      </c>
      <c r="D77" s="553" t="s">
        <v>558</v>
      </c>
      <c r="E77" s="553" t="s">
        <v>199</v>
      </c>
      <c r="F77" s="555">
        <v>55989.207999999999</v>
      </c>
      <c r="G77" s="555">
        <v>-3919.2445600000001</v>
      </c>
      <c r="H77" s="555">
        <v>52069.96344</v>
      </c>
      <c r="I77" s="555">
        <v>10208</v>
      </c>
      <c r="J77" s="556">
        <v>1.76</v>
      </c>
      <c r="K77" s="557">
        <v>1.496</v>
      </c>
      <c r="L77"/>
    </row>
    <row r="78" spans="1:12" x14ac:dyDescent="0.25">
      <c r="A78" s="554"/>
      <c r="B78" s="553"/>
      <c r="C78" s="553"/>
      <c r="D78" s="553"/>
      <c r="E78" s="553" t="s">
        <v>196</v>
      </c>
      <c r="F78" s="555">
        <v>83983.812000000005</v>
      </c>
      <c r="G78" s="555">
        <v>-5878.8668400000006</v>
      </c>
      <c r="H78" s="555">
        <v>78104.945160000003</v>
      </c>
      <c r="I78" s="555">
        <v>15312</v>
      </c>
      <c r="J78" s="556">
        <v>2.64</v>
      </c>
      <c r="K78" s="557">
        <v>2.2440000000000002</v>
      </c>
      <c r="L78"/>
    </row>
    <row r="79" spans="1:12" x14ac:dyDescent="0.25">
      <c r="A79" s="554"/>
      <c r="B79" s="553"/>
      <c r="C79" s="553"/>
      <c r="D79" s="553"/>
      <c r="E79" s="553" t="s">
        <v>192</v>
      </c>
      <c r="F79" s="555">
        <v>69986.510000000009</v>
      </c>
      <c r="G79" s="555">
        <v>-4899.0557000000008</v>
      </c>
      <c r="H79" s="555">
        <v>65087.454300000012</v>
      </c>
      <c r="I79" s="555">
        <v>12760.000000000002</v>
      </c>
      <c r="J79" s="556">
        <v>2.2000000000000002</v>
      </c>
      <c r="K79" s="557">
        <v>1.87</v>
      </c>
      <c r="L79"/>
    </row>
    <row r="80" spans="1:12" x14ac:dyDescent="0.25">
      <c r="A80" s="554"/>
      <c r="B80" s="553"/>
      <c r="C80" s="553" t="s">
        <v>513</v>
      </c>
      <c r="D80" s="553" t="s">
        <v>559</v>
      </c>
      <c r="E80" s="553" t="s">
        <v>192</v>
      </c>
      <c r="F80" s="555">
        <v>57261.69</v>
      </c>
      <c r="G80" s="555">
        <v>-4008.3183000000004</v>
      </c>
      <c r="H80" s="555">
        <v>53253.371700000003</v>
      </c>
      <c r="I80" s="555">
        <v>10440</v>
      </c>
      <c r="J80" s="556">
        <v>1.8</v>
      </c>
      <c r="K80" s="557">
        <v>1.53</v>
      </c>
      <c r="L80"/>
    </row>
    <row r="81" spans="1:12" x14ac:dyDescent="0.25">
      <c r="A81" s="554"/>
      <c r="B81" s="553"/>
      <c r="C81" s="553"/>
      <c r="D81" s="553"/>
      <c r="E81" s="553" t="s">
        <v>195</v>
      </c>
      <c r="F81" s="555">
        <v>114523.38</v>
      </c>
      <c r="G81" s="555">
        <v>-8016.6366000000007</v>
      </c>
      <c r="H81" s="555">
        <v>106506.74340000001</v>
      </c>
      <c r="I81" s="555">
        <v>20880</v>
      </c>
      <c r="J81" s="556">
        <v>3.6</v>
      </c>
      <c r="K81" s="557">
        <v>3.06</v>
      </c>
      <c r="L81"/>
    </row>
    <row r="82" spans="1:12" x14ac:dyDescent="0.25">
      <c r="A82" s="554"/>
      <c r="B82" s="553"/>
      <c r="C82" s="553" t="s">
        <v>603</v>
      </c>
      <c r="D82" s="553" t="s">
        <v>618</v>
      </c>
      <c r="E82" s="553" t="s">
        <v>199</v>
      </c>
      <c r="F82" s="555">
        <v>37220.098500000007</v>
      </c>
      <c r="G82" s="555">
        <v>-2605.406895000001</v>
      </c>
      <c r="H82" s="555">
        <v>34614.691605000007</v>
      </c>
      <c r="I82" s="555">
        <v>6786.0000000000009</v>
      </c>
      <c r="J82" s="556">
        <v>1.1700000000000002</v>
      </c>
      <c r="K82" s="557">
        <v>0.99450000000000005</v>
      </c>
      <c r="L82"/>
    </row>
    <row r="83" spans="1:12" x14ac:dyDescent="0.25">
      <c r="A83" s="554"/>
      <c r="B83" s="553"/>
      <c r="C83" s="553"/>
      <c r="D83" s="553"/>
      <c r="E83" s="553" t="s">
        <v>196</v>
      </c>
      <c r="F83" s="555">
        <v>55830.147749999989</v>
      </c>
      <c r="G83" s="555">
        <v>-3908.1103424999997</v>
      </c>
      <c r="H83" s="555">
        <v>51922.037407499993</v>
      </c>
      <c r="I83" s="555">
        <v>10178.999999999998</v>
      </c>
      <c r="J83" s="556">
        <v>1.7549999999999997</v>
      </c>
      <c r="K83" s="557">
        <v>1.4917499999999997</v>
      </c>
      <c r="L83"/>
    </row>
    <row r="84" spans="1:12" x14ac:dyDescent="0.25">
      <c r="A84" s="554"/>
      <c r="B84" s="553"/>
      <c r="C84" s="553"/>
      <c r="D84" s="553"/>
      <c r="E84" s="553" t="s">
        <v>192</v>
      </c>
      <c r="F84" s="555">
        <v>10338.91625</v>
      </c>
      <c r="G84" s="555">
        <v>-723.7241375000001</v>
      </c>
      <c r="H84" s="555">
        <v>9615.1921125000008</v>
      </c>
      <c r="I84" s="555">
        <v>1885</v>
      </c>
      <c r="J84" s="556">
        <v>0.32500000000000001</v>
      </c>
      <c r="K84" s="557">
        <v>0.27625</v>
      </c>
      <c r="L84"/>
    </row>
    <row r="85" spans="1:12" x14ac:dyDescent="0.25">
      <c r="A85" s="554"/>
      <c r="B85" s="553"/>
      <c r="C85" s="553" t="s">
        <v>1044</v>
      </c>
      <c r="D85" s="553" t="s">
        <v>1211</v>
      </c>
      <c r="E85" s="553" t="s">
        <v>197</v>
      </c>
      <c r="F85" s="555">
        <v>207380.53749999998</v>
      </c>
      <c r="G85" s="555">
        <v>-14516.637624999999</v>
      </c>
      <c r="H85" s="555">
        <v>192863.89987499997</v>
      </c>
      <c r="I85" s="555">
        <v>25012.5</v>
      </c>
      <c r="J85" s="556">
        <v>4.3125</v>
      </c>
      <c r="K85" s="557">
        <v>3.6624999999999996</v>
      </c>
      <c r="L85"/>
    </row>
    <row r="86" spans="1:12" x14ac:dyDescent="0.25">
      <c r="A86" s="554" t="s">
        <v>849</v>
      </c>
      <c r="B86" s="553"/>
      <c r="C86" s="553"/>
      <c r="D86" s="553"/>
      <c r="E86" s="553"/>
      <c r="F86" s="555">
        <v>692514.3</v>
      </c>
      <c r="G86" s="555">
        <v>-48476.001000000004</v>
      </c>
      <c r="H86" s="555">
        <v>644038.299</v>
      </c>
      <c r="I86" s="555">
        <v>113462.5</v>
      </c>
      <c r="J86" s="556">
        <v>19.5625</v>
      </c>
      <c r="K86" s="557">
        <v>16.625</v>
      </c>
      <c r="L86"/>
    </row>
    <row r="87" spans="1:12" x14ac:dyDescent="0.25">
      <c r="A87" s="554">
        <v>2500</v>
      </c>
      <c r="B87" s="553" t="s">
        <v>2096</v>
      </c>
      <c r="C87" s="553" t="s">
        <v>1857</v>
      </c>
      <c r="D87" s="553" t="s">
        <v>1814</v>
      </c>
      <c r="E87" s="553" t="s">
        <v>164</v>
      </c>
      <c r="F87" s="555">
        <v>11929.518749999999</v>
      </c>
      <c r="G87" s="555">
        <v>-835.06631249999998</v>
      </c>
      <c r="H87" s="555">
        <v>11094.4524375</v>
      </c>
      <c r="I87" s="555">
        <v>2175</v>
      </c>
      <c r="J87" s="556">
        <v>0.375</v>
      </c>
      <c r="K87" s="557">
        <v>0.31874999999999998</v>
      </c>
      <c r="L87"/>
    </row>
    <row r="88" spans="1:12" x14ac:dyDescent="0.25">
      <c r="A88" s="554"/>
      <c r="B88" s="553"/>
      <c r="C88" s="553" t="s">
        <v>1934</v>
      </c>
      <c r="D88" s="553" t="s">
        <v>1817</v>
      </c>
      <c r="E88" s="553" t="s">
        <v>164</v>
      </c>
      <c r="F88" s="555">
        <v>15163.153125000001</v>
      </c>
      <c r="G88" s="555">
        <v>-1061.4207187500001</v>
      </c>
      <c r="H88" s="555">
        <v>14101.732406250001</v>
      </c>
      <c r="I88" s="555">
        <v>5175</v>
      </c>
      <c r="J88" s="556">
        <v>0.375</v>
      </c>
      <c r="K88" s="557">
        <v>0.31874999999999998</v>
      </c>
      <c r="L88"/>
    </row>
    <row r="89" spans="1:12" x14ac:dyDescent="0.25">
      <c r="A89" s="554" t="s">
        <v>909</v>
      </c>
      <c r="B89" s="553"/>
      <c r="C89" s="553"/>
      <c r="D89" s="553"/>
      <c r="E89" s="553"/>
      <c r="F89" s="555">
        <v>27092.671875</v>
      </c>
      <c r="G89" s="555">
        <v>-1896.4870312500002</v>
      </c>
      <c r="H89" s="555">
        <v>25196.184843750001</v>
      </c>
      <c r="I89" s="555">
        <v>7350</v>
      </c>
      <c r="J89" s="556">
        <v>0.75</v>
      </c>
      <c r="K89" s="557">
        <v>0.63749999999999996</v>
      </c>
      <c r="L89"/>
    </row>
    <row r="90" spans="1:12" x14ac:dyDescent="0.25">
      <c r="A90" s="554">
        <v>5740</v>
      </c>
      <c r="B90" s="553" t="s">
        <v>461</v>
      </c>
      <c r="C90" s="553" t="s">
        <v>1451</v>
      </c>
      <c r="D90" s="553" t="s">
        <v>1452</v>
      </c>
      <c r="E90" s="553" t="s">
        <v>166</v>
      </c>
      <c r="F90" s="555">
        <v>65410.799999999996</v>
      </c>
      <c r="G90" s="555">
        <v>-4578.7560000000003</v>
      </c>
      <c r="H90" s="555">
        <v>60832.043999999994</v>
      </c>
      <c r="I90" s="555">
        <v>29066.666666666664</v>
      </c>
      <c r="J90" s="556">
        <v>1.3333333333333333</v>
      </c>
      <c r="K90" s="557">
        <v>1.1333333333333333</v>
      </c>
      <c r="L90"/>
    </row>
    <row r="91" spans="1:12" x14ac:dyDescent="0.25">
      <c r="A91" s="554"/>
      <c r="B91" s="553"/>
      <c r="C91" s="553" t="s">
        <v>1455</v>
      </c>
      <c r="D91" s="553" t="s">
        <v>1456</v>
      </c>
      <c r="E91" s="553" t="s">
        <v>166</v>
      </c>
      <c r="F91" s="555">
        <v>44969.924999999996</v>
      </c>
      <c r="G91" s="555">
        <v>-3147.8947499999999</v>
      </c>
      <c r="H91" s="555">
        <v>41822.030249999996</v>
      </c>
      <c r="I91" s="555">
        <v>19983.333333333332</v>
      </c>
      <c r="J91" s="556">
        <v>0.91666666666666663</v>
      </c>
      <c r="K91" s="557">
        <v>0.77916666666666656</v>
      </c>
      <c r="L91"/>
    </row>
    <row r="92" spans="1:12" x14ac:dyDescent="0.25">
      <c r="A92" s="554"/>
      <c r="B92" s="553"/>
      <c r="C92" s="553" t="s">
        <v>1457</v>
      </c>
      <c r="D92" s="553" t="s">
        <v>1458</v>
      </c>
      <c r="E92" s="553" t="s">
        <v>166</v>
      </c>
      <c r="F92" s="555">
        <v>57234.45</v>
      </c>
      <c r="G92" s="555">
        <v>-4006.4115000000002</v>
      </c>
      <c r="H92" s="555">
        <v>53228.038499999995</v>
      </c>
      <c r="I92" s="555">
        <v>25433.333333333328</v>
      </c>
      <c r="J92" s="556">
        <v>1.1666666666666665</v>
      </c>
      <c r="K92" s="557">
        <v>0.9916666666666667</v>
      </c>
      <c r="L92"/>
    </row>
    <row r="93" spans="1:12" x14ac:dyDescent="0.25">
      <c r="A93" s="554"/>
      <c r="B93" s="553"/>
      <c r="C93" s="553" t="s">
        <v>1557</v>
      </c>
      <c r="D93" s="553" t="s">
        <v>1417</v>
      </c>
      <c r="E93" s="553" t="s">
        <v>1121</v>
      </c>
      <c r="F93" s="555">
        <v>135727.41</v>
      </c>
      <c r="G93" s="555">
        <v>-9500.918700000002</v>
      </c>
      <c r="H93" s="555">
        <v>126226.49129999999</v>
      </c>
      <c r="I93" s="555">
        <v>60313.333333333328</v>
      </c>
      <c r="J93" s="556">
        <v>2.7666666666666666</v>
      </c>
      <c r="K93" s="557">
        <v>2.3516666666666666</v>
      </c>
      <c r="L93"/>
    </row>
    <row r="94" spans="1:12" x14ac:dyDescent="0.25">
      <c r="A94" s="554"/>
      <c r="B94" s="553"/>
      <c r="C94" s="553" t="s">
        <v>1529</v>
      </c>
      <c r="D94" s="553" t="s">
        <v>1544</v>
      </c>
      <c r="E94" s="553" t="s">
        <v>192</v>
      </c>
      <c r="F94" s="555">
        <v>76974.559999999998</v>
      </c>
      <c r="G94" s="555">
        <v>-5388.2192000000005</v>
      </c>
      <c r="H94" s="555">
        <v>71586.340799999991</v>
      </c>
      <c r="I94" s="555">
        <v>9280</v>
      </c>
      <c r="J94" s="556">
        <v>1.6</v>
      </c>
      <c r="K94" s="557">
        <v>1.3599999999999999</v>
      </c>
      <c r="L94"/>
    </row>
    <row r="95" spans="1:12" x14ac:dyDescent="0.25">
      <c r="A95" s="554"/>
      <c r="B95" s="553"/>
      <c r="C95" s="553"/>
      <c r="D95" s="553"/>
      <c r="E95" s="553" t="s">
        <v>1121</v>
      </c>
      <c r="F95" s="555">
        <v>76974.559999999998</v>
      </c>
      <c r="G95" s="555">
        <v>-5388.2192000000005</v>
      </c>
      <c r="H95" s="555">
        <v>71586.340799999991</v>
      </c>
      <c r="I95" s="555">
        <v>9280</v>
      </c>
      <c r="J95" s="556">
        <v>1.6</v>
      </c>
      <c r="K95" s="557">
        <v>1.3599999999999999</v>
      </c>
      <c r="L95"/>
    </row>
    <row r="96" spans="1:12" x14ac:dyDescent="0.25">
      <c r="A96" s="554"/>
      <c r="B96" s="553"/>
      <c r="C96" s="553" t="s">
        <v>1569</v>
      </c>
      <c r="D96" s="553" t="s">
        <v>1602</v>
      </c>
      <c r="E96" s="553" t="s">
        <v>192</v>
      </c>
      <c r="F96" s="555">
        <v>164372.83122590909</v>
      </c>
      <c r="G96" s="555">
        <v>-11506.098185813637</v>
      </c>
      <c r="H96" s="555">
        <v>152866.73304009545</v>
      </c>
      <c r="I96" s="555">
        <v>19816.675454545453</v>
      </c>
      <c r="J96" s="556">
        <v>3.4166681818181814</v>
      </c>
      <c r="K96" s="557">
        <v>2.9041679545454544</v>
      </c>
      <c r="L96"/>
    </row>
    <row r="97" spans="1:12" x14ac:dyDescent="0.25">
      <c r="A97" s="554"/>
      <c r="B97" s="553"/>
      <c r="C97" s="553"/>
      <c r="D97" s="553"/>
      <c r="E97" s="553" t="s">
        <v>1121</v>
      </c>
      <c r="F97" s="555">
        <v>164372.83122590909</v>
      </c>
      <c r="G97" s="555">
        <v>-11506.098185813637</v>
      </c>
      <c r="H97" s="555">
        <v>152866.73304009545</v>
      </c>
      <c r="I97" s="555">
        <v>19816.675454545453</v>
      </c>
      <c r="J97" s="556">
        <v>3.4166681818181814</v>
      </c>
      <c r="K97" s="557">
        <v>2.9041679545454544</v>
      </c>
      <c r="L97"/>
    </row>
    <row r="98" spans="1:12" x14ac:dyDescent="0.25">
      <c r="A98" s="554"/>
      <c r="B98" s="553"/>
      <c r="C98" s="553"/>
      <c r="D98" s="553"/>
      <c r="E98" s="553" t="s">
        <v>197</v>
      </c>
      <c r="F98" s="555">
        <v>65749.132490363641</v>
      </c>
      <c r="G98" s="555">
        <v>-4602.4392743254557</v>
      </c>
      <c r="H98" s="555">
        <v>61146.693216038184</v>
      </c>
      <c r="I98" s="555">
        <v>7926.6701818181809</v>
      </c>
      <c r="J98" s="556">
        <v>1.3666672727272726</v>
      </c>
      <c r="K98" s="557">
        <v>1.1616671818181818</v>
      </c>
      <c r="L98"/>
    </row>
    <row r="99" spans="1:12" x14ac:dyDescent="0.25">
      <c r="A99" s="554"/>
      <c r="B99" s="553"/>
      <c r="C99" s="553" t="s">
        <v>1560</v>
      </c>
      <c r="D99" s="553" t="s">
        <v>1603</v>
      </c>
      <c r="E99" s="553" t="s">
        <v>1121</v>
      </c>
      <c r="F99" s="555">
        <v>145770.57299999997</v>
      </c>
      <c r="G99" s="555">
        <v>-10203.94011</v>
      </c>
      <c r="H99" s="555">
        <v>135566.63288999998</v>
      </c>
      <c r="I99" s="555">
        <v>17574</v>
      </c>
      <c r="J99" s="556">
        <v>3.03</v>
      </c>
      <c r="K99" s="557">
        <v>2.5754999999999995</v>
      </c>
      <c r="L99"/>
    </row>
    <row r="100" spans="1:12" x14ac:dyDescent="0.25">
      <c r="A100" s="554"/>
      <c r="B100" s="553"/>
      <c r="C100" s="553"/>
      <c r="D100" s="553"/>
      <c r="E100" s="553" t="s">
        <v>197</v>
      </c>
      <c r="F100" s="555">
        <v>48590.190999999999</v>
      </c>
      <c r="G100" s="555">
        <v>-3401.3133700000003</v>
      </c>
      <c r="H100" s="555">
        <v>45188.877629999995</v>
      </c>
      <c r="I100" s="555">
        <v>5858</v>
      </c>
      <c r="J100" s="556">
        <v>1.01</v>
      </c>
      <c r="K100" s="557">
        <v>0.85849999999999993</v>
      </c>
      <c r="L100"/>
    </row>
    <row r="101" spans="1:12" x14ac:dyDescent="0.25">
      <c r="A101" s="554"/>
      <c r="B101" s="553"/>
      <c r="C101" s="553" t="s">
        <v>1686</v>
      </c>
      <c r="D101" s="553" t="s">
        <v>1687</v>
      </c>
      <c r="E101" s="553" t="s">
        <v>192</v>
      </c>
      <c r="F101" s="555">
        <v>198450.03749999998</v>
      </c>
      <c r="G101" s="555">
        <v>-13891.502624999999</v>
      </c>
      <c r="H101" s="555">
        <v>184558.53487499998</v>
      </c>
      <c r="I101" s="555">
        <v>23924.999999999996</v>
      </c>
      <c r="J101" s="556">
        <v>4.1249999999999991</v>
      </c>
      <c r="K101" s="557">
        <v>3.5062499999999996</v>
      </c>
      <c r="L101"/>
    </row>
    <row r="102" spans="1:12" x14ac:dyDescent="0.25">
      <c r="A102" s="554"/>
      <c r="B102" s="553"/>
      <c r="C102" s="553"/>
      <c r="D102" s="553"/>
      <c r="E102" s="553" t="s">
        <v>1121</v>
      </c>
      <c r="F102" s="555">
        <v>198450.03749999998</v>
      </c>
      <c r="G102" s="555">
        <v>-13891.502624999999</v>
      </c>
      <c r="H102" s="555">
        <v>184558.53487499998</v>
      </c>
      <c r="I102" s="555">
        <v>23924.999999999996</v>
      </c>
      <c r="J102" s="556">
        <v>4.1249999999999991</v>
      </c>
      <c r="K102" s="557">
        <v>3.5062499999999996</v>
      </c>
      <c r="L102"/>
    </row>
    <row r="103" spans="1:12" x14ac:dyDescent="0.25">
      <c r="A103" s="554"/>
      <c r="B103" s="553"/>
      <c r="C103" s="553"/>
      <c r="D103" s="553"/>
      <c r="E103" s="553" t="s">
        <v>197</v>
      </c>
      <c r="F103" s="555">
        <v>79380.014999999999</v>
      </c>
      <c r="G103" s="555">
        <v>-5556.6010500000002</v>
      </c>
      <c r="H103" s="555">
        <v>73823.413950000002</v>
      </c>
      <c r="I103" s="555">
        <v>9570</v>
      </c>
      <c r="J103" s="556">
        <v>1.65</v>
      </c>
      <c r="K103" s="557">
        <v>1.4024999999999999</v>
      </c>
      <c r="L103"/>
    </row>
    <row r="104" spans="1:12" x14ac:dyDescent="0.25">
      <c r="A104" s="554"/>
      <c r="B104" s="553"/>
      <c r="C104" s="553" t="s">
        <v>1745</v>
      </c>
      <c r="D104" s="553" t="s">
        <v>1746</v>
      </c>
      <c r="E104" s="553" t="s">
        <v>11</v>
      </c>
      <c r="F104" s="555">
        <v>73767.286666666667</v>
      </c>
      <c r="G104" s="555">
        <v>-5163.7100666666674</v>
      </c>
      <c r="H104" s="555">
        <v>68603.5766</v>
      </c>
      <c r="I104" s="555">
        <v>8893.3333333333321</v>
      </c>
      <c r="J104" s="556">
        <v>1.5333333333333332</v>
      </c>
      <c r="K104" s="557">
        <v>1.3033333333333335</v>
      </c>
      <c r="L104"/>
    </row>
    <row r="105" spans="1:12" x14ac:dyDescent="0.25">
      <c r="A105" s="554"/>
      <c r="B105" s="553"/>
      <c r="C105" s="553"/>
      <c r="D105" s="553"/>
      <c r="E105" s="553" t="s">
        <v>192</v>
      </c>
      <c r="F105" s="555">
        <v>55325.465000000004</v>
      </c>
      <c r="G105" s="555">
        <v>-3872.7825500000008</v>
      </c>
      <c r="H105" s="555">
        <v>51452.68245</v>
      </c>
      <c r="I105" s="555">
        <v>6670.0000000000009</v>
      </c>
      <c r="J105" s="556">
        <v>1.1500000000000001</v>
      </c>
      <c r="K105" s="557">
        <v>0.97750000000000004</v>
      </c>
      <c r="L105"/>
    </row>
    <row r="106" spans="1:12" x14ac:dyDescent="0.25">
      <c r="A106" s="554"/>
      <c r="B106" s="553"/>
      <c r="C106" s="553"/>
      <c r="D106" s="553"/>
      <c r="E106" s="553" t="s">
        <v>1121</v>
      </c>
      <c r="F106" s="555">
        <v>55325.465000000004</v>
      </c>
      <c r="G106" s="555">
        <v>-3872.7825500000008</v>
      </c>
      <c r="H106" s="555">
        <v>51452.68245</v>
      </c>
      <c r="I106" s="555">
        <v>6670.0000000000009</v>
      </c>
      <c r="J106" s="556">
        <v>1.1500000000000001</v>
      </c>
      <c r="K106" s="557">
        <v>0.97750000000000004</v>
      </c>
      <c r="L106"/>
    </row>
    <row r="107" spans="1:12" x14ac:dyDescent="0.25">
      <c r="A107" s="554"/>
      <c r="B107" s="553"/>
      <c r="C107" s="553" t="s">
        <v>1733</v>
      </c>
      <c r="D107" s="553" t="s">
        <v>1741</v>
      </c>
      <c r="E107" s="553" t="s">
        <v>176</v>
      </c>
      <c r="F107" s="555">
        <v>237717.86666666667</v>
      </c>
      <c r="G107" s="555">
        <v>-16640.250666666667</v>
      </c>
      <c r="H107" s="555">
        <v>221077.61600000001</v>
      </c>
      <c r="I107" s="555">
        <v>18133.333333333336</v>
      </c>
      <c r="J107" s="556">
        <v>5.3333333333333339</v>
      </c>
      <c r="K107" s="557">
        <v>4.5333333333333332</v>
      </c>
      <c r="L107"/>
    </row>
    <row r="108" spans="1:12" x14ac:dyDescent="0.25">
      <c r="A108" s="554"/>
      <c r="B108" s="553"/>
      <c r="C108" s="553"/>
      <c r="D108" s="553"/>
      <c r="E108" s="553" t="s">
        <v>192</v>
      </c>
      <c r="F108" s="555">
        <v>89144.2</v>
      </c>
      <c r="G108" s="555">
        <v>-6240.0940000000001</v>
      </c>
      <c r="H108" s="555">
        <v>82904.106</v>
      </c>
      <c r="I108" s="555">
        <v>6800</v>
      </c>
      <c r="J108" s="556">
        <v>2</v>
      </c>
      <c r="K108" s="557">
        <v>1.7</v>
      </c>
      <c r="L108"/>
    </row>
    <row r="109" spans="1:12" x14ac:dyDescent="0.25">
      <c r="A109" s="554"/>
      <c r="B109" s="553"/>
      <c r="C109" s="553" t="s">
        <v>1732</v>
      </c>
      <c r="D109" s="553" t="s">
        <v>1740</v>
      </c>
      <c r="E109" s="553" t="s">
        <v>176</v>
      </c>
      <c r="F109" s="555">
        <v>167145.375</v>
      </c>
      <c r="G109" s="555">
        <v>-11700.17625</v>
      </c>
      <c r="H109" s="555">
        <v>155445.19875000001</v>
      </c>
      <c r="I109" s="555">
        <v>12750</v>
      </c>
      <c r="J109" s="556">
        <v>3.75</v>
      </c>
      <c r="K109" s="557">
        <v>3.1875</v>
      </c>
      <c r="L109"/>
    </row>
    <row r="110" spans="1:12" x14ac:dyDescent="0.25">
      <c r="A110" s="554"/>
      <c r="B110" s="553"/>
      <c r="C110" s="553" t="s">
        <v>1885</v>
      </c>
      <c r="D110" s="553" t="s">
        <v>1212</v>
      </c>
      <c r="E110" s="553" t="s">
        <v>176</v>
      </c>
      <c r="F110" s="555">
        <v>64947.285000000003</v>
      </c>
      <c r="G110" s="555">
        <v>-4546.3099500000008</v>
      </c>
      <c r="H110" s="555">
        <v>60400.975050000001</v>
      </c>
      <c r="I110" s="555">
        <v>7830.0000000000009</v>
      </c>
      <c r="J110" s="556">
        <v>1.35</v>
      </c>
      <c r="K110" s="557">
        <v>1.1475</v>
      </c>
      <c r="L110"/>
    </row>
    <row r="111" spans="1:12" x14ac:dyDescent="0.25">
      <c r="A111" s="554"/>
      <c r="B111" s="553"/>
      <c r="C111" s="553" t="s">
        <v>1886</v>
      </c>
      <c r="D111" s="553" t="s">
        <v>1213</v>
      </c>
      <c r="E111" s="553" t="s">
        <v>176</v>
      </c>
      <c r="F111" s="555">
        <v>115461.84000000001</v>
      </c>
      <c r="G111" s="555">
        <v>-8082.3288000000011</v>
      </c>
      <c r="H111" s="555">
        <v>107379.51120000001</v>
      </c>
      <c r="I111" s="555">
        <v>13920.000000000002</v>
      </c>
      <c r="J111" s="556">
        <v>2.4000000000000004</v>
      </c>
      <c r="K111" s="557">
        <v>2.04</v>
      </c>
      <c r="L111"/>
    </row>
    <row r="112" spans="1:12" x14ac:dyDescent="0.25">
      <c r="A112" s="554"/>
      <c r="B112" s="553"/>
      <c r="C112" s="553" t="s">
        <v>1887</v>
      </c>
      <c r="D112" s="553" t="s">
        <v>1888</v>
      </c>
      <c r="E112" s="553" t="s">
        <v>11</v>
      </c>
      <c r="F112" s="555">
        <v>90605.471666666665</v>
      </c>
      <c r="G112" s="555">
        <v>-6342.3830166666676</v>
      </c>
      <c r="H112" s="555">
        <v>84263.088649999991</v>
      </c>
      <c r="I112" s="555">
        <v>10923.333333333334</v>
      </c>
      <c r="J112" s="556">
        <v>1.8833333333333333</v>
      </c>
      <c r="K112" s="557">
        <v>1.6008333333333333</v>
      </c>
      <c r="L112"/>
    </row>
    <row r="113" spans="1:12" x14ac:dyDescent="0.25">
      <c r="A113" s="554"/>
      <c r="B113" s="553"/>
      <c r="C113" s="553"/>
      <c r="D113" s="553"/>
      <c r="E113" s="553" t="s">
        <v>176</v>
      </c>
      <c r="F113" s="555">
        <v>226513.6791666667</v>
      </c>
      <c r="G113" s="555">
        <v>-15855.95754166667</v>
      </c>
      <c r="H113" s="555">
        <v>210657.72162500003</v>
      </c>
      <c r="I113" s="555">
        <v>27308.333333333336</v>
      </c>
      <c r="J113" s="556">
        <v>4.7083333333333339</v>
      </c>
      <c r="K113" s="557">
        <v>4.0020833333333341</v>
      </c>
      <c r="L113"/>
    </row>
    <row r="114" spans="1:12" x14ac:dyDescent="0.25">
      <c r="A114" s="554"/>
      <c r="B114" s="553"/>
      <c r="C114" s="553" t="s">
        <v>1889</v>
      </c>
      <c r="D114" s="553" t="s">
        <v>1286</v>
      </c>
      <c r="E114" s="553" t="s">
        <v>11</v>
      </c>
      <c r="F114" s="555">
        <v>38257.719166666662</v>
      </c>
      <c r="G114" s="555">
        <v>-2678.0403416666668</v>
      </c>
      <c r="H114" s="555">
        <v>35579.678824999995</v>
      </c>
      <c r="I114" s="555">
        <v>2918.3333333333335</v>
      </c>
      <c r="J114" s="556">
        <v>0.85833333333333339</v>
      </c>
      <c r="K114" s="557">
        <v>0.72958333333333325</v>
      </c>
      <c r="L114"/>
    </row>
    <row r="115" spans="1:12" x14ac:dyDescent="0.25">
      <c r="A115" s="554"/>
      <c r="B115" s="553"/>
      <c r="C115" s="553"/>
      <c r="D115" s="553"/>
      <c r="E115" s="553" t="s">
        <v>176</v>
      </c>
      <c r="F115" s="555">
        <v>38257.719166666662</v>
      </c>
      <c r="G115" s="555">
        <v>-2678.0403416666668</v>
      </c>
      <c r="H115" s="555">
        <v>35579.678824999995</v>
      </c>
      <c r="I115" s="555">
        <v>2918.3333333333335</v>
      </c>
      <c r="J115" s="556">
        <v>0.85833333333333339</v>
      </c>
      <c r="K115" s="557">
        <v>0.72958333333333325</v>
      </c>
      <c r="L115"/>
    </row>
    <row r="116" spans="1:12" x14ac:dyDescent="0.25">
      <c r="A116" s="554"/>
      <c r="B116" s="553"/>
      <c r="C116" s="553" t="s">
        <v>1862</v>
      </c>
      <c r="D116" s="553" t="s">
        <v>1875</v>
      </c>
      <c r="E116" s="553" t="s">
        <v>1121</v>
      </c>
      <c r="F116" s="555">
        <v>130003.965</v>
      </c>
      <c r="G116" s="555">
        <v>-9100.2775500000007</v>
      </c>
      <c r="H116" s="555">
        <v>120903.68745</v>
      </c>
      <c r="I116" s="555">
        <v>57770.000000000007</v>
      </c>
      <c r="J116" s="556">
        <v>2.6500000000000004</v>
      </c>
      <c r="K116" s="557">
        <v>2.2524999999999999</v>
      </c>
      <c r="L116"/>
    </row>
    <row r="117" spans="1:12" x14ac:dyDescent="0.25">
      <c r="A117" s="554"/>
      <c r="B117" s="553"/>
      <c r="C117" s="553" t="s">
        <v>2085</v>
      </c>
      <c r="D117" s="553" t="s">
        <v>2086</v>
      </c>
      <c r="E117" s="553" t="s">
        <v>176</v>
      </c>
      <c r="F117" s="555">
        <v>108745.45499999999</v>
      </c>
      <c r="G117" s="555">
        <v>-7612.1818499999999</v>
      </c>
      <c r="H117" s="555">
        <v>101133.27314999999</v>
      </c>
      <c r="I117" s="555">
        <v>48323.333333333336</v>
      </c>
      <c r="J117" s="556">
        <v>2.2166666666666668</v>
      </c>
      <c r="K117" s="557">
        <v>1.8841666666666665</v>
      </c>
      <c r="L117"/>
    </row>
    <row r="118" spans="1:12" x14ac:dyDescent="0.25">
      <c r="A118" s="554" t="s">
        <v>850</v>
      </c>
      <c r="B118" s="553"/>
      <c r="C118" s="553"/>
      <c r="D118" s="553"/>
      <c r="E118" s="553"/>
      <c r="F118" s="555">
        <v>3013646.1464421819</v>
      </c>
      <c r="G118" s="555">
        <v>-210955.23025095271</v>
      </c>
      <c r="H118" s="555">
        <v>2802690.9161912282</v>
      </c>
      <c r="I118" s="555">
        <v>513597.02109090891</v>
      </c>
      <c r="J118" s="556">
        <v>63.365003636363639</v>
      </c>
      <c r="K118" s="557">
        <v>53.860253090909083</v>
      </c>
      <c r="L118"/>
    </row>
    <row r="119" spans="1:12" x14ac:dyDescent="0.25">
      <c r="A119" s="589" t="s">
        <v>772</v>
      </c>
      <c r="B119" s="590"/>
      <c r="C119" s="590"/>
      <c r="D119" s="590"/>
      <c r="E119" s="590"/>
      <c r="F119" s="591">
        <v>13343937.243217165</v>
      </c>
      <c r="G119" s="591">
        <v>-934075.60702520225</v>
      </c>
      <c r="H119" s="591">
        <v>12409861.636191962</v>
      </c>
      <c r="I119" s="591">
        <v>2306680.3051242428</v>
      </c>
      <c r="J119" s="592">
        <v>304.77749513636343</v>
      </c>
      <c r="K119" s="593">
        <v>258.72087103257564</v>
      </c>
      <c r="L119"/>
    </row>
    <row r="120" spans="1:12" x14ac:dyDescent="0.25">
      <c r="A120"/>
      <c r="B120"/>
      <c r="C120"/>
      <c r="D120"/>
      <c r="E120"/>
      <c r="F120"/>
      <c r="G120"/>
      <c r="H120"/>
      <c r="I120"/>
      <c r="J120"/>
      <c r="K120"/>
      <c r="L120"/>
    </row>
    <row r="121" spans="1:12" x14ac:dyDescent="0.25">
      <c r="A121"/>
      <c r="B121"/>
      <c r="C121"/>
      <c r="D121"/>
      <c r="E121"/>
      <c r="F121"/>
      <c r="G121"/>
      <c r="H121"/>
      <c r="I121"/>
      <c r="J121"/>
      <c r="K121"/>
      <c r="L121"/>
    </row>
    <row r="122" spans="1:12" x14ac:dyDescent="0.25">
      <c r="A122"/>
      <c r="B122"/>
      <c r="C122"/>
      <c r="D122"/>
      <c r="E122"/>
      <c r="F122"/>
      <c r="G122"/>
      <c r="H122"/>
      <c r="I122"/>
      <c r="J122"/>
      <c r="K122"/>
      <c r="L122"/>
    </row>
    <row r="123" spans="1:12" x14ac:dyDescent="0.25">
      <c r="A123"/>
      <c r="B123"/>
      <c r="C123"/>
      <c r="D123"/>
      <c r="E123"/>
      <c r="F123"/>
      <c r="G123"/>
      <c r="H123"/>
      <c r="I123"/>
      <c r="J123"/>
      <c r="K123"/>
      <c r="L123"/>
    </row>
    <row r="124" spans="1:12" x14ac:dyDescent="0.25">
      <c r="A124"/>
      <c r="B124"/>
      <c r="C124"/>
      <c r="D124"/>
      <c r="E124"/>
      <c r="F124"/>
      <c r="G124"/>
      <c r="H124"/>
      <c r="I124"/>
      <c r="J124"/>
      <c r="K124"/>
      <c r="L124"/>
    </row>
    <row r="125" spans="1:12" x14ac:dyDescent="0.25">
      <c r="A125"/>
      <c r="B125"/>
      <c r="C125"/>
      <c r="D125"/>
      <c r="E125"/>
      <c r="F125"/>
      <c r="G125"/>
      <c r="H125"/>
      <c r="I125"/>
      <c r="J125"/>
      <c r="K125"/>
      <c r="L125"/>
    </row>
    <row r="126" spans="1:12" x14ac:dyDescent="0.25">
      <c r="A126"/>
      <c r="B126"/>
      <c r="C126"/>
      <c r="D126"/>
      <c r="E126"/>
      <c r="F126"/>
      <c r="G126"/>
      <c r="H126"/>
      <c r="I126"/>
      <c r="J126"/>
      <c r="K126"/>
      <c r="L126"/>
    </row>
    <row r="127" spans="1:12" x14ac:dyDescent="0.25">
      <c r="A127"/>
      <c r="B127"/>
      <c r="C127"/>
      <c r="D127"/>
      <c r="E127"/>
      <c r="F127"/>
      <c r="G127"/>
      <c r="H127"/>
      <c r="I127"/>
      <c r="J127"/>
      <c r="K127"/>
      <c r="L127"/>
    </row>
    <row r="128" spans="1:12" x14ac:dyDescent="0.25">
      <c r="A128"/>
      <c r="B128"/>
      <c r="C128"/>
      <c r="D128"/>
      <c r="E128"/>
      <c r="F128"/>
      <c r="G128"/>
      <c r="H128"/>
      <c r="I128"/>
      <c r="J128"/>
      <c r="K128"/>
      <c r="L128"/>
    </row>
    <row r="129" spans="1:12" x14ac:dyDescent="0.25">
      <c r="A129"/>
      <c r="B129"/>
      <c r="C129"/>
      <c r="D129"/>
      <c r="E129"/>
      <c r="F129"/>
      <c r="G129"/>
      <c r="H129"/>
      <c r="I129"/>
      <c r="J129"/>
      <c r="K129"/>
      <c r="L129"/>
    </row>
    <row r="130" spans="1:12" x14ac:dyDescent="0.25">
      <c r="A130"/>
      <c r="B130"/>
      <c r="C130"/>
      <c r="D130"/>
      <c r="E130"/>
      <c r="F130"/>
      <c r="G130"/>
      <c r="H130"/>
      <c r="I130"/>
      <c r="J130"/>
      <c r="K130"/>
      <c r="L130"/>
    </row>
    <row r="131" spans="1:12" x14ac:dyDescent="0.25">
      <c r="A131"/>
      <c r="B131"/>
      <c r="C131"/>
      <c r="D131"/>
      <c r="E131"/>
      <c r="F131"/>
      <c r="G131"/>
      <c r="H131"/>
      <c r="I131"/>
      <c r="J131"/>
      <c r="K131"/>
      <c r="L131"/>
    </row>
    <row r="132" spans="1:12" x14ac:dyDescent="0.25">
      <c r="A132"/>
      <c r="B132"/>
      <c r="C132"/>
      <c r="D132"/>
      <c r="E132"/>
      <c r="F132"/>
      <c r="G132"/>
      <c r="H132"/>
      <c r="I132"/>
      <c r="J132"/>
      <c r="K132"/>
      <c r="L132"/>
    </row>
    <row r="133" spans="1:12" x14ac:dyDescent="0.25">
      <c r="A133"/>
      <c r="B133"/>
      <c r="C133"/>
      <c r="D133"/>
      <c r="E133"/>
      <c r="F133"/>
      <c r="G133"/>
      <c r="H133"/>
      <c r="I133"/>
      <c r="J133"/>
      <c r="K133"/>
      <c r="L133"/>
    </row>
    <row r="134" spans="1:12" x14ac:dyDescent="0.25">
      <c r="A134"/>
      <c r="B134"/>
      <c r="C134"/>
      <c r="D134"/>
      <c r="E134"/>
      <c r="F134"/>
      <c r="G134"/>
      <c r="H134"/>
      <c r="I134"/>
      <c r="J134"/>
      <c r="K134"/>
      <c r="L134"/>
    </row>
    <row r="135" spans="1:12" x14ac:dyDescent="0.25">
      <c r="A135"/>
      <c r="B135"/>
      <c r="C135"/>
      <c r="D135"/>
      <c r="E135"/>
      <c r="F135"/>
      <c r="G135"/>
      <c r="H135"/>
      <c r="I135"/>
      <c r="J135"/>
      <c r="K135"/>
      <c r="L135"/>
    </row>
    <row r="136" spans="1:12" x14ac:dyDescent="0.25">
      <c r="A136"/>
      <c r="B136"/>
      <c r="C136"/>
      <c r="D136"/>
      <c r="E136"/>
      <c r="F136"/>
      <c r="G136"/>
      <c r="H136"/>
      <c r="I136"/>
      <c r="J136"/>
      <c r="K136"/>
      <c r="L136"/>
    </row>
    <row r="137" spans="1:12" x14ac:dyDescent="0.25">
      <c r="A137"/>
      <c r="B137"/>
      <c r="C137"/>
      <c r="D137"/>
      <c r="E137"/>
      <c r="F137"/>
      <c r="G137"/>
      <c r="H137"/>
      <c r="I137"/>
      <c r="J137"/>
      <c r="K137"/>
      <c r="L137"/>
    </row>
    <row r="138" spans="1:12" x14ac:dyDescent="0.25">
      <c r="A138"/>
      <c r="B138"/>
      <c r="C138"/>
      <c r="D138"/>
      <c r="E138"/>
      <c r="F138"/>
      <c r="G138"/>
      <c r="H138"/>
      <c r="I138"/>
      <c r="J138"/>
      <c r="K138"/>
      <c r="L138"/>
    </row>
    <row r="139" spans="1:12" x14ac:dyDescent="0.25">
      <c r="A139"/>
      <c r="B139"/>
      <c r="C139"/>
      <c r="D139"/>
      <c r="E139"/>
      <c r="F139"/>
      <c r="G139"/>
      <c r="H139"/>
      <c r="I139"/>
      <c r="J139"/>
      <c r="K139"/>
      <c r="L139"/>
    </row>
    <row r="140" spans="1:12" x14ac:dyDescent="0.25">
      <c r="A140"/>
      <c r="B140"/>
      <c r="C140"/>
      <c r="D140"/>
      <c r="E140"/>
      <c r="F140"/>
      <c r="G140"/>
      <c r="H140"/>
      <c r="I140"/>
      <c r="J140"/>
      <c r="K140"/>
      <c r="L140"/>
    </row>
    <row r="141" spans="1:12" x14ac:dyDescent="0.25">
      <c r="A141"/>
      <c r="B141"/>
      <c r="C141"/>
      <c r="D141"/>
      <c r="E141"/>
      <c r="F141"/>
      <c r="G141"/>
      <c r="H141"/>
      <c r="I141"/>
      <c r="J141"/>
      <c r="K141"/>
      <c r="L141"/>
    </row>
    <row r="142" spans="1:12" x14ac:dyDescent="0.25">
      <c r="A142"/>
      <c r="B142"/>
      <c r="C142"/>
      <c r="D142"/>
      <c r="E142"/>
      <c r="F142"/>
      <c r="G142"/>
      <c r="H142"/>
      <c r="I142"/>
      <c r="J142"/>
      <c r="K142"/>
      <c r="L142"/>
    </row>
    <row r="143" spans="1:12" x14ac:dyDescent="0.25">
      <c r="A143"/>
      <c r="B143"/>
      <c r="C143"/>
      <c r="D143"/>
      <c r="E143"/>
      <c r="F143"/>
      <c r="G143"/>
      <c r="H143"/>
      <c r="I143"/>
      <c r="J143"/>
      <c r="K143"/>
      <c r="L143"/>
    </row>
    <row r="144" spans="1:12" x14ac:dyDescent="0.25">
      <c r="A144"/>
      <c r="B144"/>
      <c r="C144"/>
      <c r="D144"/>
      <c r="E144"/>
      <c r="F144"/>
      <c r="G144"/>
      <c r="H144"/>
      <c r="I144"/>
      <c r="J144"/>
      <c r="K144"/>
      <c r="L144"/>
    </row>
    <row r="145" spans="1:12" x14ac:dyDescent="0.25">
      <c r="A145"/>
      <c r="B145"/>
      <c r="C145"/>
      <c r="D145"/>
      <c r="E145"/>
      <c r="F145"/>
      <c r="G145"/>
      <c r="H145"/>
      <c r="I145"/>
      <c r="J145"/>
      <c r="K145"/>
      <c r="L145"/>
    </row>
    <row r="146" spans="1:12" x14ac:dyDescent="0.25">
      <c r="A146"/>
      <c r="B146"/>
      <c r="C146"/>
      <c r="D146"/>
      <c r="E146"/>
      <c r="F146"/>
      <c r="G146"/>
      <c r="H146"/>
      <c r="I146"/>
      <c r="J146"/>
      <c r="K146"/>
      <c r="L146"/>
    </row>
    <row r="147" spans="1:12" x14ac:dyDescent="0.25">
      <c r="A147"/>
      <c r="B147"/>
      <c r="C147"/>
      <c r="D147"/>
      <c r="E147"/>
      <c r="F147"/>
      <c r="G147"/>
      <c r="H147"/>
      <c r="I147"/>
      <c r="J147"/>
      <c r="K147"/>
      <c r="L147"/>
    </row>
    <row r="148" spans="1:12" x14ac:dyDescent="0.25">
      <c r="A148"/>
      <c r="B148"/>
      <c r="C148"/>
      <c r="D148"/>
      <c r="E148"/>
      <c r="F148"/>
      <c r="G148"/>
      <c r="H148"/>
      <c r="I148"/>
      <c r="J148"/>
      <c r="K148"/>
      <c r="L148"/>
    </row>
    <row r="149" spans="1:12" x14ac:dyDescent="0.25">
      <c r="A149"/>
      <c r="B149"/>
      <c r="C149"/>
      <c r="D149"/>
      <c r="E149"/>
      <c r="F149"/>
      <c r="G149"/>
      <c r="H149"/>
      <c r="I149"/>
      <c r="J149"/>
      <c r="K149"/>
      <c r="L149"/>
    </row>
    <row r="150" spans="1:12" x14ac:dyDescent="0.25">
      <c r="A150"/>
      <c r="B150"/>
      <c r="C150"/>
      <c r="D150"/>
      <c r="E150"/>
      <c r="F150"/>
      <c r="G150"/>
      <c r="H150"/>
      <c r="I150"/>
      <c r="J150"/>
      <c r="K150"/>
      <c r="L150"/>
    </row>
    <row r="151" spans="1:12" x14ac:dyDescent="0.25">
      <c r="A151"/>
      <c r="B151"/>
      <c r="C151"/>
      <c r="D151"/>
      <c r="E151"/>
      <c r="F151"/>
      <c r="G151"/>
      <c r="H151"/>
      <c r="I151"/>
      <c r="J151"/>
      <c r="K151"/>
      <c r="L151"/>
    </row>
    <row r="152" spans="1:12" x14ac:dyDescent="0.25">
      <c r="A152"/>
      <c r="B152"/>
      <c r="C152"/>
      <c r="D152"/>
      <c r="E152"/>
      <c r="F152"/>
      <c r="G152"/>
      <c r="H152"/>
      <c r="I152"/>
      <c r="J152"/>
      <c r="K152"/>
      <c r="L152"/>
    </row>
    <row r="153" spans="1:12" x14ac:dyDescent="0.25">
      <c r="A153"/>
      <c r="B153"/>
      <c r="C153"/>
      <c r="D153"/>
      <c r="E153"/>
      <c r="F153"/>
      <c r="G153"/>
      <c r="H153"/>
      <c r="I153"/>
      <c r="J153"/>
      <c r="K153"/>
      <c r="L153"/>
    </row>
    <row r="154" spans="1:12" x14ac:dyDescent="0.25">
      <c r="A154"/>
      <c r="B154"/>
      <c r="C154"/>
      <c r="D154"/>
      <c r="E154"/>
      <c r="F154"/>
      <c r="G154"/>
      <c r="H154"/>
      <c r="I154"/>
      <c r="J154"/>
      <c r="K154"/>
      <c r="L154"/>
    </row>
    <row r="155" spans="1:12" x14ac:dyDescent="0.25">
      <c r="A155"/>
      <c r="B155"/>
      <c r="C155"/>
      <c r="D155"/>
      <c r="E155"/>
      <c r="F155"/>
      <c r="G155"/>
      <c r="H155"/>
      <c r="I155"/>
      <c r="J155"/>
      <c r="K155"/>
      <c r="L155"/>
    </row>
    <row r="156" spans="1:12" x14ac:dyDescent="0.25">
      <c r="A156"/>
      <c r="B156"/>
      <c r="C156"/>
      <c r="D156"/>
      <c r="E156"/>
      <c r="F156"/>
      <c r="G156"/>
      <c r="H156"/>
      <c r="I156"/>
      <c r="J156"/>
      <c r="K156"/>
      <c r="L156"/>
    </row>
    <row r="157" spans="1:12" x14ac:dyDescent="0.25">
      <c r="A157"/>
      <c r="B157"/>
      <c r="C157"/>
      <c r="D157"/>
      <c r="E157"/>
      <c r="F157"/>
      <c r="G157"/>
      <c r="H157"/>
      <c r="I157"/>
      <c r="J157"/>
      <c r="K157"/>
      <c r="L157"/>
    </row>
    <row r="158" spans="1:12" x14ac:dyDescent="0.25">
      <c r="A158"/>
      <c r="B158"/>
      <c r="C158"/>
      <c r="D158"/>
      <c r="E158"/>
      <c r="F158"/>
      <c r="G158"/>
      <c r="H158"/>
      <c r="I158"/>
      <c r="J158"/>
      <c r="K158"/>
      <c r="L158"/>
    </row>
    <row r="159" spans="1:12" x14ac:dyDescent="0.25">
      <c r="A159"/>
      <c r="B159"/>
      <c r="C159"/>
      <c r="D159"/>
      <c r="E159"/>
      <c r="F159"/>
      <c r="G159"/>
      <c r="H159"/>
      <c r="I159"/>
      <c r="J159"/>
      <c r="K159"/>
      <c r="L159"/>
    </row>
    <row r="160" spans="1:12" x14ac:dyDescent="0.25">
      <c r="A160"/>
      <c r="B160"/>
      <c r="C160"/>
      <c r="D160"/>
      <c r="E160"/>
      <c r="F160"/>
      <c r="G160"/>
      <c r="H160"/>
      <c r="I160"/>
      <c r="J160"/>
      <c r="K160"/>
      <c r="L160"/>
    </row>
    <row r="161" spans="1:12" x14ac:dyDescent="0.25">
      <c r="A161"/>
      <c r="B161"/>
      <c r="C161"/>
      <c r="D161"/>
      <c r="E161"/>
      <c r="F161"/>
      <c r="G161"/>
      <c r="H161"/>
      <c r="I161"/>
      <c r="J161"/>
      <c r="K161"/>
      <c r="L161"/>
    </row>
    <row r="162" spans="1:12" x14ac:dyDescent="0.25">
      <c r="A162"/>
      <c r="B162"/>
      <c r="C162"/>
      <c r="D162"/>
      <c r="E162"/>
      <c r="F162"/>
      <c r="G162"/>
      <c r="H162"/>
      <c r="I162"/>
      <c r="J162"/>
      <c r="K162"/>
      <c r="L162"/>
    </row>
    <row r="163" spans="1:12" x14ac:dyDescent="0.25">
      <c r="A163"/>
      <c r="B163"/>
      <c r="C163"/>
      <c r="D163"/>
      <c r="E163"/>
      <c r="F163"/>
      <c r="G163"/>
      <c r="H163"/>
      <c r="I163"/>
      <c r="J163"/>
      <c r="K163"/>
      <c r="L163"/>
    </row>
    <row r="164" spans="1:12" x14ac:dyDescent="0.25">
      <c r="A164"/>
      <c r="B164"/>
      <c r="C164"/>
      <c r="D164"/>
      <c r="E164"/>
      <c r="F164"/>
      <c r="G164"/>
      <c r="H164"/>
      <c r="I164"/>
      <c r="J164"/>
      <c r="K164"/>
      <c r="L164"/>
    </row>
    <row r="165" spans="1:12" x14ac:dyDescent="0.25">
      <c r="A165"/>
      <c r="B165"/>
      <c r="C165"/>
      <c r="D165"/>
      <c r="E165"/>
      <c r="F165"/>
      <c r="G165"/>
      <c r="H165"/>
      <c r="I165"/>
      <c r="J165"/>
      <c r="K165"/>
      <c r="L165"/>
    </row>
    <row r="166" spans="1:12" x14ac:dyDescent="0.25">
      <c r="A166"/>
      <c r="B166"/>
      <c r="C166"/>
      <c r="D166"/>
      <c r="E166"/>
      <c r="F166"/>
      <c r="G166"/>
      <c r="H166"/>
      <c r="I166"/>
      <c r="J166"/>
      <c r="K166"/>
      <c r="L166"/>
    </row>
    <row r="167" spans="1:12" x14ac:dyDescent="0.25">
      <c r="A167"/>
      <c r="B167"/>
      <c r="C167"/>
      <c r="D167"/>
      <c r="E167"/>
      <c r="F167"/>
      <c r="G167"/>
      <c r="H167"/>
      <c r="I167"/>
      <c r="J167"/>
      <c r="K167"/>
      <c r="L167"/>
    </row>
    <row r="168" spans="1:12" x14ac:dyDescent="0.25">
      <c r="A168"/>
      <c r="B168"/>
      <c r="C168"/>
      <c r="D168"/>
      <c r="E168"/>
      <c r="F168"/>
      <c r="G168"/>
      <c r="H168"/>
      <c r="I168"/>
      <c r="J168"/>
      <c r="K168"/>
      <c r="L168"/>
    </row>
    <row r="169" spans="1:12" x14ac:dyDescent="0.25">
      <c r="A169"/>
      <c r="B169"/>
      <c r="C169"/>
      <c r="D169"/>
      <c r="E169"/>
      <c r="F169"/>
      <c r="G169"/>
      <c r="H169"/>
      <c r="I169"/>
      <c r="J169"/>
      <c r="K169"/>
      <c r="L169"/>
    </row>
    <row r="170" spans="1:12" x14ac:dyDescent="0.25">
      <c r="A170"/>
      <c r="B170"/>
      <c r="C170"/>
      <c r="D170"/>
      <c r="E170"/>
      <c r="F170"/>
      <c r="G170"/>
      <c r="H170"/>
      <c r="I170"/>
      <c r="J170"/>
      <c r="K170"/>
      <c r="L170"/>
    </row>
    <row r="171" spans="1:12" x14ac:dyDescent="0.25">
      <c r="A171"/>
      <c r="B171"/>
      <c r="C171"/>
      <c r="D171"/>
      <c r="E171"/>
      <c r="F171"/>
      <c r="G171"/>
      <c r="H171"/>
      <c r="I171"/>
      <c r="J171"/>
      <c r="K171"/>
      <c r="L171"/>
    </row>
    <row r="172" spans="1:12" x14ac:dyDescent="0.25">
      <c r="A172"/>
      <c r="B172"/>
      <c r="C172"/>
      <c r="D172"/>
      <c r="E172"/>
      <c r="F172"/>
      <c r="G172"/>
      <c r="H172"/>
      <c r="I172"/>
      <c r="J172"/>
      <c r="K172"/>
      <c r="L172"/>
    </row>
    <row r="173" spans="1:12" x14ac:dyDescent="0.25">
      <c r="A173"/>
      <c r="B173"/>
      <c r="C173"/>
      <c r="D173"/>
      <c r="E173"/>
      <c r="F173"/>
      <c r="G173"/>
      <c r="H173"/>
      <c r="I173"/>
      <c r="J173"/>
      <c r="K173"/>
      <c r="L173"/>
    </row>
    <row r="174" spans="1:12" x14ac:dyDescent="0.25">
      <c r="A174"/>
      <c r="B174"/>
      <c r="C174"/>
      <c r="D174"/>
      <c r="E174"/>
      <c r="F174"/>
      <c r="G174"/>
      <c r="H174"/>
      <c r="I174"/>
      <c r="J174"/>
      <c r="K174"/>
      <c r="L174"/>
    </row>
    <row r="175" spans="1:12" x14ac:dyDescent="0.25">
      <c r="A175"/>
      <c r="B175"/>
      <c r="C175"/>
      <c r="D175"/>
      <c r="E175"/>
      <c r="F175"/>
      <c r="G175"/>
      <c r="H175"/>
      <c r="I175"/>
      <c r="J175"/>
      <c r="K175"/>
      <c r="L175"/>
    </row>
    <row r="176" spans="1:12" x14ac:dyDescent="0.25">
      <c r="A176"/>
      <c r="B176"/>
      <c r="C176"/>
      <c r="D176"/>
      <c r="E176"/>
      <c r="F176"/>
      <c r="G176"/>
      <c r="H176"/>
      <c r="I176"/>
      <c r="J176"/>
      <c r="K176"/>
      <c r="L176"/>
    </row>
    <row r="177" spans="1:12" x14ac:dyDescent="0.25">
      <c r="A177"/>
      <c r="B177"/>
      <c r="C177"/>
      <c r="D177"/>
      <c r="E177"/>
      <c r="F177"/>
      <c r="G177"/>
      <c r="H177"/>
      <c r="I177"/>
      <c r="J177"/>
      <c r="K177"/>
      <c r="L177"/>
    </row>
    <row r="178" spans="1:12" x14ac:dyDescent="0.25">
      <c r="A178"/>
      <c r="B178"/>
      <c r="C178"/>
      <c r="D178"/>
      <c r="E178"/>
      <c r="F178"/>
      <c r="G178"/>
      <c r="H178"/>
      <c r="I178"/>
      <c r="J178"/>
      <c r="K178"/>
      <c r="L178"/>
    </row>
    <row r="179" spans="1:12" x14ac:dyDescent="0.25">
      <c r="A179"/>
      <c r="B179"/>
      <c r="C179"/>
      <c r="D179"/>
      <c r="E179"/>
      <c r="F179"/>
      <c r="G179"/>
      <c r="H179"/>
      <c r="I179"/>
      <c r="J179"/>
      <c r="K179"/>
      <c r="L179"/>
    </row>
    <row r="180" spans="1:12" x14ac:dyDescent="0.25">
      <c r="A180"/>
      <c r="B180"/>
      <c r="C180"/>
      <c r="D180"/>
      <c r="E180"/>
      <c r="F180"/>
      <c r="G180"/>
      <c r="H180"/>
      <c r="I180"/>
      <c r="J180"/>
      <c r="K180"/>
      <c r="L180"/>
    </row>
    <row r="181" spans="1:12" x14ac:dyDescent="0.25">
      <c r="A181"/>
      <c r="B181"/>
      <c r="C181"/>
      <c r="D181"/>
      <c r="E181"/>
      <c r="F181"/>
      <c r="G181"/>
      <c r="H181"/>
      <c r="I181"/>
      <c r="J181"/>
      <c r="K181"/>
      <c r="L181"/>
    </row>
    <row r="182" spans="1:12" x14ac:dyDescent="0.25">
      <c r="A182"/>
      <c r="B182"/>
      <c r="C182"/>
      <c r="D182"/>
      <c r="E182"/>
      <c r="F182"/>
      <c r="G182"/>
      <c r="H182"/>
      <c r="I182"/>
      <c r="J182"/>
      <c r="K182"/>
      <c r="L182"/>
    </row>
    <row r="183" spans="1:12" x14ac:dyDescent="0.25">
      <c r="A183"/>
      <c r="B183"/>
      <c r="C183"/>
      <c r="D183"/>
      <c r="E183"/>
      <c r="F183"/>
      <c r="G183"/>
      <c r="H183"/>
      <c r="I183"/>
      <c r="J183"/>
      <c r="K183"/>
      <c r="L183"/>
    </row>
    <row r="184" spans="1:12" x14ac:dyDescent="0.25">
      <c r="A184"/>
      <c r="B184"/>
      <c r="C184"/>
      <c r="D184"/>
      <c r="E184"/>
      <c r="F184"/>
      <c r="G184"/>
      <c r="H184"/>
      <c r="I184"/>
      <c r="J184"/>
      <c r="K184"/>
      <c r="L184"/>
    </row>
    <row r="185" spans="1:12" x14ac:dyDescent="0.25">
      <c r="A185"/>
      <c r="B185"/>
      <c r="C185"/>
      <c r="D185"/>
      <c r="E185"/>
      <c r="F185"/>
      <c r="G185"/>
      <c r="H185"/>
      <c r="I185"/>
      <c r="J185"/>
      <c r="K185"/>
      <c r="L185"/>
    </row>
    <row r="186" spans="1:12" x14ac:dyDescent="0.25">
      <c r="A186"/>
      <c r="B186"/>
      <c r="C186"/>
      <c r="D186"/>
      <c r="E186"/>
      <c r="F186"/>
      <c r="G186"/>
      <c r="H186"/>
      <c r="I186"/>
      <c r="J186"/>
      <c r="K186"/>
      <c r="L186"/>
    </row>
    <row r="187" spans="1:12" x14ac:dyDescent="0.25">
      <c r="A187"/>
      <c r="B187"/>
      <c r="C187"/>
      <c r="D187"/>
      <c r="E187"/>
      <c r="F187"/>
      <c r="G187"/>
      <c r="H187"/>
      <c r="I187"/>
      <c r="J187"/>
      <c r="K187"/>
      <c r="L187"/>
    </row>
    <row r="188" spans="1:12" x14ac:dyDescent="0.25">
      <c r="A188"/>
      <c r="B188"/>
      <c r="C188"/>
      <c r="D188"/>
      <c r="E188"/>
      <c r="F188"/>
      <c r="G188"/>
      <c r="H188"/>
      <c r="I188"/>
      <c r="J188"/>
      <c r="K188"/>
      <c r="L188"/>
    </row>
    <row r="189" spans="1:12" x14ac:dyDescent="0.25">
      <c r="A189"/>
      <c r="B189"/>
      <c r="C189"/>
      <c r="D189"/>
      <c r="E189"/>
      <c r="F189"/>
      <c r="G189"/>
      <c r="H189"/>
      <c r="I189"/>
      <c r="J189"/>
      <c r="K189"/>
      <c r="L189"/>
    </row>
    <row r="190" spans="1:12" x14ac:dyDescent="0.25">
      <c r="A190"/>
      <c r="B190"/>
      <c r="C190"/>
      <c r="D190"/>
      <c r="E190"/>
      <c r="F190"/>
      <c r="G190"/>
      <c r="H190"/>
      <c r="I190"/>
      <c r="J190"/>
      <c r="K190"/>
      <c r="L190"/>
    </row>
    <row r="191" spans="1:12" x14ac:dyDescent="0.25">
      <c r="A191"/>
      <c r="B191"/>
      <c r="C191"/>
      <c r="D191"/>
      <c r="E191"/>
      <c r="F191"/>
      <c r="G191"/>
      <c r="H191"/>
      <c r="I191"/>
      <c r="J191"/>
      <c r="K191"/>
      <c r="L191"/>
    </row>
    <row r="192" spans="1:12" x14ac:dyDescent="0.25">
      <c r="A192"/>
      <c r="B192"/>
      <c r="C192"/>
      <c r="D192"/>
      <c r="E192"/>
      <c r="F192"/>
      <c r="G192"/>
      <c r="H192"/>
      <c r="I192"/>
      <c r="J192"/>
      <c r="K192"/>
      <c r="L192"/>
    </row>
    <row r="193" spans="1:12" x14ac:dyDescent="0.25">
      <c r="A193"/>
      <c r="B193"/>
      <c r="C193"/>
      <c r="D193"/>
      <c r="E193"/>
      <c r="F193"/>
      <c r="G193"/>
      <c r="H193"/>
      <c r="I193"/>
      <c r="J193"/>
      <c r="K193"/>
      <c r="L193"/>
    </row>
    <row r="194" spans="1:12" x14ac:dyDescent="0.25">
      <c r="A194"/>
      <c r="B194"/>
      <c r="C194"/>
      <c r="D194"/>
      <c r="E194"/>
      <c r="F194"/>
      <c r="G194"/>
      <c r="H194"/>
      <c r="I194"/>
      <c r="J194"/>
      <c r="K194"/>
      <c r="L194"/>
    </row>
    <row r="195" spans="1:12" x14ac:dyDescent="0.25">
      <c r="A195"/>
      <c r="B195"/>
      <c r="C195"/>
      <c r="D195"/>
      <c r="E195"/>
      <c r="F195"/>
      <c r="G195"/>
      <c r="H195"/>
      <c r="I195"/>
      <c r="J195"/>
      <c r="K195"/>
      <c r="L195"/>
    </row>
    <row r="196" spans="1:12" x14ac:dyDescent="0.25">
      <c r="A196"/>
      <c r="B196"/>
      <c r="C196"/>
      <c r="D196"/>
      <c r="E196"/>
      <c r="F196"/>
      <c r="G196"/>
      <c r="H196"/>
      <c r="I196"/>
      <c r="J196"/>
      <c r="K196"/>
      <c r="L196"/>
    </row>
    <row r="197" spans="1:12" x14ac:dyDescent="0.25">
      <c r="A197"/>
      <c r="B197"/>
      <c r="C197"/>
      <c r="D197"/>
      <c r="E197"/>
      <c r="F197"/>
      <c r="G197"/>
      <c r="H197"/>
      <c r="I197"/>
      <c r="J197"/>
      <c r="K197"/>
      <c r="L197"/>
    </row>
    <row r="198" spans="1:12" x14ac:dyDescent="0.25">
      <c r="A198"/>
      <c r="B198"/>
      <c r="C198"/>
      <c r="D198"/>
      <c r="E198"/>
      <c r="F198"/>
      <c r="G198"/>
      <c r="H198"/>
      <c r="I198"/>
      <c r="J198"/>
      <c r="K198"/>
      <c r="L198"/>
    </row>
    <row r="199" spans="1:12" x14ac:dyDescent="0.25">
      <c r="A199"/>
      <c r="B199"/>
      <c r="C199"/>
      <c r="D199"/>
      <c r="E199"/>
      <c r="F199"/>
      <c r="G199"/>
      <c r="H199"/>
      <c r="I199"/>
      <c r="J199"/>
      <c r="K199"/>
      <c r="L199"/>
    </row>
    <row r="200" spans="1:12" x14ac:dyDescent="0.25">
      <c r="A200"/>
      <c r="B200"/>
      <c r="C200"/>
      <c r="D200"/>
      <c r="E200"/>
      <c r="F200"/>
      <c r="G200"/>
      <c r="H200"/>
      <c r="I200"/>
      <c r="J200"/>
      <c r="K200"/>
      <c r="L200"/>
    </row>
    <row r="201" spans="1:12" x14ac:dyDescent="0.25">
      <c r="A201"/>
      <c r="B201"/>
      <c r="C201"/>
      <c r="D201"/>
      <c r="E201"/>
      <c r="F201"/>
      <c r="G201"/>
      <c r="H201"/>
      <c r="I201"/>
      <c r="J201"/>
      <c r="K201"/>
      <c r="L201"/>
    </row>
    <row r="202" spans="1:12" x14ac:dyDescent="0.25">
      <c r="A202"/>
      <c r="B202"/>
      <c r="C202"/>
      <c r="D202"/>
      <c r="E202"/>
      <c r="F202"/>
      <c r="G202"/>
      <c r="H202"/>
      <c r="I202"/>
      <c r="J202"/>
      <c r="K202"/>
      <c r="L202"/>
    </row>
    <row r="203" spans="1:12" x14ac:dyDescent="0.25">
      <c r="A203"/>
      <c r="B203"/>
      <c r="C203"/>
      <c r="D203"/>
      <c r="E203"/>
      <c r="F203"/>
      <c r="G203"/>
      <c r="H203"/>
      <c r="I203"/>
      <c r="J203"/>
      <c r="K203"/>
      <c r="L203"/>
    </row>
    <row r="204" spans="1:12" x14ac:dyDescent="0.25">
      <c r="A204"/>
      <c r="B204"/>
      <c r="C204"/>
      <c r="D204"/>
      <c r="E204"/>
      <c r="F204"/>
      <c r="G204"/>
      <c r="H204"/>
      <c r="I204"/>
      <c r="J204"/>
      <c r="K204"/>
      <c r="L204"/>
    </row>
    <row r="205" spans="1:12" x14ac:dyDescent="0.25">
      <c r="A205"/>
      <c r="B205"/>
      <c r="C205"/>
      <c r="D205"/>
      <c r="E205"/>
      <c r="F205"/>
      <c r="G205"/>
      <c r="H205"/>
      <c r="I205"/>
      <c r="J205"/>
      <c r="K205"/>
      <c r="L205"/>
    </row>
    <row r="206" spans="1:12" x14ac:dyDescent="0.25">
      <c r="A206"/>
      <c r="B206"/>
      <c r="C206"/>
      <c r="D206"/>
      <c r="E206"/>
      <c r="F206"/>
      <c r="G206"/>
      <c r="H206"/>
      <c r="I206"/>
      <c r="J206"/>
      <c r="K206"/>
      <c r="L206"/>
    </row>
    <row r="207" spans="1:12" x14ac:dyDescent="0.25">
      <c r="A207"/>
      <c r="B207"/>
      <c r="C207"/>
      <c r="D207"/>
      <c r="E207"/>
      <c r="F207"/>
      <c r="G207"/>
      <c r="H207"/>
      <c r="I207"/>
      <c r="J207"/>
      <c r="K207"/>
      <c r="L207"/>
    </row>
    <row r="208" spans="1:12" x14ac:dyDescent="0.25">
      <c r="A208"/>
      <c r="B208"/>
      <c r="C208"/>
      <c r="D208"/>
      <c r="E208"/>
      <c r="F208"/>
      <c r="G208"/>
      <c r="H208"/>
      <c r="I208"/>
      <c r="J208"/>
      <c r="K208"/>
      <c r="L208"/>
    </row>
    <row r="209" spans="1:12" x14ac:dyDescent="0.25">
      <c r="A209"/>
      <c r="B209"/>
      <c r="C209"/>
      <c r="D209"/>
      <c r="E209"/>
      <c r="F209"/>
      <c r="G209"/>
      <c r="H209"/>
      <c r="I209"/>
      <c r="J209"/>
      <c r="K209"/>
      <c r="L209"/>
    </row>
    <row r="210" spans="1:12" x14ac:dyDescent="0.25">
      <c r="A210"/>
      <c r="B210"/>
      <c r="C210"/>
      <c r="D210"/>
      <c r="E210"/>
      <c r="F210"/>
      <c r="G210"/>
      <c r="H210"/>
      <c r="I210"/>
      <c r="J210"/>
      <c r="K210"/>
      <c r="L210"/>
    </row>
    <row r="211" spans="1:12" x14ac:dyDescent="0.25">
      <c r="A211"/>
      <c r="B211"/>
      <c r="C211"/>
      <c r="D211"/>
      <c r="E211"/>
      <c r="F211"/>
      <c r="G211"/>
      <c r="H211"/>
      <c r="I211"/>
      <c r="J211"/>
      <c r="K211"/>
      <c r="L211"/>
    </row>
    <row r="212" spans="1:12" x14ac:dyDescent="0.25">
      <c r="A212"/>
      <c r="B212"/>
      <c r="C212"/>
      <c r="D212"/>
      <c r="E212"/>
      <c r="F212"/>
      <c r="G212"/>
      <c r="H212"/>
      <c r="I212"/>
      <c r="J212"/>
      <c r="K212"/>
      <c r="L212"/>
    </row>
    <row r="213" spans="1:12" x14ac:dyDescent="0.25">
      <c r="A213"/>
      <c r="B213"/>
      <c r="C213"/>
      <c r="D213"/>
      <c r="E213"/>
      <c r="F213"/>
      <c r="G213"/>
      <c r="H213"/>
      <c r="I213"/>
      <c r="J213"/>
      <c r="K213"/>
      <c r="L213"/>
    </row>
    <row r="214" spans="1:12" x14ac:dyDescent="0.25">
      <c r="A214"/>
      <c r="B214"/>
      <c r="C214"/>
      <c r="D214"/>
      <c r="E214"/>
      <c r="F214"/>
      <c r="G214"/>
      <c r="H214"/>
      <c r="I214"/>
      <c r="J214"/>
      <c r="K214"/>
      <c r="L214"/>
    </row>
    <row r="215" spans="1:12" x14ac:dyDescent="0.25">
      <c r="A215"/>
      <c r="B215"/>
      <c r="C215"/>
      <c r="D215"/>
      <c r="E215"/>
      <c r="F215"/>
      <c r="G215"/>
      <c r="H215"/>
      <c r="I215"/>
      <c r="J215"/>
      <c r="K215"/>
      <c r="L215"/>
    </row>
    <row r="216" spans="1:12" x14ac:dyDescent="0.25">
      <c r="A216"/>
      <c r="B216"/>
      <c r="C216"/>
      <c r="D216"/>
      <c r="E216"/>
      <c r="F216"/>
      <c r="G216"/>
      <c r="H216"/>
      <c r="I216"/>
      <c r="J216"/>
      <c r="K216"/>
      <c r="L216"/>
    </row>
    <row r="217" spans="1:12" x14ac:dyDescent="0.25">
      <c r="A217"/>
      <c r="B217"/>
      <c r="C217"/>
      <c r="D217"/>
      <c r="E217"/>
      <c r="F217"/>
      <c r="G217"/>
      <c r="H217"/>
      <c r="I217"/>
      <c r="J217"/>
      <c r="K217"/>
      <c r="L217"/>
    </row>
    <row r="218" spans="1:12" x14ac:dyDescent="0.25">
      <c r="A218"/>
      <c r="B218"/>
      <c r="C218"/>
      <c r="D218"/>
      <c r="E218"/>
      <c r="F218"/>
      <c r="G218"/>
      <c r="H218"/>
      <c r="I218"/>
      <c r="J218"/>
      <c r="K218"/>
      <c r="L218"/>
    </row>
    <row r="219" spans="1:12" x14ac:dyDescent="0.25">
      <c r="A219"/>
      <c r="B219"/>
      <c r="C219"/>
      <c r="D219"/>
      <c r="E219"/>
      <c r="F219"/>
      <c r="G219"/>
      <c r="H219"/>
      <c r="I219"/>
      <c r="J219"/>
      <c r="K219"/>
      <c r="L219"/>
    </row>
    <row r="220" spans="1:12" x14ac:dyDescent="0.25">
      <c r="A220"/>
      <c r="B220"/>
      <c r="C220"/>
      <c r="D220"/>
      <c r="E220"/>
      <c r="F220"/>
      <c r="G220"/>
      <c r="H220"/>
      <c r="I220"/>
      <c r="J220"/>
      <c r="K220"/>
      <c r="L220"/>
    </row>
    <row r="221" spans="1:12" x14ac:dyDescent="0.25">
      <c r="A221"/>
      <c r="B221"/>
      <c r="C221"/>
      <c r="D221"/>
      <c r="E221"/>
      <c r="F221"/>
      <c r="G221"/>
      <c r="H221"/>
      <c r="I221"/>
      <c r="J221"/>
      <c r="K221"/>
      <c r="L221"/>
    </row>
    <row r="222" spans="1:12" x14ac:dyDescent="0.25">
      <c r="A222"/>
      <c r="B222"/>
      <c r="C222"/>
      <c r="D222"/>
      <c r="E222"/>
      <c r="F222"/>
      <c r="G222"/>
      <c r="H222"/>
      <c r="I222"/>
      <c r="J222"/>
      <c r="K222"/>
      <c r="L222"/>
    </row>
    <row r="223" spans="1:12" x14ac:dyDescent="0.25">
      <c r="A223"/>
      <c r="B223"/>
      <c r="C223"/>
      <c r="D223"/>
      <c r="E223"/>
      <c r="F223"/>
      <c r="G223"/>
      <c r="H223"/>
      <c r="I223"/>
      <c r="J223"/>
      <c r="K223"/>
      <c r="L223"/>
    </row>
    <row r="224" spans="1:12" x14ac:dyDescent="0.25">
      <c r="A224"/>
      <c r="B224"/>
      <c r="C224"/>
      <c r="D224"/>
      <c r="E224"/>
      <c r="F224"/>
      <c r="G224"/>
      <c r="H224"/>
      <c r="I224"/>
      <c r="J224"/>
      <c r="K224"/>
      <c r="L224"/>
    </row>
    <row r="225" spans="1:12" x14ac:dyDescent="0.25">
      <c r="A225"/>
      <c r="B225"/>
      <c r="C225"/>
      <c r="D225"/>
      <c r="E225"/>
      <c r="F225"/>
      <c r="G225"/>
      <c r="H225"/>
      <c r="I225"/>
      <c r="J225"/>
      <c r="K225"/>
      <c r="L225"/>
    </row>
    <row r="226" spans="1:12" x14ac:dyDescent="0.25">
      <c r="A226"/>
      <c r="B226"/>
      <c r="C226"/>
      <c r="D226"/>
      <c r="E226"/>
      <c r="F226"/>
      <c r="G226"/>
      <c r="H226"/>
      <c r="I226"/>
      <c r="J226"/>
      <c r="K226"/>
      <c r="L226"/>
    </row>
    <row r="227" spans="1:12" x14ac:dyDescent="0.25">
      <c r="A227"/>
      <c r="B227"/>
      <c r="C227"/>
      <c r="D227"/>
      <c r="E227"/>
      <c r="F227"/>
      <c r="G227"/>
      <c r="H227"/>
      <c r="I227"/>
      <c r="J227"/>
      <c r="K227"/>
      <c r="L227"/>
    </row>
    <row r="228" spans="1:12" x14ac:dyDescent="0.25">
      <c r="A228"/>
      <c r="B228"/>
      <c r="C228"/>
      <c r="D228"/>
      <c r="E228"/>
      <c r="F228"/>
      <c r="G228"/>
      <c r="H228"/>
      <c r="I228"/>
      <c r="J228"/>
      <c r="K228"/>
      <c r="L228"/>
    </row>
    <row r="229" spans="1:12" x14ac:dyDescent="0.25">
      <c r="A229"/>
      <c r="B229"/>
      <c r="C229"/>
      <c r="D229"/>
      <c r="E229"/>
      <c r="F229"/>
      <c r="G229"/>
      <c r="H229"/>
      <c r="I229"/>
      <c r="J229"/>
      <c r="K229"/>
      <c r="L229"/>
    </row>
    <row r="230" spans="1:12" x14ac:dyDescent="0.25">
      <c r="A230"/>
      <c r="B230"/>
      <c r="C230"/>
      <c r="D230"/>
      <c r="E230"/>
      <c r="F230"/>
      <c r="G230"/>
      <c r="H230"/>
      <c r="I230"/>
      <c r="J230"/>
      <c r="K230"/>
      <c r="L230"/>
    </row>
    <row r="231" spans="1:12" x14ac:dyDescent="0.25">
      <c r="A231"/>
      <c r="B231"/>
      <c r="C231"/>
      <c r="D231"/>
      <c r="E231"/>
      <c r="F231"/>
      <c r="G231"/>
      <c r="H231"/>
      <c r="I231"/>
      <c r="J231"/>
      <c r="K231"/>
      <c r="L231"/>
    </row>
    <row r="232" spans="1:12" x14ac:dyDescent="0.25">
      <c r="A232"/>
      <c r="B232"/>
      <c r="C232"/>
      <c r="D232"/>
      <c r="E232"/>
      <c r="F232"/>
      <c r="G232"/>
      <c r="H232"/>
      <c r="I232"/>
      <c r="J232"/>
      <c r="K232"/>
      <c r="L232"/>
    </row>
    <row r="233" spans="1:12" x14ac:dyDescent="0.25">
      <c r="A233"/>
      <c r="B233"/>
      <c r="C233"/>
      <c r="D233"/>
      <c r="E233"/>
      <c r="F233"/>
      <c r="G233"/>
      <c r="H233"/>
      <c r="I233"/>
      <c r="J233"/>
      <c r="K233"/>
      <c r="L233"/>
    </row>
    <row r="234" spans="1:12" x14ac:dyDescent="0.25">
      <c r="A234"/>
      <c r="B234"/>
      <c r="C234"/>
      <c r="D234"/>
      <c r="E234"/>
      <c r="F234"/>
      <c r="G234"/>
      <c r="H234"/>
      <c r="I234"/>
      <c r="J234"/>
      <c r="K234"/>
      <c r="L234"/>
    </row>
    <row r="235" spans="1:12" x14ac:dyDescent="0.25">
      <c r="A235"/>
      <c r="B235"/>
      <c r="C235"/>
      <c r="D235"/>
      <c r="E235"/>
      <c r="F235"/>
      <c r="G235"/>
      <c r="H235"/>
      <c r="I235"/>
      <c r="J235"/>
      <c r="K235"/>
      <c r="L235"/>
    </row>
    <row r="236" spans="1:12" x14ac:dyDescent="0.25">
      <c r="A236"/>
      <c r="B236"/>
      <c r="C236"/>
      <c r="D236"/>
      <c r="E236"/>
      <c r="F236"/>
      <c r="G236"/>
      <c r="H236"/>
      <c r="I236"/>
      <c r="J236"/>
      <c r="K236"/>
      <c r="L236"/>
    </row>
    <row r="237" spans="1:12" x14ac:dyDescent="0.25">
      <c r="A237"/>
      <c r="B237"/>
      <c r="C237"/>
      <c r="D237"/>
      <c r="E237"/>
      <c r="F237"/>
      <c r="G237"/>
      <c r="H237"/>
      <c r="I237"/>
      <c r="J237"/>
      <c r="K237"/>
      <c r="L237"/>
    </row>
    <row r="238" spans="1:12" x14ac:dyDescent="0.25">
      <c r="A238"/>
      <c r="B238"/>
      <c r="C238"/>
      <c r="D238"/>
      <c r="E238"/>
      <c r="F238"/>
      <c r="G238"/>
      <c r="H238"/>
      <c r="I238"/>
      <c r="J238"/>
      <c r="K238"/>
      <c r="L238"/>
    </row>
    <row r="239" spans="1:12" x14ac:dyDescent="0.25">
      <c r="A239"/>
      <c r="B239"/>
      <c r="C239"/>
      <c r="D239"/>
      <c r="E239"/>
      <c r="F239"/>
      <c r="G239"/>
      <c r="H239"/>
      <c r="I239"/>
      <c r="J239"/>
      <c r="K239"/>
      <c r="L239"/>
    </row>
    <row r="240" spans="1:12" x14ac:dyDescent="0.25">
      <c r="A240"/>
      <c r="B240"/>
      <c r="C240"/>
      <c r="D240"/>
      <c r="E240"/>
      <c r="F240"/>
      <c r="G240"/>
      <c r="H240"/>
      <c r="I240"/>
      <c r="J240"/>
      <c r="K240"/>
      <c r="L240"/>
    </row>
    <row r="241" spans="1:12" x14ac:dyDescent="0.25">
      <c r="A241"/>
      <c r="B241"/>
      <c r="C241"/>
      <c r="D241"/>
      <c r="E241"/>
      <c r="F241"/>
      <c r="G241"/>
      <c r="H241"/>
      <c r="I241"/>
      <c r="J241"/>
      <c r="K241"/>
      <c r="L241"/>
    </row>
    <row r="242" spans="1:12" x14ac:dyDescent="0.25">
      <c r="A242"/>
      <c r="B242"/>
      <c r="C242"/>
      <c r="D242"/>
      <c r="E242"/>
      <c r="F242"/>
      <c r="G242"/>
      <c r="H242"/>
      <c r="I242"/>
      <c r="J242"/>
      <c r="K242"/>
      <c r="L242"/>
    </row>
    <row r="243" spans="1:12" x14ac:dyDescent="0.25">
      <c r="A243"/>
      <c r="B243"/>
      <c r="C243"/>
      <c r="D243"/>
      <c r="E243"/>
      <c r="F243"/>
      <c r="G243"/>
      <c r="H243"/>
      <c r="I243"/>
      <c r="J243"/>
      <c r="K243"/>
      <c r="L243"/>
    </row>
    <row r="244" spans="1:12" x14ac:dyDescent="0.25">
      <c r="A244"/>
      <c r="B244"/>
      <c r="C244"/>
      <c r="D244"/>
      <c r="E244"/>
      <c r="F244"/>
      <c r="G244"/>
      <c r="H244"/>
      <c r="I244"/>
      <c r="J244"/>
      <c r="K244"/>
      <c r="L244"/>
    </row>
    <row r="245" spans="1:12" x14ac:dyDescent="0.25">
      <c r="A245"/>
      <c r="B245"/>
      <c r="C245"/>
      <c r="D245"/>
      <c r="E245"/>
      <c r="F245"/>
      <c r="G245"/>
      <c r="H245"/>
      <c r="I245"/>
      <c r="J245"/>
      <c r="K245"/>
      <c r="L245"/>
    </row>
    <row r="246" spans="1:12" x14ac:dyDescent="0.25">
      <c r="A246"/>
      <c r="B246"/>
      <c r="C246"/>
      <c r="D246"/>
      <c r="E246"/>
      <c r="F246"/>
      <c r="G246"/>
      <c r="H246"/>
      <c r="I246"/>
      <c r="J246"/>
      <c r="K246"/>
      <c r="L246"/>
    </row>
    <row r="247" spans="1:12" x14ac:dyDescent="0.25">
      <c r="A247"/>
      <c r="B247"/>
      <c r="C247"/>
      <c r="D247"/>
      <c r="E247"/>
      <c r="F247"/>
      <c r="G247"/>
      <c r="H247"/>
      <c r="I247"/>
      <c r="J247"/>
      <c r="K247"/>
      <c r="L247"/>
    </row>
    <row r="248" spans="1:12" x14ac:dyDescent="0.25">
      <c r="A248"/>
      <c r="B248"/>
      <c r="C248"/>
      <c r="D248"/>
      <c r="E248"/>
      <c r="F248"/>
      <c r="G248"/>
      <c r="H248"/>
      <c r="I248"/>
      <c r="J248"/>
      <c r="K248"/>
      <c r="L248"/>
    </row>
    <row r="249" spans="1:12" x14ac:dyDescent="0.25">
      <c r="A249"/>
      <c r="B249"/>
      <c r="C249"/>
      <c r="D249"/>
      <c r="E249"/>
      <c r="F249"/>
      <c r="G249"/>
      <c r="H249"/>
      <c r="I249"/>
      <c r="J249"/>
      <c r="K249"/>
      <c r="L249"/>
    </row>
    <row r="250" spans="1:12" x14ac:dyDescent="0.25">
      <c r="A250"/>
      <c r="B250"/>
      <c r="C250"/>
      <c r="D250"/>
      <c r="E250"/>
      <c r="F250"/>
      <c r="G250"/>
      <c r="H250"/>
      <c r="I250"/>
      <c r="J250"/>
      <c r="K250"/>
      <c r="L250"/>
    </row>
    <row r="251" spans="1:12" x14ac:dyDescent="0.25">
      <c r="A251"/>
      <c r="B251"/>
      <c r="C251"/>
      <c r="D251"/>
      <c r="E251"/>
      <c r="F251"/>
      <c r="G251"/>
      <c r="H251"/>
      <c r="I251"/>
      <c r="J251"/>
      <c r="K251"/>
      <c r="L251"/>
    </row>
    <row r="252" spans="1:12" x14ac:dyDescent="0.25">
      <c r="A252"/>
      <c r="B252"/>
      <c r="C252"/>
      <c r="D252"/>
      <c r="E252"/>
      <c r="F252"/>
      <c r="G252"/>
      <c r="H252"/>
      <c r="I252"/>
      <c r="J252"/>
      <c r="K252"/>
      <c r="L252"/>
    </row>
    <row r="253" spans="1:12" x14ac:dyDescent="0.25">
      <c r="A253"/>
      <c r="B253"/>
      <c r="C253"/>
      <c r="D253"/>
      <c r="E253"/>
      <c r="F253"/>
      <c r="G253"/>
      <c r="H253"/>
      <c r="I253"/>
      <c r="J253"/>
      <c r="K253"/>
      <c r="L253"/>
    </row>
    <row r="254" spans="1:12" x14ac:dyDescent="0.25">
      <c r="A254"/>
      <c r="B254"/>
      <c r="C254"/>
      <c r="D254"/>
      <c r="E254"/>
      <c r="F254"/>
      <c r="G254"/>
      <c r="H254"/>
      <c r="I254"/>
      <c r="J254"/>
      <c r="K254"/>
      <c r="L254"/>
    </row>
    <row r="255" spans="1:12" x14ac:dyDescent="0.25">
      <c r="A255"/>
      <c r="B255"/>
      <c r="C255"/>
      <c r="D255"/>
      <c r="E255"/>
      <c r="F255"/>
      <c r="G255"/>
      <c r="H255"/>
      <c r="I255"/>
      <c r="J255"/>
      <c r="K255"/>
      <c r="L255"/>
    </row>
    <row r="256" spans="1:12" x14ac:dyDescent="0.25">
      <c r="A256"/>
      <c r="B256"/>
      <c r="C256"/>
      <c r="D256"/>
      <c r="E256"/>
      <c r="F256"/>
      <c r="G256"/>
      <c r="H256"/>
      <c r="I256"/>
      <c r="J256"/>
      <c r="K256"/>
      <c r="L256"/>
    </row>
    <row r="257" spans="1:12" x14ac:dyDescent="0.25">
      <c r="A257"/>
      <c r="B257"/>
      <c r="C257"/>
      <c r="D257"/>
      <c r="E257"/>
      <c r="F257"/>
      <c r="G257"/>
      <c r="H257"/>
      <c r="I257"/>
      <c r="J257"/>
      <c r="K257"/>
      <c r="L257"/>
    </row>
    <row r="258" spans="1:12" x14ac:dyDescent="0.25">
      <c r="A258"/>
      <c r="B258"/>
      <c r="C258"/>
      <c r="D258"/>
      <c r="E258"/>
      <c r="F258"/>
      <c r="G258"/>
      <c r="H258"/>
      <c r="I258"/>
      <c r="J258"/>
      <c r="K258"/>
      <c r="L258"/>
    </row>
    <row r="259" spans="1:12" x14ac:dyDescent="0.25">
      <c r="A259"/>
      <c r="B259"/>
      <c r="C259"/>
      <c r="D259"/>
      <c r="E259"/>
      <c r="F259"/>
      <c r="G259"/>
      <c r="H259"/>
      <c r="I259"/>
      <c r="J259"/>
      <c r="K259"/>
      <c r="L259"/>
    </row>
    <row r="260" spans="1:12" x14ac:dyDescent="0.25">
      <c r="A260"/>
      <c r="B260"/>
      <c r="C260"/>
      <c r="D260"/>
      <c r="E260"/>
      <c r="F260"/>
      <c r="G260"/>
      <c r="H260"/>
      <c r="I260"/>
      <c r="J260"/>
      <c r="K260"/>
      <c r="L260"/>
    </row>
    <row r="261" spans="1:12" x14ac:dyDescent="0.25">
      <c r="A261"/>
      <c r="B261"/>
      <c r="C261"/>
      <c r="D261"/>
      <c r="E261"/>
      <c r="F261"/>
      <c r="G261"/>
      <c r="H261"/>
      <c r="I261"/>
      <c r="J261"/>
      <c r="K261"/>
      <c r="L261"/>
    </row>
    <row r="262" spans="1:12" x14ac:dyDescent="0.25">
      <c r="A262"/>
      <c r="B262"/>
      <c r="C262"/>
      <c r="D262"/>
      <c r="E262"/>
      <c r="F262"/>
      <c r="G262"/>
      <c r="H262"/>
      <c r="I262"/>
      <c r="J262"/>
      <c r="K262"/>
      <c r="L262"/>
    </row>
    <row r="263" spans="1:12" x14ac:dyDescent="0.25">
      <c r="A263"/>
      <c r="B263"/>
      <c r="C263"/>
      <c r="D263"/>
      <c r="E263"/>
      <c r="F263"/>
      <c r="G263"/>
      <c r="H263"/>
      <c r="I263"/>
      <c r="J263"/>
      <c r="K263"/>
      <c r="L263"/>
    </row>
    <row r="264" spans="1:12" x14ac:dyDescent="0.25">
      <c r="A264"/>
      <c r="B264"/>
      <c r="C264"/>
      <c r="D264"/>
      <c r="E264"/>
      <c r="F264"/>
      <c r="G264"/>
      <c r="H264"/>
      <c r="I264"/>
      <c r="J264"/>
      <c r="K264"/>
      <c r="L264"/>
    </row>
    <row r="265" spans="1:12" x14ac:dyDescent="0.25">
      <c r="A265"/>
      <c r="B265"/>
      <c r="C265"/>
      <c r="D265"/>
      <c r="E265"/>
      <c r="F265"/>
      <c r="G265"/>
      <c r="H265"/>
      <c r="I265"/>
      <c r="J265"/>
      <c r="K265"/>
      <c r="L265"/>
    </row>
    <row r="266" spans="1:12" x14ac:dyDescent="0.25">
      <c r="A266"/>
      <c r="B266"/>
      <c r="C266"/>
      <c r="D266"/>
      <c r="E266"/>
      <c r="F266"/>
      <c r="G266"/>
      <c r="H266"/>
      <c r="I266"/>
      <c r="J266"/>
      <c r="K266"/>
      <c r="L266"/>
    </row>
    <row r="267" spans="1:12" x14ac:dyDescent="0.25">
      <c r="A267"/>
      <c r="B267"/>
      <c r="C267"/>
      <c r="D267"/>
      <c r="E267"/>
      <c r="F267"/>
      <c r="G267"/>
      <c r="H267"/>
      <c r="I267"/>
      <c r="J267"/>
      <c r="K267"/>
      <c r="L267"/>
    </row>
    <row r="268" spans="1:12" x14ac:dyDescent="0.25">
      <c r="A268"/>
      <c r="B268"/>
      <c r="C268"/>
      <c r="D268"/>
      <c r="E268"/>
      <c r="F268"/>
      <c r="G268"/>
      <c r="H268"/>
      <c r="I268"/>
      <c r="J268"/>
      <c r="K268"/>
      <c r="L268"/>
    </row>
    <row r="269" spans="1:12" x14ac:dyDescent="0.25">
      <c r="A269"/>
      <c r="B269"/>
      <c r="C269"/>
      <c r="D269"/>
      <c r="E269"/>
      <c r="F269"/>
      <c r="G269"/>
      <c r="H269"/>
      <c r="I269"/>
      <c r="J269"/>
      <c r="K269"/>
      <c r="L269"/>
    </row>
    <row r="270" spans="1:12" x14ac:dyDescent="0.25">
      <c r="A270"/>
      <c r="B270"/>
      <c r="C270"/>
      <c r="D270"/>
      <c r="E270"/>
      <c r="F270"/>
      <c r="G270"/>
      <c r="H270"/>
      <c r="I270"/>
      <c r="J270"/>
      <c r="K270"/>
      <c r="L270"/>
    </row>
    <row r="271" spans="1:12" x14ac:dyDescent="0.25">
      <c r="A271"/>
      <c r="B271"/>
      <c r="C271"/>
      <c r="D271"/>
      <c r="E271"/>
      <c r="F271"/>
      <c r="G271"/>
      <c r="H271"/>
      <c r="I271"/>
      <c r="J271"/>
      <c r="K271"/>
      <c r="L271"/>
    </row>
    <row r="272" spans="1:12" x14ac:dyDescent="0.25">
      <c r="A272"/>
      <c r="B272"/>
      <c r="C272"/>
      <c r="D272"/>
      <c r="E272"/>
      <c r="F272"/>
      <c r="G272"/>
      <c r="H272"/>
      <c r="I272"/>
      <c r="J272"/>
      <c r="K272"/>
      <c r="L272"/>
    </row>
    <row r="273" spans="1:12" x14ac:dyDescent="0.25">
      <c r="A273"/>
      <c r="B273"/>
      <c r="C273"/>
      <c r="D273"/>
      <c r="E273"/>
      <c r="F273"/>
      <c r="G273"/>
      <c r="H273"/>
      <c r="I273"/>
      <c r="J273"/>
      <c r="K273"/>
      <c r="L273"/>
    </row>
    <row r="274" spans="1:12" x14ac:dyDescent="0.25">
      <c r="A274"/>
      <c r="B274"/>
      <c r="C274"/>
      <c r="D274"/>
      <c r="E274"/>
      <c r="F274"/>
      <c r="G274"/>
      <c r="H274"/>
      <c r="I274"/>
      <c r="J274"/>
      <c r="K274"/>
    </row>
    <row r="275" spans="1:12" x14ac:dyDescent="0.25">
      <c r="A275"/>
      <c r="B275"/>
      <c r="C275"/>
      <c r="D275"/>
      <c r="E275"/>
      <c r="F275"/>
      <c r="G275"/>
      <c r="H275"/>
      <c r="I275"/>
      <c r="J275"/>
      <c r="K275"/>
    </row>
    <row r="276" spans="1:12" x14ac:dyDescent="0.25">
      <c r="A276"/>
      <c r="B276"/>
      <c r="C276"/>
      <c r="D276"/>
      <c r="E276"/>
      <c r="F276"/>
      <c r="G276"/>
      <c r="H276"/>
      <c r="I276"/>
      <c r="J276"/>
      <c r="K276"/>
    </row>
    <row r="277" spans="1:12" x14ac:dyDescent="0.25">
      <c r="A277"/>
      <c r="B277"/>
      <c r="C277"/>
      <c r="D277"/>
      <c r="E277"/>
      <c r="F277"/>
      <c r="G277"/>
      <c r="H277"/>
      <c r="I277"/>
      <c r="J277"/>
      <c r="K277"/>
    </row>
    <row r="278" spans="1:12" x14ac:dyDescent="0.25">
      <c r="A278"/>
      <c r="B278"/>
      <c r="C278"/>
      <c r="D278"/>
      <c r="E278"/>
      <c r="F278"/>
      <c r="G278"/>
      <c r="H278"/>
      <c r="I278"/>
      <c r="J278"/>
      <c r="K278"/>
    </row>
    <row r="279" spans="1:12" x14ac:dyDescent="0.25">
      <c r="A279"/>
      <c r="B279"/>
      <c r="C279"/>
      <c r="D279"/>
      <c r="E279"/>
      <c r="F279"/>
      <c r="G279"/>
      <c r="H279"/>
      <c r="I279"/>
      <c r="J279"/>
      <c r="K279"/>
    </row>
    <row r="280" spans="1:12" x14ac:dyDescent="0.25">
      <c r="A280"/>
      <c r="B280"/>
      <c r="C280"/>
      <c r="D280"/>
      <c r="E280"/>
      <c r="F280"/>
      <c r="G280"/>
      <c r="H280"/>
      <c r="I280"/>
      <c r="J280"/>
      <c r="K280"/>
    </row>
    <row r="281" spans="1:12" x14ac:dyDescent="0.25">
      <c r="A281"/>
      <c r="B281"/>
      <c r="C281"/>
      <c r="D281"/>
      <c r="E281"/>
      <c r="F281"/>
      <c r="G281"/>
      <c r="H281"/>
      <c r="I281"/>
      <c r="J281"/>
      <c r="K281"/>
    </row>
    <row r="282" spans="1:12" x14ac:dyDescent="0.25">
      <c r="A282"/>
      <c r="B282"/>
      <c r="C282"/>
      <c r="D282"/>
      <c r="E282"/>
      <c r="F282"/>
      <c r="G282"/>
      <c r="H282"/>
      <c r="I282"/>
      <c r="J282"/>
      <c r="K282"/>
    </row>
    <row r="283" spans="1:12" x14ac:dyDescent="0.25">
      <c r="A283"/>
      <c r="B283"/>
      <c r="C283"/>
      <c r="D283"/>
      <c r="E283"/>
      <c r="F283"/>
      <c r="G283"/>
      <c r="H283"/>
      <c r="I283"/>
      <c r="J283"/>
      <c r="K283"/>
    </row>
    <row r="284" spans="1:12" x14ac:dyDescent="0.25">
      <c r="A284"/>
      <c r="B284"/>
      <c r="C284"/>
      <c r="D284"/>
      <c r="E284"/>
      <c r="F284"/>
      <c r="G284"/>
      <c r="H284"/>
      <c r="I284"/>
      <c r="J284"/>
      <c r="K284"/>
    </row>
    <row r="285" spans="1:12" x14ac:dyDescent="0.25">
      <c r="A285"/>
      <c r="B285"/>
      <c r="C285"/>
      <c r="D285"/>
      <c r="E285"/>
      <c r="F285"/>
      <c r="G285"/>
      <c r="H285"/>
      <c r="I285"/>
      <c r="J285"/>
      <c r="K285"/>
    </row>
    <row r="286" spans="1:12" x14ac:dyDescent="0.25">
      <c r="A286"/>
      <c r="B286"/>
      <c r="C286"/>
      <c r="D286"/>
      <c r="E286"/>
      <c r="F286"/>
      <c r="G286"/>
      <c r="H286"/>
      <c r="I286"/>
      <c r="J286"/>
      <c r="K286"/>
    </row>
    <row r="287" spans="1:12" x14ac:dyDescent="0.25">
      <c r="A287"/>
      <c r="B287"/>
      <c r="C287"/>
      <c r="D287"/>
      <c r="E287"/>
      <c r="F287"/>
      <c r="G287"/>
      <c r="H287"/>
      <c r="I287"/>
      <c r="J287"/>
      <c r="K287"/>
    </row>
    <row r="288" spans="1:12" x14ac:dyDescent="0.25">
      <c r="A288"/>
      <c r="B288"/>
      <c r="C288"/>
      <c r="D288"/>
      <c r="E288"/>
      <c r="F288"/>
      <c r="G288"/>
      <c r="H288"/>
      <c r="I288"/>
      <c r="J288"/>
      <c r="K288"/>
    </row>
    <row r="289" spans="1:11" x14ac:dyDescent="0.25">
      <c r="A289"/>
      <c r="B289"/>
      <c r="C289"/>
      <c r="D289"/>
      <c r="E289"/>
      <c r="F289"/>
      <c r="G289"/>
      <c r="H289"/>
      <c r="I289"/>
      <c r="J289"/>
      <c r="K289"/>
    </row>
    <row r="290" spans="1:11" x14ac:dyDescent="0.25">
      <c r="A290"/>
      <c r="B290"/>
      <c r="C290"/>
      <c r="D290"/>
      <c r="E290"/>
      <c r="F290"/>
      <c r="G290"/>
      <c r="H290"/>
      <c r="I290"/>
      <c r="J290"/>
      <c r="K290"/>
    </row>
    <row r="291" spans="1:11" x14ac:dyDescent="0.25">
      <c r="A291"/>
      <c r="B291"/>
      <c r="C291"/>
      <c r="D291"/>
      <c r="E291"/>
      <c r="F291"/>
      <c r="G291"/>
      <c r="H291"/>
      <c r="I291"/>
      <c r="J291"/>
      <c r="K291"/>
    </row>
    <row r="292" spans="1:11" x14ac:dyDescent="0.25">
      <c r="A292"/>
      <c r="B292"/>
      <c r="C292"/>
      <c r="D292"/>
      <c r="E292"/>
      <c r="F292"/>
      <c r="G292"/>
      <c r="H292"/>
      <c r="I292"/>
      <c r="J292"/>
      <c r="K292"/>
    </row>
    <row r="293" spans="1:11" x14ac:dyDescent="0.25">
      <c r="A293"/>
      <c r="B293"/>
      <c r="C293"/>
      <c r="D293"/>
      <c r="E293"/>
      <c r="F293"/>
      <c r="G293"/>
      <c r="H293"/>
      <c r="I293"/>
      <c r="J293"/>
      <c r="K293"/>
    </row>
    <row r="294" spans="1:11" x14ac:dyDescent="0.25">
      <c r="A294"/>
      <c r="B294"/>
      <c r="C294"/>
      <c r="D294"/>
      <c r="E294"/>
      <c r="F294"/>
      <c r="G294"/>
      <c r="H294"/>
      <c r="I294"/>
      <c r="J294"/>
      <c r="K294"/>
    </row>
    <row r="295" spans="1:11" x14ac:dyDescent="0.25">
      <c r="A295"/>
      <c r="B295"/>
      <c r="C295"/>
      <c r="D295"/>
      <c r="E295"/>
      <c r="F295"/>
      <c r="G295"/>
      <c r="H295"/>
      <c r="I295"/>
      <c r="J295"/>
      <c r="K295"/>
    </row>
    <row r="296" spans="1:11" x14ac:dyDescent="0.25">
      <c r="A296"/>
      <c r="B296"/>
      <c r="C296"/>
      <c r="D296"/>
      <c r="E296"/>
      <c r="F296"/>
      <c r="G296"/>
      <c r="H296"/>
      <c r="I296"/>
      <c r="J296"/>
      <c r="K296"/>
    </row>
    <row r="297" spans="1:11" x14ac:dyDescent="0.25">
      <c r="A297"/>
      <c r="B297"/>
      <c r="C297"/>
      <c r="D297"/>
      <c r="E297"/>
      <c r="F297"/>
      <c r="G297"/>
      <c r="H297"/>
      <c r="I297"/>
      <c r="J297"/>
      <c r="K297"/>
    </row>
    <row r="298" spans="1:11" x14ac:dyDescent="0.25">
      <c r="A298"/>
      <c r="B298"/>
      <c r="C298"/>
      <c r="D298"/>
      <c r="E298"/>
      <c r="F298"/>
      <c r="G298"/>
      <c r="H298"/>
      <c r="I298"/>
      <c r="J298"/>
      <c r="K298"/>
    </row>
    <row r="299" spans="1:11" x14ac:dyDescent="0.25">
      <c r="A299"/>
      <c r="B299"/>
      <c r="C299"/>
      <c r="D299"/>
      <c r="E299"/>
      <c r="F299"/>
      <c r="G299"/>
      <c r="H299"/>
      <c r="I299"/>
      <c r="J299"/>
      <c r="K299"/>
    </row>
    <row r="300" spans="1:11" x14ac:dyDescent="0.25">
      <c r="A300"/>
      <c r="B300"/>
      <c r="C300"/>
      <c r="D300"/>
      <c r="E300"/>
      <c r="F300"/>
      <c r="G300"/>
      <c r="H300"/>
      <c r="I300"/>
      <c r="J300"/>
      <c r="K300"/>
    </row>
    <row r="301" spans="1:11" x14ac:dyDescent="0.25">
      <c r="A301"/>
      <c r="B301"/>
      <c r="C301"/>
      <c r="D301"/>
      <c r="E301"/>
      <c r="F301"/>
      <c r="G301"/>
      <c r="H301"/>
      <c r="I301"/>
      <c r="J301"/>
      <c r="K301"/>
    </row>
    <row r="302" spans="1:11" x14ac:dyDescent="0.25">
      <c r="A302"/>
      <c r="B302"/>
      <c r="C302"/>
      <c r="D302"/>
      <c r="E302"/>
      <c r="F302"/>
      <c r="G302"/>
      <c r="H302"/>
      <c r="I302"/>
      <c r="J302"/>
      <c r="K302"/>
    </row>
    <row r="303" spans="1:11" x14ac:dyDescent="0.25">
      <c r="A303"/>
      <c r="B303"/>
      <c r="C303"/>
      <c r="D303"/>
      <c r="E303"/>
      <c r="F303"/>
      <c r="G303"/>
      <c r="H303"/>
      <c r="I303"/>
      <c r="J303"/>
      <c r="K303"/>
    </row>
    <row r="304" spans="1:11" x14ac:dyDescent="0.25">
      <c r="A304"/>
      <c r="B304"/>
      <c r="C304"/>
      <c r="D304"/>
      <c r="E304"/>
      <c r="F304"/>
      <c r="G304"/>
      <c r="H304"/>
      <c r="I304"/>
      <c r="J304"/>
      <c r="K304"/>
    </row>
    <row r="305" spans="1:11" x14ac:dyDescent="0.25">
      <c r="A305"/>
      <c r="B305"/>
      <c r="C305"/>
      <c r="D305"/>
      <c r="E305"/>
      <c r="F305"/>
      <c r="G305"/>
      <c r="H305"/>
      <c r="I305"/>
      <c r="J305"/>
      <c r="K305"/>
    </row>
    <row r="306" spans="1:11" x14ac:dyDescent="0.25">
      <c r="A306"/>
      <c r="B306"/>
      <c r="C306"/>
      <c r="D306"/>
      <c r="E306"/>
      <c r="F306"/>
      <c r="G306"/>
      <c r="H306"/>
      <c r="I306"/>
      <c r="J306"/>
      <c r="K306"/>
    </row>
    <row r="307" spans="1:11" x14ac:dyDescent="0.25">
      <c r="A307"/>
      <c r="B307"/>
      <c r="C307"/>
      <c r="D307"/>
      <c r="E307"/>
      <c r="F307"/>
      <c r="G307"/>
      <c r="H307"/>
      <c r="I307"/>
      <c r="J307"/>
      <c r="K307"/>
    </row>
    <row r="308" spans="1:11" x14ac:dyDescent="0.25">
      <c r="A308"/>
      <c r="B308"/>
      <c r="C308"/>
      <c r="D308"/>
      <c r="E308"/>
      <c r="F308"/>
      <c r="G308"/>
      <c r="H308"/>
      <c r="I308"/>
      <c r="J308"/>
      <c r="K308"/>
    </row>
    <row r="309" spans="1:11" x14ac:dyDescent="0.25">
      <c r="A309"/>
      <c r="B309"/>
      <c r="C309"/>
      <c r="D309"/>
      <c r="E309"/>
      <c r="F309"/>
      <c r="G309"/>
      <c r="H309"/>
      <c r="I309"/>
      <c r="J309"/>
      <c r="K309"/>
    </row>
    <row r="310" spans="1:11" x14ac:dyDescent="0.25">
      <c r="A310"/>
      <c r="B310"/>
      <c r="C310"/>
      <c r="D310"/>
      <c r="E310"/>
      <c r="F310"/>
      <c r="G310"/>
      <c r="H310"/>
      <c r="I310"/>
      <c r="J310"/>
      <c r="K310"/>
    </row>
    <row r="311" spans="1:11" x14ac:dyDescent="0.25">
      <c r="A311"/>
      <c r="B311"/>
      <c r="C311"/>
      <c r="D311"/>
      <c r="E311"/>
      <c r="F311"/>
      <c r="G311"/>
      <c r="H311"/>
      <c r="I311"/>
      <c r="J311"/>
      <c r="K311"/>
    </row>
    <row r="312" spans="1:11" x14ac:dyDescent="0.25">
      <c r="A312"/>
      <c r="B312"/>
      <c r="C312"/>
      <c r="D312"/>
      <c r="E312"/>
      <c r="F312"/>
      <c r="G312"/>
      <c r="H312"/>
      <c r="I312"/>
      <c r="J312"/>
      <c r="K312"/>
    </row>
    <row r="313" spans="1:11" x14ac:dyDescent="0.25">
      <c r="A313"/>
      <c r="B313"/>
      <c r="C313"/>
      <c r="D313"/>
      <c r="E313"/>
      <c r="F313"/>
      <c r="G313"/>
      <c r="H313"/>
      <c r="I313"/>
      <c r="J313"/>
      <c r="K313"/>
    </row>
    <row r="314" spans="1:11" x14ac:dyDescent="0.25">
      <c r="A314"/>
      <c r="B314"/>
      <c r="C314"/>
      <c r="D314"/>
      <c r="E314"/>
      <c r="F314"/>
      <c r="G314"/>
      <c r="H314"/>
      <c r="I314"/>
      <c r="J314"/>
      <c r="K314"/>
    </row>
    <row r="315" spans="1:11" x14ac:dyDescent="0.25">
      <c r="A315"/>
      <c r="B315"/>
      <c r="C315"/>
      <c r="D315"/>
      <c r="E315"/>
      <c r="F315"/>
      <c r="G315"/>
      <c r="H315"/>
      <c r="I315"/>
      <c r="J315"/>
      <c r="K315"/>
    </row>
    <row r="316" spans="1:11" x14ac:dyDescent="0.25">
      <c r="A316"/>
      <c r="B316"/>
      <c r="C316"/>
      <c r="D316"/>
      <c r="E316"/>
      <c r="F316"/>
      <c r="G316"/>
      <c r="H316"/>
      <c r="I316"/>
      <c r="J316"/>
      <c r="K316"/>
    </row>
    <row r="317" spans="1:11" x14ac:dyDescent="0.25">
      <c r="A317"/>
      <c r="B317"/>
      <c r="C317"/>
      <c r="D317"/>
      <c r="E317"/>
      <c r="F317"/>
      <c r="G317"/>
      <c r="H317"/>
      <c r="I317"/>
      <c r="J317"/>
      <c r="K317"/>
    </row>
    <row r="318" spans="1:11" x14ac:dyDescent="0.25">
      <c r="A318"/>
      <c r="B318"/>
      <c r="C318"/>
      <c r="D318"/>
      <c r="E318"/>
      <c r="F318"/>
      <c r="G318"/>
      <c r="H318"/>
      <c r="I318"/>
      <c r="J318"/>
      <c r="K318"/>
    </row>
    <row r="319" spans="1:11" x14ac:dyDescent="0.25">
      <c r="A319"/>
      <c r="B319"/>
      <c r="C319"/>
      <c r="D319"/>
      <c r="E319"/>
      <c r="F319"/>
      <c r="G319"/>
      <c r="H319"/>
      <c r="I319"/>
      <c r="J319"/>
      <c r="K319"/>
    </row>
    <row r="320" spans="1:11" x14ac:dyDescent="0.25">
      <c r="A320"/>
      <c r="B320"/>
      <c r="C320"/>
      <c r="D320"/>
      <c r="E320"/>
      <c r="F320"/>
      <c r="G320"/>
      <c r="H320"/>
      <c r="I320"/>
      <c r="J320"/>
      <c r="K320"/>
    </row>
    <row r="321" spans="1:11" x14ac:dyDescent="0.25">
      <c r="A321"/>
      <c r="B321"/>
      <c r="C321"/>
      <c r="D321"/>
      <c r="E321"/>
      <c r="F321"/>
      <c r="G321"/>
      <c r="H321"/>
      <c r="I321"/>
      <c r="J321"/>
      <c r="K321"/>
    </row>
    <row r="322" spans="1:11" x14ac:dyDescent="0.25">
      <c r="A322"/>
      <c r="B322"/>
      <c r="C322"/>
      <c r="D322"/>
      <c r="E322"/>
      <c r="F322"/>
      <c r="G322"/>
      <c r="H322"/>
      <c r="I322"/>
      <c r="J322"/>
      <c r="K322"/>
    </row>
    <row r="323" spans="1:11" x14ac:dyDescent="0.25">
      <c r="A323"/>
      <c r="B323"/>
      <c r="C323"/>
      <c r="D323"/>
      <c r="E323"/>
      <c r="F323"/>
      <c r="G323"/>
      <c r="H323"/>
      <c r="I323"/>
      <c r="J323"/>
      <c r="K323"/>
    </row>
    <row r="324" spans="1:11" x14ac:dyDescent="0.25">
      <c r="A324"/>
      <c r="B324"/>
      <c r="C324"/>
      <c r="D324"/>
      <c r="E324"/>
      <c r="F324"/>
      <c r="G324"/>
      <c r="H324"/>
      <c r="I324"/>
      <c r="J324"/>
      <c r="K324"/>
    </row>
    <row r="325" spans="1:11" x14ac:dyDescent="0.25">
      <c r="A325"/>
      <c r="B325"/>
      <c r="C325"/>
      <c r="D325"/>
      <c r="E325"/>
      <c r="F325"/>
      <c r="G325"/>
      <c r="H325"/>
      <c r="I325"/>
      <c r="J325"/>
      <c r="K325"/>
    </row>
    <row r="326" spans="1:11" x14ac:dyDescent="0.25">
      <c r="A326"/>
      <c r="B326"/>
      <c r="C326"/>
      <c r="D326"/>
      <c r="E326"/>
      <c r="F326"/>
      <c r="G326"/>
      <c r="H326"/>
      <c r="I326"/>
      <c r="J326"/>
      <c r="K326"/>
    </row>
  </sheetData>
  <sheetProtection sheet="1" objects="1" scenarios="1"/>
  <mergeCells count="2">
    <mergeCell ref="D2:E2"/>
    <mergeCell ref="A2:B2"/>
  </mergeCells>
  <phoneticPr fontId="41" type="noConversion"/>
  <printOptions horizontalCentered="1" gridLines="1"/>
  <pageMargins left="0.31496062992125984" right="0.31496062992125984" top="0.94488188976377963" bottom="0.35433070866141736" header="0.31496062992125984" footer="0.11811023622047245"/>
  <pageSetup paperSize="9" scale="30" orientation="landscape" r:id="rId2"/>
  <headerFooter>
    <oddHeader>&amp;R&amp;F</oddHeader>
    <oddFooter>Sida &amp;P av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C1" sqref="C1"/>
    </sheetView>
  </sheetViews>
  <sheetFormatPr defaultRowHeight="15" x14ac:dyDescent="0.25"/>
  <cols>
    <col min="1" max="1" width="19.5703125" customWidth="1"/>
    <col min="2" max="2" width="20.42578125" customWidth="1"/>
    <col min="3" max="3" width="41.42578125" customWidth="1"/>
    <col min="4" max="4" width="16.140625" customWidth="1"/>
    <col min="5" max="5" width="51" customWidth="1"/>
    <col min="6" max="6" width="9" customWidth="1"/>
    <col min="7" max="7" width="7.7109375" customWidth="1"/>
    <col min="8" max="9" width="10.42578125" customWidth="1"/>
    <col min="10" max="10" width="15" bestFit="1" customWidth="1"/>
    <col min="11" max="11" width="15.5703125" bestFit="1" customWidth="1"/>
    <col min="12" max="13" width="15.5703125" customWidth="1"/>
    <col min="14" max="14" width="15.5703125" bestFit="1" customWidth="1"/>
    <col min="15" max="15" width="20.85546875" bestFit="1" customWidth="1"/>
    <col min="16" max="16" width="21.85546875" bestFit="1" customWidth="1"/>
    <col min="17" max="17" width="22.140625" bestFit="1" customWidth="1"/>
  </cols>
  <sheetData>
    <row r="1" spans="1:10" ht="24" customHeight="1" x14ac:dyDescent="0.25">
      <c r="A1" s="63" t="s">
        <v>2</v>
      </c>
      <c r="B1" t="s">
        <v>176</v>
      </c>
    </row>
    <row r="3" spans="1:10" ht="30" customHeight="1" x14ac:dyDescent="0.25">
      <c r="A3" s="158" t="s">
        <v>106</v>
      </c>
      <c r="B3" s="158" t="s">
        <v>105</v>
      </c>
      <c r="C3" s="158" t="s">
        <v>361</v>
      </c>
      <c r="D3" s="158" t="s">
        <v>59</v>
      </c>
      <c r="E3" s="158" t="s">
        <v>110</v>
      </c>
      <c r="F3" s="158" t="s">
        <v>111</v>
      </c>
      <c r="G3" s="576" t="s">
        <v>1144</v>
      </c>
      <c r="H3" s="576" t="s">
        <v>1070</v>
      </c>
      <c r="I3" s="576" t="s">
        <v>1383</v>
      </c>
      <c r="J3" s="576" t="s">
        <v>851</v>
      </c>
    </row>
    <row r="4" spans="1:10" x14ac:dyDescent="0.25">
      <c r="A4">
        <v>2019</v>
      </c>
      <c r="B4" t="s">
        <v>117</v>
      </c>
      <c r="C4" t="s">
        <v>124</v>
      </c>
      <c r="D4" t="s">
        <v>487</v>
      </c>
      <c r="E4" t="s">
        <v>661</v>
      </c>
      <c r="F4" t="s">
        <v>374</v>
      </c>
      <c r="G4" s="38"/>
      <c r="H4" s="352">
        <v>1</v>
      </c>
      <c r="I4" s="352">
        <v>0.8</v>
      </c>
      <c r="J4" s="15">
        <v>36823.4</v>
      </c>
    </row>
    <row r="5" spans="1:10" x14ac:dyDescent="0.25">
      <c r="D5" t="s">
        <v>1728</v>
      </c>
      <c r="E5" t="s">
        <v>1736</v>
      </c>
      <c r="F5" t="s">
        <v>374</v>
      </c>
      <c r="G5" s="38"/>
      <c r="H5" s="352">
        <v>1</v>
      </c>
      <c r="I5" s="352">
        <v>0.8</v>
      </c>
      <c r="J5" s="15">
        <v>36823.4</v>
      </c>
    </row>
    <row r="6" spans="1:10" x14ac:dyDescent="0.25">
      <c r="D6" t="s">
        <v>877</v>
      </c>
      <c r="E6" t="s">
        <v>1227</v>
      </c>
      <c r="F6" t="s">
        <v>374</v>
      </c>
      <c r="G6" s="38"/>
      <c r="H6" s="352">
        <v>0.5</v>
      </c>
      <c r="I6" s="352">
        <v>0.4</v>
      </c>
      <c r="J6" s="15">
        <v>18411.7</v>
      </c>
    </row>
    <row r="7" spans="1:10" x14ac:dyDescent="0.25">
      <c r="D7" t="s">
        <v>1048</v>
      </c>
      <c r="E7" t="s">
        <v>1068</v>
      </c>
      <c r="F7" t="s">
        <v>374</v>
      </c>
      <c r="G7" s="38"/>
      <c r="H7" s="352">
        <v>0.5</v>
      </c>
      <c r="I7" s="352">
        <v>0.4</v>
      </c>
      <c r="J7" s="15">
        <v>18411.7</v>
      </c>
    </row>
    <row r="8" spans="1:10" x14ac:dyDescent="0.25">
      <c r="D8" t="s">
        <v>1822</v>
      </c>
      <c r="E8" t="s">
        <v>1832</v>
      </c>
      <c r="F8" t="s">
        <v>374</v>
      </c>
      <c r="G8" s="38"/>
      <c r="H8" s="352">
        <v>0.5</v>
      </c>
      <c r="I8" s="352">
        <v>0.4</v>
      </c>
      <c r="J8" s="15">
        <v>18411.7</v>
      </c>
    </row>
    <row r="9" spans="1:10" x14ac:dyDescent="0.25">
      <c r="D9" t="s">
        <v>1993</v>
      </c>
      <c r="E9" t="s">
        <v>1335</v>
      </c>
      <c r="F9" t="s">
        <v>374</v>
      </c>
      <c r="G9" s="38"/>
      <c r="H9" s="352">
        <v>3</v>
      </c>
      <c r="I9" s="352">
        <v>2.4000000000000004</v>
      </c>
      <c r="J9" s="15">
        <v>110470.20000000001</v>
      </c>
    </row>
    <row r="10" spans="1:10" x14ac:dyDescent="0.25">
      <c r="D10" t="s">
        <v>1994</v>
      </c>
      <c r="E10" t="s">
        <v>1336</v>
      </c>
      <c r="F10" t="s">
        <v>374</v>
      </c>
      <c r="G10" s="38"/>
      <c r="H10" s="352">
        <v>1.5</v>
      </c>
      <c r="I10" s="352">
        <v>1.2000000000000002</v>
      </c>
      <c r="J10" s="15">
        <v>55235.100000000006</v>
      </c>
    </row>
    <row r="11" spans="1:10" x14ac:dyDescent="0.25">
      <c r="D11" t="s">
        <v>1995</v>
      </c>
      <c r="E11" t="s">
        <v>2016</v>
      </c>
      <c r="F11" t="s">
        <v>374</v>
      </c>
      <c r="G11" s="38"/>
      <c r="H11" s="352">
        <v>0.75</v>
      </c>
      <c r="I11" s="352">
        <v>0.60000000000000009</v>
      </c>
      <c r="J11" s="15">
        <v>27617.550000000003</v>
      </c>
    </row>
    <row r="12" spans="1:10" x14ac:dyDescent="0.25">
      <c r="D12" t="s">
        <v>1996</v>
      </c>
      <c r="E12" t="s">
        <v>1379</v>
      </c>
      <c r="F12" t="s">
        <v>374</v>
      </c>
      <c r="G12" s="38"/>
      <c r="H12" s="352">
        <v>1.5</v>
      </c>
      <c r="I12" s="352">
        <v>1.2000000000000002</v>
      </c>
      <c r="J12" s="15">
        <v>55235.100000000006</v>
      </c>
    </row>
    <row r="13" spans="1:10" x14ac:dyDescent="0.25">
      <c r="D13" t="s">
        <v>1689</v>
      </c>
      <c r="E13" t="s">
        <v>1642</v>
      </c>
      <c r="F13" t="s">
        <v>374</v>
      </c>
      <c r="G13" s="38"/>
      <c r="H13" s="352">
        <v>0.125</v>
      </c>
      <c r="I13" s="352">
        <v>0.1</v>
      </c>
      <c r="J13" s="15">
        <v>4602.9250000000002</v>
      </c>
    </row>
    <row r="14" spans="1:10" x14ac:dyDescent="0.25">
      <c r="D14" t="s">
        <v>2002</v>
      </c>
      <c r="E14" t="s">
        <v>2024</v>
      </c>
      <c r="F14" t="s">
        <v>374</v>
      </c>
      <c r="G14" s="38"/>
      <c r="H14" s="352">
        <v>2.875</v>
      </c>
      <c r="I14" s="352">
        <v>2.3000000000000003</v>
      </c>
      <c r="J14" s="15">
        <v>105867.27499999999</v>
      </c>
    </row>
    <row r="15" spans="1:10" x14ac:dyDescent="0.25">
      <c r="D15" t="s">
        <v>2003</v>
      </c>
      <c r="E15" t="s">
        <v>2025</v>
      </c>
      <c r="F15" t="s">
        <v>374</v>
      </c>
      <c r="G15" s="38"/>
      <c r="H15" s="352">
        <v>0.25</v>
      </c>
      <c r="I15" s="352">
        <v>0.2</v>
      </c>
      <c r="J15" s="15">
        <v>9205.85</v>
      </c>
    </row>
    <row r="16" spans="1:10" x14ac:dyDescent="0.25">
      <c r="D16" t="s">
        <v>1691</v>
      </c>
      <c r="E16" t="s">
        <v>1641</v>
      </c>
      <c r="F16" t="s">
        <v>374</v>
      </c>
      <c r="G16" s="38"/>
      <c r="H16" s="352">
        <v>2.25</v>
      </c>
      <c r="I16" s="352">
        <v>1.8</v>
      </c>
      <c r="J16" s="15">
        <v>82852.649999999994</v>
      </c>
    </row>
    <row r="17" spans="2:10" x14ac:dyDescent="0.25">
      <c r="D17" t="s">
        <v>1828</v>
      </c>
      <c r="E17" t="s">
        <v>1848</v>
      </c>
      <c r="F17" t="s">
        <v>374</v>
      </c>
      <c r="G17" s="38"/>
      <c r="H17" s="352">
        <v>5.5833300000000001</v>
      </c>
      <c r="I17" s="352">
        <v>4.4666640000000006</v>
      </c>
      <c r="J17" s="15">
        <v>205597.19392200001</v>
      </c>
    </row>
    <row r="18" spans="2:10" x14ac:dyDescent="0.25">
      <c r="D18" t="s">
        <v>1829</v>
      </c>
      <c r="E18" t="s">
        <v>1849</v>
      </c>
      <c r="F18" t="s">
        <v>374</v>
      </c>
      <c r="G18" s="38"/>
      <c r="H18" s="352">
        <v>1.75</v>
      </c>
      <c r="I18" s="352">
        <v>1.4000000000000001</v>
      </c>
      <c r="J18" s="15">
        <v>64440.95</v>
      </c>
    </row>
    <row r="19" spans="2:10" x14ac:dyDescent="0.25">
      <c r="D19" t="s">
        <v>2119</v>
      </c>
      <c r="E19" t="s">
        <v>2120</v>
      </c>
      <c r="F19" t="s">
        <v>374</v>
      </c>
      <c r="G19" s="38"/>
      <c r="H19" s="352">
        <v>1</v>
      </c>
      <c r="I19" s="352">
        <v>0.8</v>
      </c>
      <c r="J19" s="15">
        <v>36823.4</v>
      </c>
    </row>
    <row r="20" spans="2:10" x14ac:dyDescent="0.25">
      <c r="D20" t="s">
        <v>2131</v>
      </c>
      <c r="E20" t="s">
        <v>2133</v>
      </c>
      <c r="F20" t="s">
        <v>374</v>
      </c>
      <c r="G20" s="38"/>
      <c r="H20" s="352">
        <v>3.75</v>
      </c>
      <c r="I20" s="352">
        <v>3</v>
      </c>
      <c r="J20" s="15">
        <v>138087.75</v>
      </c>
    </row>
    <row r="21" spans="2:10" x14ac:dyDescent="0.25">
      <c r="D21" t="s">
        <v>2132</v>
      </c>
      <c r="E21" t="s">
        <v>2134</v>
      </c>
      <c r="F21" t="s">
        <v>374</v>
      </c>
      <c r="G21" s="38"/>
      <c r="H21" s="352">
        <v>4</v>
      </c>
      <c r="I21" s="352">
        <v>3.2</v>
      </c>
      <c r="J21" s="15">
        <v>147293.6</v>
      </c>
    </row>
    <row r="22" spans="2:10" x14ac:dyDescent="0.25">
      <c r="D22" t="s">
        <v>2146</v>
      </c>
      <c r="E22" t="s">
        <v>2149</v>
      </c>
      <c r="F22" t="s">
        <v>374</v>
      </c>
      <c r="G22" s="38"/>
      <c r="H22" s="352">
        <v>0.5</v>
      </c>
      <c r="I22" s="352">
        <v>0.4</v>
      </c>
      <c r="J22" s="15">
        <v>18411.7</v>
      </c>
    </row>
    <row r="23" spans="2:10" x14ac:dyDescent="0.25">
      <c r="D23" t="s">
        <v>2155</v>
      </c>
      <c r="E23" t="s">
        <v>2157</v>
      </c>
      <c r="F23" t="s">
        <v>374</v>
      </c>
      <c r="G23" s="38"/>
      <c r="H23" s="352">
        <v>3.375</v>
      </c>
      <c r="I23" s="352">
        <v>2.7</v>
      </c>
      <c r="J23" s="15">
        <v>124278.97500000001</v>
      </c>
    </row>
    <row r="24" spans="2:10" x14ac:dyDescent="0.25">
      <c r="D24" t="s">
        <v>2154</v>
      </c>
      <c r="E24" t="s">
        <v>2156</v>
      </c>
      <c r="F24" t="s">
        <v>374</v>
      </c>
      <c r="G24" s="38"/>
      <c r="H24" s="352">
        <v>3</v>
      </c>
      <c r="I24" s="352">
        <v>2.4000000000000004</v>
      </c>
      <c r="J24" s="15">
        <v>110470.20000000001</v>
      </c>
    </row>
    <row r="25" spans="2:10" x14ac:dyDescent="0.25">
      <c r="D25" t="s">
        <v>2192</v>
      </c>
      <c r="E25" t="s">
        <v>2207</v>
      </c>
      <c r="F25" t="s">
        <v>374</v>
      </c>
      <c r="G25" s="38"/>
      <c r="H25" s="352">
        <v>1</v>
      </c>
      <c r="I25" s="352">
        <v>0.8</v>
      </c>
      <c r="J25" s="15">
        <v>36823.4</v>
      </c>
    </row>
    <row r="26" spans="2:10" x14ac:dyDescent="0.25">
      <c r="D26" t="s">
        <v>2202</v>
      </c>
      <c r="E26" t="s">
        <v>1659</v>
      </c>
      <c r="F26" t="s">
        <v>374</v>
      </c>
      <c r="G26" s="38"/>
      <c r="H26" s="352">
        <v>1</v>
      </c>
      <c r="I26" s="352">
        <v>0.8</v>
      </c>
      <c r="J26" s="15">
        <v>36823.4</v>
      </c>
    </row>
    <row r="27" spans="2:10" x14ac:dyDescent="0.25">
      <c r="D27" t="s">
        <v>2203</v>
      </c>
      <c r="E27" t="s">
        <v>1834</v>
      </c>
      <c r="F27" t="s">
        <v>374</v>
      </c>
      <c r="G27" s="38"/>
      <c r="H27" s="352">
        <v>1.75</v>
      </c>
      <c r="I27" s="352">
        <v>1.4000000000000001</v>
      </c>
      <c r="J27" s="15">
        <v>64440.95</v>
      </c>
    </row>
    <row r="28" spans="2:10" x14ac:dyDescent="0.25">
      <c r="D28" t="s">
        <v>2204</v>
      </c>
      <c r="E28" t="s">
        <v>1660</v>
      </c>
      <c r="F28" t="s">
        <v>374</v>
      </c>
      <c r="G28" s="38"/>
      <c r="H28" s="352">
        <v>0.375</v>
      </c>
      <c r="I28" s="352">
        <v>0.30000000000000004</v>
      </c>
      <c r="J28" s="15">
        <v>13808.775000000001</v>
      </c>
    </row>
    <row r="29" spans="2:10" x14ac:dyDescent="0.25">
      <c r="D29" t="s">
        <v>2205</v>
      </c>
      <c r="E29" t="s">
        <v>1835</v>
      </c>
      <c r="F29" t="s">
        <v>374</v>
      </c>
      <c r="G29" s="38"/>
      <c r="H29" s="352">
        <v>0.25</v>
      </c>
      <c r="I29" s="352">
        <v>0.2</v>
      </c>
      <c r="J29" s="15">
        <v>9205.85</v>
      </c>
    </row>
    <row r="30" spans="2:10" x14ac:dyDescent="0.25">
      <c r="B30" t="s">
        <v>483</v>
      </c>
      <c r="C30" t="s">
        <v>1360</v>
      </c>
      <c r="D30" t="s">
        <v>487</v>
      </c>
      <c r="E30" t="s">
        <v>661</v>
      </c>
      <c r="F30" t="s">
        <v>374</v>
      </c>
      <c r="G30" s="38"/>
      <c r="H30" s="352">
        <v>18</v>
      </c>
      <c r="I30" s="352">
        <v>15.299999999999999</v>
      </c>
      <c r="J30" s="15">
        <v>677016.9</v>
      </c>
    </row>
    <row r="31" spans="2:10" x14ac:dyDescent="0.25">
      <c r="D31" t="s">
        <v>1728</v>
      </c>
      <c r="E31" t="s">
        <v>1736</v>
      </c>
      <c r="F31" t="s">
        <v>374</v>
      </c>
      <c r="G31" s="38"/>
      <c r="H31" s="352">
        <v>11.5</v>
      </c>
      <c r="I31" s="352">
        <v>9.7750000000000004</v>
      </c>
      <c r="J31" s="15">
        <v>432538.57500000001</v>
      </c>
    </row>
    <row r="32" spans="2:10" x14ac:dyDescent="0.25">
      <c r="D32" t="s">
        <v>1729</v>
      </c>
      <c r="E32" t="s">
        <v>1737</v>
      </c>
      <c r="F32" t="s">
        <v>374</v>
      </c>
      <c r="G32" s="38"/>
      <c r="H32" s="352">
        <v>16</v>
      </c>
      <c r="I32" s="352">
        <v>13.6</v>
      </c>
      <c r="J32" s="15">
        <v>601792.80000000005</v>
      </c>
    </row>
    <row r="33" spans="4:10" x14ac:dyDescent="0.25">
      <c r="D33" t="s">
        <v>1300</v>
      </c>
      <c r="E33" t="s">
        <v>1302</v>
      </c>
      <c r="F33" t="s">
        <v>374</v>
      </c>
      <c r="G33" s="38"/>
      <c r="H33" s="352">
        <v>4.5</v>
      </c>
      <c r="I33" s="352">
        <v>3.8249999999999997</v>
      </c>
      <c r="J33" s="15">
        <v>215874.45</v>
      </c>
    </row>
    <row r="34" spans="4:10" x14ac:dyDescent="0.25">
      <c r="D34" t="s">
        <v>1301</v>
      </c>
      <c r="E34" t="s">
        <v>1303</v>
      </c>
      <c r="F34" t="s">
        <v>374</v>
      </c>
      <c r="G34" s="38"/>
      <c r="H34" s="352">
        <v>4.125</v>
      </c>
      <c r="I34" s="352">
        <v>3.5062500000000001</v>
      </c>
      <c r="J34" s="15">
        <v>197884.91250000001</v>
      </c>
    </row>
    <row r="35" spans="4:10" x14ac:dyDescent="0.25">
      <c r="D35" t="s">
        <v>877</v>
      </c>
      <c r="E35" t="s">
        <v>1227</v>
      </c>
      <c r="F35" t="s">
        <v>374</v>
      </c>
      <c r="G35" s="38"/>
      <c r="H35" s="352">
        <v>2</v>
      </c>
      <c r="I35" s="352">
        <v>1.7</v>
      </c>
      <c r="J35" s="15">
        <v>75224.100000000006</v>
      </c>
    </row>
    <row r="36" spans="4:10" x14ac:dyDescent="0.25">
      <c r="D36" t="s">
        <v>1730</v>
      </c>
      <c r="E36" t="s">
        <v>1738</v>
      </c>
      <c r="F36" t="s">
        <v>374</v>
      </c>
      <c r="G36" s="38"/>
      <c r="H36" s="352">
        <v>1.5</v>
      </c>
      <c r="I36" s="352">
        <v>1.2749999999999999</v>
      </c>
      <c r="J36" s="15">
        <v>56418.074999999997</v>
      </c>
    </row>
    <row r="37" spans="4:10" x14ac:dyDescent="0.25">
      <c r="D37" t="s">
        <v>1266</v>
      </c>
      <c r="E37" t="s">
        <v>1275</v>
      </c>
      <c r="F37" t="s">
        <v>374</v>
      </c>
      <c r="G37" s="38"/>
      <c r="H37" s="352">
        <v>6</v>
      </c>
      <c r="I37" s="352">
        <v>5.0999999999999996</v>
      </c>
      <c r="J37" s="15">
        <v>225672.3</v>
      </c>
    </row>
    <row r="38" spans="4:10" x14ac:dyDescent="0.25">
      <c r="D38" t="s">
        <v>1294</v>
      </c>
      <c r="E38" t="s">
        <v>1295</v>
      </c>
      <c r="F38" t="s">
        <v>374</v>
      </c>
      <c r="G38" s="38"/>
      <c r="H38" s="352">
        <v>6.5</v>
      </c>
      <c r="I38" s="352">
        <v>5.5249999999999995</v>
      </c>
      <c r="J38" s="15">
        <v>244478.32500000001</v>
      </c>
    </row>
    <row r="39" spans="4:10" x14ac:dyDescent="0.25">
      <c r="D39" t="s">
        <v>516</v>
      </c>
      <c r="E39" t="s">
        <v>535</v>
      </c>
      <c r="F39" t="s">
        <v>374</v>
      </c>
      <c r="G39" s="38"/>
      <c r="H39" s="352">
        <v>13.5</v>
      </c>
      <c r="I39" s="352">
        <v>11.475</v>
      </c>
      <c r="J39" s="15">
        <v>507762.67499999999</v>
      </c>
    </row>
    <row r="40" spans="4:10" x14ac:dyDescent="0.25">
      <c r="D40" t="s">
        <v>521</v>
      </c>
      <c r="E40" t="s">
        <v>536</v>
      </c>
      <c r="F40" t="s">
        <v>374</v>
      </c>
      <c r="G40" s="38"/>
      <c r="H40" s="352">
        <v>13</v>
      </c>
      <c r="I40" s="352">
        <v>11.049999999999999</v>
      </c>
      <c r="J40" s="15">
        <v>488956.65</v>
      </c>
    </row>
    <row r="41" spans="4:10" x14ac:dyDescent="0.25">
      <c r="D41" t="s">
        <v>606</v>
      </c>
      <c r="E41" t="s">
        <v>624</v>
      </c>
      <c r="F41" t="s">
        <v>374</v>
      </c>
      <c r="G41" s="38"/>
      <c r="H41" s="352">
        <v>7</v>
      </c>
      <c r="I41" s="352">
        <v>5.95</v>
      </c>
      <c r="J41" s="15">
        <v>263284.34999999998</v>
      </c>
    </row>
    <row r="42" spans="4:10" x14ac:dyDescent="0.25">
      <c r="D42" t="s">
        <v>1048</v>
      </c>
      <c r="E42" t="s">
        <v>1068</v>
      </c>
      <c r="F42" t="s">
        <v>374</v>
      </c>
      <c r="G42" s="38"/>
      <c r="H42" s="352">
        <v>0.5</v>
      </c>
      <c r="I42" s="352">
        <v>0.42499999999999999</v>
      </c>
      <c r="J42" s="15">
        <v>18806.025000000001</v>
      </c>
    </row>
    <row r="43" spans="4:10" x14ac:dyDescent="0.25">
      <c r="D43" t="s">
        <v>1895</v>
      </c>
      <c r="E43" t="s">
        <v>1890</v>
      </c>
      <c r="F43" t="s">
        <v>374</v>
      </c>
      <c r="G43" s="38"/>
      <c r="H43" s="352">
        <v>1.2</v>
      </c>
      <c r="I43" s="352">
        <v>1.02</v>
      </c>
      <c r="J43" s="15">
        <v>57566.520000000004</v>
      </c>
    </row>
    <row r="44" spans="4:10" x14ac:dyDescent="0.25">
      <c r="D44" t="s">
        <v>1896</v>
      </c>
      <c r="E44" t="s">
        <v>1891</v>
      </c>
      <c r="F44" t="s">
        <v>374</v>
      </c>
      <c r="G44" s="38"/>
      <c r="H44" s="352">
        <v>0.1</v>
      </c>
      <c r="I44" s="352">
        <v>8.5000000000000006E-2</v>
      </c>
      <c r="J44" s="15">
        <v>4797.21</v>
      </c>
    </row>
    <row r="45" spans="4:10" x14ac:dyDescent="0.25">
      <c r="D45" t="s">
        <v>1897</v>
      </c>
      <c r="E45" t="s">
        <v>1892</v>
      </c>
      <c r="F45" t="s">
        <v>374</v>
      </c>
      <c r="G45" s="38"/>
      <c r="H45" s="352">
        <v>0.8</v>
      </c>
      <c r="I45" s="352">
        <v>0.68</v>
      </c>
      <c r="J45" s="15">
        <v>38377.68</v>
      </c>
    </row>
    <row r="46" spans="4:10" x14ac:dyDescent="0.25">
      <c r="D46" t="s">
        <v>1899</v>
      </c>
      <c r="E46" t="s">
        <v>1894</v>
      </c>
      <c r="F46" t="s">
        <v>374</v>
      </c>
      <c r="G46" s="38"/>
      <c r="H46" s="352">
        <v>0.1</v>
      </c>
      <c r="I46" s="352">
        <v>8.5000000000000006E-2</v>
      </c>
      <c r="J46" s="15">
        <v>4797.21</v>
      </c>
    </row>
    <row r="47" spans="4:10" x14ac:dyDescent="0.25">
      <c r="D47" t="s">
        <v>1997</v>
      </c>
      <c r="E47" t="s">
        <v>2017</v>
      </c>
      <c r="F47" t="s">
        <v>374</v>
      </c>
      <c r="G47" s="38"/>
      <c r="H47" s="352">
        <v>13.5</v>
      </c>
      <c r="I47" s="352">
        <v>11.475</v>
      </c>
      <c r="J47" s="15">
        <v>507762.67499999999</v>
      </c>
    </row>
    <row r="48" spans="4:10" x14ac:dyDescent="0.25">
      <c r="D48" t="s">
        <v>1998</v>
      </c>
      <c r="E48" t="s">
        <v>2018</v>
      </c>
      <c r="F48" t="s">
        <v>374</v>
      </c>
      <c r="G48" s="38"/>
      <c r="H48" s="352">
        <v>8.5</v>
      </c>
      <c r="I48" s="352">
        <v>7.2249999999999996</v>
      </c>
      <c r="J48" s="15">
        <v>319702.42499999999</v>
      </c>
    </row>
    <row r="49" spans="2:10" x14ac:dyDescent="0.25">
      <c r="D49" t="s">
        <v>1999</v>
      </c>
      <c r="E49" t="s">
        <v>2019</v>
      </c>
      <c r="F49" t="s">
        <v>374</v>
      </c>
      <c r="G49" s="38"/>
      <c r="H49" s="352">
        <v>3.5</v>
      </c>
      <c r="I49" s="352">
        <v>2.9750000000000001</v>
      </c>
      <c r="J49" s="15">
        <v>131642.17499999999</v>
      </c>
    </row>
    <row r="50" spans="2:10" x14ac:dyDescent="0.25">
      <c r="D50" t="s">
        <v>2146</v>
      </c>
      <c r="E50" t="s">
        <v>2149</v>
      </c>
      <c r="F50" t="s">
        <v>374</v>
      </c>
      <c r="G50" s="38"/>
      <c r="H50" s="352">
        <v>2</v>
      </c>
      <c r="I50" s="352">
        <v>1.7</v>
      </c>
      <c r="J50" s="15">
        <v>75224.100000000006</v>
      </c>
    </row>
    <row r="51" spans="2:10" x14ac:dyDescent="0.25">
      <c r="B51" t="s">
        <v>484</v>
      </c>
      <c r="C51" t="s">
        <v>917</v>
      </c>
      <c r="D51" t="s">
        <v>1556</v>
      </c>
      <c r="E51" t="s">
        <v>1585</v>
      </c>
      <c r="F51" t="s">
        <v>374</v>
      </c>
      <c r="G51" s="38"/>
      <c r="H51" s="352">
        <v>21.25</v>
      </c>
      <c r="I51" s="352">
        <v>18.0625</v>
      </c>
      <c r="J51" s="15">
        <v>799256.0625</v>
      </c>
    </row>
    <row r="52" spans="2:10" x14ac:dyDescent="0.25">
      <c r="B52" t="s">
        <v>485</v>
      </c>
      <c r="C52" t="s">
        <v>916</v>
      </c>
      <c r="D52" t="s">
        <v>1661</v>
      </c>
      <c r="E52" t="s">
        <v>1662</v>
      </c>
      <c r="F52" t="s">
        <v>374</v>
      </c>
      <c r="G52" s="38"/>
      <c r="H52" s="352">
        <v>3.125</v>
      </c>
      <c r="I52" s="352">
        <v>2.65625</v>
      </c>
      <c r="J52" s="15">
        <v>117537.65625</v>
      </c>
    </row>
    <row r="53" spans="2:10" x14ac:dyDescent="0.25">
      <c r="B53" t="s">
        <v>486</v>
      </c>
      <c r="C53" t="s">
        <v>918</v>
      </c>
      <c r="D53" t="s">
        <v>818</v>
      </c>
      <c r="E53" t="s">
        <v>620</v>
      </c>
      <c r="F53" t="s">
        <v>374</v>
      </c>
      <c r="G53" s="38"/>
      <c r="H53" s="352">
        <v>3.4</v>
      </c>
      <c r="I53" s="352">
        <v>2.8899999999999997</v>
      </c>
      <c r="J53" s="15">
        <v>163105.13999999998</v>
      </c>
    </row>
    <row r="54" spans="2:10" x14ac:dyDescent="0.25">
      <c r="D54" t="s">
        <v>517</v>
      </c>
      <c r="E54" t="s">
        <v>560</v>
      </c>
      <c r="F54" t="s">
        <v>374</v>
      </c>
      <c r="G54" s="38"/>
      <c r="H54" s="352">
        <v>11.75</v>
      </c>
      <c r="I54" s="352">
        <v>9.9874999999999989</v>
      </c>
      <c r="J54" s="15">
        <v>441941.58750000002</v>
      </c>
    </row>
    <row r="55" spans="2:10" x14ac:dyDescent="0.25">
      <c r="D55" t="s">
        <v>518</v>
      </c>
      <c r="E55" t="s">
        <v>561</v>
      </c>
      <c r="F55" t="s">
        <v>374</v>
      </c>
      <c r="G55" s="38"/>
      <c r="H55" s="352">
        <v>4.75</v>
      </c>
      <c r="I55" s="352">
        <v>4.0374999999999996</v>
      </c>
      <c r="J55" s="15">
        <v>178657.23749999999</v>
      </c>
    </row>
    <row r="56" spans="2:10" x14ac:dyDescent="0.25">
      <c r="D56" t="s">
        <v>604</v>
      </c>
      <c r="E56" t="s">
        <v>622</v>
      </c>
      <c r="F56" t="s">
        <v>374</v>
      </c>
      <c r="G56" s="38"/>
      <c r="H56" s="352">
        <v>4</v>
      </c>
      <c r="I56" s="352">
        <v>3.4</v>
      </c>
      <c r="J56" s="15">
        <v>150448.20000000001</v>
      </c>
    </row>
    <row r="57" spans="2:10" x14ac:dyDescent="0.25">
      <c r="D57" t="s">
        <v>1912</v>
      </c>
      <c r="E57" t="s">
        <v>543</v>
      </c>
      <c r="F57" t="s">
        <v>374</v>
      </c>
      <c r="G57" s="38"/>
      <c r="H57" s="352">
        <v>5.875</v>
      </c>
      <c r="I57" s="352">
        <v>4.9937499999999995</v>
      </c>
      <c r="J57" s="15">
        <v>220970.79375000001</v>
      </c>
    </row>
    <row r="58" spans="2:10" x14ac:dyDescent="0.25">
      <c r="D58" t="s">
        <v>1950</v>
      </c>
      <c r="E58" t="s">
        <v>1172</v>
      </c>
      <c r="F58" t="s">
        <v>374</v>
      </c>
      <c r="G58" s="38"/>
      <c r="H58" s="352">
        <v>8.25</v>
      </c>
      <c r="I58" s="352">
        <v>7.0125000000000002</v>
      </c>
      <c r="J58" s="15">
        <v>310299.41249999998</v>
      </c>
    </row>
    <row r="59" spans="2:10" x14ac:dyDescent="0.25">
      <c r="D59" t="s">
        <v>1985</v>
      </c>
      <c r="E59" t="s">
        <v>544</v>
      </c>
      <c r="F59" t="s">
        <v>374</v>
      </c>
      <c r="G59" s="38"/>
      <c r="H59" s="352">
        <v>5.125</v>
      </c>
      <c r="I59" s="352">
        <v>4.3562500000000002</v>
      </c>
      <c r="J59" s="15">
        <v>192761.75625000001</v>
      </c>
    </row>
    <row r="60" spans="2:10" x14ac:dyDescent="0.25">
      <c r="B60" t="s">
        <v>524</v>
      </c>
      <c r="C60" t="s">
        <v>919</v>
      </c>
      <c r="D60" t="s">
        <v>819</v>
      </c>
      <c r="E60" t="s">
        <v>621</v>
      </c>
      <c r="F60" t="s">
        <v>374</v>
      </c>
      <c r="G60" s="38"/>
      <c r="H60" s="352">
        <v>2.9</v>
      </c>
      <c r="I60" s="352">
        <v>2.4649999999999999</v>
      </c>
      <c r="J60" s="15">
        <v>139119.09</v>
      </c>
    </row>
    <row r="61" spans="2:10" x14ac:dyDescent="0.25">
      <c r="D61" t="s">
        <v>519</v>
      </c>
      <c r="E61" t="s">
        <v>562</v>
      </c>
      <c r="F61" t="s">
        <v>374</v>
      </c>
      <c r="G61" s="38"/>
      <c r="H61" s="352">
        <v>6.75</v>
      </c>
      <c r="I61" s="352">
        <v>5.7374999999999998</v>
      </c>
      <c r="J61" s="15">
        <v>253881.33749999999</v>
      </c>
    </row>
    <row r="62" spans="2:10" x14ac:dyDescent="0.25">
      <c r="D62" t="s">
        <v>520</v>
      </c>
      <c r="E62" t="s">
        <v>563</v>
      </c>
      <c r="F62" t="s">
        <v>374</v>
      </c>
      <c r="G62" s="38"/>
      <c r="H62" s="352">
        <v>2.75</v>
      </c>
      <c r="I62" s="352">
        <v>2.3374999999999999</v>
      </c>
      <c r="J62" s="15">
        <v>103433.1375</v>
      </c>
    </row>
    <row r="63" spans="2:10" x14ac:dyDescent="0.25">
      <c r="D63" t="s">
        <v>605</v>
      </c>
      <c r="E63" t="s">
        <v>623</v>
      </c>
      <c r="F63" t="s">
        <v>374</v>
      </c>
      <c r="G63" s="38"/>
      <c r="H63" s="352">
        <v>3.5</v>
      </c>
      <c r="I63" s="352">
        <v>2.9750000000000001</v>
      </c>
      <c r="J63" s="15">
        <v>131642.17499999999</v>
      </c>
    </row>
    <row r="64" spans="2:10" x14ac:dyDescent="0.25">
      <c r="D64" t="s">
        <v>1913</v>
      </c>
      <c r="E64" t="s">
        <v>545</v>
      </c>
      <c r="F64" t="s">
        <v>374</v>
      </c>
      <c r="G64" s="38"/>
      <c r="H64" s="352">
        <v>3.25</v>
      </c>
      <c r="I64" s="352">
        <v>2.7624999999999997</v>
      </c>
      <c r="J64" s="15">
        <v>122239.16250000001</v>
      </c>
    </row>
    <row r="65" spans="1:10" x14ac:dyDescent="0.25">
      <c r="D65" t="s">
        <v>1986</v>
      </c>
      <c r="E65" t="s">
        <v>546</v>
      </c>
      <c r="F65" t="s">
        <v>374</v>
      </c>
      <c r="G65" s="38"/>
      <c r="H65" s="352">
        <v>2.625</v>
      </c>
      <c r="I65" s="352">
        <v>2.2312499999999997</v>
      </c>
      <c r="J65" s="15">
        <v>98731.631250000006</v>
      </c>
    </row>
    <row r="66" spans="1:10" x14ac:dyDescent="0.25">
      <c r="D66" t="s">
        <v>1987</v>
      </c>
      <c r="E66" t="s">
        <v>608</v>
      </c>
      <c r="F66" t="s">
        <v>374</v>
      </c>
      <c r="G66" s="38"/>
      <c r="H66" s="352">
        <v>7</v>
      </c>
      <c r="I66" s="352">
        <v>5.95</v>
      </c>
      <c r="J66" s="15">
        <v>263284.34999999998</v>
      </c>
    </row>
    <row r="67" spans="1:10" x14ac:dyDescent="0.25">
      <c r="B67" t="s">
        <v>115</v>
      </c>
      <c r="C67" t="s">
        <v>926</v>
      </c>
      <c r="D67" t="s">
        <v>2051</v>
      </c>
      <c r="E67" t="s">
        <v>683</v>
      </c>
      <c r="F67" t="s">
        <v>374</v>
      </c>
      <c r="G67" s="38"/>
      <c r="H67" s="352">
        <v>8.5</v>
      </c>
      <c r="I67" s="352">
        <v>7.2249999999999996</v>
      </c>
      <c r="J67" s="15">
        <v>319702.42499999999</v>
      </c>
    </row>
    <row r="68" spans="1:10" x14ac:dyDescent="0.25">
      <c r="D68" t="s">
        <v>2090</v>
      </c>
      <c r="E68" t="s">
        <v>1470</v>
      </c>
      <c r="F68" t="s">
        <v>374</v>
      </c>
      <c r="G68" s="38"/>
      <c r="H68" s="352">
        <v>4.25</v>
      </c>
      <c r="I68" s="352">
        <v>3.6124999999999998</v>
      </c>
      <c r="J68" s="15">
        <v>159851.21249999999</v>
      </c>
    </row>
    <row r="69" spans="1:10" x14ac:dyDescent="0.25">
      <c r="D69" t="s">
        <v>2091</v>
      </c>
      <c r="E69" t="s">
        <v>2092</v>
      </c>
      <c r="F69" t="s">
        <v>374</v>
      </c>
      <c r="G69" s="38"/>
      <c r="H69" s="352">
        <v>1</v>
      </c>
      <c r="I69" s="352">
        <v>0.85</v>
      </c>
      <c r="J69" s="15">
        <v>37612.050000000003</v>
      </c>
    </row>
    <row r="70" spans="1:10" x14ac:dyDescent="0.25">
      <c r="A70" t="s">
        <v>2217</v>
      </c>
      <c r="G70" s="38"/>
      <c r="H70" s="352">
        <v>286.95832999999999</v>
      </c>
      <c r="I70" s="352">
        <v>241.76041399999991</v>
      </c>
      <c r="J70" s="15">
        <v>10936529.243921999</v>
      </c>
    </row>
    <row r="71" spans="1:10" x14ac:dyDescent="0.25">
      <c r="A71" t="s">
        <v>772</v>
      </c>
      <c r="G71" s="38"/>
      <c r="H71" s="352">
        <v>286.95832999999999</v>
      </c>
      <c r="I71" s="352">
        <v>241.76041399999991</v>
      </c>
      <c r="J71" s="15">
        <v>10936529.243921999</v>
      </c>
    </row>
  </sheetData>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G50"/>
  <sheetViews>
    <sheetView workbookViewId="0">
      <selection activeCell="V26" sqref="V26"/>
    </sheetView>
  </sheetViews>
  <sheetFormatPr defaultColWidth="9.140625" defaultRowHeight="15" x14ac:dyDescent="0.25"/>
  <cols>
    <col min="1" max="8" width="9.140625" style="353"/>
    <col min="9" max="9" width="11" style="353" customWidth="1"/>
    <col min="10" max="10" width="11.7109375" style="353" customWidth="1"/>
    <col min="11" max="11" width="10.28515625" style="353" customWidth="1"/>
    <col min="12" max="12" width="9.140625" style="353"/>
    <col min="13" max="13" width="24.140625" style="353" customWidth="1"/>
    <col min="14" max="14" width="11.42578125" style="353" customWidth="1"/>
    <col min="15" max="15" width="12" style="353" customWidth="1"/>
    <col min="16" max="16384" width="9.140625" style="353"/>
  </cols>
  <sheetData>
    <row r="2" spans="1:33" ht="15.75" x14ac:dyDescent="0.25">
      <c r="A2" s="354" t="s">
        <v>2030</v>
      </c>
      <c r="B2" s="355"/>
      <c r="C2" s="355"/>
      <c r="D2" s="355"/>
      <c r="E2" s="355"/>
      <c r="F2" s="355"/>
      <c r="G2" s="355"/>
      <c r="H2" s="355"/>
      <c r="I2" s="355"/>
      <c r="J2" s="355"/>
      <c r="K2" s="355"/>
      <c r="L2" s="356"/>
      <c r="M2" s="368" t="s">
        <v>1778</v>
      </c>
      <c r="N2" s="367"/>
      <c r="O2" s="367"/>
      <c r="P2" s="367"/>
      <c r="Q2" s="367"/>
      <c r="R2" s="367"/>
    </row>
    <row r="3" spans="1:33" ht="15.75" x14ac:dyDescent="0.25">
      <c r="A3" s="357"/>
      <c r="B3" s="358"/>
      <c r="C3" s="358"/>
      <c r="D3" s="358"/>
      <c r="E3" s="358"/>
      <c r="F3" s="358"/>
      <c r="G3" s="358"/>
      <c r="H3" s="358"/>
      <c r="I3" s="358"/>
      <c r="J3" s="358"/>
      <c r="K3" s="358"/>
      <c r="L3" s="359"/>
    </row>
    <row r="4" spans="1:33" x14ac:dyDescent="0.25">
      <c r="A4" s="606" t="s">
        <v>61</v>
      </c>
      <c r="B4" s="606"/>
      <c r="C4" s="606"/>
      <c r="D4" s="606"/>
      <c r="E4" s="606"/>
      <c r="F4" s="606"/>
      <c r="G4" s="606"/>
      <c r="H4" s="606"/>
      <c r="I4" s="606"/>
      <c r="J4" s="606"/>
      <c r="K4" s="606"/>
      <c r="L4" s="606"/>
      <c r="N4" s="353" t="s">
        <v>61</v>
      </c>
      <c r="O4" s="353" t="s">
        <v>62</v>
      </c>
      <c r="U4"/>
      <c r="V4"/>
      <c r="W4"/>
      <c r="X4"/>
      <c r="Y4"/>
      <c r="Z4"/>
      <c r="AA4"/>
      <c r="AB4"/>
      <c r="AC4"/>
      <c r="AD4"/>
      <c r="AE4"/>
      <c r="AF4"/>
      <c r="AG4"/>
    </row>
    <row r="5" spans="1:33" ht="45" x14ac:dyDescent="0.25">
      <c r="A5" s="360" t="s">
        <v>1755</v>
      </c>
      <c r="B5" s="360" t="s">
        <v>1756</v>
      </c>
      <c r="C5" s="360" t="s">
        <v>1757</v>
      </c>
      <c r="D5" s="360" t="s">
        <v>1758</v>
      </c>
      <c r="E5" s="360" t="s">
        <v>1759</v>
      </c>
      <c r="F5" s="360" t="s">
        <v>1760</v>
      </c>
      <c r="G5" s="360" t="s">
        <v>1761</v>
      </c>
      <c r="H5" s="360" t="s">
        <v>1762</v>
      </c>
      <c r="I5" s="360" t="s">
        <v>1763</v>
      </c>
      <c r="J5" s="360" t="s">
        <v>1764</v>
      </c>
      <c r="K5" s="360" t="s">
        <v>1765</v>
      </c>
      <c r="L5" s="360" t="s">
        <v>1766</v>
      </c>
      <c r="U5"/>
      <c r="V5"/>
      <c r="W5"/>
      <c r="X5"/>
      <c r="Y5"/>
      <c r="Z5"/>
      <c r="AA5"/>
      <c r="AB5"/>
      <c r="AC5"/>
      <c r="AD5"/>
      <c r="AE5"/>
      <c r="AF5"/>
      <c r="AG5"/>
    </row>
    <row r="6" spans="1:33" x14ac:dyDescent="0.25">
      <c r="A6" s="361">
        <v>43.0625</v>
      </c>
      <c r="B6" s="361">
        <v>381.35416666666669</v>
      </c>
      <c r="C6" s="361">
        <v>40.5</v>
      </c>
      <c r="D6" s="361">
        <v>417.17333333333346</v>
      </c>
      <c r="E6" s="486">
        <v>26.125</v>
      </c>
      <c r="F6" s="486">
        <v>233.5</v>
      </c>
      <c r="G6" s="361">
        <v>517.35458333333338</v>
      </c>
      <c r="H6" s="361">
        <v>88.925000000000011</v>
      </c>
      <c r="I6" s="361">
        <v>165.36291666666671</v>
      </c>
      <c r="J6" s="362">
        <v>0</v>
      </c>
      <c r="K6" s="361">
        <v>54.55</v>
      </c>
      <c r="L6" s="361">
        <v>41.94</v>
      </c>
      <c r="N6" s="464">
        <f>SUM(A6:L6)</f>
        <v>2009.8475000000001</v>
      </c>
      <c r="U6"/>
      <c r="V6"/>
      <c r="W6"/>
      <c r="X6"/>
      <c r="Y6"/>
      <c r="Z6"/>
      <c r="AA6"/>
      <c r="AB6"/>
      <c r="AC6"/>
      <c r="AD6"/>
      <c r="AE6"/>
      <c r="AF6"/>
      <c r="AG6"/>
    </row>
    <row r="7" spans="1:33" x14ac:dyDescent="0.25">
      <c r="A7" s="363"/>
      <c r="B7" s="364"/>
      <c r="C7" s="364"/>
      <c r="D7" s="364"/>
      <c r="E7"/>
      <c r="F7"/>
      <c r="G7" s="364"/>
      <c r="H7" s="364"/>
      <c r="I7" s="364"/>
      <c r="J7" s="364"/>
      <c r="K7" s="364"/>
      <c r="L7" s="365"/>
      <c r="U7"/>
      <c r="V7"/>
      <c r="W7"/>
      <c r="X7"/>
      <c r="Y7"/>
      <c r="Z7"/>
      <c r="AA7"/>
      <c r="AB7"/>
      <c r="AC7"/>
      <c r="AD7"/>
      <c r="AE7"/>
      <c r="AF7"/>
      <c r="AG7"/>
    </row>
    <row r="8" spans="1:33" x14ac:dyDescent="0.25">
      <c r="A8" s="363"/>
      <c r="B8" s="364"/>
      <c r="C8" s="364"/>
      <c r="D8" s="364"/>
      <c r="E8"/>
      <c r="F8"/>
      <c r="G8" s="364"/>
      <c r="H8" s="364"/>
      <c r="I8" s="364"/>
      <c r="J8" s="364"/>
      <c r="K8" s="364"/>
      <c r="L8" s="365"/>
      <c r="U8"/>
      <c r="V8"/>
      <c r="W8"/>
      <c r="X8"/>
      <c r="Y8"/>
      <c r="Z8"/>
      <c r="AA8"/>
      <c r="AB8"/>
      <c r="AC8"/>
      <c r="AD8"/>
      <c r="AE8"/>
      <c r="AF8"/>
      <c r="AG8"/>
    </row>
    <row r="9" spans="1:33" x14ac:dyDescent="0.25">
      <c r="A9" s="606" t="s">
        <v>62</v>
      </c>
      <c r="B9" s="606"/>
      <c r="C9" s="606"/>
      <c r="D9" s="606"/>
      <c r="E9" s="606"/>
      <c r="F9" s="606"/>
      <c r="G9" s="606"/>
      <c r="H9" s="606"/>
      <c r="I9" s="606"/>
      <c r="J9" s="606"/>
      <c r="K9" s="606"/>
      <c r="L9" s="606"/>
      <c r="U9"/>
      <c r="V9"/>
      <c r="W9"/>
      <c r="X9"/>
      <c r="Y9"/>
      <c r="Z9"/>
      <c r="AA9"/>
      <c r="AB9"/>
      <c r="AC9"/>
      <c r="AD9"/>
      <c r="AE9"/>
      <c r="AF9"/>
      <c r="AG9"/>
    </row>
    <row r="10" spans="1:33" ht="45" x14ac:dyDescent="0.25">
      <c r="A10" s="360" t="s">
        <v>1767</v>
      </c>
      <c r="B10" s="360" t="s">
        <v>1768</v>
      </c>
      <c r="C10" s="360" t="s">
        <v>1769</v>
      </c>
      <c r="D10" s="360" t="s">
        <v>1770</v>
      </c>
      <c r="E10" s="360" t="s">
        <v>1771</v>
      </c>
      <c r="F10" s="360" t="s">
        <v>1772</v>
      </c>
      <c r="G10" s="360" t="s">
        <v>1773</v>
      </c>
      <c r="H10" s="360" t="s">
        <v>1774</v>
      </c>
      <c r="I10" s="360" t="s">
        <v>1775</v>
      </c>
      <c r="J10" s="360" t="s">
        <v>1779</v>
      </c>
      <c r="K10" s="360" t="s">
        <v>1776</v>
      </c>
      <c r="L10" s="360" t="s">
        <v>1777</v>
      </c>
      <c r="N10" s="366"/>
      <c r="O10" s="367"/>
      <c r="P10" s="367"/>
      <c r="Q10" s="367"/>
      <c r="R10" s="367"/>
      <c r="S10" s="367"/>
      <c r="T10" s="367"/>
      <c r="U10"/>
      <c r="V10"/>
      <c r="W10"/>
      <c r="X10"/>
      <c r="Y10"/>
      <c r="Z10"/>
      <c r="AA10"/>
      <c r="AB10"/>
      <c r="AC10"/>
      <c r="AD10"/>
      <c r="AE10"/>
      <c r="AF10"/>
      <c r="AG10"/>
    </row>
    <row r="11" spans="1:33" x14ac:dyDescent="0.25">
      <c r="A11" s="361">
        <v>35.450000000000003</v>
      </c>
      <c r="B11" s="361">
        <v>321.42083333333346</v>
      </c>
      <c r="C11" s="361">
        <v>34.125</v>
      </c>
      <c r="D11" s="361">
        <v>354.56400000000008</v>
      </c>
      <c r="E11" s="486">
        <v>21.475000000000001</v>
      </c>
      <c r="F11" s="486">
        <v>195.43125000000003</v>
      </c>
      <c r="G11" s="361">
        <v>432.12639583333322</v>
      </c>
      <c r="H11" s="361">
        <v>71.876249999999999</v>
      </c>
      <c r="I11" s="361">
        <v>140.38347916666666</v>
      </c>
      <c r="J11" s="468"/>
      <c r="K11" s="472">
        <v>45.727499999999999</v>
      </c>
      <c r="L11" s="361">
        <v>35.649000000000008</v>
      </c>
      <c r="N11" s="368"/>
      <c r="O11" s="465">
        <f>SUM(A11:L11)</f>
        <v>1688.2287083333333</v>
      </c>
      <c r="P11" s="367"/>
      <c r="Q11" s="367"/>
      <c r="R11" s="367"/>
      <c r="S11" s="367"/>
      <c r="T11" s="367"/>
      <c r="U11"/>
      <c r="V11"/>
      <c r="W11"/>
      <c r="X11"/>
      <c r="Y11"/>
      <c r="Z11"/>
      <c r="AA11"/>
      <c r="AB11"/>
      <c r="AC11"/>
      <c r="AD11"/>
      <c r="AE11"/>
      <c r="AF11"/>
      <c r="AG11"/>
    </row>
    <row r="12" spans="1:33" x14ac:dyDescent="0.25">
      <c r="A12" s="474"/>
      <c r="B12" s="475"/>
      <c r="C12" s="475"/>
      <c r="D12" s="475"/>
      <c r="E12"/>
      <c r="F12"/>
      <c r="G12" s="475"/>
      <c r="H12" s="475"/>
      <c r="I12" s="475"/>
      <c r="J12" s="476"/>
      <c r="K12" s="477"/>
      <c r="L12" s="478"/>
      <c r="N12" s="368"/>
      <c r="O12" s="465"/>
      <c r="P12" s="367"/>
      <c r="Q12" s="367"/>
      <c r="R12" s="367"/>
      <c r="S12" s="367"/>
      <c r="T12" s="367"/>
      <c r="U12"/>
      <c r="V12"/>
      <c r="W12"/>
      <c r="X12"/>
      <c r="Y12"/>
      <c r="Z12"/>
      <c r="AA12"/>
      <c r="AB12"/>
      <c r="AC12"/>
      <c r="AD12"/>
      <c r="AE12"/>
      <c r="AF12"/>
      <c r="AG12"/>
    </row>
    <row r="13" spans="1:33" x14ac:dyDescent="0.25">
      <c r="A13" s="479"/>
      <c r="B13" s="473"/>
      <c r="C13" s="473"/>
      <c r="D13" s="473"/>
      <c r="E13" s="487"/>
      <c r="F13" s="487"/>
      <c r="G13" s="473"/>
      <c r="H13" s="473"/>
      <c r="I13" s="473"/>
      <c r="J13" s="473"/>
      <c r="K13" s="473"/>
      <c r="L13" s="480"/>
      <c r="R13"/>
      <c r="S13"/>
      <c r="U13"/>
      <c r="V13"/>
      <c r="W13"/>
      <c r="X13"/>
      <c r="Y13"/>
      <c r="Z13"/>
      <c r="AA13"/>
      <c r="AB13"/>
      <c r="AC13"/>
      <c r="AD13"/>
      <c r="AE13"/>
      <c r="AF13"/>
      <c r="AG13"/>
    </row>
    <row r="14" spans="1:33" x14ac:dyDescent="0.25">
      <c r="U14"/>
      <c r="V14"/>
      <c r="W14"/>
      <c r="X14"/>
      <c r="Y14"/>
      <c r="Z14"/>
      <c r="AA14"/>
      <c r="AB14"/>
      <c r="AC14"/>
      <c r="AD14"/>
      <c r="AE14"/>
      <c r="AF14"/>
      <c r="AG14"/>
    </row>
    <row r="15" spans="1:33" x14ac:dyDescent="0.25">
      <c r="U15"/>
      <c r="V15"/>
      <c r="W15"/>
      <c r="X15"/>
      <c r="Y15"/>
      <c r="Z15"/>
      <c r="AA15"/>
      <c r="AB15"/>
      <c r="AC15"/>
      <c r="AD15"/>
      <c r="AE15"/>
      <c r="AF15"/>
      <c r="AG15"/>
    </row>
    <row r="16" spans="1:33" ht="15.75" x14ac:dyDescent="0.25">
      <c r="A16" s="372" t="s">
        <v>2031</v>
      </c>
      <c r="B16" s="373"/>
      <c r="C16" s="373"/>
      <c r="D16" s="373"/>
      <c r="E16" s="373"/>
      <c r="F16" s="373"/>
      <c r="G16" s="373"/>
      <c r="H16" s="373"/>
      <c r="I16" s="373"/>
      <c r="J16" s="373"/>
      <c r="K16" s="373"/>
      <c r="L16" s="374"/>
      <c r="M16" s="367"/>
      <c r="N16" s="367"/>
      <c r="O16" s="367"/>
      <c r="P16" s="367"/>
      <c r="Q16" s="367"/>
      <c r="R16" s="367"/>
      <c r="U16"/>
      <c r="V16"/>
      <c r="W16"/>
      <c r="X16"/>
      <c r="Y16"/>
      <c r="Z16"/>
      <c r="AA16"/>
      <c r="AB16"/>
      <c r="AC16"/>
      <c r="AD16"/>
      <c r="AE16"/>
      <c r="AF16"/>
      <c r="AG16"/>
    </row>
    <row r="17" spans="1:33" ht="15.75" x14ac:dyDescent="0.25">
      <c r="A17" s="375"/>
      <c r="B17" s="376"/>
      <c r="C17" s="376"/>
      <c r="D17" s="376"/>
      <c r="E17" s="376"/>
      <c r="F17" s="376"/>
      <c r="G17" s="376"/>
      <c r="H17" s="376"/>
      <c r="I17" s="376"/>
      <c r="J17" s="376"/>
      <c r="K17" s="376"/>
      <c r="L17" s="377"/>
      <c r="M17" s="367"/>
      <c r="N17" s="367"/>
      <c r="O17" s="367"/>
      <c r="P17" s="367"/>
      <c r="Q17" s="367"/>
      <c r="R17" s="367"/>
      <c r="U17"/>
      <c r="V17"/>
      <c r="W17"/>
      <c r="X17"/>
      <c r="Y17"/>
      <c r="Z17"/>
      <c r="AA17"/>
      <c r="AB17"/>
      <c r="AC17"/>
      <c r="AD17"/>
      <c r="AE17"/>
      <c r="AF17"/>
      <c r="AG17"/>
    </row>
    <row r="18" spans="1:33" x14ac:dyDescent="0.25">
      <c r="A18" s="607" t="s">
        <v>61</v>
      </c>
      <c r="B18" s="607"/>
      <c r="C18" s="607"/>
      <c r="D18" s="607"/>
      <c r="E18" s="607"/>
      <c r="F18" s="607"/>
      <c r="G18" s="607"/>
      <c r="H18" s="607"/>
      <c r="I18" s="607"/>
      <c r="J18" s="607"/>
      <c r="K18" s="607"/>
      <c r="L18" s="607"/>
      <c r="M18" s="367"/>
      <c r="N18" s="367"/>
      <c r="O18" s="367"/>
      <c r="P18" s="367"/>
      <c r="Q18" s="367"/>
      <c r="R18" s="367"/>
      <c r="U18"/>
      <c r="V18"/>
      <c r="W18"/>
      <c r="X18"/>
      <c r="Y18"/>
      <c r="Z18"/>
      <c r="AA18"/>
      <c r="AB18"/>
      <c r="AC18"/>
      <c r="AD18"/>
      <c r="AE18"/>
      <c r="AF18"/>
      <c r="AG18"/>
    </row>
    <row r="19" spans="1:33" ht="45" x14ac:dyDescent="0.25">
      <c r="A19" s="378" t="s">
        <v>1755</v>
      </c>
      <c r="B19" s="378" t="s">
        <v>1756</v>
      </c>
      <c r="C19" s="378" t="s">
        <v>1757</v>
      </c>
      <c r="D19" s="378" t="s">
        <v>1758</v>
      </c>
      <c r="E19" s="378" t="s">
        <v>1759</v>
      </c>
      <c r="F19" s="378" t="s">
        <v>1760</v>
      </c>
      <c r="G19" s="378" t="s">
        <v>1761</v>
      </c>
      <c r="H19" s="378" t="s">
        <v>1762</v>
      </c>
      <c r="I19" s="378" t="s">
        <v>1763</v>
      </c>
      <c r="J19" s="378" t="s">
        <v>1764</v>
      </c>
      <c r="K19" s="378" t="s">
        <v>1765</v>
      </c>
      <c r="L19" s="378" t="s">
        <v>1766</v>
      </c>
      <c r="M19" s="549"/>
      <c r="N19" s="550"/>
      <c r="O19" s="550"/>
      <c r="P19" s="382">
        <v>0.7</v>
      </c>
      <c r="Q19" s="367"/>
      <c r="R19" s="367"/>
      <c r="U19"/>
      <c r="V19"/>
      <c r="W19"/>
      <c r="X19"/>
      <c r="Y19"/>
      <c r="Z19"/>
      <c r="AA19"/>
      <c r="AB19"/>
      <c r="AC19"/>
      <c r="AD19"/>
      <c r="AE19"/>
      <c r="AF19"/>
      <c r="AG19"/>
    </row>
    <row r="20" spans="1:33" ht="29.25" customHeight="1" x14ac:dyDescent="0.25">
      <c r="A20" s="379">
        <v>23.0625</v>
      </c>
      <c r="B20" s="379">
        <v>54.979166666666671</v>
      </c>
      <c r="C20" s="379">
        <v>6</v>
      </c>
      <c r="D20" s="379">
        <v>0.79166666666666663</v>
      </c>
      <c r="E20" s="379">
        <v>14.625</v>
      </c>
      <c r="F20" s="379">
        <v>65.5</v>
      </c>
      <c r="G20" s="379">
        <v>173.435</v>
      </c>
      <c r="H20" s="379">
        <v>74.2</v>
      </c>
      <c r="I20" s="379">
        <v>3.5</v>
      </c>
      <c r="J20" s="379">
        <v>0</v>
      </c>
      <c r="K20" s="379">
        <v>12.8</v>
      </c>
      <c r="L20" s="379">
        <v>0</v>
      </c>
      <c r="M20" s="549"/>
      <c r="N20" s="459">
        <f>SUM(A20:L20)</f>
        <v>428.89333333333332</v>
      </c>
      <c r="O20" s="458"/>
      <c r="P20" s="367"/>
      <c r="Q20" s="367"/>
      <c r="R20" s="367"/>
      <c r="U20"/>
      <c r="V20"/>
      <c r="W20"/>
      <c r="X20"/>
      <c r="Y20"/>
      <c r="Z20"/>
      <c r="AA20"/>
      <c r="AB20"/>
      <c r="AC20"/>
      <c r="AD20"/>
      <c r="AE20"/>
      <c r="AF20"/>
      <c r="AG20"/>
    </row>
    <row r="21" spans="1:33" ht="20.25" customHeight="1" x14ac:dyDescent="0.25">
      <c r="A21" s="549"/>
      <c r="B21" s="380"/>
      <c r="C21" s="380"/>
      <c r="D21" s="380"/>
      <c r="E21" s="380"/>
      <c r="F21" s="380"/>
      <c r="G21" s="380"/>
      <c r="H21" s="380"/>
      <c r="I21" s="380"/>
      <c r="J21" s="380"/>
      <c r="K21" s="380"/>
      <c r="L21" s="381"/>
      <c r="M21" s="460" t="s">
        <v>2032</v>
      </c>
      <c r="N21" s="463">
        <f>N20*P19</f>
        <v>300.22533333333331</v>
      </c>
      <c r="O21" s="367"/>
      <c r="P21" s="367"/>
      <c r="Q21" s="367"/>
      <c r="R21" s="367"/>
      <c r="U21"/>
      <c r="V21"/>
      <c r="W21"/>
      <c r="X21"/>
      <c r="Y21"/>
      <c r="Z21"/>
      <c r="AA21"/>
      <c r="AB21"/>
      <c r="AC21"/>
      <c r="AD21"/>
      <c r="AE21"/>
      <c r="AF21"/>
      <c r="AG21"/>
    </row>
    <row r="22" spans="1:33" x14ac:dyDescent="0.25">
      <c r="A22" s="607" t="s">
        <v>62</v>
      </c>
      <c r="B22" s="607"/>
      <c r="C22" s="607"/>
      <c r="D22" s="607"/>
      <c r="E22" s="607"/>
      <c r="F22" s="607"/>
      <c r="G22" s="607"/>
      <c r="H22" s="607"/>
      <c r="I22" s="607"/>
      <c r="J22" s="607"/>
      <c r="K22" s="607"/>
      <c r="L22" s="607"/>
      <c r="O22" s="367"/>
      <c r="P22" s="367"/>
      <c r="Q22" s="367"/>
      <c r="R22" s="367"/>
      <c r="U22"/>
      <c r="V22"/>
      <c r="W22"/>
      <c r="X22"/>
      <c r="Y22"/>
      <c r="Z22"/>
      <c r="AA22"/>
      <c r="AB22"/>
      <c r="AC22"/>
      <c r="AD22"/>
      <c r="AE22"/>
      <c r="AF22"/>
      <c r="AG22"/>
    </row>
    <row r="23" spans="1:33" ht="45" x14ac:dyDescent="0.25">
      <c r="A23" s="378" t="s">
        <v>1767</v>
      </c>
      <c r="B23" s="378" t="s">
        <v>1768</v>
      </c>
      <c r="C23" s="378" t="s">
        <v>1769</v>
      </c>
      <c r="D23" s="378" t="s">
        <v>1770</v>
      </c>
      <c r="E23" s="378" t="s">
        <v>1771</v>
      </c>
      <c r="F23" s="378" t="s">
        <v>1772</v>
      </c>
      <c r="G23" s="378" t="s">
        <v>1773</v>
      </c>
      <c r="H23" s="378" t="s">
        <v>1774</v>
      </c>
      <c r="I23" s="378" t="s">
        <v>1775</v>
      </c>
      <c r="J23" s="383" t="s">
        <v>1779</v>
      </c>
      <c r="K23" s="378" t="s">
        <v>1776</v>
      </c>
      <c r="L23" s="378" t="s">
        <v>1777</v>
      </c>
      <c r="M23" s="608"/>
      <c r="N23" s="609"/>
      <c r="O23" s="609"/>
      <c r="P23" s="367"/>
      <c r="Q23" s="367"/>
      <c r="R23" s="367"/>
      <c r="U23"/>
      <c r="V23"/>
      <c r="W23"/>
      <c r="X23"/>
      <c r="Y23"/>
      <c r="Z23"/>
      <c r="AA23"/>
      <c r="AB23"/>
      <c r="AC23"/>
      <c r="AD23"/>
      <c r="AE23"/>
      <c r="AF23"/>
      <c r="AG23"/>
    </row>
    <row r="24" spans="1:33" ht="27.75" customHeight="1" x14ac:dyDescent="0.25">
      <c r="A24" s="423">
        <v>18.45</v>
      </c>
      <c r="B24" s="423">
        <v>44.002083333333331</v>
      </c>
      <c r="C24" s="423">
        <v>4.8000000000000007</v>
      </c>
      <c r="D24" s="423">
        <v>0.63958333333333328</v>
      </c>
      <c r="E24" s="423">
        <v>11.7</v>
      </c>
      <c r="F24" s="423">
        <v>52.631250000000037</v>
      </c>
      <c r="G24" s="423">
        <v>139.79474999999999</v>
      </c>
      <c r="H24" s="423">
        <v>59.360000000000007</v>
      </c>
      <c r="I24" s="423">
        <v>2.8000000000000003</v>
      </c>
      <c r="J24" s="423">
        <v>0</v>
      </c>
      <c r="K24" s="424">
        <v>10.24</v>
      </c>
      <c r="L24" s="424">
        <v>0</v>
      </c>
      <c r="M24" s="549"/>
      <c r="N24" s="458"/>
      <c r="O24" s="459">
        <f>SUM(A24:L24)</f>
        <v>344.41766666666678</v>
      </c>
      <c r="P24" s="367"/>
      <c r="Q24" s="367"/>
      <c r="R24" s="367"/>
      <c r="U24"/>
      <c r="V24"/>
      <c r="W24"/>
      <c r="X24"/>
      <c r="Y24"/>
      <c r="Z24"/>
      <c r="AA24"/>
      <c r="AB24"/>
      <c r="AC24"/>
      <c r="AD24"/>
      <c r="AE24"/>
      <c r="AF24"/>
      <c r="AG24"/>
    </row>
    <row r="25" spans="1:33" ht="21" customHeight="1" x14ac:dyDescent="0.25">
      <c r="A25" s="358"/>
      <c r="B25" s="462"/>
      <c r="C25" s="462"/>
      <c r="D25" s="462"/>
      <c r="E25" s="462"/>
      <c r="F25" s="462"/>
      <c r="G25" s="462"/>
      <c r="H25" s="462"/>
      <c r="I25" s="462"/>
      <c r="J25" s="462"/>
      <c r="K25" s="462"/>
      <c r="L25" s="462"/>
      <c r="M25" s="460" t="s">
        <v>2033</v>
      </c>
      <c r="N25" s="459"/>
      <c r="O25" s="463">
        <f>O24*P19</f>
        <v>241.09236666666672</v>
      </c>
    </row>
    <row r="27" spans="1:33" ht="15.75" x14ac:dyDescent="0.25">
      <c r="A27" s="441" t="s">
        <v>387</v>
      </c>
      <c r="B27" s="355"/>
      <c r="C27" s="355"/>
      <c r="D27" s="355"/>
      <c r="E27" s="355"/>
      <c r="F27" s="355"/>
      <c r="G27" s="355"/>
      <c r="H27" s="355"/>
      <c r="I27" s="355"/>
      <c r="J27" s="355"/>
      <c r="K27" s="355"/>
      <c r="L27" s="355"/>
      <c r="M27" s="355"/>
      <c r="N27" s="461"/>
      <c r="O27" s="466"/>
    </row>
    <row r="28" spans="1:33" x14ac:dyDescent="0.25">
      <c r="A28" s="370"/>
      <c r="B28" s="358"/>
      <c r="C28" s="358"/>
      <c r="D28" s="358"/>
      <c r="E28" s="358"/>
      <c r="F28" s="358"/>
      <c r="G28" s="358"/>
      <c r="H28" s="358"/>
      <c r="I28" s="358"/>
      <c r="J28" s="358"/>
      <c r="K28" s="358"/>
      <c r="L28" s="358"/>
      <c r="M28" s="358"/>
      <c r="N28" s="358"/>
      <c r="O28" s="359"/>
    </row>
    <row r="29" spans="1:33" x14ac:dyDescent="0.25">
      <c r="A29" s="370" t="s">
        <v>2163</v>
      </c>
      <c r="B29" s="358"/>
      <c r="C29" s="358"/>
      <c r="D29" s="358"/>
      <c r="E29" s="358"/>
      <c r="F29" s="358"/>
      <c r="G29" s="358"/>
      <c r="H29" s="358"/>
      <c r="I29" s="358"/>
      <c r="J29" s="358"/>
      <c r="K29" s="358"/>
      <c r="L29" s="358"/>
      <c r="M29" s="358"/>
      <c r="N29" s="358"/>
      <c r="O29" s="359"/>
    </row>
    <row r="30" spans="1:33" x14ac:dyDescent="0.25">
      <c r="A30" s="438"/>
      <c r="B30" s="358"/>
      <c r="C30" s="358"/>
      <c r="D30" s="358"/>
      <c r="E30" s="358"/>
      <c r="F30" s="358"/>
      <c r="G30" s="358"/>
      <c r="H30" s="358"/>
      <c r="I30" s="358"/>
      <c r="J30" s="358"/>
      <c r="K30" s="358"/>
      <c r="L30" s="358"/>
      <c r="M30" s="358"/>
      <c r="N30" s="358"/>
      <c r="O30" s="359"/>
    </row>
    <row r="31" spans="1:33" x14ac:dyDescent="0.25">
      <c r="A31" s="442"/>
      <c r="B31" s="358"/>
      <c r="C31" s="358"/>
      <c r="D31" s="358"/>
      <c r="E31" s="358"/>
      <c r="F31" s="358"/>
      <c r="G31" s="358"/>
      <c r="H31" s="358"/>
      <c r="I31" s="358"/>
      <c r="J31" s="358"/>
      <c r="K31" s="358"/>
      <c r="L31" s="358"/>
      <c r="M31" s="358"/>
      <c r="N31" s="358"/>
      <c r="O31" s="359"/>
    </row>
    <row r="32" spans="1:33" x14ac:dyDescent="0.25">
      <c r="N32" s="470"/>
      <c r="O32" s="471"/>
    </row>
    <row r="33" spans="1:15" x14ac:dyDescent="0.25">
      <c r="A33" s="438"/>
      <c r="N33" s="468" t="s">
        <v>61</v>
      </c>
      <c r="O33" s="468" t="s">
        <v>62</v>
      </c>
    </row>
    <row r="34" spans="1:15" ht="21.75" customHeight="1" x14ac:dyDescent="0.25">
      <c r="A34" s="443"/>
      <c r="B34" s="369"/>
      <c r="C34" s="369"/>
      <c r="D34" s="369"/>
      <c r="E34" s="369"/>
      <c r="F34" s="369"/>
      <c r="G34" s="369"/>
      <c r="H34" s="369"/>
      <c r="I34" s="369"/>
      <c r="J34" s="369"/>
      <c r="K34" s="369"/>
      <c r="L34" s="440" t="s">
        <v>2034</v>
      </c>
      <c r="M34" s="439"/>
      <c r="N34" s="469">
        <f>N6-N20+N21</f>
        <v>1881.1795000000002</v>
      </c>
      <c r="O34" s="467">
        <f>O11-O24+O25</f>
        <v>1584.9034083333333</v>
      </c>
    </row>
    <row r="36" spans="1:15" x14ac:dyDescent="0.25">
      <c r="A36" s="483" t="s">
        <v>2037</v>
      </c>
      <c r="B36" s="371"/>
      <c r="C36" s="484"/>
      <c r="E36" s="483" t="s">
        <v>2039</v>
      </c>
      <c r="F36" s="484"/>
      <c r="G36" s="483" t="s">
        <v>2040</v>
      </c>
      <c r="H36" s="484"/>
      <c r="I36" s="483" t="s">
        <v>2044</v>
      </c>
      <c r="J36" s="484"/>
      <c r="K36" s="601" t="s">
        <v>2043</v>
      </c>
      <c r="L36" s="602"/>
      <c r="M36" s="603" t="s">
        <v>2041</v>
      </c>
      <c r="N36" s="604"/>
      <c r="O36" s="605"/>
    </row>
    <row r="37" spans="1:15" x14ac:dyDescent="0.25">
      <c r="A37" s="468" t="s">
        <v>2038</v>
      </c>
      <c r="B37" s="468" t="s">
        <v>61</v>
      </c>
      <c r="C37" s="468" t="s">
        <v>62</v>
      </c>
      <c r="E37" s="468" t="s">
        <v>61</v>
      </c>
      <c r="F37" s="468" t="s">
        <v>62</v>
      </c>
      <c r="G37" s="468" t="s">
        <v>61</v>
      </c>
      <c r="H37" s="468" t="s">
        <v>62</v>
      </c>
      <c r="I37" s="468" t="s">
        <v>61</v>
      </c>
      <c r="J37" s="468" t="s">
        <v>62</v>
      </c>
      <c r="K37" s="468" t="s">
        <v>61</v>
      </c>
      <c r="L37" s="468" t="s">
        <v>62</v>
      </c>
      <c r="M37" s="493" t="s">
        <v>2038</v>
      </c>
      <c r="N37" s="493" t="s">
        <v>61</v>
      </c>
      <c r="O37" s="493" t="s">
        <v>62</v>
      </c>
    </row>
    <row r="38" spans="1:15" x14ac:dyDescent="0.25">
      <c r="A38" s="468" t="s">
        <v>130</v>
      </c>
      <c r="B38" s="472">
        <f>A6</f>
        <v>43.0625</v>
      </c>
      <c r="C38" s="472">
        <f>A11</f>
        <v>35.450000000000003</v>
      </c>
      <c r="E38" s="472">
        <f>A20</f>
        <v>23.0625</v>
      </c>
      <c r="F38" s="472">
        <f>A24</f>
        <v>18.45</v>
      </c>
      <c r="G38" s="481">
        <f>E38*$P$19</f>
        <v>16.143750000000001</v>
      </c>
      <c r="H38" s="481">
        <f>F38*$P$19</f>
        <v>12.914999999999999</v>
      </c>
      <c r="I38" s="490">
        <f t="shared" ref="I38:J49" si="0">B38-E38+G38</f>
        <v>36.143749999999997</v>
      </c>
      <c r="J38" s="490">
        <f t="shared" si="0"/>
        <v>29.915000000000003</v>
      </c>
      <c r="K38" s="472"/>
      <c r="L38" s="468"/>
      <c r="M38" s="494" t="s">
        <v>130</v>
      </c>
      <c r="N38" s="472">
        <f>I38+K38</f>
        <v>36.143749999999997</v>
      </c>
      <c r="O38" s="472">
        <f t="shared" ref="O38:O41" si="1">J38+L38</f>
        <v>29.915000000000003</v>
      </c>
    </row>
    <row r="39" spans="1:15" x14ac:dyDescent="0.25">
      <c r="A39" s="468" t="s">
        <v>131</v>
      </c>
      <c r="B39" s="472">
        <f>B6</f>
        <v>381.35416666666669</v>
      </c>
      <c r="C39" s="472">
        <f>B11</f>
        <v>321.42083333333346</v>
      </c>
      <c r="E39" s="472">
        <f>B20</f>
        <v>54.979166666666671</v>
      </c>
      <c r="F39" s="472">
        <f>B24</f>
        <v>44.002083333333331</v>
      </c>
      <c r="G39" s="481">
        <f t="shared" ref="G39:H49" si="2">E39*$P$19</f>
        <v>38.485416666666666</v>
      </c>
      <c r="H39" s="481">
        <f t="shared" si="2"/>
        <v>30.801458333333329</v>
      </c>
      <c r="I39" s="472">
        <f t="shared" si="0"/>
        <v>364.86041666666665</v>
      </c>
      <c r="J39" s="472">
        <f t="shared" si="0"/>
        <v>308.22020833333352</v>
      </c>
      <c r="K39" s="468"/>
      <c r="L39" s="468"/>
      <c r="M39" s="493" t="s">
        <v>131</v>
      </c>
      <c r="N39" s="472">
        <f t="shared" ref="N39:N41" si="3">I39+K39</f>
        <v>364.86041666666665</v>
      </c>
      <c r="O39" s="472">
        <f t="shared" si="1"/>
        <v>308.22020833333352</v>
      </c>
    </row>
    <row r="40" spans="1:15" x14ac:dyDescent="0.25">
      <c r="A40" s="468" t="s">
        <v>132</v>
      </c>
      <c r="B40" s="472">
        <f>C6</f>
        <v>40.5</v>
      </c>
      <c r="C40" s="472">
        <f>C11</f>
        <v>34.125</v>
      </c>
      <c r="E40" s="472">
        <f>C20</f>
        <v>6</v>
      </c>
      <c r="F40" s="472">
        <f>C24</f>
        <v>4.8000000000000007</v>
      </c>
      <c r="G40" s="481">
        <f t="shared" si="2"/>
        <v>4.1999999999999993</v>
      </c>
      <c r="H40" s="481">
        <f t="shared" si="2"/>
        <v>3.3600000000000003</v>
      </c>
      <c r="I40" s="472">
        <f t="shared" si="0"/>
        <v>38.700000000000003</v>
      </c>
      <c r="J40" s="472">
        <f t="shared" si="0"/>
        <v>32.685000000000002</v>
      </c>
      <c r="K40" s="468"/>
      <c r="L40" s="468"/>
      <c r="M40" s="493" t="s">
        <v>132</v>
      </c>
      <c r="N40" s="472">
        <f t="shared" si="3"/>
        <v>38.700000000000003</v>
      </c>
      <c r="O40" s="472">
        <f t="shared" si="1"/>
        <v>32.685000000000002</v>
      </c>
    </row>
    <row r="41" spans="1:15" x14ac:dyDescent="0.25">
      <c r="A41" s="468" t="s">
        <v>133</v>
      </c>
      <c r="B41" s="472">
        <f>D6</f>
        <v>417.17333333333346</v>
      </c>
      <c r="C41" s="472">
        <f>D11</f>
        <v>354.56400000000008</v>
      </c>
      <c r="E41" s="472">
        <f>D20</f>
        <v>0.79166666666666663</v>
      </c>
      <c r="F41" s="472">
        <f>D24</f>
        <v>0.63958333333333328</v>
      </c>
      <c r="G41" s="481">
        <f t="shared" si="2"/>
        <v>0.55416666666666659</v>
      </c>
      <c r="H41" s="481">
        <f t="shared" si="2"/>
        <v>0.44770833333333326</v>
      </c>
      <c r="I41" s="472">
        <f t="shared" si="0"/>
        <v>416.93583333333345</v>
      </c>
      <c r="J41" s="472">
        <f t="shared" si="0"/>
        <v>354.37212500000004</v>
      </c>
      <c r="K41" s="468"/>
      <c r="L41" s="468"/>
      <c r="M41" s="493" t="s">
        <v>133</v>
      </c>
      <c r="N41" s="472">
        <f t="shared" si="3"/>
        <v>416.93583333333345</v>
      </c>
      <c r="O41" s="472">
        <f t="shared" si="1"/>
        <v>354.37212500000004</v>
      </c>
    </row>
    <row r="42" spans="1:15" x14ac:dyDescent="0.25">
      <c r="A42" s="468" t="s">
        <v>134</v>
      </c>
      <c r="B42" s="472">
        <f>E6</f>
        <v>26.125</v>
      </c>
      <c r="C42" s="472">
        <f>E11</f>
        <v>21.475000000000001</v>
      </c>
      <c r="E42" s="488">
        <f>E20</f>
        <v>14.625</v>
      </c>
      <c r="F42" s="488">
        <f>E24</f>
        <v>11.7</v>
      </c>
      <c r="G42" s="489">
        <f t="shared" si="2"/>
        <v>10.237499999999999</v>
      </c>
      <c r="H42" s="481">
        <f t="shared" si="2"/>
        <v>8.19</v>
      </c>
      <c r="I42" s="490">
        <f t="shared" si="0"/>
        <v>21.737499999999997</v>
      </c>
      <c r="J42" s="490">
        <f t="shared" si="0"/>
        <v>17.965000000000003</v>
      </c>
      <c r="K42" s="472">
        <f>10-I42</f>
        <v>-11.737499999999997</v>
      </c>
      <c r="L42" s="472">
        <f>10-J42</f>
        <v>-7.9650000000000034</v>
      </c>
      <c r="M42" s="493" t="s">
        <v>134</v>
      </c>
      <c r="N42" s="472">
        <f>I42+K42</f>
        <v>10</v>
      </c>
      <c r="O42" s="472">
        <f>J42+L42</f>
        <v>10</v>
      </c>
    </row>
    <row r="43" spans="1:15" x14ac:dyDescent="0.25">
      <c r="A43" s="468" t="s">
        <v>135</v>
      </c>
      <c r="B43" s="472">
        <f>F6</f>
        <v>233.5</v>
      </c>
      <c r="C43" s="472">
        <f>F11</f>
        <v>195.43125000000003</v>
      </c>
      <c r="E43" s="488">
        <f>F20</f>
        <v>65.5</v>
      </c>
      <c r="F43" s="488">
        <f>F24</f>
        <v>52.631250000000037</v>
      </c>
      <c r="G43" s="489">
        <f t="shared" si="2"/>
        <v>45.849999999999994</v>
      </c>
      <c r="H43" s="481">
        <f t="shared" si="2"/>
        <v>36.841875000000023</v>
      </c>
      <c r="I43" s="490">
        <f t="shared" si="0"/>
        <v>213.85</v>
      </c>
      <c r="J43" s="490">
        <f t="shared" si="0"/>
        <v>179.64187500000003</v>
      </c>
      <c r="K43" s="472">
        <f>-(K38+K42)</f>
        <v>11.737499999999997</v>
      </c>
      <c r="L43" s="472">
        <f>-(L38+L42)</f>
        <v>7.9650000000000034</v>
      </c>
      <c r="M43" s="493" t="s">
        <v>135</v>
      </c>
      <c r="N43" s="472">
        <f t="shared" ref="N43:O49" si="4">I43+K43</f>
        <v>225.58749999999998</v>
      </c>
      <c r="O43" s="472">
        <f t="shared" si="4"/>
        <v>187.60687500000003</v>
      </c>
    </row>
    <row r="44" spans="1:15" x14ac:dyDescent="0.25">
      <c r="A44" s="468" t="s">
        <v>136</v>
      </c>
      <c r="B44" s="472">
        <f>G6</f>
        <v>517.35458333333338</v>
      </c>
      <c r="C44" s="472">
        <f>G11</f>
        <v>432.12639583333322</v>
      </c>
      <c r="E44" s="472">
        <f>G20</f>
        <v>173.435</v>
      </c>
      <c r="F44" s="472">
        <f>G24</f>
        <v>139.79474999999999</v>
      </c>
      <c r="G44" s="481">
        <f t="shared" si="2"/>
        <v>121.4045</v>
      </c>
      <c r="H44" s="481">
        <f t="shared" si="2"/>
        <v>97.856324999999984</v>
      </c>
      <c r="I44" s="472">
        <f t="shared" si="0"/>
        <v>465.32408333333336</v>
      </c>
      <c r="J44" s="472">
        <f t="shared" si="0"/>
        <v>390.18797083333322</v>
      </c>
      <c r="K44" s="468"/>
      <c r="L44" s="468"/>
      <c r="M44" s="493" t="s">
        <v>136</v>
      </c>
      <c r="N44" s="472">
        <f t="shared" si="4"/>
        <v>465.32408333333336</v>
      </c>
      <c r="O44" s="472">
        <f t="shared" si="4"/>
        <v>390.18797083333322</v>
      </c>
    </row>
    <row r="45" spans="1:15" x14ac:dyDescent="0.25">
      <c r="A45" s="468" t="s">
        <v>126</v>
      </c>
      <c r="B45" s="472">
        <f>H6</f>
        <v>88.925000000000011</v>
      </c>
      <c r="C45" s="472">
        <f>H11</f>
        <v>71.876249999999999</v>
      </c>
      <c r="E45" s="472">
        <f>H20</f>
        <v>74.2</v>
      </c>
      <c r="F45" s="472">
        <f>H24</f>
        <v>59.360000000000007</v>
      </c>
      <c r="G45" s="481">
        <f t="shared" si="2"/>
        <v>51.94</v>
      </c>
      <c r="H45" s="481">
        <f t="shared" si="2"/>
        <v>41.552</v>
      </c>
      <c r="I45" s="472">
        <f t="shared" si="0"/>
        <v>66.665000000000006</v>
      </c>
      <c r="J45" s="472">
        <f t="shared" si="0"/>
        <v>54.068249999999992</v>
      </c>
      <c r="K45" s="468"/>
      <c r="L45" s="468"/>
      <c r="M45" s="493" t="s">
        <v>126</v>
      </c>
      <c r="N45" s="472">
        <f t="shared" si="4"/>
        <v>66.665000000000006</v>
      </c>
      <c r="O45" s="472">
        <f t="shared" si="4"/>
        <v>54.068249999999992</v>
      </c>
    </row>
    <row r="46" spans="1:15" x14ac:dyDescent="0.25">
      <c r="A46" s="468" t="s">
        <v>774</v>
      </c>
      <c r="B46" s="472">
        <f>I6</f>
        <v>165.36291666666671</v>
      </c>
      <c r="C46" s="472">
        <f>I11</f>
        <v>140.38347916666666</v>
      </c>
      <c r="E46" s="472">
        <f>I20</f>
        <v>3.5</v>
      </c>
      <c r="F46" s="472">
        <f>I24</f>
        <v>2.8000000000000003</v>
      </c>
      <c r="G46" s="481">
        <f t="shared" si="2"/>
        <v>2.4499999999999997</v>
      </c>
      <c r="H46" s="481">
        <f t="shared" si="2"/>
        <v>1.96</v>
      </c>
      <c r="I46" s="472">
        <f t="shared" si="0"/>
        <v>164.31291666666669</v>
      </c>
      <c r="J46" s="472">
        <f t="shared" si="0"/>
        <v>139.54347916666666</v>
      </c>
      <c r="K46" s="468"/>
      <c r="L46" s="468"/>
      <c r="M46" s="493" t="s">
        <v>774</v>
      </c>
      <c r="N46" s="472">
        <f t="shared" si="4"/>
        <v>164.31291666666669</v>
      </c>
      <c r="O46" s="472">
        <f t="shared" si="4"/>
        <v>139.54347916666666</v>
      </c>
    </row>
    <row r="47" spans="1:15" x14ac:dyDescent="0.25">
      <c r="A47" s="468" t="s">
        <v>342</v>
      </c>
      <c r="B47" s="472">
        <f>J6</f>
        <v>0</v>
      </c>
      <c r="C47" s="468"/>
      <c r="E47" s="468"/>
      <c r="F47" s="468"/>
      <c r="G47" s="481">
        <f t="shared" si="2"/>
        <v>0</v>
      </c>
      <c r="H47" s="481">
        <f t="shared" si="2"/>
        <v>0</v>
      </c>
      <c r="I47" s="482">
        <f t="shared" si="0"/>
        <v>0</v>
      </c>
      <c r="J47" s="472">
        <f t="shared" si="0"/>
        <v>0</v>
      </c>
      <c r="K47" s="468"/>
      <c r="L47" s="468"/>
      <c r="M47" s="493" t="s">
        <v>342</v>
      </c>
      <c r="N47" s="490">
        <f>I47+K47</f>
        <v>0</v>
      </c>
      <c r="O47" s="472">
        <f t="shared" si="4"/>
        <v>0</v>
      </c>
    </row>
    <row r="48" spans="1:15" x14ac:dyDescent="0.25">
      <c r="A48" s="468" t="s">
        <v>137</v>
      </c>
      <c r="B48" s="472">
        <f>K6</f>
        <v>54.55</v>
      </c>
      <c r="C48" s="472">
        <f>K11</f>
        <v>45.727499999999999</v>
      </c>
      <c r="E48" s="472">
        <f>K20</f>
        <v>12.8</v>
      </c>
      <c r="F48" s="472">
        <f>K24</f>
        <v>10.24</v>
      </c>
      <c r="G48" s="481">
        <f t="shared" si="2"/>
        <v>8.9599999999999991</v>
      </c>
      <c r="H48" s="481">
        <f t="shared" si="2"/>
        <v>7.1679999999999993</v>
      </c>
      <c r="I48" s="472">
        <f t="shared" si="0"/>
        <v>50.71</v>
      </c>
      <c r="J48" s="472">
        <f t="shared" si="0"/>
        <v>42.655499999999996</v>
      </c>
      <c r="K48" s="468"/>
      <c r="L48" s="468"/>
      <c r="M48" s="493" t="s">
        <v>137</v>
      </c>
      <c r="N48" s="472">
        <f t="shared" si="4"/>
        <v>50.71</v>
      </c>
      <c r="O48" s="472">
        <f t="shared" si="4"/>
        <v>42.655499999999996</v>
      </c>
    </row>
    <row r="49" spans="1:15" x14ac:dyDescent="0.25">
      <c r="A49" s="468" t="s">
        <v>322</v>
      </c>
      <c r="B49" s="472">
        <f>L6</f>
        <v>41.94</v>
      </c>
      <c r="C49" s="472">
        <f>L11</f>
        <v>35.649000000000008</v>
      </c>
      <c r="E49" s="472">
        <f>L24</f>
        <v>0</v>
      </c>
      <c r="F49" s="472">
        <f>L24</f>
        <v>0</v>
      </c>
      <c r="G49" s="481">
        <f t="shared" si="2"/>
        <v>0</v>
      </c>
      <c r="H49" s="481">
        <f t="shared" si="2"/>
        <v>0</v>
      </c>
      <c r="I49" s="472">
        <f t="shared" si="0"/>
        <v>41.94</v>
      </c>
      <c r="J49" s="472">
        <f t="shared" si="0"/>
        <v>35.649000000000008</v>
      </c>
      <c r="K49" s="468"/>
      <c r="L49" s="468"/>
      <c r="M49" s="493" t="s">
        <v>322</v>
      </c>
      <c r="N49" s="472">
        <f t="shared" si="4"/>
        <v>41.94</v>
      </c>
      <c r="O49" s="472">
        <f t="shared" si="4"/>
        <v>35.649000000000008</v>
      </c>
    </row>
    <row r="50" spans="1:15" x14ac:dyDescent="0.25">
      <c r="A50" s="468" t="s">
        <v>154</v>
      </c>
      <c r="B50" s="472">
        <f>SUM(B38:B49)</f>
        <v>2009.8475000000001</v>
      </c>
      <c r="C50" s="472">
        <f>SUM(C38:C49)</f>
        <v>1688.2287083333333</v>
      </c>
      <c r="E50" s="472">
        <f t="shared" ref="E50:J50" si="5">SUM(E38:E49)</f>
        <v>428.89333333333332</v>
      </c>
      <c r="F50" s="472">
        <f t="shared" si="5"/>
        <v>344.41766666666678</v>
      </c>
      <c r="G50" s="481">
        <f t="shared" si="5"/>
        <v>300.22533333333331</v>
      </c>
      <c r="H50" s="481">
        <f t="shared" si="5"/>
        <v>241.09236666666669</v>
      </c>
      <c r="I50" s="485">
        <f t="shared" si="5"/>
        <v>1881.1795000000002</v>
      </c>
      <c r="J50" s="485">
        <f t="shared" si="5"/>
        <v>1584.9034083333338</v>
      </c>
      <c r="K50" s="468"/>
      <c r="L50" s="468"/>
      <c r="M50" s="491" t="s">
        <v>154</v>
      </c>
      <c r="N50" s="492">
        <f>SUM(N38:N49)</f>
        <v>1881.1795000000002</v>
      </c>
      <c r="O50" s="492">
        <f>SUM(O38:O49)</f>
        <v>1584.9034083333338</v>
      </c>
    </row>
  </sheetData>
  <mergeCells count="7">
    <mergeCell ref="K36:L36"/>
    <mergeCell ref="M36:O36"/>
    <mergeCell ref="A4:L4"/>
    <mergeCell ref="A9:L9"/>
    <mergeCell ref="A18:L18"/>
    <mergeCell ref="A22:L22"/>
    <mergeCell ref="M23:O23"/>
  </mergeCells>
  <pageMargins left="0.70866141732283472" right="0.70866141732283472" top="0.74803149606299213" bottom="0.74803149606299213" header="0.31496062992125984" footer="0.31496062992125984"/>
  <pageSetup paperSize="9" scale="69" orientation="landscape" r:id="rId1"/>
  <headerFooter>
    <oddFooter>&amp;L&amp;A&amp;C&amp;F&amp;R&amp;D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AG50"/>
  <sheetViews>
    <sheetView workbookViewId="0">
      <selection activeCell="Z21" sqref="Z21"/>
    </sheetView>
  </sheetViews>
  <sheetFormatPr defaultColWidth="9.140625" defaultRowHeight="15" x14ac:dyDescent="0.25"/>
  <cols>
    <col min="1" max="8" width="9.140625" style="353"/>
    <col min="9" max="9" width="11" style="353" customWidth="1"/>
    <col min="10" max="10" width="11.7109375" style="353" customWidth="1"/>
    <col min="11" max="11" width="10.28515625" style="353" customWidth="1"/>
    <col min="12" max="12" width="9.140625" style="353"/>
    <col min="13" max="13" width="24.140625" style="353" customWidth="1"/>
    <col min="14" max="14" width="11.42578125" style="353" customWidth="1"/>
    <col min="15" max="15" width="12" style="353" customWidth="1"/>
    <col min="16" max="16384" width="9.140625" style="353"/>
  </cols>
  <sheetData>
    <row r="2" spans="1:33" ht="15.75" x14ac:dyDescent="0.25">
      <c r="A2" s="354" t="s">
        <v>2030</v>
      </c>
      <c r="B2" s="355"/>
      <c r="C2" s="355"/>
      <c r="D2" s="355"/>
      <c r="E2" s="355"/>
      <c r="F2" s="355"/>
      <c r="G2" s="355"/>
      <c r="H2" s="355"/>
      <c r="I2" s="355"/>
      <c r="J2" s="355"/>
      <c r="K2" s="355"/>
      <c r="L2" s="356"/>
      <c r="M2" s="368" t="s">
        <v>1778</v>
      </c>
      <c r="N2" s="367"/>
      <c r="O2" s="367"/>
      <c r="P2" s="367"/>
      <c r="Q2" s="367"/>
      <c r="R2" s="367"/>
    </row>
    <row r="3" spans="1:33" ht="15.75" x14ac:dyDescent="0.25">
      <c r="A3" s="357"/>
      <c r="B3" s="358"/>
      <c r="C3" s="358"/>
      <c r="D3" s="358"/>
      <c r="E3" s="358"/>
      <c r="F3" s="358"/>
      <c r="G3" s="358"/>
      <c r="H3" s="358"/>
      <c r="I3" s="358"/>
      <c r="J3" s="358"/>
      <c r="K3" s="358"/>
      <c r="L3" s="359"/>
    </row>
    <row r="4" spans="1:33" x14ac:dyDescent="0.25">
      <c r="A4" s="606" t="s">
        <v>61</v>
      </c>
      <c r="B4" s="606"/>
      <c r="C4" s="606"/>
      <c r="D4" s="606"/>
      <c r="E4" s="606"/>
      <c r="F4" s="606"/>
      <c r="G4" s="606"/>
      <c r="H4" s="606"/>
      <c r="I4" s="606"/>
      <c r="J4" s="606"/>
      <c r="K4" s="606"/>
      <c r="L4" s="606"/>
      <c r="N4" s="353" t="s">
        <v>61</v>
      </c>
      <c r="O4" s="353" t="s">
        <v>62</v>
      </c>
      <c r="U4"/>
      <c r="V4"/>
      <c r="W4"/>
      <c r="X4"/>
      <c r="Y4"/>
      <c r="Z4"/>
      <c r="AA4"/>
      <c r="AB4"/>
      <c r="AC4"/>
      <c r="AD4"/>
      <c r="AE4"/>
      <c r="AF4"/>
      <c r="AG4"/>
    </row>
    <row r="5" spans="1:33" ht="45" x14ac:dyDescent="0.25">
      <c r="A5" s="360" t="s">
        <v>1755</v>
      </c>
      <c r="B5" s="360" t="s">
        <v>1756</v>
      </c>
      <c r="C5" s="360" t="s">
        <v>1757</v>
      </c>
      <c r="D5" s="360" t="s">
        <v>1758</v>
      </c>
      <c r="E5" s="360" t="s">
        <v>1759</v>
      </c>
      <c r="F5" s="360" t="s">
        <v>1760</v>
      </c>
      <c r="G5" s="360" t="s">
        <v>1761</v>
      </c>
      <c r="H5" s="360" t="s">
        <v>1762</v>
      </c>
      <c r="I5" s="360" t="s">
        <v>1763</v>
      </c>
      <c r="J5" s="360" t="s">
        <v>1764</v>
      </c>
      <c r="K5" s="360" t="s">
        <v>1765</v>
      </c>
      <c r="L5" s="360" t="s">
        <v>1766</v>
      </c>
      <c r="U5"/>
      <c r="V5"/>
      <c r="W5"/>
      <c r="X5"/>
      <c r="Y5"/>
      <c r="Z5"/>
      <c r="AA5"/>
      <c r="AB5"/>
      <c r="AC5"/>
      <c r="AD5"/>
      <c r="AE5"/>
      <c r="AF5"/>
      <c r="AG5"/>
    </row>
    <row r="6" spans="1:33" x14ac:dyDescent="0.25">
      <c r="A6" s="361">
        <v>43.0625</v>
      </c>
      <c r="B6" s="361">
        <v>379.10416666666669</v>
      </c>
      <c r="C6" s="361">
        <v>40.5</v>
      </c>
      <c r="D6" s="361">
        <v>441.58041666666679</v>
      </c>
      <c r="E6" s="486">
        <v>25.75</v>
      </c>
      <c r="F6" s="486">
        <v>241.45833333333331</v>
      </c>
      <c r="G6" s="361">
        <v>513.41833333333341</v>
      </c>
      <c r="H6" s="361">
        <v>87.737499999999997</v>
      </c>
      <c r="I6" s="361">
        <v>169.56666666666666</v>
      </c>
      <c r="J6" s="362">
        <v>0</v>
      </c>
      <c r="K6" s="361">
        <v>53.424999999999997</v>
      </c>
      <c r="L6" s="361">
        <v>40.318333333333335</v>
      </c>
      <c r="N6" s="464">
        <f>SUM(A6:L6)</f>
        <v>2035.9212500000001</v>
      </c>
      <c r="U6"/>
      <c r="V6"/>
      <c r="W6"/>
      <c r="X6"/>
      <c r="Y6"/>
      <c r="Z6"/>
      <c r="AA6"/>
      <c r="AB6"/>
      <c r="AC6"/>
      <c r="AD6"/>
      <c r="AE6"/>
      <c r="AF6"/>
      <c r="AG6"/>
    </row>
    <row r="7" spans="1:33" x14ac:dyDescent="0.25">
      <c r="A7" s="363"/>
      <c r="B7" s="364"/>
      <c r="C7" s="364"/>
      <c r="D7" s="364"/>
      <c r="E7"/>
      <c r="F7"/>
      <c r="G7" s="364"/>
      <c r="H7" s="364"/>
      <c r="I7" s="364"/>
      <c r="J7" s="364"/>
      <c r="K7" s="364"/>
      <c r="L7" s="365"/>
      <c r="U7"/>
      <c r="V7"/>
      <c r="W7"/>
      <c r="X7"/>
      <c r="Y7"/>
      <c r="Z7"/>
      <c r="AA7"/>
      <c r="AB7"/>
      <c r="AC7"/>
      <c r="AD7"/>
      <c r="AE7"/>
      <c r="AF7"/>
      <c r="AG7"/>
    </row>
    <row r="8" spans="1:33" x14ac:dyDescent="0.25">
      <c r="A8" s="363"/>
      <c r="B8" s="364"/>
      <c r="C8" s="364"/>
      <c r="D8" s="364"/>
      <c r="E8"/>
      <c r="F8"/>
      <c r="G8" s="364"/>
      <c r="H8" s="364"/>
      <c r="I8" s="364"/>
      <c r="J8" s="364"/>
      <c r="K8" s="364"/>
      <c r="L8" s="365"/>
      <c r="U8"/>
      <c r="V8"/>
      <c r="W8"/>
      <c r="X8"/>
      <c r="Y8"/>
      <c r="Z8"/>
      <c r="AA8"/>
      <c r="AB8"/>
      <c r="AC8"/>
      <c r="AD8"/>
      <c r="AE8"/>
      <c r="AF8"/>
      <c r="AG8"/>
    </row>
    <row r="9" spans="1:33" x14ac:dyDescent="0.25">
      <c r="A9" s="606" t="s">
        <v>62</v>
      </c>
      <c r="B9" s="606"/>
      <c r="C9" s="606"/>
      <c r="D9" s="606"/>
      <c r="E9" s="606"/>
      <c r="F9" s="606"/>
      <c r="G9" s="606"/>
      <c r="H9" s="606"/>
      <c r="I9" s="606"/>
      <c r="J9" s="606"/>
      <c r="K9" s="606"/>
      <c r="L9" s="606"/>
      <c r="U9"/>
      <c r="V9"/>
      <c r="W9"/>
      <c r="X9"/>
      <c r="Y9"/>
      <c r="Z9"/>
      <c r="AA9"/>
      <c r="AB9"/>
      <c r="AC9"/>
      <c r="AD9"/>
      <c r="AE9"/>
      <c r="AF9"/>
      <c r="AG9"/>
    </row>
    <row r="10" spans="1:33" ht="45" x14ac:dyDescent="0.25">
      <c r="A10" s="360" t="s">
        <v>1767</v>
      </c>
      <c r="B10" s="360" t="s">
        <v>1768</v>
      </c>
      <c r="C10" s="360" t="s">
        <v>1769</v>
      </c>
      <c r="D10" s="360" t="s">
        <v>1770</v>
      </c>
      <c r="E10" s="360" t="s">
        <v>1771</v>
      </c>
      <c r="F10" s="360" t="s">
        <v>1772</v>
      </c>
      <c r="G10" s="360" t="s">
        <v>1773</v>
      </c>
      <c r="H10" s="360" t="s">
        <v>1774</v>
      </c>
      <c r="I10" s="360" t="s">
        <v>1775</v>
      </c>
      <c r="J10" s="360" t="s">
        <v>1779</v>
      </c>
      <c r="K10" s="360" t="s">
        <v>1776</v>
      </c>
      <c r="L10" s="360" t="s">
        <v>1777</v>
      </c>
      <c r="N10" s="366"/>
      <c r="O10" s="367"/>
      <c r="P10" s="367"/>
      <c r="Q10" s="367"/>
      <c r="R10" s="367"/>
      <c r="S10" s="367"/>
      <c r="T10" s="367"/>
      <c r="U10"/>
      <c r="V10"/>
      <c r="W10"/>
      <c r="X10"/>
      <c r="Y10"/>
      <c r="Z10"/>
      <c r="AA10"/>
      <c r="AB10"/>
      <c r="AC10"/>
      <c r="AD10"/>
      <c r="AE10"/>
      <c r="AF10"/>
      <c r="AG10"/>
    </row>
    <row r="11" spans="1:33" x14ac:dyDescent="0.25">
      <c r="A11" s="361">
        <v>35.450000000000003</v>
      </c>
      <c r="B11" s="361">
        <v>319.88958333333341</v>
      </c>
      <c r="C11" s="361">
        <v>34.125</v>
      </c>
      <c r="D11" s="361">
        <v>375.31002083333345</v>
      </c>
      <c r="E11" s="486">
        <v>21.2</v>
      </c>
      <c r="F11" s="486">
        <v>201.87291666666667</v>
      </c>
      <c r="G11" s="361">
        <v>428.73058333333319</v>
      </c>
      <c r="H11" s="361">
        <v>70.923125000000013</v>
      </c>
      <c r="I11" s="361">
        <v>143.95666666666668</v>
      </c>
      <c r="J11" s="468"/>
      <c r="K11" s="472">
        <v>44.858749999999986</v>
      </c>
      <c r="L11" s="361">
        <v>34.270583333333335</v>
      </c>
      <c r="N11" s="368"/>
      <c r="O11" s="465">
        <f>SUM(A11:L11)</f>
        <v>1710.5872291666669</v>
      </c>
      <c r="P11" s="367"/>
      <c r="Q11" s="367"/>
      <c r="R11" s="367"/>
      <c r="S11" s="367"/>
      <c r="T11" s="367"/>
      <c r="U11"/>
      <c r="V11"/>
      <c r="W11"/>
      <c r="X11"/>
      <c r="Y11"/>
      <c r="Z11"/>
      <c r="AA11"/>
      <c r="AB11"/>
      <c r="AC11"/>
      <c r="AD11"/>
      <c r="AE11"/>
      <c r="AF11"/>
      <c r="AG11"/>
    </row>
    <row r="12" spans="1:33" x14ac:dyDescent="0.25">
      <c r="A12" s="474"/>
      <c r="B12" s="475"/>
      <c r="C12" s="475"/>
      <c r="D12" s="475"/>
      <c r="E12"/>
      <c r="F12"/>
      <c r="G12" s="475"/>
      <c r="H12" s="475"/>
      <c r="I12" s="475"/>
      <c r="J12" s="476"/>
      <c r="K12" s="477"/>
      <c r="L12" s="478"/>
      <c r="N12" s="368"/>
      <c r="O12" s="465"/>
      <c r="P12" s="367"/>
      <c r="Q12" s="367"/>
      <c r="R12" s="367"/>
      <c r="S12" s="367"/>
      <c r="T12" s="367"/>
      <c r="U12"/>
      <c r="V12"/>
      <c r="W12"/>
      <c r="X12"/>
      <c r="Y12"/>
      <c r="Z12"/>
      <c r="AA12"/>
      <c r="AB12"/>
      <c r="AC12"/>
      <c r="AD12"/>
      <c r="AE12"/>
      <c r="AF12"/>
      <c r="AG12"/>
    </row>
    <row r="13" spans="1:33" x14ac:dyDescent="0.25">
      <c r="A13" s="479"/>
      <c r="B13" s="473"/>
      <c r="C13" s="473"/>
      <c r="D13" s="473"/>
      <c r="E13" s="487"/>
      <c r="F13" s="487"/>
      <c r="G13" s="473"/>
      <c r="H13" s="473"/>
      <c r="I13" s="473"/>
      <c r="J13" s="473"/>
      <c r="K13" s="473"/>
      <c r="L13" s="480"/>
      <c r="R13"/>
      <c r="S13"/>
      <c r="U13"/>
      <c r="V13"/>
      <c r="W13"/>
      <c r="X13"/>
      <c r="Y13"/>
      <c r="Z13"/>
      <c r="AA13"/>
      <c r="AB13"/>
      <c r="AC13"/>
      <c r="AD13"/>
      <c r="AE13"/>
      <c r="AF13"/>
      <c r="AG13"/>
    </row>
    <row r="14" spans="1:33" x14ac:dyDescent="0.25">
      <c r="U14"/>
      <c r="V14"/>
      <c r="W14"/>
      <c r="X14"/>
      <c r="Y14"/>
      <c r="Z14"/>
      <c r="AA14"/>
      <c r="AB14"/>
      <c r="AC14"/>
      <c r="AD14"/>
      <c r="AE14"/>
      <c r="AF14"/>
      <c r="AG14"/>
    </row>
    <row r="15" spans="1:33" x14ac:dyDescent="0.25">
      <c r="U15"/>
      <c r="V15"/>
      <c r="W15"/>
      <c r="X15"/>
      <c r="Y15"/>
      <c r="Z15"/>
      <c r="AA15"/>
      <c r="AB15"/>
      <c r="AC15"/>
      <c r="AD15"/>
      <c r="AE15"/>
      <c r="AF15"/>
      <c r="AG15"/>
    </row>
    <row r="16" spans="1:33" ht="15.75" x14ac:dyDescent="0.25">
      <c r="A16" s="372" t="s">
        <v>2031</v>
      </c>
      <c r="B16" s="373"/>
      <c r="C16" s="373"/>
      <c r="D16" s="373"/>
      <c r="E16" s="373"/>
      <c r="F16" s="373"/>
      <c r="G16" s="373"/>
      <c r="H16" s="373"/>
      <c r="I16" s="373"/>
      <c r="J16" s="373"/>
      <c r="K16" s="373"/>
      <c r="L16" s="374"/>
      <c r="M16" s="367"/>
      <c r="N16" s="367"/>
      <c r="O16" s="367"/>
      <c r="P16" s="367"/>
      <c r="Q16" s="367"/>
      <c r="R16" s="367"/>
      <c r="U16"/>
      <c r="V16"/>
      <c r="W16"/>
      <c r="X16"/>
      <c r="Y16"/>
      <c r="Z16"/>
      <c r="AA16"/>
      <c r="AB16"/>
      <c r="AC16"/>
      <c r="AD16"/>
      <c r="AE16"/>
      <c r="AF16"/>
      <c r="AG16"/>
    </row>
    <row r="17" spans="1:33" ht="15.75" x14ac:dyDescent="0.25">
      <c r="A17" s="375"/>
      <c r="B17" s="376"/>
      <c r="C17" s="376"/>
      <c r="D17" s="376"/>
      <c r="E17" s="376"/>
      <c r="F17" s="376"/>
      <c r="G17" s="376"/>
      <c r="H17" s="376"/>
      <c r="I17" s="376"/>
      <c r="J17" s="376"/>
      <c r="K17" s="376"/>
      <c r="L17" s="377"/>
      <c r="M17" s="367"/>
      <c r="N17" s="367"/>
      <c r="O17" s="367"/>
      <c r="P17" s="367"/>
      <c r="Q17" s="367"/>
      <c r="R17" s="367"/>
      <c r="U17"/>
      <c r="V17"/>
      <c r="W17"/>
      <c r="X17"/>
      <c r="Y17"/>
      <c r="Z17"/>
      <c r="AA17"/>
      <c r="AB17"/>
      <c r="AC17"/>
      <c r="AD17"/>
      <c r="AE17"/>
      <c r="AF17"/>
      <c r="AG17"/>
    </row>
    <row r="18" spans="1:33" x14ac:dyDescent="0.25">
      <c r="A18" s="607" t="s">
        <v>61</v>
      </c>
      <c r="B18" s="607"/>
      <c r="C18" s="607"/>
      <c r="D18" s="607"/>
      <c r="E18" s="607"/>
      <c r="F18" s="607"/>
      <c r="G18" s="607"/>
      <c r="H18" s="607"/>
      <c r="I18" s="607"/>
      <c r="J18" s="607"/>
      <c r="K18" s="607"/>
      <c r="L18" s="607"/>
      <c r="M18" s="367"/>
      <c r="N18" s="367"/>
      <c r="O18" s="367"/>
      <c r="P18" s="367"/>
      <c r="Q18" s="367"/>
      <c r="R18" s="367"/>
      <c r="U18"/>
      <c r="V18"/>
      <c r="W18"/>
      <c r="X18"/>
      <c r="Y18"/>
      <c r="Z18"/>
      <c r="AA18"/>
      <c r="AB18"/>
      <c r="AC18"/>
      <c r="AD18"/>
      <c r="AE18"/>
      <c r="AF18"/>
      <c r="AG18"/>
    </row>
    <row r="19" spans="1:33" ht="45" x14ac:dyDescent="0.25">
      <c r="A19" s="378" t="s">
        <v>1755</v>
      </c>
      <c r="B19" s="378" t="s">
        <v>1756</v>
      </c>
      <c r="C19" s="378" t="s">
        <v>1757</v>
      </c>
      <c r="D19" s="378" t="s">
        <v>1758</v>
      </c>
      <c r="E19" s="378" t="s">
        <v>1759</v>
      </c>
      <c r="F19" s="378" t="s">
        <v>1760</v>
      </c>
      <c r="G19" s="378" t="s">
        <v>1761</v>
      </c>
      <c r="H19" s="378" t="s">
        <v>1762</v>
      </c>
      <c r="I19" s="378" t="s">
        <v>1763</v>
      </c>
      <c r="J19" s="378" t="s">
        <v>1764</v>
      </c>
      <c r="K19" s="378" t="s">
        <v>1765</v>
      </c>
      <c r="L19" s="378" t="s">
        <v>1766</v>
      </c>
      <c r="M19" s="542"/>
      <c r="N19" s="543"/>
      <c r="O19" s="543"/>
      <c r="P19" s="382">
        <v>0.7</v>
      </c>
      <c r="Q19" s="367"/>
      <c r="R19" s="367"/>
      <c r="U19"/>
      <c r="V19"/>
      <c r="W19"/>
      <c r="X19"/>
      <c r="Y19"/>
      <c r="Z19"/>
      <c r="AA19"/>
      <c r="AB19"/>
      <c r="AC19"/>
      <c r="AD19"/>
      <c r="AE19"/>
      <c r="AF19"/>
      <c r="AG19"/>
    </row>
    <row r="20" spans="1:33" ht="29.25" customHeight="1" x14ac:dyDescent="0.25">
      <c r="A20" s="379">
        <v>23.0625</v>
      </c>
      <c r="B20" s="379">
        <v>47.354166666666671</v>
      </c>
      <c r="C20" s="379">
        <v>6</v>
      </c>
      <c r="D20" s="379">
        <v>0.79166666666666663</v>
      </c>
      <c r="E20" s="379">
        <v>13.75</v>
      </c>
      <c r="F20" s="379">
        <v>71.958333333333329</v>
      </c>
      <c r="G20" s="379">
        <v>174.435</v>
      </c>
      <c r="H20" s="379">
        <v>73.075000000000003</v>
      </c>
      <c r="I20" s="379">
        <v>3.5</v>
      </c>
      <c r="J20" s="379">
        <v>0</v>
      </c>
      <c r="K20" s="379">
        <v>11.05</v>
      </c>
      <c r="L20" s="379">
        <v>0</v>
      </c>
      <c r="M20" s="542"/>
      <c r="N20" s="459">
        <f>SUM(A20:L20)</f>
        <v>424.97666666666669</v>
      </c>
      <c r="O20" s="458"/>
      <c r="P20" s="367"/>
      <c r="Q20" s="367"/>
      <c r="R20" s="367"/>
      <c r="U20"/>
      <c r="V20"/>
      <c r="W20"/>
      <c r="X20"/>
      <c r="Y20"/>
      <c r="Z20"/>
      <c r="AA20"/>
      <c r="AB20"/>
      <c r="AC20"/>
      <c r="AD20"/>
      <c r="AE20"/>
      <c r="AF20"/>
      <c r="AG20"/>
    </row>
    <row r="21" spans="1:33" ht="20.25" customHeight="1" x14ac:dyDescent="0.25">
      <c r="A21" s="542"/>
      <c r="B21" s="380"/>
      <c r="C21" s="380"/>
      <c r="D21" s="380"/>
      <c r="E21" s="380"/>
      <c r="F21" s="380"/>
      <c r="G21" s="380"/>
      <c r="H21" s="380"/>
      <c r="I21" s="380"/>
      <c r="J21" s="380"/>
      <c r="K21" s="380"/>
      <c r="L21" s="381"/>
      <c r="M21" s="460" t="s">
        <v>2032</v>
      </c>
      <c r="N21" s="463">
        <f>N20*P19</f>
        <v>297.48366666666664</v>
      </c>
      <c r="O21" s="367"/>
      <c r="P21" s="367"/>
      <c r="Q21" s="367"/>
      <c r="R21" s="367"/>
      <c r="U21"/>
      <c r="V21"/>
      <c r="W21"/>
      <c r="X21"/>
      <c r="Y21"/>
      <c r="Z21"/>
      <c r="AA21"/>
      <c r="AB21"/>
      <c r="AC21"/>
      <c r="AD21"/>
      <c r="AE21"/>
      <c r="AF21"/>
      <c r="AG21"/>
    </row>
    <row r="22" spans="1:33" x14ac:dyDescent="0.25">
      <c r="A22" s="607" t="s">
        <v>62</v>
      </c>
      <c r="B22" s="607"/>
      <c r="C22" s="607"/>
      <c r="D22" s="607"/>
      <c r="E22" s="607"/>
      <c r="F22" s="607"/>
      <c r="G22" s="607"/>
      <c r="H22" s="607"/>
      <c r="I22" s="607"/>
      <c r="J22" s="607"/>
      <c r="K22" s="607"/>
      <c r="L22" s="607"/>
      <c r="O22" s="367"/>
      <c r="P22" s="367"/>
      <c r="Q22" s="367"/>
      <c r="R22" s="367"/>
      <c r="U22"/>
      <c r="V22"/>
      <c r="W22"/>
      <c r="X22"/>
      <c r="Y22"/>
      <c r="Z22"/>
      <c r="AA22"/>
      <c r="AB22"/>
      <c r="AC22"/>
      <c r="AD22"/>
      <c r="AE22"/>
      <c r="AF22"/>
      <c r="AG22"/>
    </row>
    <row r="23" spans="1:33" ht="45" x14ac:dyDescent="0.25">
      <c r="A23" s="378" t="s">
        <v>1767</v>
      </c>
      <c r="B23" s="378" t="s">
        <v>1768</v>
      </c>
      <c r="C23" s="378" t="s">
        <v>1769</v>
      </c>
      <c r="D23" s="378" t="s">
        <v>1770</v>
      </c>
      <c r="E23" s="378" t="s">
        <v>1771</v>
      </c>
      <c r="F23" s="378" t="s">
        <v>1772</v>
      </c>
      <c r="G23" s="378" t="s">
        <v>1773</v>
      </c>
      <c r="H23" s="378" t="s">
        <v>1774</v>
      </c>
      <c r="I23" s="378" t="s">
        <v>1775</v>
      </c>
      <c r="J23" s="383" t="s">
        <v>1779</v>
      </c>
      <c r="K23" s="378" t="s">
        <v>1776</v>
      </c>
      <c r="L23" s="378" t="s">
        <v>1777</v>
      </c>
      <c r="M23" s="608"/>
      <c r="N23" s="609"/>
      <c r="O23" s="609"/>
      <c r="P23" s="367"/>
      <c r="Q23" s="367"/>
      <c r="R23" s="367"/>
      <c r="U23"/>
      <c r="V23"/>
      <c r="W23"/>
      <c r="X23"/>
      <c r="Y23"/>
      <c r="Z23"/>
      <c r="AA23"/>
      <c r="AB23"/>
      <c r="AC23"/>
      <c r="AD23"/>
      <c r="AE23"/>
      <c r="AF23"/>
      <c r="AG23"/>
    </row>
    <row r="24" spans="1:33" ht="27.75" customHeight="1" x14ac:dyDescent="0.25">
      <c r="A24" s="423">
        <v>18.450000000000003</v>
      </c>
      <c r="B24" s="423">
        <v>37.902083333333337</v>
      </c>
      <c r="C24" s="423">
        <v>4.8000000000000007</v>
      </c>
      <c r="D24" s="423">
        <v>0.63958333333333339</v>
      </c>
      <c r="E24" s="423">
        <v>11</v>
      </c>
      <c r="F24" s="423">
        <v>57.79791666666668</v>
      </c>
      <c r="G24" s="423">
        <v>140.59474999999998</v>
      </c>
      <c r="H24" s="423">
        <v>58.460000000000015</v>
      </c>
      <c r="I24" s="423">
        <v>2.8000000000000003</v>
      </c>
      <c r="J24" s="423">
        <v>0</v>
      </c>
      <c r="K24" s="424">
        <v>8.84</v>
      </c>
      <c r="L24" s="424">
        <v>0</v>
      </c>
      <c r="M24" s="542"/>
      <c r="N24" s="458"/>
      <c r="O24" s="459">
        <f>SUM(A24:L24)</f>
        <v>341.28433333333334</v>
      </c>
      <c r="P24" s="367"/>
      <c r="Q24" s="367"/>
      <c r="R24" s="367"/>
      <c r="U24"/>
      <c r="V24"/>
      <c r="W24"/>
      <c r="X24"/>
      <c r="Y24"/>
      <c r="Z24"/>
      <c r="AA24"/>
      <c r="AB24"/>
      <c r="AC24"/>
      <c r="AD24"/>
      <c r="AE24"/>
      <c r="AF24"/>
      <c r="AG24"/>
    </row>
    <row r="25" spans="1:33" ht="21" customHeight="1" x14ac:dyDescent="0.25">
      <c r="A25" s="358"/>
      <c r="B25" s="462"/>
      <c r="C25" s="462"/>
      <c r="D25" s="462"/>
      <c r="E25" s="462"/>
      <c r="F25" s="462"/>
      <c r="G25" s="462"/>
      <c r="H25" s="462"/>
      <c r="I25" s="462"/>
      <c r="J25" s="462"/>
      <c r="K25" s="462"/>
      <c r="L25" s="462"/>
      <c r="M25" s="460" t="s">
        <v>2033</v>
      </c>
      <c r="N25" s="459"/>
      <c r="O25" s="463">
        <f>O24*P19</f>
        <v>238.89903333333331</v>
      </c>
    </row>
    <row r="27" spans="1:33" ht="15.75" x14ac:dyDescent="0.25">
      <c r="A27" s="441" t="s">
        <v>387</v>
      </c>
      <c r="B27" s="355"/>
      <c r="C27" s="355"/>
      <c r="D27" s="355"/>
      <c r="E27" s="355"/>
      <c r="F27" s="355"/>
      <c r="G27" s="355"/>
      <c r="H27" s="355"/>
      <c r="I27" s="355"/>
      <c r="J27" s="355"/>
      <c r="K27" s="355"/>
      <c r="L27" s="355"/>
      <c r="M27" s="355"/>
      <c r="N27" s="461"/>
      <c r="O27" s="466"/>
    </row>
    <row r="28" spans="1:33" x14ac:dyDescent="0.25">
      <c r="A28" s="370"/>
      <c r="B28" s="358"/>
      <c r="C28" s="358"/>
      <c r="D28" s="358"/>
      <c r="E28" s="358"/>
      <c r="F28" s="358"/>
      <c r="G28" s="358"/>
      <c r="H28" s="358"/>
      <c r="I28" s="358"/>
      <c r="J28" s="358"/>
      <c r="K28" s="358"/>
      <c r="L28" s="358"/>
      <c r="M28" s="358"/>
      <c r="N28" s="358"/>
      <c r="O28" s="359"/>
    </row>
    <row r="29" spans="1:33" x14ac:dyDescent="0.25">
      <c r="A29" s="370" t="s">
        <v>2042</v>
      </c>
      <c r="B29" s="358"/>
      <c r="C29" s="358"/>
      <c r="D29" s="358"/>
      <c r="E29" s="358"/>
      <c r="F29" s="358"/>
      <c r="G29" s="358"/>
      <c r="H29" s="358"/>
      <c r="I29" s="358"/>
      <c r="J29" s="358"/>
      <c r="K29" s="358"/>
      <c r="L29" s="358"/>
      <c r="M29" s="358"/>
      <c r="N29" s="358"/>
      <c r="O29" s="359"/>
    </row>
    <row r="30" spans="1:33" x14ac:dyDescent="0.25">
      <c r="A30" s="438"/>
      <c r="B30" s="358"/>
      <c r="C30" s="358"/>
      <c r="D30" s="358"/>
      <c r="E30" s="358"/>
      <c r="F30" s="358"/>
      <c r="G30" s="358"/>
      <c r="H30" s="358"/>
      <c r="I30" s="358"/>
      <c r="J30" s="358"/>
      <c r="K30" s="358"/>
      <c r="L30" s="358"/>
      <c r="M30" s="358"/>
      <c r="N30" s="358"/>
      <c r="O30" s="359"/>
    </row>
    <row r="31" spans="1:33" x14ac:dyDescent="0.25">
      <c r="A31" s="442"/>
      <c r="B31" s="358"/>
      <c r="C31" s="358"/>
      <c r="D31" s="358"/>
      <c r="E31" s="358"/>
      <c r="F31" s="358"/>
      <c r="G31" s="358"/>
      <c r="H31" s="358"/>
      <c r="I31" s="358"/>
      <c r="J31" s="358"/>
      <c r="K31" s="358"/>
      <c r="L31" s="358"/>
      <c r="M31" s="358"/>
      <c r="N31" s="358"/>
      <c r="O31" s="359"/>
    </row>
    <row r="32" spans="1:33" x14ac:dyDescent="0.25">
      <c r="N32" s="470"/>
      <c r="O32" s="471"/>
    </row>
    <row r="33" spans="1:15" x14ac:dyDescent="0.25">
      <c r="A33" s="438"/>
      <c r="N33" s="468" t="s">
        <v>61</v>
      </c>
      <c r="O33" s="468" t="s">
        <v>62</v>
      </c>
    </row>
    <row r="34" spans="1:15" ht="21.75" customHeight="1" x14ac:dyDescent="0.25">
      <c r="A34" s="443"/>
      <c r="B34" s="369"/>
      <c r="C34" s="369"/>
      <c r="D34" s="369"/>
      <c r="E34" s="369"/>
      <c r="F34" s="369"/>
      <c r="G34" s="369"/>
      <c r="H34" s="369"/>
      <c r="I34" s="369"/>
      <c r="J34" s="369"/>
      <c r="K34" s="369"/>
      <c r="L34" s="440" t="s">
        <v>2034</v>
      </c>
      <c r="M34" s="439"/>
      <c r="N34" s="469">
        <f>N6-N20+N21</f>
        <v>1908.4282499999999</v>
      </c>
      <c r="O34" s="467">
        <f>O11-O24+O25</f>
        <v>1608.201929166667</v>
      </c>
    </row>
    <row r="36" spans="1:15" x14ac:dyDescent="0.25">
      <c r="A36" s="483" t="s">
        <v>2037</v>
      </c>
      <c r="B36" s="371"/>
      <c r="C36" s="484"/>
      <c r="E36" s="483" t="s">
        <v>2039</v>
      </c>
      <c r="F36" s="484"/>
      <c r="G36" s="483" t="s">
        <v>2040</v>
      </c>
      <c r="H36" s="484"/>
      <c r="I36" s="483" t="s">
        <v>2044</v>
      </c>
      <c r="J36" s="484"/>
      <c r="K36" s="601" t="s">
        <v>2043</v>
      </c>
      <c r="L36" s="602"/>
      <c r="M36" s="603" t="s">
        <v>2041</v>
      </c>
      <c r="N36" s="604"/>
      <c r="O36" s="605"/>
    </row>
    <row r="37" spans="1:15" x14ac:dyDescent="0.25">
      <c r="A37" s="468" t="s">
        <v>2038</v>
      </c>
      <c r="B37" s="468" t="s">
        <v>61</v>
      </c>
      <c r="C37" s="468" t="s">
        <v>62</v>
      </c>
      <c r="E37" s="468" t="s">
        <v>61</v>
      </c>
      <c r="F37" s="468" t="s">
        <v>62</v>
      </c>
      <c r="G37" s="468" t="s">
        <v>61</v>
      </c>
      <c r="H37" s="468" t="s">
        <v>62</v>
      </c>
      <c r="I37" s="468" t="s">
        <v>61</v>
      </c>
      <c r="J37" s="468" t="s">
        <v>62</v>
      </c>
      <c r="K37" s="468" t="s">
        <v>61</v>
      </c>
      <c r="L37" s="468" t="s">
        <v>62</v>
      </c>
      <c r="M37" s="493" t="s">
        <v>2038</v>
      </c>
      <c r="N37" s="493" t="s">
        <v>61</v>
      </c>
      <c r="O37" s="493" t="s">
        <v>62</v>
      </c>
    </row>
    <row r="38" spans="1:15" x14ac:dyDescent="0.25">
      <c r="A38" s="468" t="s">
        <v>130</v>
      </c>
      <c r="B38" s="472">
        <f>A6</f>
        <v>43.0625</v>
      </c>
      <c r="C38" s="472">
        <f>A11</f>
        <v>35.450000000000003</v>
      </c>
      <c r="E38" s="472">
        <f>A20</f>
        <v>23.0625</v>
      </c>
      <c r="F38" s="472">
        <f>A24</f>
        <v>18.450000000000003</v>
      </c>
      <c r="G38" s="481">
        <f>E38*$P$19</f>
        <v>16.143750000000001</v>
      </c>
      <c r="H38" s="481">
        <f>F38*$P$19</f>
        <v>12.915000000000001</v>
      </c>
      <c r="I38" s="490">
        <f t="shared" ref="I38:J49" si="0">B38-E38+G38</f>
        <v>36.143749999999997</v>
      </c>
      <c r="J38" s="490">
        <f t="shared" si="0"/>
        <v>29.914999999999999</v>
      </c>
      <c r="K38" s="472">
        <f>37-I38</f>
        <v>0.85625000000000284</v>
      </c>
      <c r="L38" s="468"/>
      <c r="M38" s="494" t="s">
        <v>130</v>
      </c>
      <c r="N38" s="472">
        <f>I38+K38</f>
        <v>37</v>
      </c>
      <c r="O38" s="472">
        <f t="shared" ref="O38:O41" si="1">J38+L38</f>
        <v>29.914999999999999</v>
      </c>
    </row>
    <row r="39" spans="1:15" x14ac:dyDescent="0.25">
      <c r="A39" s="468" t="s">
        <v>131</v>
      </c>
      <c r="B39" s="472">
        <f>B6</f>
        <v>379.10416666666669</v>
      </c>
      <c r="C39" s="472">
        <f>B11</f>
        <v>319.88958333333341</v>
      </c>
      <c r="E39" s="472">
        <f>B20</f>
        <v>47.354166666666671</v>
      </c>
      <c r="F39" s="472">
        <f>B24</f>
        <v>37.902083333333337</v>
      </c>
      <c r="G39" s="481">
        <f t="shared" ref="G39:H49" si="2">E39*$P$19</f>
        <v>33.147916666666667</v>
      </c>
      <c r="H39" s="481">
        <f t="shared" si="2"/>
        <v>26.531458333333333</v>
      </c>
      <c r="I39" s="472">
        <f t="shared" si="0"/>
        <v>364.89791666666667</v>
      </c>
      <c r="J39" s="472">
        <f t="shared" si="0"/>
        <v>308.51895833333339</v>
      </c>
      <c r="K39" s="468"/>
      <c r="L39" s="468"/>
      <c r="M39" s="493" t="s">
        <v>131</v>
      </c>
      <c r="N39" s="472">
        <f t="shared" ref="N39:N41" si="3">I39+K39</f>
        <v>364.89791666666667</v>
      </c>
      <c r="O39" s="472">
        <f t="shared" si="1"/>
        <v>308.51895833333339</v>
      </c>
    </row>
    <row r="40" spans="1:15" x14ac:dyDescent="0.25">
      <c r="A40" s="468" t="s">
        <v>132</v>
      </c>
      <c r="B40" s="472">
        <f>C6</f>
        <v>40.5</v>
      </c>
      <c r="C40" s="472">
        <f>C11</f>
        <v>34.125</v>
      </c>
      <c r="E40" s="472">
        <f>C20</f>
        <v>6</v>
      </c>
      <c r="F40" s="472">
        <f>C24</f>
        <v>4.8000000000000007</v>
      </c>
      <c r="G40" s="481">
        <f t="shared" si="2"/>
        <v>4.1999999999999993</v>
      </c>
      <c r="H40" s="481">
        <f t="shared" si="2"/>
        <v>3.3600000000000003</v>
      </c>
      <c r="I40" s="472">
        <f t="shared" si="0"/>
        <v>38.700000000000003</v>
      </c>
      <c r="J40" s="472">
        <f t="shared" si="0"/>
        <v>32.685000000000002</v>
      </c>
      <c r="K40" s="468"/>
      <c r="L40" s="468"/>
      <c r="M40" s="493" t="s">
        <v>132</v>
      </c>
      <c r="N40" s="472">
        <f t="shared" si="3"/>
        <v>38.700000000000003</v>
      </c>
      <c r="O40" s="472">
        <f t="shared" si="1"/>
        <v>32.685000000000002</v>
      </c>
    </row>
    <row r="41" spans="1:15" x14ac:dyDescent="0.25">
      <c r="A41" s="468" t="s">
        <v>133</v>
      </c>
      <c r="B41" s="472">
        <f>D6</f>
        <v>441.58041666666679</v>
      </c>
      <c r="C41" s="472">
        <f>D11</f>
        <v>375.31002083333345</v>
      </c>
      <c r="E41" s="472">
        <f>D20</f>
        <v>0.79166666666666663</v>
      </c>
      <c r="F41" s="472">
        <f>D24</f>
        <v>0.63958333333333339</v>
      </c>
      <c r="G41" s="481">
        <f t="shared" si="2"/>
        <v>0.55416666666666659</v>
      </c>
      <c r="H41" s="481">
        <f t="shared" si="2"/>
        <v>0.44770833333333332</v>
      </c>
      <c r="I41" s="472">
        <f t="shared" si="0"/>
        <v>441.34291666666678</v>
      </c>
      <c r="J41" s="472">
        <f t="shared" si="0"/>
        <v>375.11814583333341</v>
      </c>
      <c r="K41" s="468"/>
      <c r="L41" s="468"/>
      <c r="M41" s="493" t="s">
        <v>133</v>
      </c>
      <c r="N41" s="472">
        <f t="shared" si="3"/>
        <v>441.34291666666678</v>
      </c>
      <c r="O41" s="472">
        <f t="shared" si="1"/>
        <v>375.11814583333341</v>
      </c>
    </row>
    <row r="42" spans="1:15" x14ac:dyDescent="0.25">
      <c r="A42" s="468" t="s">
        <v>134</v>
      </c>
      <c r="B42" s="472">
        <f>E6</f>
        <v>25.75</v>
      </c>
      <c r="C42" s="472">
        <f>E11</f>
        <v>21.2</v>
      </c>
      <c r="E42" s="488">
        <f>E20</f>
        <v>13.75</v>
      </c>
      <c r="F42" s="488">
        <f>E24</f>
        <v>11</v>
      </c>
      <c r="G42" s="489">
        <f t="shared" si="2"/>
        <v>9.625</v>
      </c>
      <c r="H42" s="481">
        <f t="shared" si="2"/>
        <v>7.6999999999999993</v>
      </c>
      <c r="I42" s="490">
        <f t="shared" si="0"/>
        <v>21.625</v>
      </c>
      <c r="J42" s="490">
        <f t="shared" si="0"/>
        <v>17.899999999999999</v>
      </c>
      <c r="K42" s="472">
        <f>10-I42</f>
        <v>-11.625</v>
      </c>
      <c r="L42" s="472">
        <f>10-J42</f>
        <v>-7.8999999999999986</v>
      </c>
      <c r="M42" s="493" t="s">
        <v>134</v>
      </c>
      <c r="N42" s="472">
        <f>I42+K42</f>
        <v>10</v>
      </c>
      <c r="O42" s="472">
        <f>J42+L42</f>
        <v>10</v>
      </c>
    </row>
    <row r="43" spans="1:15" x14ac:dyDescent="0.25">
      <c r="A43" s="468" t="s">
        <v>135</v>
      </c>
      <c r="B43" s="472">
        <f>F6</f>
        <v>241.45833333333331</v>
      </c>
      <c r="C43" s="472">
        <f>F11</f>
        <v>201.87291666666667</v>
      </c>
      <c r="E43" s="488">
        <f>F20</f>
        <v>71.958333333333329</v>
      </c>
      <c r="F43" s="488">
        <f>F24</f>
        <v>57.79791666666668</v>
      </c>
      <c r="G43" s="489">
        <f t="shared" si="2"/>
        <v>50.37083333333333</v>
      </c>
      <c r="H43" s="481">
        <f t="shared" si="2"/>
        <v>40.458541666666676</v>
      </c>
      <c r="I43" s="490">
        <f t="shared" si="0"/>
        <v>219.87083333333334</v>
      </c>
      <c r="J43" s="490">
        <f t="shared" si="0"/>
        <v>184.53354166666668</v>
      </c>
      <c r="K43" s="472">
        <f>-(K38+K42)</f>
        <v>10.768749999999997</v>
      </c>
      <c r="L43" s="472">
        <f>-(L38+L42)</f>
        <v>7.8999999999999986</v>
      </c>
      <c r="M43" s="493" t="s">
        <v>135</v>
      </c>
      <c r="N43" s="472">
        <f t="shared" ref="N43:O49" si="4">I43+K43</f>
        <v>230.63958333333335</v>
      </c>
      <c r="O43" s="472">
        <f t="shared" si="4"/>
        <v>192.43354166666668</v>
      </c>
    </row>
    <row r="44" spans="1:15" x14ac:dyDescent="0.25">
      <c r="A44" s="468" t="s">
        <v>136</v>
      </c>
      <c r="B44" s="472">
        <f>G6</f>
        <v>513.41833333333341</v>
      </c>
      <c r="C44" s="472">
        <f>G11</f>
        <v>428.73058333333319</v>
      </c>
      <c r="E44" s="472">
        <f>G20</f>
        <v>174.435</v>
      </c>
      <c r="F44" s="472">
        <f>G24</f>
        <v>140.59474999999998</v>
      </c>
      <c r="G44" s="481">
        <f t="shared" si="2"/>
        <v>122.10449999999999</v>
      </c>
      <c r="H44" s="481">
        <f t="shared" si="2"/>
        <v>98.416324999999972</v>
      </c>
      <c r="I44" s="472">
        <f t="shared" si="0"/>
        <v>461.08783333333338</v>
      </c>
      <c r="J44" s="472">
        <f t="shared" si="0"/>
        <v>386.55215833333318</v>
      </c>
      <c r="K44" s="468"/>
      <c r="L44" s="468"/>
      <c r="M44" s="493" t="s">
        <v>136</v>
      </c>
      <c r="N44" s="472">
        <f t="shared" si="4"/>
        <v>461.08783333333338</v>
      </c>
      <c r="O44" s="472">
        <f t="shared" si="4"/>
        <v>386.55215833333318</v>
      </c>
    </row>
    <row r="45" spans="1:15" x14ac:dyDescent="0.25">
      <c r="A45" s="468" t="s">
        <v>126</v>
      </c>
      <c r="B45" s="472">
        <f>H6</f>
        <v>87.737499999999997</v>
      </c>
      <c r="C45" s="472">
        <f>H11</f>
        <v>70.923125000000013</v>
      </c>
      <c r="E45" s="472">
        <f>H20</f>
        <v>73.075000000000003</v>
      </c>
      <c r="F45" s="472">
        <f>H24</f>
        <v>58.460000000000015</v>
      </c>
      <c r="G45" s="481">
        <f t="shared" si="2"/>
        <v>51.152499999999996</v>
      </c>
      <c r="H45" s="481">
        <f t="shared" si="2"/>
        <v>40.922000000000011</v>
      </c>
      <c r="I45" s="472">
        <f t="shared" si="0"/>
        <v>65.814999999999998</v>
      </c>
      <c r="J45" s="472">
        <f t="shared" si="0"/>
        <v>53.385125000000009</v>
      </c>
      <c r="K45" s="468"/>
      <c r="L45" s="468"/>
      <c r="M45" s="493" t="s">
        <v>126</v>
      </c>
      <c r="N45" s="472">
        <f t="shared" si="4"/>
        <v>65.814999999999998</v>
      </c>
      <c r="O45" s="472">
        <f t="shared" si="4"/>
        <v>53.385125000000009</v>
      </c>
    </row>
    <row r="46" spans="1:15" x14ac:dyDescent="0.25">
      <c r="A46" s="468" t="s">
        <v>774</v>
      </c>
      <c r="B46" s="472">
        <f>I6</f>
        <v>169.56666666666666</v>
      </c>
      <c r="C46" s="472">
        <f>I11</f>
        <v>143.95666666666668</v>
      </c>
      <c r="E46" s="472">
        <f>I20</f>
        <v>3.5</v>
      </c>
      <c r="F46" s="472">
        <f>I24</f>
        <v>2.8000000000000003</v>
      </c>
      <c r="G46" s="481">
        <f t="shared" si="2"/>
        <v>2.4499999999999997</v>
      </c>
      <c r="H46" s="481">
        <f t="shared" si="2"/>
        <v>1.96</v>
      </c>
      <c r="I46" s="472">
        <f t="shared" si="0"/>
        <v>168.51666666666665</v>
      </c>
      <c r="J46" s="472">
        <f t="shared" si="0"/>
        <v>143.11666666666667</v>
      </c>
      <c r="K46" s="468"/>
      <c r="L46" s="468"/>
      <c r="M46" s="493" t="s">
        <v>774</v>
      </c>
      <c r="N46" s="472">
        <f t="shared" si="4"/>
        <v>168.51666666666665</v>
      </c>
      <c r="O46" s="472">
        <f t="shared" si="4"/>
        <v>143.11666666666667</v>
      </c>
    </row>
    <row r="47" spans="1:15" x14ac:dyDescent="0.25">
      <c r="A47" s="468" t="s">
        <v>342</v>
      </c>
      <c r="B47" s="472">
        <f>J6</f>
        <v>0</v>
      </c>
      <c r="C47" s="468"/>
      <c r="E47" s="468"/>
      <c r="F47" s="468"/>
      <c r="G47" s="481">
        <f t="shared" si="2"/>
        <v>0</v>
      </c>
      <c r="H47" s="481">
        <f t="shared" si="2"/>
        <v>0</v>
      </c>
      <c r="I47" s="482">
        <f t="shared" si="0"/>
        <v>0</v>
      </c>
      <c r="J47" s="472">
        <f t="shared" si="0"/>
        <v>0</v>
      </c>
      <c r="K47" s="468"/>
      <c r="L47" s="468"/>
      <c r="M47" s="493" t="s">
        <v>342</v>
      </c>
      <c r="N47" s="490">
        <f>I47+K47</f>
        <v>0</v>
      </c>
      <c r="O47" s="472">
        <f t="shared" si="4"/>
        <v>0</v>
      </c>
    </row>
    <row r="48" spans="1:15" x14ac:dyDescent="0.25">
      <c r="A48" s="468" t="s">
        <v>137</v>
      </c>
      <c r="B48" s="472">
        <f>K6</f>
        <v>53.424999999999997</v>
      </c>
      <c r="C48" s="472">
        <f>K11</f>
        <v>44.858749999999986</v>
      </c>
      <c r="E48" s="472">
        <f>K20</f>
        <v>11.05</v>
      </c>
      <c r="F48" s="472">
        <f>K24</f>
        <v>8.84</v>
      </c>
      <c r="G48" s="481">
        <f t="shared" si="2"/>
        <v>7.7350000000000003</v>
      </c>
      <c r="H48" s="481">
        <f t="shared" si="2"/>
        <v>6.1879999999999997</v>
      </c>
      <c r="I48" s="472">
        <f t="shared" si="0"/>
        <v>50.11</v>
      </c>
      <c r="J48" s="472">
        <f t="shared" si="0"/>
        <v>42.206749999999985</v>
      </c>
      <c r="K48" s="468"/>
      <c r="L48" s="468"/>
      <c r="M48" s="493" t="s">
        <v>137</v>
      </c>
      <c r="N48" s="472">
        <f t="shared" si="4"/>
        <v>50.11</v>
      </c>
      <c r="O48" s="472">
        <f t="shared" si="4"/>
        <v>42.206749999999985</v>
      </c>
    </row>
    <row r="49" spans="1:15" x14ac:dyDescent="0.25">
      <c r="A49" s="468" t="s">
        <v>322</v>
      </c>
      <c r="B49" s="472">
        <f>L6</f>
        <v>40.318333333333335</v>
      </c>
      <c r="C49" s="472">
        <f>L11</f>
        <v>34.270583333333335</v>
      </c>
      <c r="E49" s="472">
        <f>L24</f>
        <v>0</v>
      </c>
      <c r="F49" s="472">
        <f>L24</f>
        <v>0</v>
      </c>
      <c r="G49" s="481">
        <f t="shared" si="2"/>
        <v>0</v>
      </c>
      <c r="H49" s="481">
        <f t="shared" si="2"/>
        <v>0</v>
      </c>
      <c r="I49" s="472">
        <f t="shared" si="0"/>
        <v>40.318333333333335</v>
      </c>
      <c r="J49" s="472">
        <f t="shared" si="0"/>
        <v>34.270583333333335</v>
      </c>
      <c r="K49" s="468"/>
      <c r="L49" s="468"/>
      <c r="M49" s="493" t="s">
        <v>322</v>
      </c>
      <c r="N49" s="472">
        <f t="shared" si="4"/>
        <v>40.318333333333335</v>
      </c>
      <c r="O49" s="472">
        <f t="shared" si="4"/>
        <v>34.270583333333335</v>
      </c>
    </row>
    <row r="50" spans="1:15" x14ac:dyDescent="0.25">
      <c r="A50" s="468" t="s">
        <v>154</v>
      </c>
      <c r="B50" s="472">
        <f>SUM(B38:B49)</f>
        <v>2035.9212500000001</v>
      </c>
      <c r="C50" s="472">
        <f>SUM(C38:C49)</f>
        <v>1710.5872291666669</v>
      </c>
      <c r="E50" s="472">
        <f t="shared" ref="E50:J50" si="5">SUM(E38:E49)</f>
        <v>424.97666666666669</v>
      </c>
      <c r="F50" s="472">
        <f t="shared" si="5"/>
        <v>341.28433333333334</v>
      </c>
      <c r="G50" s="481">
        <f t="shared" si="5"/>
        <v>297.48366666666664</v>
      </c>
      <c r="H50" s="481">
        <f t="shared" si="5"/>
        <v>238.89903333333334</v>
      </c>
      <c r="I50" s="485">
        <f t="shared" si="5"/>
        <v>1908.4282500000002</v>
      </c>
      <c r="J50" s="485">
        <f t="shared" si="5"/>
        <v>1608.2019291666668</v>
      </c>
      <c r="K50" s="468"/>
      <c r="L50" s="468"/>
      <c r="M50" s="491" t="s">
        <v>154</v>
      </c>
      <c r="N50" s="492">
        <f>SUM(N38:N49)</f>
        <v>1908.4282500000002</v>
      </c>
      <c r="O50" s="492">
        <f>SUM(O38:O49)</f>
        <v>1608.2019291666668</v>
      </c>
    </row>
  </sheetData>
  <mergeCells count="7">
    <mergeCell ref="K36:L36"/>
    <mergeCell ref="M36:O36"/>
    <mergeCell ref="A4:L4"/>
    <mergeCell ref="A9:L9"/>
    <mergeCell ref="A18:L18"/>
    <mergeCell ref="A22:L22"/>
    <mergeCell ref="M23:O23"/>
  </mergeCells>
  <pageMargins left="0.70866141732283472" right="0.70866141732283472" top="0.74803149606299213" bottom="0.74803149606299213" header="0.31496062992125984" footer="0.31496062992125984"/>
  <pageSetup paperSize="9" scale="69" orientation="landscape" r:id="rId1"/>
  <headerFooter>
    <oddFooter>&amp;L&amp;A&amp;C&amp;F&amp;R&amp;D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AG50"/>
  <sheetViews>
    <sheetView workbookViewId="0">
      <selection activeCell="M23" sqref="M23:O23"/>
    </sheetView>
  </sheetViews>
  <sheetFormatPr defaultColWidth="9.140625" defaultRowHeight="15" x14ac:dyDescent="0.25"/>
  <cols>
    <col min="1" max="8" width="9.140625" style="353"/>
    <col min="9" max="9" width="11" style="353" customWidth="1"/>
    <col min="10" max="10" width="11.7109375" style="353" customWidth="1"/>
    <col min="11" max="11" width="10.28515625" style="353" customWidth="1"/>
    <col min="12" max="12" width="9.140625" style="353"/>
    <col min="13" max="13" width="24.140625" style="353" customWidth="1"/>
    <col min="14" max="14" width="11.42578125" style="353" customWidth="1"/>
    <col min="15" max="15" width="12" style="353" customWidth="1"/>
    <col min="16" max="16384" width="9.140625" style="353"/>
  </cols>
  <sheetData>
    <row r="2" spans="1:33" ht="15.75" x14ac:dyDescent="0.25">
      <c r="A2" s="354" t="s">
        <v>2030</v>
      </c>
      <c r="B2" s="355"/>
      <c r="C2" s="355"/>
      <c r="D2" s="355"/>
      <c r="E2" s="355"/>
      <c r="F2" s="355"/>
      <c r="G2" s="355"/>
      <c r="H2" s="355"/>
      <c r="I2" s="355"/>
      <c r="J2" s="355"/>
      <c r="K2" s="355"/>
      <c r="L2" s="356"/>
      <c r="M2" s="368" t="s">
        <v>1778</v>
      </c>
      <c r="N2" s="367"/>
      <c r="O2" s="367"/>
      <c r="P2" s="367"/>
      <c r="Q2" s="367"/>
      <c r="R2" s="367"/>
    </row>
    <row r="3" spans="1:33" ht="15.75" x14ac:dyDescent="0.25">
      <c r="A3" s="357"/>
      <c r="B3" s="358"/>
      <c r="C3" s="358"/>
      <c r="D3" s="358"/>
      <c r="E3" s="358"/>
      <c r="F3" s="358"/>
      <c r="G3" s="358"/>
      <c r="H3" s="358"/>
      <c r="I3" s="358"/>
      <c r="J3" s="358"/>
      <c r="K3" s="358"/>
      <c r="L3" s="359"/>
    </row>
    <row r="4" spans="1:33" x14ac:dyDescent="0.25">
      <c r="A4" s="606" t="s">
        <v>61</v>
      </c>
      <c r="B4" s="606"/>
      <c r="C4" s="606"/>
      <c r="D4" s="606"/>
      <c r="E4" s="606"/>
      <c r="F4" s="606"/>
      <c r="G4" s="606"/>
      <c r="H4" s="606"/>
      <c r="I4" s="606"/>
      <c r="J4" s="606"/>
      <c r="K4" s="606"/>
      <c r="L4" s="606"/>
      <c r="N4" s="353" t="s">
        <v>61</v>
      </c>
      <c r="O4" s="353" t="s">
        <v>62</v>
      </c>
      <c r="U4"/>
      <c r="V4"/>
      <c r="W4"/>
      <c r="X4"/>
      <c r="Y4"/>
      <c r="Z4"/>
      <c r="AA4"/>
      <c r="AB4"/>
      <c r="AC4"/>
      <c r="AD4"/>
      <c r="AE4"/>
      <c r="AF4"/>
      <c r="AG4"/>
    </row>
    <row r="5" spans="1:33" ht="45" x14ac:dyDescent="0.25">
      <c r="A5" s="360" t="s">
        <v>1755</v>
      </c>
      <c r="B5" s="360" t="s">
        <v>1756</v>
      </c>
      <c r="C5" s="360" t="s">
        <v>1757</v>
      </c>
      <c r="D5" s="360" t="s">
        <v>1758</v>
      </c>
      <c r="E5" s="360" t="s">
        <v>1759</v>
      </c>
      <c r="F5" s="360" t="s">
        <v>1760</v>
      </c>
      <c r="G5" s="360" t="s">
        <v>1761</v>
      </c>
      <c r="H5" s="360" t="s">
        <v>1762</v>
      </c>
      <c r="I5" s="360" t="s">
        <v>1763</v>
      </c>
      <c r="J5" s="360" t="s">
        <v>1764</v>
      </c>
      <c r="K5" s="360" t="s">
        <v>1765</v>
      </c>
      <c r="L5" s="360" t="s">
        <v>1766</v>
      </c>
      <c r="U5"/>
      <c r="V5"/>
      <c r="W5"/>
      <c r="X5"/>
      <c r="Y5"/>
      <c r="Z5"/>
      <c r="AA5"/>
      <c r="AB5"/>
      <c r="AC5"/>
      <c r="AD5"/>
      <c r="AE5"/>
      <c r="AF5"/>
      <c r="AG5"/>
    </row>
    <row r="6" spans="1:33" x14ac:dyDescent="0.25">
      <c r="A6" s="361">
        <v>44.3125</v>
      </c>
      <c r="B6" s="361">
        <v>391.9375</v>
      </c>
      <c r="C6" s="361">
        <v>41.5</v>
      </c>
      <c r="D6" s="361">
        <v>443.55591666666675</v>
      </c>
      <c r="E6" s="486">
        <v>28.75</v>
      </c>
      <c r="F6" s="486">
        <v>249.76666666666665</v>
      </c>
      <c r="G6" s="361">
        <v>529.28083333333336</v>
      </c>
      <c r="H6" s="361">
        <v>88.2</v>
      </c>
      <c r="I6" s="361">
        <v>172.9828333333333</v>
      </c>
      <c r="J6" s="362">
        <v>0.625</v>
      </c>
      <c r="K6" s="361">
        <v>54.424999999999997</v>
      </c>
      <c r="L6" s="361">
        <v>41.051666666666662</v>
      </c>
      <c r="N6" s="464">
        <f>SUM(A6:L6)</f>
        <v>2086.3879166666666</v>
      </c>
      <c r="U6"/>
      <c r="V6"/>
      <c r="W6"/>
      <c r="X6"/>
      <c r="Y6"/>
      <c r="Z6"/>
      <c r="AA6"/>
      <c r="AB6"/>
      <c r="AC6"/>
      <c r="AD6"/>
      <c r="AE6"/>
      <c r="AF6"/>
      <c r="AG6"/>
    </row>
    <row r="7" spans="1:33" x14ac:dyDescent="0.25">
      <c r="A7" s="363"/>
      <c r="B7" s="364"/>
      <c r="C7" s="364"/>
      <c r="D7" s="364"/>
      <c r="E7"/>
      <c r="F7"/>
      <c r="G7" s="364"/>
      <c r="H7" s="364"/>
      <c r="I7" s="364"/>
      <c r="J7" s="364"/>
      <c r="K7" s="364"/>
      <c r="L7" s="365"/>
      <c r="U7"/>
      <c r="V7"/>
      <c r="W7"/>
      <c r="X7"/>
      <c r="Y7"/>
      <c r="Z7"/>
      <c r="AA7"/>
      <c r="AB7"/>
      <c r="AC7"/>
      <c r="AD7"/>
      <c r="AE7"/>
      <c r="AF7"/>
      <c r="AG7"/>
    </row>
    <row r="8" spans="1:33" x14ac:dyDescent="0.25">
      <c r="A8" s="363"/>
      <c r="B8" s="364"/>
      <c r="C8" s="364"/>
      <c r="D8" s="364"/>
      <c r="E8"/>
      <c r="F8"/>
      <c r="G8" s="364"/>
      <c r="H8" s="364"/>
      <c r="I8" s="364"/>
      <c r="J8" s="364"/>
      <c r="K8" s="364"/>
      <c r="L8" s="365"/>
      <c r="U8"/>
      <c r="V8"/>
      <c r="W8"/>
      <c r="X8"/>
      <c r="Y8"/>
      <c r="Z8"/>
      <c r="AA8"/>
      <c r="AB8"/>
      <c r="AC8"/>
      <c r="AD8"/>
      <c r="AE8"/>
      <c r="AF8"/>
      <c r="AG8"/>
    </row>
    <row r="9" spans="1:33" x14ac:dyDescent="0.25">
      <c r="A9" s="606" t="s">
        <v>62</v>
      </c>
      <c r="B9" s="606"/>
      <c r="C9" s="606"/>
      <c r="D9" s="606"/>
      <c r="E9" s="606"/>
      <c r="F9" s="606"/>
      <c r="G9" s="606"/>
      <c r="H9" s="606"/>
      <c r="I9" s="606"/>
      <c r="J9" s="606"/>
      <c r="K9" s="606"/>
      <c r="L9" s="606"/>
      <c r="U9"/>
      <c r="V9"/>
      <c r="W9"/>
      <c r="X9"/>
      <c r="Y9"/>
      <c r="Z9"/>
      <c r="AA9"/>
      <c r="AB9"/>
      <c r="AC9"/>
      <c r="AD9"/>
      <c r="AE9"/>
      <c r="AF9"/>
      <c r="AG9"/>
    </row>
    <row r="10" spans="1:33" ht="45" x14ac:dyDescent="0.25">
      <c r="A10" s="360" t="s">
        <v>1767</v>
      </c>
      <c r="B10" s="360" t="s">
        <v>1768</v>
      </c>
      <c r="C10" s="360" t="s">
        <v>1769</v>
      </c>
      <c r="D10" s="360" t="s">
        <v>1770</v>
      </c>
      <c r="E10" s="360" t="s">
        <v>1771</v>
      </c>
      <c r="F10" s="360" t="s">
        <v>1772</v>
      </c>
      <c r="G10" s="360" t="s">
        <v>1773</v>
      </c>
      <c r="H10" s="360" t="s">
        <v>1774</v>
      </c>
      <c r="I10" s="360" t="s">
        <v>1775</v>
      </c>
      <c r="J10" s="360" t="s">
        <v>1779</v>
      </c>
      <c r="K10" s="360" t="s">
        <v>1776</v>
      </c>
      <c r="L10" s="360" t="s">
        <v>1777</v>
      </c>
      <c r="N10" s="366"/>
      <c r="O10" s="367"/>
      <c r="P10" s="367"/>
      <c r="Q10" s="367"/>
      <c r="R10" s="367"/>
      <c r="S10" s="367"/>
      <c r="T10" s="367"/>
      <c r="U10"/>
      <c r="V10"/>
      <c r="W10"/>
      <c r="X10"/>
      <c r="Y10"/>
      <c r="Z10"/>
      <c r="AA10"/>
      <c r="AB10"/>
      <c r="AC10"/>
      <c r="AD10"/>
      <c r="AE10"/>
      <c r="AF10"/>
      <c r="AG10"/>
    </row>
    <row r="11" spans="1:33" x14ac:dyDescent="0.25">
      <c r="A11" s="361">
        <v>36.462500000000006</v>
      </c>
      <c r="B11" s="361">
        <v>330.11875000000015</v>
      </c>
      <c r="C11" s="361">
        <v>34.950000000000003</v>
      </c>
      <c r="D11" s="361">
        <v>376.98086250000017</v>
      </c>
      <c r="E11" s="486">
        <v>23.575000000000003</v>
      </c>
      <c r="F11" s="486">
        <v>208.65062500000002</v>
      </c>
      <c r="G11" s="361">
        <v>441.69120833333318</v>
      </c>
      <c r="H11" s="361">
        <v>71.400625000000005</v>
      </c>
      <c r="I11" s="361">
        <v>146.79540833333331</v>
      </c>
      <c r="J11" s="468"/>
      <c r="K11" s="472">
        <v>45.708750000000002</v>
      </c>
      <c r="L11" s="361">
        <v>34.893916666666669</v>
      </c>
      <c r="N11" s="368"/>
      <c r="O11" s="465">
        <f>SUM(A11:L11)</f>
        <v>1751.2276458333336</v>
      </c>
      <c r="P11" s="367"/>
      <c r="Q11" s="367"/>
      <c r="R11" s="367"/>
      <c r="S11" s="367"/>
      <c r="T11" s="367"/>
      <c r="U11"/>
      <c r="V11"/>
      <c r="W11"/>
      <c r="X11"/>
      <c r="Y11"/>
      <c r="Z11"/>
      <c r="AA11"/>
      <c r="AB11"/>
      <c r="AC11"/>
      <c r="AD11"/>
      <c r="AE11"/>
      <c r="AF11"/>
      <c r="AG11"/>
    </row>
    <row r="12" spans="1:33" x14ac:dyDescent="0.25">
      <c r="A12" s="474"/>
      <c r="B12" s="475"/>
      <c r="C12" s="475"/>
      <c r="D12" s="475"/>
      <c r="E12"/>
      <c r="F12"/>
      <c r="G12" s="475"/>
      <c r="H12" s="475"/>
      <c r="I12" s="475"/>
      <c r="J12" s="476"/>
      <c r="K12" s="477"/>
      <c r="L12" s="478"/>
      <c r="N12" s="368"/>
      <c r="O12" s="465"/>
      <c r="P12" s="367"/>
      <c r="Q12" s="367"/>
      <c r="R12" s="367"/>
      <c r="S12" s="367"/>
      <c r="T12" s="367"/>
      <c r="U12"/>
      <c r="V12"/>
      <c r="W12"/>
      <c r="X12"/>
      <c r="Y12"/>
      <c r="Z12"/>
      <c r="AA12"/>
      <c r="AB12"/>
      <c r="AC12"/>
      <c r="AD12"/>
      <c r="AE12"/>
      <c r="AF12"/>
      <c r="AG12"/>
    </row>
    <row r="13" spans="1:33" x14ac:dyDescent="0.25">
      <c r="A13" s="479"/>
      <c r="B13" s="473"/>
      <c r="C13" s="473"/>
      <c r="D13" s="473"/>
      <c r="E13" s="487"/>
      <c r="F13" s="487"/>
      <c r="G13" s="473"/>
      <c r="H13" s="473"/>
      <c r="I13" s="473"/>
      <c r="J13" s="473"/>
      <c r="K13" s="473"/>
      <c r="L13" s="480"/>
      <c r="R13"/>
      <c r="S13"/>
      <c r="U13"/>
      <c r="V13"/>
      <c r="W13"/>
      <c r="X13"/>
      <c r="Y13"/>
      <c r="Z13"/>
      <c r="AA13"/>
      <c r="AB13"/>
      <c r="AC13"/>
      <c r="AD13"/>
      <c r="AE13"/>
      <c r="AF13"/>
      <c r="AG13"/>
    </row>
    <row r="14" spans="1:33" x14ac:dyDescent="0.25">
      <c r="U14"/>
      <c r="V14"/>
      <c r="W14"/>
      <c r="X14"/>
      <c r="Y14"/>
      <c r="Z14"/>
      <c r="AA14"/>
      <c r="AB14"/>
      <c r="AC14"/>
      <c r="AD14"/>
      <c r="AE14"/>
      <c r="AF14"/>
      <c r="AG14"/>
    </row>
    <row r="15" spans="1:33" x14ac:dyDescent="0.25">
      <c r="U15"/>
      <c r="V15"/>
      <c r="W15"/>
      <c r="X15"/>
      <c r="Y15"/>
      <c r="Z15"/>
      <c r="AA15"/>
      <c r="AB15"/>
      <c r="AC15"/>
      <c r="AD15"/>
      <c r="AE15"/>
      <c r="AF15"/>
      <c r="AG15"/>
    </row>
    <row r="16" spans="1:33" ht="15.75" x14ac:dyDescent="0.25">
      <c r="A16" s="372" t="s">
        <v>2031</v>
      </c>
      <c r="B16" s="373"/>
      <c r="C16" s="373"/>
      <c r="D16" s="373"/>
      <c r="E16" s="373"/>
      <c r="F16" s="373"/>
      <c r="G16" s="373"/>
      <c r="H16" s="373"/>
      <c r="I16" s="373"/>
      <c r="J16" s="373"/>
      <c r="K16" s="373"/>
      <c r="L16" s="374"/>
      <c r="M16" s="367"/>
      <c r="N16" s="367"/>
      <c r="O16" s="367"/>
      <c r="P16" s="367"/>
      <c r="Q16" s="367"/>
      <c r="R16" s="367"/>
      <c r="U16"/>
      <c r="V16"/>
      <c r="W16"/>
      <c r="X16"/>
      <c r="Y16"/>
      <c r="Z16"/>
      <c r="AA16"/>
      <c r="AB16"/>
      <c r="AC16"/>
      <c r="AD16"/>
      <c r="AE16"/>
      <c r="AF16"/>
      <c r="AG16"/>
    </row>
    <row r="17" spans="1:33" ht="15.75" x14ac:dyDescent="0.25">
      <c r="A17" s="375"/>
      <c r="B17" s="376"/>
      <c r="C17" s="376"/>
      <c r="D17" s="376"/>
      <c r="E17" s="376"/>
      <c r="F17" s="376"/>
      <c r="G17" s="376"/>
      <c r="H17" s="376"/>
      <c r="I17" s="376"/>
      <c r="J17" s="376"/>
      <c r="K17" s="376"/>
      <c r="L17" s="377"/>
      <c r="M17" s="367"/>
      <c r="N17" s="367"/>
      <c r="O17" s="367"/>
      <c r="P17" s="367"/>
      <c r="Q17" s="367"/>
      <c r="R17" s="367"/>
      <c r="U17"/>
      <c r="V17"/>
      <c r="W17"/>
      <c r="X17"/>
      <c r="Y17"/>
      <c r="Z17"/>
      <c r="AA17"/>
      <c r="AB17"/>
      <c r="AC17"/>
      <c r="AD17"/>
      <c r="AE17"/>
      <c r="AF17"/>
      <c r="AG17"/>
    </row>
    <row r="18" spans="1:33" x14ac:dyDescent="0.25">
      <c r="A18" s="607" t="s">
        <v>61</v>
      </c>
      <c r="B18" s="607"/>
      <c r="C18" s="607"/>
      <c r="D18" s="607"/>
      <c r="E18" s="607"/>
      <c r="F18" s="607"/>
      <c r="G18" s="607"/>
      <c r="H18" s="607"/>
      <c r="I18" s="607"/>
      <c r="J18" s="607"/>
      <c r="K18" s="607"/>
      <c r="L18" s="607"/>
      <c r="M18" s="367"/>
      <c r="N18" s="367"/>
      <c r="O18" s="367"/>
      <c r="P18" s="367"/>
      <c r="Q18" s="367"/>
      <c r="R18" s="367"/>
      <c r="U18"/>
      <c r="V18"/>
      <c r="W18"/>
      <c r="X18"/>
      <c r="Y18"/>
      <c r="Z18"/>
      <c r="AA18"/>
      <c r="AB18"/>
      <c r="AC18"/>
      <c r="AD18"/>
      <c r="AE18"/>
      <c r="AF18"/>
      <c r="AG18"/>
    </row>
    <row r="19" spans="1:33" ht="45" x14ac:dyDescent="0.25">
      <c r="A19" s="378" t="s">
        <v>1755</v>
      </c>
      <c r="B19" s="378" t="s">
        <v>1756</v>
      </c>
      <c r="C19" s="378" t="s">
        <v>1757</v>
      </c>
      <c r="D19" s="378" t="s">
        <v>1758</v>
      </c>
      <c r="E19" s="378" t="s">
        <v>1759</v>
      </c>
      <c r="F19" s="378" t="s">
        <v>1760</v>
      </c>
      <c r="G19" s="378" t="s">
        <v>1761</v>
      </c>
      <c r="H19" s="378" t="s">
        <v>1762</v>
      </c>
      <c r="I19" s="378" t="s">
        <v>1763</v>
      </c>
      <c r="J19" s="378" t="s">
        <v>1764</v>
      </c>
      <c r="K19" s="378" t="s">
        <v>1765</v>
      </c>
      <c r="L19" s="378" t="s">
        <v>1766</v>
      </c>
      <c r="M19" s="509"/>
      <c r="N19" s="510"/>
      <c r="O19" s="510"/>
      <c r="P19" s="382">
        <v>0.7</v>
      </c>
      <c r="Q19" s="367"/>
      <c r="R19" s="367"/>
      <c r="U19"/>
      <c r="V19"/>
      <c r="W19"/>
      <c r="X19"/>
      <c r="Y19"/>
      <c r="Z19"/>
      <c r="AA19"/>
      <c r="AB19"/>
      <c r="AC19"/>
      <c r="AD19"/>
      <c r="AE19"/>
      <c r="AF19"/>
      <c r="AG19"/>
    </row>
    <row r="20" spans="1:33" ht="29.25" customHeight="1" x14ac:dyDescent="0.25">
      <c r="A20" s="379">
        <v>24.0625</v>
      </c>
      <c r="B20" s="379">
        <v>60.5625</v>
      </c>
      <c r="C20" s="379">
        <v>6.5</v>
      </c>
      <c r="D20" s="379">
        <v>0.83333333333333326</v>
      </c>
      <c r="E20" s="379">
        <v>17.25</v>
      </c>
      <c r="F20" s="379">
        <v>77.337499999999991</v>
      </c>
      <c r="G20" s="379">
        <v>184.88499999999999</v>
      </c>
      <c r="H20" s="379">
        <v>71.387500000000003</v>
      </c>
      <c r="I20" s="379">
        <v>4.8</v>
      </c>
      <c r="J20" s="379">
        <v>0</v>
      </c>
      <c r="K20" s="379">
        <v>11.05</v>
      </c>
      <c r="L20" s="379">
        <v>0</v>
      </c>
      <c r="M20" s="509"/>
      <c r="N20" s="459">
        <f>SUM(A20:L20)</f>
        <v>458.66833333333335</v>
      </c>
      <c r="O20" s="458"/>
      <c r="P20" s="367"/>
      <c r="Q20" s="367"/>
      <c r="R20" s="367"/>
      <c r="U20"/>
      <c r="V20"/>
      <c r="W20"/>
      <c r="X20"/>
      <c r="Y20"/>
      <c r="Z20"/>
      <c r="AA20"/>
      <c r="AB20"/>
      <c r="AC20"/>
      <c r="AD20"/>
      <c r="AE20"/>
      <c r="AF20"/>
      <c r="AG20"/>
    </row>
    <row r="21" spans="1:33" ht="20.25" customHeight="1" x14ac:dyDescent="0.25">
      <c r="A21" s="509"/>
      <c r="B21" s="380"/>
      <c r="C21" s="380"/>
      <c r="D21" s="380"/>
      <c r="E21" s="380"/>
      <c r="F21" s="380"/>
      <c r="G21" s="380"/>
      <c r="H21" s="380"/>
      <c r="I21" s="380"/>
      <c r="J21" s="380"/>
      <c r="K21" s="380"/>
      <c r="L21" s="381"/>
      <c r="M21" s="460" t="s">
        <v>2032</v>
      </c>
      <c r="N21" s="463">
        <f>N20*P19</f>
        <v>321.06783333333334</v>
      </c>
      <c r="O21" s="367"/>
      <c r="P21" s="367"/>
      <c r="Q21" s="367"/>
      <c r="R21" s="367"/>
      <c r="U21"/>
      <c r="V21"/>
      <c r="W21"/>
      <c r="X21"/>
      <c r="Y21"/>
      <c r="Z21"/>
      <c r="AA21"/>
      <c r="AB21"/>
      <c r="AC21"/>
      <c r="AD21"/>
      <c r="AE21"/>
      <c r="AF21"/>
      <c r="AG21"/>
    </row>
    <row r="22" spans="1:33" x14ac:dyDescent="0.25">
      <c r="A22" s="607" t="s">
        <v>62</v>
      </c>
      <c r="B22" s="607"/>
      <c r="C22" s="607"/>
      <c r="D22" s="607"/>
      <c r="E22" s="607"/>
      <c r="F22" s="607"/>
      <c r="G22" s="607"/>
      <c r="H22" s="607"/>
      <c r="I22" s="607"/>
      <c r="J22" s="607"/>
      <c r="K22" s="607"/>
      <c r="L22" s="607"/>
      <c r="O22" s="367"/>
      <c r="P22" s="367"/>
      <c r="Q22" s="367"/>
      <c r="R22" s="367"/>
      <c r="U22"/>
      <c r="V22"/>
      <c r="W22"/>
      <c r="X22"/>
      <c r="Y22"/>
      <c r="Z22"/>
      <c r="AA22"/>
      <c r="AB22"/>
      <c r="AC22"/>
      <c r="AD22"/>
      <c r="AE22"/>
      <c r="AF22"/>
      <c r="AG22"/>
    </row>
    <row r="23" spans="1:33" ht="45" x14ac:dyDescent="0.25">
      <c r="A23" s="378" t="s">
        <v>1767</v>
      </c>
      <c r="B23" s="378" t="s">
        <v>1768</v>
      </c>
      <c r="C23" s="378" t="s">
        <v>1769</v>
      </c>
      <c r="D23" s="378" t="s">
        <v>1770</v>
      </c>
      <c r="E23" s="378" t="s">
        <v>1771</v>
      </c>
      <c r="F23" s="378" t="s">
        <v>1772</v>
      </c>
      <c r="G23" s="378" t="s">
        <v>1773</v>
      </c>
      <c r="H23" s="378" t="s">
        <v>1774</v>
      </c>
      <c r="I23" s="378" t="s">
        <v>1775</v>
      </c>
      <c r="J23" s="383" t="s">
        <v>1779</v>
      </c>
      <c r="K23" s="378" t="s">
        <v>1776</v>
      </c>
      <c r="L23" s="378" t="s">
        <v>1777</v>
      </c>
      <c r="M23" s="608"/>
      <c r="N23" s="609"/>
      <c r="O23" s="609"/>
      <c r="P23" s="367"/>
      <c r="Q23" s="367"/>
      <c r="R23" s="367"/>
      <c r="U23"/>
      <c r="V23"/>
      <c r="W23"/>
      <c r="X23"/>
      <c r="Y23"/>
      <c r="Z23"/>
      <c r="AA23"/>
      <c r="AB23"/>
      <c r="AC23"/>
      <c r="AD23"/>
      <c r="AE23"/>
      <c r="AF23"/>
      <c r="AG23"/>
    </row>
    <row r="24" spans="1:33" ht="27.75" customHeight="1" x14ac:dyDescent="0.25">
      <c r="A24" s="423">
        <v>19.25</v>
      </c>
      <c r="B24" s="423">
        <v>48.45</v>
      </c>
      <c r="C24" s="423">
        <v>5.2</v>
      </c>
      <c r="D24" s="423">
        <v>0.66666666666666663</v>
      </c>
      <c r="E24" s="423">
        <v>13.8</v>
      </c>
      <c r="F24" s="423">
        <v>62.085833333333355</v>
      </c>
      <c r="G24" s="423">
        <v>148.95474999999999</v>
      </c>
      <c r="H24" s="423">
        <v>57.110000000000007</v>
      </c>
      <c r="I24" s="423">
        <v>3.8400000000000003</v>
      </c>
      <c r="J24" s="423">
        <v>0</v>
      </c>
      <c r="K24" s="424">
        <v>8.84</v>
      </c>
      <c r="L24" s="424">
        <v>0</v>
      </c>
      <c r="M24" s="509"/>
      <c r="N24" s="458"/>
      <c r="O24" s="459">
        <f>SUM(A24:L24)</f>
        <v>368.19725</v>
      </c>
      <c r="P24" s="367"/>
      <c r="Q24" s="367"/>
      <c r="R24" s="367"/>
      <c r="U24"/>
      <c r="V24"/>
      <c r="W24"/>
      <c r="X24"/>
      <c r="Y24"/>
      <c r="Z24"/>
      <c r="AA24"/>
      <c r="AB24"/>
      <c r="AC24"/>
      <c r="AD24"/>
      <c r="AE24"/>
      <c r="AF24"/>
      <c r="AG24"/>
    </row>
    <row r="25" spans="1:33" ht="21" customHeight="1" x14ac:dyDescent="0.25">
      <c r="A25" s="358"/>
      <c r="B25" s="462"/>
      <c r="C25" s="462"/>
      <c r="D25" s="462"/>
      <c r="E25" s="462"/>
      <c r="F25" s="462"/>
      <c r="G25" s="462"/>
      <c r="H25" s="462"/>
      <c r="I25" s="462"/>
      <c r="J25" s="462"/>
      <c r="K25" s="462"/>
      <c r="L25" s="462"/>
      <c r="M25" s="460" t="s">
        <v>2033</v>
      </c>
      <c r="N25" s="459"/>
      <c r="O25" s="463">
        <f>O24*P19</f>
        <v>257.73807499999998</v>
      </c>
    </row>
    <row r="27" spans="1:33" ht="15.75" x14ac:dyDescent="0.25">
      <c r="A27" s="441" t="s">
        <v>387</v>
      </c>
      <c r="B27" s="355"/>
      <c r="C27" s="355"/>
      <c r="D27" s="355"/>
      <c r="E27" s="355"/>
      <c r="F27" s="355"/>
      <c r="G27" s="355"/>
      <c r="H27" s="355"/>
      <c r="I27" s="355"/>
      <c r="J27" s="355"/>
      <c r="K27" s="355"/>
      <c r="L27" s="355"/>
      <c r="M27" s="355"/>
      <c r="N27" s="461"/>
      <c r="O27" s="466"/>
    </row>
    <row r="28" spans="1:33" x14ac:dyDescent="0.25">
      <c r="A28" s="370"/>
      <c r="B28" s="358"/>
      <c r="C28" s="358"/>
      <c r="D28" s="358"/>
      <c r="E28" s="358"/>
      <c r="F28" s="358"/>
      <c r="G28" s="358"/>
      <c r="H28" s="358"/>
      <c r="I28" s="358"/>
      <c r="J28" s="358"/>
      <c r="K28" s="358"/>
      <c r="L28" s="358"/>
      <c r="M28" s="358"/>
      <c r="N28" s="358"/>
      <c r="O28" s="359"/>
    </row>
    <row r="29" spans="1:33" x14ac:dyDescent="0.25">
      <c r="A29" s="370" t="s">
        <v>2042</v>
      </c>
      <c r="B29" s="358"/>
      <c r="C29" s="358"/>
      <c r="D29" s="358"/>
      <c r="E29" s="358"/>
      <c r="F29" s="358"/>
      <c r="G29" s="358"/>
      <c r="H29" s="358"/>
      <c r="I29" s="358"/>
      <c r="J29" s="358"/>
      <c r="K29" s="358"/>
      <c r="L29" s="358"/>
      <c r="M29" s="358"/>
      <c r="N29" s="358"/>
      <c r="O29" s="359"/>
    </row>
    <row r="30" spans="1:33" x14ac:dyDescent="0.25">
      <c r="A30" s="438"/>
      <c r="B30" s="358"/>
      <c r="C30" s="358"/>
      <c r="D30" s="358"/>
      <c r="E30" s="358"/>
      <c r="F30" s="358"/>
      <c r="G30" s="358"/>
      <c r="H30" s="358"/>
      <c r="I30" s="358"/>
      <c r="J30" s="358"/>
      <c r="K30" s="358"/>
      <c r="L30" s="358"/>
      <c r="M30" s="358"/>
      <c r="N30" s="358"/>
      <c r="O30" s="359"/>
    </row>
    <row r="31" spans="1:33" x14ac:dyDescent="0.25">
      <c r="A31" s="370" t="s">
        <v>1984</v>
      </c>
      <c r="B31" s="358"/>
      <c r="C31" s="358"/>
      <c r="D31" s="358"/>
      <c r="E31" s="358"/>
      <c r="F31" s="358"/>
      <c r="G31" s="358"/>
      <c r="H31" s="358"/>
      <c r="I31" s="358"/>
      <c r="J31" s="358"/>
      <c r="K31" s="358"/>
      <c r="L31" s="358"/>
      <c r="M31" s="358"/>
      <c r="N31" s="358"/>
      <c r="O31" s="359"/>
    </row>
    <row r="32" spans="1:33" x14ac:dyDescent="0.25">
      <c r="A32" s="442" t="s">
        <v>1917</v>
      </c>
      <c r="N32" s="470"/>
      <c r="O32" s="471"/>
    </row>
    <row r="33" spans="1:15" x14ac:dyDescent="0.25">
      <c r="A33" s="438" t="s">
        <v>1918</v>
      </c>
      <c r="N33" s="468" t="s">
        <v>61</v>
      </c>
      <c r="O33" s="468" t="s">
        <v>62</v>
      </c>
    </row>
    <row r="34" spans="1:15" ht="21.75" customHeight="1" x14ac:dyDescent="0.25">
      <c r="A34" s="443"/>
      <c r="B34" s="369"/>
      <c r="C34" s="369"/>
      <c r="D34" s="369"/>
      <c r="E34" s="369"/>
      <c r="F34" s="369"/>
      <c r="G34" s="369"/>
      <c r="H34" s="369"/>
      <c r="I34" s="369"/>
      <c r="J34" s="369"/>
      <c r="K34" s="369"/>
      <c r="L34" s="440" t="s">
        <v>2034</v>
      </c>
      <c r="M34" s="439"/>
      <c r="N34" s="469">
        <f>N6-N20+N21</f>
        <v>1948.7874166666666</v>
      </c>
      <c r="O34" s="467">
        <f>O11-O24+O25</f>
        <v>1640.7684708333336</v>
      </c>
    </row>
    <row r="36" spans="1:15" x14ac:dyDescent="0.25">
      <c r="A36" s="483" t="s">
        <v>2037</v>
      </c>
      <c r="B36" s="371"/>
      <c r="C36" s="484"/>
      <c r="E36" s="483" t="s">
        <v>2039</v>
      </c>
      <c r="F36" s="484"/>
      <c r="G36" s="483" t="s">
        <v>2040</v>
      </c>
      <c r="H36" s="484"/>
      <c r="I36" s="483" t="s">
        <v>2044</v>
      </c>
      <c r="J36" s="484"/>
      <c r="K36" s="601" t="s">
        <v>2043</v>
      </c>
      <c r="L36" s="602"/>
      <c r="M36" s="603" t="s">
        <v>2041</v>
      </c>
      <c r="N36" s="604"/>
      <c r="O36" s="605"/>
    </row>
    <row r="37" spans="1:15" x14ac:dyDescent="0.25">
      <c r="A37" s="468" t="s">
        <v>2038</v>
      </c>
      <c r="B37" s="468" t="s">
        <v>61</v>
      </c>
      <c r="C37" s="468" t="s">
        <v>62</v>
      </c>
      <c r="E37" s="468" t="s">
        <v>61</v>
      </c>
      <c r="F37" s="468" t="s">
        <v>62</v>
      </c>
      <c r="G37" s="468" t="s">
        <v>61</v>
      </c>
      <c r="H37" s="468" t="s">
        <v>62</v>
      </c>
      <c r="I37" s="468" t="s">
        <v>61</v>
      </c>
      <c r="J37" s="468" t="s">
        <v>62</v>
      </c>
      <c r="K37" s="468" t="s">
        <v>61</v>
      </c>
      <c r="L37" s="468" t="s">
        <v>62</v>
      </c>
      <c r="M37" s="493" t="s">
        <v>2038</v>
      </c>
      <c r="N37" s="493" t="s">
        <v>61</v>
      </c>
      <c r="O37" s="493" t="s">
        <v>62</v>
      </c>
    </row>
    <row r="38" spans="1:15" x14ac:dyDescent="0.25">
      <c r="A38" s="468" t="s">
        <v>130</v>
      </c>
      <c r="B38" s="472">
        <f>A6</f>
        <v>44.3125</v>
      </c>
      <c r="C38" s="472">
        <f>A11</f>
        <v>36.462500000000006</v>
      </c>
      <c r="E38" s="472">
        <f>A20</f>
        <v>24.0625</v>
      </c>
      <c r="F38" s="472">
        <f>A24</f>
        <v>19.25</v>
      </c>
      <c r="G38" s="481">
        <f>E38*$P$19</f>
        <v>16.84375</v>
      </c>
      <c r="H38" s="481">
        <f>F38*$P$19</f>
        <v>13.475</v>
      </c>
      <c r="I38" s="490">
        <f t="shared" ref="I38:J49" si="0">B38-E38+G38</f>
        <v>37.09375</v>
      </c>
      <c r="J38" s="490">
        <f t="shared" si="0"/>
        <v>30.687500000000007</v>
      </c>
      <c r="K38" s="472">
        <f>37-I38</f>
        <v>-9.375E-2</v>
      </c>
      <c r="L38" s="468"/>
      <c r="M38" s="494" t="s">
        <v>130</v>
      </c>
      <c r="N38" s="472">
        <f>I38+K38</f>
        <v>37</v>
      </c>
      <c r="O38" s="472">
        <f t="shared" ref="O38:O41" si="1">J38+L38</f>
        <v>30.687500000000007</v>
      </c>
    </row>
    <row r="39" spans="1:15" x14ac:dyDescent="0.25">
      <c r="A39" s="468" t="s">
        <v>131</v>
      </c>
      <c r="B39" s="472">
        <f>B6</f>
        <v>391.9375</v>
      </c>
      <c r="C39" s="472">
        <f>B11</f>
        <v>330.11875000000015</v>
      </c>
      <c r="E39" s="472">
        <f>B20</f>
        <v>60.5625</v>
      </c>
      <c r="F39" s="472">
        <f>B24</f>
        <v>48.45</v>
      </c>
      <c r="G39" s="481">
        <f t="shared" ref="G39:H49" si="2">E39*$P$19</f>
        <v>42.393749999999997</v>
      </c>
      <c r="H39" s="481">
        <f t="shared" si="2"/>
        <v>33.914999999999999</v>
      </c>
      <c r="I39" s="472">
        <f t="shared" si="0"/>
        <v>373.76875000000001</v>
      </c>
      <c r="J39" s="472">
        <f t="shared" si="0"/>
        <v>315.58375000000018</v>
      </c>
      <c r="K39" s="468"/>
      <c r="L39" s="468"/>
      <c r="M39" s="493" t="s">
        <v>131</v>
      </c>
      <c r="N39" s="472">
        <f t="shared" ref="N39:N41" si="3">I39+K39</f>
        <v>373.76875000000001</v>
      </c>
      <c r="O39" s="472">
        <f t="shared" si="1"/>
        <v>315.58375000000018</v>
      </c>
    </row>
    <row r="40" spans="1:15" x14ac:dyDescent="0.25">
      <c r="A40" s="468" t="s">
        <v>132</v>
      </c>
      <c r="B40" s="472">
        <f>C6</f>
        <v>41.5</v>
      </c>
      <c r="C40" s="472">
        <f>C11</f>
        <v>34.950000000000003</v>
      </c>
      <c r="E40" s="472">
        <f>C20</f>
        <v>6.5</v>
      </c>
      <c r="F40" s="472">
        <f>C24</f>
        <v>5.2</v>
      </c>
      <c r="G40" s="481">
        <f t="shared" si="2"/>
        <v>4.55</v>
      </c>
      <c r="H40" s="481">
        <f t="shared" si="2"/>
        <v>3.6399999999999997</v>
      </c>
      <c r="I40" s="472">
        <f t="shared" si="0"/>
        <v>39.549999999999997</v>
      </c>
      <c r="J40" s="472">
        <f t="shared" si="0"/>
        <v>33.39</v>
      </c>
      <c r="K40" s="468"/>
      <c r="L40" s="468"/>
      <c r="M40" s="493" t="s">
        <v>132</v>
      </c>
      <c r="N40" s="472">
        <f t="shared" si="3"/>
        <v>39.549999999999997</v>
      </c>
      <c r="O40" s="472">
        <f t="shared" si="1"/>
        <v>33.39</v>
      </c>
    </row>
    <row r="41" spans="1:15" x14ac:dyDescent="0.25">
      <c r="A41" s="468" t="s">
        <v>133</v>
      </c>
      <c r="B41" s="472">
        <f>D6</f>
        <v>443.55591666666675</v>
      </c>
      <c r="C41" s="472">
        <f>D11</f>
        <v>376.98086250000017</v>
      </c>
      <c r="E41" s="472">
        <f>D20</f>
        <v>0.83333333333333326</v>
      </c>
      <c r="F41" s="472">
        <f>D24</f>
        <v>0.66666666666666663</v>
      </c>
      <c r="G41" s="481">
        <f t="shared" si="2"/>
        <v>0.58333333333333326</v>
      </c>
      <c r="H41" s="481">
        <f t="shared" si="2"/>
        <v>0.46666666666666662</v>
      </c>
      <c r="I41" s="472">
        <f t="shared" si="0"/>
        <v>443.30591666666675</v>
      </c>
      <c r="J41" s="472">
        <f t="shared" si="0"/>
        <v>376.78086250000013</v>
      </c>
      <c r="K41" s="468"/>
      <c r="L41" s="468"/>
      <c r="M41" s="493" t="s">
        <v>133</v>
      </c>
      <c r="N41" s="472">
        <f t="shared" si="3"/>
        <v>443.30591666666675</v>
      </c>
      <c r="O41" s="472">
        <f t="shared" si="1"/>
        <v>376.78086250000013</v>
      </c>
    </row>
    <row r="42" spans="1:15" x14ac:dyDescent="0.25">
      <c r="A42" s="468" t="s">
        <v>134</v>
      </c>
      <c r="B42" s="472">
        <f>E6</f>
        <v>28.75</v>
      </c>
      <c r="C42" s="472">
        <f>E11</f>
        <v>23.575000000000003</v>
      </c>
      <c r="E42" s="488">
        <f>E20</f>
        <v>17.25</v>
      </c>
      <c r="F42" s="488">
        <f>E24</f>
        <v>13.8</v>
      </c>
      <c r="G42" s="489">
        <f t="shared" si="2"/>
        <v>12.074999999999999</v>
      </c>
      <c r="H42" s="481">
        <f t="shared" si="2"/>
        <v>9.66</v>
      </c>
      <c r="I42" s="490">
        <f t="shared" si="0"/>
        <v>23.574999999999999</v>
      </c>
      <c r="J42" s="490">
        <f t="shared" si="0"/>
        <v>19.435000000000002</v>
      </c>
      <c r="K42" s="472">
        <f>10-I42</f>
        <v>-13.574999999999999</v>
      </c>
      <c r="L42" s="472">
        <f>10-J42</f>
        <v>-9.4350000000000023</v>
      </c>
      <c r="M42" s="493" t="s">
        <v>134</v>
      </c>
      <c r="N42" s="472">
        <f>I42+K42</f>
        <v>10</v>
      </c>
      <c r="O42" s="472">
        <f>J42+L42</f>
        <v>10</v>
      </c>
    </row>
    <row r="43" spans="1:15" x14ac:dyDescent="0.25">
      <c r="A43" s="468" t="s">
        <v>135</v>
      </c>
      <c r="B43" s="472">
        <f>F6</f>
        <v>249.76666666666665</v>
      </c>
      <c r="C43" s="472">
        <f>F11</f>
        <v>208.65062500000002</v>
      </c>
      <c r="E43" s="488">
        <f>F20</f>
        <v>77.337499999999991</v>
      </c>
      <c r="F43" s="488">
        <f>F24</f>
        <v>62.085833333333355</v>
      </c>
      <c r="G43" s="489">
        <f t="shared" si="2"/>
        <v>54.13624999999999</v>
      </c>
      <c r="H43" s="481">
        <f t="shared" si="2"/>
        <v>43.460083333333344</v>
      </c>
      <c r="I43" s="490">
        <f t="shared" si="0"/>
        <v>226.56541666666666</v>
      </c>
      <c r="J43" s="490">
        <f t="shared" si="0"/>
        <v>190.02487500000001</v>
      </c>
      <c r="K43" s="472">
        <f>-(K38+K42)</f>
        <v>13.668749999999999</v>
      </c>
      <c r="L43" s="472">
        <f>-(L38+L42)</f>
        <v>9.4350000000000023</v>
      </c>
      <c r="M43" s="493" t="s">
        <v>135</v>
      </c>
      <c r="N43" s="472">
        <f t="shared" ref="N43:O49" si="4">I43+K43</f>
        <v>240.23416666666665</v>
      </c>
      <c r="O43" s="472">
        <f t="shared" si="4"/>
        <v>199.45987500000001</v>
      </c>
    </row>
    <row r="44" spans="1:15" x14ac:dyDescent="0.25">
      <c r="A44" s="468" t="s">
        <v>136</v>
      </c>
      <c r="B44" s="472">
        <f>G6</f>
        <v>529.28083333333336</v>
      </c>
      <c r="C44" s="472">
        <f>G11</f>
        <v>441.69120833333318</v>
      </c>
      <c r="E44" s="472">
        <f>G20</f>
        <v>184.88499999999999</v>
      </c>
      <c r="F44" s="472">
        <f>G24</f>
        <v>148.95474999999999</v>
      </c>
      <c r="G44" s="481">
        <f t="shared" si="2"/>
        <v>129.4195</v>
      </c>
      <c r="H44" s="481">
        <f t="shared" si="2"/>
        <v>104.26832499999999</v>
      </c>
      <c r="I44" s="472">
        <f t="shared" si="0"/>
        <v>473.81533333333334</v>
      </c>
      <c r="J44" s="472">
        <f t="shared" si="0"/>
        <v>397.00478333333319</v>
      </c>
      <c r="K44" s="468"/>
      <c r="L44" s="468"/>
      <c r="M44" s="493" t="s">
        <v>136</v>
      </c>
      <c r="N44" s="472">
        <f t="shared" si="4"/>
        <v>473.81533333333334</v>
      </c>
      <c r="O44" s="472">
        <f t="shared" si="4"/>
        <v>397.00478333333319</v>
      </c>
    </row>
    <row r="45" spans="1:15" x14ac:dyDescent="0.25">
      <c r="A45" s="468" t="s">
        <v>126</v>
      </c>
      <c r="B45" s="472">
        <f>H6</f>
        <v>88.2</v>
      </c>
      <c r="C45" s="472">
        <f>H11</f>
        <v>71.400625000000005</v>
      </c>
      <c r="E45" s="472">
        <f>H20</f>
        <v>71.387500000000003</v>
      </c>
      <c r="F45" s="472">
        <f>H24</f>
        <v>57.110000000000007</v>
      </c>
      <c r="G45" s="481">
        <f t="shared" si="2"/>
        <v>49.971249999999998</v>
      </c>
      <c r="H45" s="481">
        <f t="shared" si="2"/>
        <v>39.977000000000004</v>
      </c>
      <c r="I45" s="472">
        <f t="shared" si="0"/>
        <v>66.783749999999998</v>
      </c>
      <c r="J45" s="472">
        <f t="shared" si="0"/>
        <v>54.267625000000002</v>
      </c>
      <c r="K45" s="468"/>
      <c r="L45" s="468"/>
      <c r="M45" s="493" t="s">
        <v>126</v>
      </c>
      <c r="N45" s="472">
        <f t="shared" si="4"/>
        <v>66.783749999999998</v>
      </c>
      <c r="O45" s="472">
        <f t="shared" si="4"/>
        <v>54.267625000000002</v>
      </c>
    </row>
    <row r="46" spans="1:15" x14ac:dyDescent="0.25">
      <c r="A46" s="468" t="s">
        <v>774</v>
      </c>
      <c r="B46" s="472">
        <f>I6</f>
        <v>172.9828333333333</v>
      </c>
      <c r="C46" s="472">
        <f>I11</f>
        <v>146.79540833333331</v>
      </c>
      <c r="E46" s="472">
        <f>I20</f>
        <v>4.8</v>
      </c>
      <c r="F46" s="472">
        <f>I24</f>
        <v>3.8400000000000003</v>
      </c>
      <c r="G46" s="481">
        <f t="shared" si="2"/>
        <v>3.36</v>
      </c>
      <c r="H46" s="481">
        <f t="shared" si="2"/>
        <v>2.6880000000000002</v>
      </c>
      <c r="I46" s="472">
        <f t="shared" si="0"/>
        <v>171.54283333333331</v>
      </c>
      <c r="J46" s="472">
        <f t="shared" si="0"/>
        <v>145.6434083333333</v>
      </c>
      <c r="K46" s="468"/>
      <c r="L46" s="468"/>
      <c r="M46" s="493" t="s">
        <v>774</v>
      </c>
      <c r="N46" s="472">
        <f t="shared" si="4"/>
        <v>171.54283333333331</v>
      </c>
      <c r="O46" s="472">
        <f t="shared" si="4"/>
        <v>145.6434083333333</v>
      </c>
    </row>
    <row r="47" spans="1:15" x14ac:dyDescent="0.25">
      <c r="A47" s="468" t="s">
        <v>342</v>
      </c>
      <c r="B47" s="472">
        <f>J6</f>
        <v>0.625</v>
      </c>
      <c r="C47" s="468"/>
      <c r="E47" s="468"/>
      <c r="F47" s="468"/>
      <c r="G47" s="481">
        <f t="shared" si="2"/>
        <v>0</v>
      </c>
      <c r="H47" s="481">
        <f t="shared" si="2"/>
        <v>0</v>
      </c>
      <c r="I47" s="482">
        <f t="shared" si="0"/>
        <v>0.625</v>
      </c>
      <c r="J47" s="472">
        <f t="shared" si="0"/>
        <v>0</v>
      </c>
      <c r="K47" s="468"/>
      <c r="L47" s="468"/>
      <c r="M47" s="493" t="s">
        <v>342</v>
      </c>
      <c r="N47" s="490">
        <f>I47+K47</f>
        <v>0.625</v>
      </c>
      <c r="O47" s="472">
        <f t="shared" si="4"/>
        <v>0</v>
      </c>
    </row>
    <row r="48" spans="1:15" x14ac:dyDescent="0.25">
      <c r="A48" s="468" t="s">
        <v>137</v>
      </c>
      <c r="B48" s="472">
        <f>K6</f>
        <v>54.424999999999997</v>
      </c>
      <c r="C48" s="472">
        <f>K11</f>
        <v>45.708750000000002</v>
      </c>
      <c r="E48" s="472">
        <f>K20</f>
        <v>11.05</v>
      </c>
      <c r="F48" s="472">
        <f>K24</f>
        <v>8.84</v>
      </c>
      <c r="G48" s="481">
        <f t="shared" si="2"/>
        <v>7.7350000000000003</v>
      </c>
      <c r="H48" s="481">
        <f t="shared" si="2"/>
        <v>6.1879999999999997</v>
      </c>
      <c r="I48" s="472">
        <f t="shared" si="0"/>
        <v>51.11</v>
      </c>
      <c r="J48" s="472">
        <f t="shared" si="0"/>
        <v>43.056750000000008</v>
      </c>
      <c r="K48" s="468"/>
      <c r="L48" s="468"/>
      <c r="M48" s="493" t="s">
        <v>137</v>
      </c>
      <c r="N48" s="472">
        <f t="shared" si="4"/>
        <v>51.11</v>
      </c>
      <c r="O48" s="472">
        <f t="shared" si="4"/>
        <v>43.056750000000008</v>
      </c>
    </row>
    <row r="49" spans="1:15" x14ac:dyDescent="0.25">
      <c r="A49" s="468" t="s">
        <v>322</v>
      </c>
      <c r="B49" s="472">
        <f>L6</f>
        <v>41.051666666666662</v>
      </c>
      <c r="C49" s="472">
        <f>L11</f>
        <v>34.893916666666669</v>
      </c>
      <c r="E49" s="472">
        <f>L24</f>
        <v>0</v>
      </c>
      <c r="F49" s="472">
        <f>L24</f>
        <v>0</v>
      </c>
      <c r="G49" s="481">
        <f t="shared" si="2"/>
        <v>0</v>
      </c>
      <c r="H49" s="481">
        <f t="shared" si="2"/>
        <v>0</v>
      </c>
      <c r="I49" s="472">
        <f t="shared" si="0"/>
        <v>41.051666666666662</v>
      </c>
      <c r="J49" s="472">
        <f t="shared" si="0"/>
        <v>34.893916666666669</v>
      </c>
      <c r="K49" s="468"/>
      <c r="L49" s="468"/>
      <c r="M49" s="493" t="s">
        <v>322</v>
      </c>
      <c r="N49" s="472">
        <f t="shared" si="4"/>
        <v>41.051666666666662</v>
      </c>
      <c r="O49" s="472">
        <f t="shared" si="4"/>
        <v>34.893916666666669</v>
      </c>
    </row>
    <row r="50" spans="1:15" x14ac:dyDescent="0.25">
      <c r="A50" s="468" t="s">
        <v>154</v>
      </c>
      <c r="B50" s="472">
        <f>SUM(B38:B49)</f>
        <v>2086.3879166666666</v>
      </c>
      <c r="C50" s="472">
        <f>SUM(C38:C49)</f>
        <v>1751.2276458333336</v>
      </c>
      <c r="E50" s="472">
        <f t="shared" ref="E50:J50" si="5">SUM(E38:E49)</f>
        <v>458.66833333333335</v>
      </c>
      <c r="F50" s="472">
        <f t="shared" si="5"/>
        <v>368.19725</v>
      </c>
      <c r="G50" s="481">
        <f t="shared" si="5"/>
        <v>321.06783333333334</v>
      </c>
      <c r="H50" s="481">
        <f t="shared" si="5"/>
        <v>257.73807499999998</v>
      </c>
      <c r="I50" s="485">
        <f t="shared" si="5"/>
        <v>1948.7874166666668</v>
      </c>
      <c r="J50" s="485">
        <f t="shared" si="5"/>
        <v>1640.7684708333336</v>
      </c>
      <c r="K50" s="468"/>
      <c r="L50" s="468"/>
      <c r="M50" s="491" t="s">
        <v>154</v>
      </c>
      <c r="N50" s="492">
        <f>SUM(N38:N49)</f>
        <v>1948.7874166666668</v>
      </c>
      <c r="O50" s="492">
        <f>SUM(O38:O49)</f>
        <v>1640.7684708333336</v>
      </c>
    </row>
  </sheetData>
  <mergeCells count="7">
    <mergeCell ref="K36:L36"/>
    <mergeCell ref="M36:O36"/>
    <mergeCell ref="A4:L4"/>
    <mergeCell ref="A9:L9"/>
    <mergeCell ref="A18:L18"/>
    <mergeCell ref="A22:L22"/>
    <mergeCell ref="M23:O23"/>
  </mergeCells>
  <pageMargins left="0.70866141732283472" right="0.70866141732283472" top="0.74803149606299213" bottom="0.74803149606299213" header="0.31496062992125984" footer="0.31496062992125984"/>
  <pageSetup paperSize="9" scale="69" orientation="landscape" r:id="rId1"/>
  <headerFooter>
    <oddFooter>&amp;L&amp;A&amp;C&amp;F&amp;R&amp;D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AG50"/>
  <sheetViews>
    <sheetView workbookViewId="0">
      <selection activeCell="Q39" sqref="Q39"/>
    </sheetView>
  </sheetViews>
  <sheetFormatPr defaultColWidth="9.140625" defaultRowHeight="15" x14ac:dyDescent="0.25"/>
  <cols>
    <col min="1" max="8" width="9.140625" style="353"/>
    <col min="9" max="9" width="11" style="353" customWidth="1"/>
    <col min="10" max="10" width="11.7109375" style="353" customWidth="1"/>
    <col min="11" max="11" width="10.28515625" style="353" customWidth="1"/>
    <col min="12" max="12" width="9.140625" style="353"/>
    <col min="13" max="13" width="24.140625" style="353" customWidth="1"/>
    <col min="14" max="14" width="11.42578125" style="353" customWidth="1"/>
    <col min="15" max="15" width="12" style="353" customWidth="1"/>
    <col min="16" max="16384" width="9.140625" style="353"/>
  </cols>
  <sheetData>
    <row r="2" spans="1:33" ht="15.75" x14ac:dyDescent="0.25">
      <c r="A2" s="354" t="s">
        <v>2030</v>
      </c>
      <c r="B2" s="355"/>
      <c r="C2" s="355"/>
      <c r="D2" s="355"/>
      <c r="E2" s="355"/>
      <c r="F2" s="355"/>
      <c r="G2" s="355"/>
      <c r="H2" s="355"/>
      <c r="I2" s="355"/>
      <c r="J2" s="355"/>
      <c r="K2" s="355"/>
      <c r="L2" s="356"/>
      <c r="M2" s="368" t="s">
        <v>1778</v>
      </c>
      <c r="N2" s="367"/>
      <c r="O2" s="367"/>
      <c r="P2" s="367"/>
      <c r="Q2" s="367"/>
      <c r="R2" s="367"/>
    </row>
    <row r="3" spans="1:33" ht="15.75" x14ac:dyDescent="0.25">
      <c r="A3" s="357"/>
      <c r="B3" s="358"/>
      <c r="C3" s="358"/>
      <c r="D3" s="358"/>
      <c r="E3" s="358"/>
      <c r="F3" s="358"/>
      <c r="G3" s="358"/>
      <c r="H3" s="358"/>
      <c r="I3" s="358"/>
      <c r="J3" s="358"/>
      <c r="K3" s="358"/>
      <c r="L3" s="359"/>
    </row>
    <row r="4" spans="1:33" x14ac:dyDescent="0.25">
      <c r="A4" s="606" t="s">
        <v>61</v>
      </c>
      <c r="B4" s="606"/>
      <c r="C4" s="606"/>
      <c r="D4" s="606"/>
      <c r="E4" s="606"/>
      <c r="F4" s="606"/>
      <c r="G4" s="606"/>
      <c r="H4" s="606"/>
      <c r="I4" s="606"/>
      <c r="J4" s="606"/>
      <c r="K4" s="606"/>
      <c r="L4" s="606"/>
      <c r="N4" s="353" t="s">
        <v>61</v>
      </c>
      <c r="O4" s="353" t="s">
        <v>62</v>
      </c>
      <c r="U4"/>
      <c r="V4"/>
      <c r="W4"/>
      <c r="X4"/>
      <c r="Y4"/>
      <c r="Z4"/>
      <c r="AA4"/>
      <c r="AB4"/>
      <c r="AC4"/>
      <c r="AD4"/>
      <c r="AE4"/>
      <c r="AF4"/>
      <c r="AG4"/>
    </row>
    <row r="5" spans="1:33" ht="45" x14ac:dyDescent="0.25">
      <c r="A5" s="360" t="s">
        <v>1755</v>
      </c>
      <c r="B5" s="360" t="s">
        <v>1756</v>
      </c>
      <c r="C5" s="360" t="s">
        <v>1757</v>
      </c>
      <c r="D5" s="360" t="s">
        <v>1758</v>
      </c>
      <c r="E5" s="360" t="s">
        <v>1759</v>
      </c>
      <c r="F5" s="360" t="s">
        <v>1760</v>
      </c>
      <c r="G5" s="360" t="s">
        <v>1761</v>
      </c>
      <c r="H5" s="360" t="s">
        <v>1762</v>
      </c>
      <c r="I5" s="360" t="s">
        <v>1763</v>
      </c>
      <c r="J5" s="360" t="s">
        <v>1764</v>
      </c>
      <c r="K5" s="360" t="s">
        <v>1765</v>
      </c>
      <c r="L5" s="360" t="s">
        <v>1766</v>
      </c>
      <c r="U5"/>
      <c r="V5"/>
      <c r="W5"/>
      <c r="X5"/>
      <c r="Y5"/>
      <c r="Z5"/>
      <c r="AA5"/>
      <c r="AB5"/>
      <c r="AC5"/>
      <c r="AD5"/>
      <c r="AE5"/>
      <c r="AF5"/>
      <c r="AG5"/>
    </row>
    <row r="6" spans="1:33" x14ac:dyDescent="0.25">
      <c r="A6" s="361">
        <v>47</v>
      </c>
      <c r="B6" s="361">
        <v>397.5</v>
      </c>
      <c r="C6" s="361">
        <v>44.5</v>
      </c>
      <c r="D6" s="361">
        <v>445.60541666666683</v>
      </c>
      <c r="E6" s="486">
        <v>31.5</v>
      </c>
      <c r="F6" s="486">
        <v>257.01249999999999</v>
      </c>
      <c r="G6" s="361">
        <v>537.74583333333339</v>
      </c>
      <c r="H6" s="361">
        <v>96.787500000000009</v>
      </c>
      <c r="I6" s="361">
        <v>180.375</v>
      </c>
      <c r="J6" s="362">
        <v>0.625</v>
      </c>
      <c r="K6" s="361">
        <v>57.225000000000001</v>
      </c>
      <c r="L6" s="361">
        <v>41.126666666666665</v>
      </c>
      <c r="N6" s="464">
        <f>SUM(A6:L6)</f>
        <v>2137.0029166666668</v>
      </c>
      <c r="U6"/>
      <c r="V6"/>
      <c r="W6"/>
      <c r="X6"/>
      <c r="Y6"/>
      <c r="Z6"/>
      <c r="AA6"/>
      <c r="AB6"/>
      <c r="AC6"/>
      <c r="AD6"/>
      <c r="AE6"/>
      <c r="AF6"/>
      <c r="AG6"/>
    </row>
    <row r="7" spans="1:33" x14ac:dyDescent="0.25">
      <c r="A7" s="363"/>
      <c r="B7" s="364"/>
      <c r="C7" s="364"/>
      <c r="D7" s="364"/>
      <c r="E7"/>
      <c r="F7"/>
      <c r="G7" s="364"/>
      <c r="H7" s="364"/>
      <c r="I7" s="364"/>
      <c r="J7" s="364"/>
      <c r="K7" s="364"/>
      <c r="L7" s="365"/>
      <c r="U7"/>
      <c r="V7"/>
      <c r="W7"/>
      <c r="X7"/>
      <c r="Y7"/>
      <c r="Z7"/>
      <c r="AA7"/>
      <c r="AB7"/>
      <c r="AC7"/>
      <c r="AD7"/>
      <c r="AE7"/>
      <c r="AF7"/>
      <c r="AG7"/>
    </row>
    <row r="8" spans="1:33" x14ac:dyDescent="0.25">
      <c r="A8" s="363"/>
      <c r="B8" s="364"/>
      <c r="C8" s="364"/>
      <c r="D8" s="364"/>
      <c r="E8"/>
      <c r="F8"/>
      <c r="G8" s="364"/>
      <c r="H8" s="364"/>
      <c r="I8" s="364"/>
      <c r="J8" s="364"/>
      <c r="K8" s="364"/>
      <c r="L8" s="365"/>
      <c r="U8"/>
      <c r="V8"/>
      <c r="W8"/>
      <c r="X8"/>
      <c r="Y8"/>
      <c r="Z8"/>
      <c r="AA8"/>
      <c r="AB8"/>
      <c r="AC8"/>
      <c r="AD8"/>
      <c r="AE8"/>
      <c r="AF8"/>
      <c r="AG8"/>
    </row>
    <row r="9" spans="1:33" x14ac:dyDescent="0.25">
      <c r="A9" s="606" t="s">
        <v>62</v>
      </c>
      <c r="B9" s="606"/>
      <c r="C9" s="606"/>
      <c r="D9" s="606"/>
      <c r="E9" s="606"/>
      <c r="F9" s="606"/>
      <c r="G9" s="606"/>
      <c r="H9" s="606"/>
      <c r="I9" s="606"/>
      <c r="J9" s="606"/>
      <c r="K9" s="606"/>
      <c r="L9" s="606"/>
      <c r="U9"/>
      <c r="V9"/>
      <c r="W9"/>
      <c r="X9"/>
      <c r="Y9"/>
      <c r="Z9"/>
      <c r="AA9"/>
      <c r="AB9"/>
      <c r="AC9"/>
      <c r="AD9"/>
      <c r="AE9"/>
      <c r="AF9"/>
      <c r="AG9"/>
    </row>
    <row r="10" spans="1:33" ht="45" x14ac:dyDescent="0.25">
      <c r="A10" s="360" t="s">
        <v>1767</v>
      </c>
      <c r="B10" s="360" t="s">
        <v>1768</v>
      </c>
      <c r="C10" s="360" t="s">
        <v>1769</v>
      </c>
      <c r="D10" s="360" t="s">
        <v>1770</v>
      </c>
      <c r="E10" s="360" t="s">
        <v>1771</v>
      </c>
      <c r="F10" s="360" t="s">
        <v>1772</v>
      </c>
      <c r="G10" s="360" t="s">
        <v>1773</v>
      </c>
      <c r="H10" s="360" t="s">
        <v>1774</v>
      </c>
      <c r="I10" s="360" t="s">
        <v>1775</v>
      </c>
      <c r="J10" s="360" t="s">
        <v>1779</v>
      </c>
      <c r="K10" s="360" t="s">
        <v>1776</v>
      </c>
      <c r="L10" s="360" t="s">
        <v>1777</v>
      </c>
      <c r="N10" s="366"/>
      <c r="O10" s="367"/>
      <c r="P10" s="367"/>
      <c r="Q10" s="367"/>
      <c r="R10" s="367"/>
      <c r="S10" s="367"/>
      <c r="T10" s="367"/>
      <c r="U10"/>
      <c r="V10"/>
      <c r="W10"/>
      <c r="X10"/>
      <c r="Y10"/>
      <c r="Z10"/>
      <c r="AA10"/>
      <c r="AB10"/>
      <c r="AC10"/>
      <c r="AD10"/>
      <c r="AE10"/>
      <c r="AF10"/>
      <c r="AG10"/>
    </row>
    <row r="11" spans="1:33" x14ac:dyDescent="0.25">
      <c r="A11" s="361">
        <v>38.587500000000006</v>
      </c>
      <c r="B11" s="361">
        <v>334.58750000000015</v>
      </c>
      <c r="C11" s="361">
        <v>37.450000000000003</v>
      </c>
      <c r="D11" s="361">
        <v>378.72293750000017</v>
      </c>
      <c r="E11" s="486">
        <v>25.774999999999999</v>
      </c>
      <c r="F11" s="486">
        <v>214.59708333333336</v>
      </c>
      <c r="G11" s="361">
        <v>448.73395833333325</v>
      </c>
      <c r="H11" s="361">
        <v>78.177500000000023</v>
      </c>
      <c r="I11" s="361">
        <v>152.99375000000001</v>
      </c>
      <c r="J11" s="468"/>
      <c r="K11" s="472">
        <v>47.948749999999997</v>
      </c>
      <c r="L11" s="361">
        <v>34.957666666666675</v>
      </c>
      <c r="N11" s="368"/>
      <c r="O11" s="465">
        <f>SUM(A11:L11)</f>
        <v>1792.5316458333339</v>
      </c>
      <c r="P11" s="367"/>
      <c r="Q11" s="367"/>
      <c r="R11" s="367"/>
      <c r="S11" s="367"/>
      <c r="T11" s="367"/>
      <c r="U11"/>
      <c r="V11"/>
      <c r="W11"/>
      <c r="X11"/>
      <c r="Y11"/>
      <c r="Z11"/>
      <c r="AA11"/>
      <c r="AB11"/>
      <c r="AC11"/>
      <c r="AD11"/>
      <c r="AE11"/>
      <c r="AF11"/>
      <c r="AG11"/>
    </row>
    <row r="12" spans="1:33" x14ac:dyDescent="0.25">
      <c r="A12" s="474"/>
      <c r="B12" s="475"/>
      <c r="C12" s="475"/>
      <c r="D12" s="475"/>
      <c r="E12"/>
      <c r="F12"/>
      <c r="G12" s="475"/>
      <c r="H12" s="475"/>
      <c r="I12" s="475"/>
      <c r="J12" s="476"/>
      <c r="K12" s="477"/>
      <c r="L12" s="478"/>
      <c r="N12" s="368"/>
      <c r="O12" s="465"/>
      <c r="P12" s="367"/>
      <c r="Q12" s="367"/>
      <c r="R12" s="367"/>
      <c r="S12" s="367"/>
      <c r="T12" s="367"/>
      <c r="U12"/>
      <c r="V12"/>
      <c r="W12"/>
      <c r="X12"/>
      <c r="Y12"/>
      <c r="Z12"/>
      <c r="AA12"/>
      <c r="AB12"/>
      <c r="AC12"/>
      <c r="AD12"/>
      <c r="AE12"/>
      <c r="AF12"/>
      <c r="AG12"/>
    </row>
    <row r="13" spans="1:33" x14ac:dyDescent="0.25">
      <c r="A13" s="479"/>
      <c r="B13" s="473"/>
      <c r="C13" s="473"/>
      <c r="D13" s="473"/>
      <c r="E13" s="487"/>
      <c r="F13" s="487"/>
      <c r="G13" s="473"/>
      <c r="H13" s="473"/>
      <c r="I13" s="473"/>
      <c r="J13" s="473"/>
      <c r="K13" s="473"/>
      <c r="L13" s="480"/>
      <c r="R13"/>
      <c r="S13"/>
      <c r="U13"/>
      <c r="V13"/>
      <c r="W13"/>
      <c r="X13"/>
      <c r="Y13"/>
      <c r="Z13"/>
      <c r="AA13"/>
      <c r="AB13"/>
      <c r="AC13"/>
      <c r="AD13"/>
      <c r="AE13"/>
      <c r="AF13"/>
      <c r="AG13"/>
    </row>
    <row r="14" spans="1:33" x14ac:dyDescent="0.25">
      <c r="U14"/>
      <c r="V14"/>
      <c r="W14"/>
      <c r="X14"/>
      <c r="Y14"/>
      <c r="Z14"/>
      <c r="AA14"/>
      <c r="AB14"/>
      <c r="AC14"/>
      <c r="AD14"/>
      <c r="AE14"/>
      <c r="AF14"/>
      <c r="AG14"/>
    </row>
    <row r="15" spans="1:33" x14ac:dyDescent="0.25">
      <c r="U15"/>
      <c r="V15"/>
      <c r="W15"/>
      <c r="X15"/>
      <c r="Y15"/>
      <c r="Z15"/>
      <c r="AA15"/>
      <c r="AB15"/>
      <c r="AC15"/>
      <c r="AD15"/>
      <c r="AE15"/>
      <c r="AF15"/>
      <c r="AG15"/>
    </row>
    <row r="16" spans="1:33" ht="15.75" x14ac:dyDescent="0.25">
      <c r="A16" s="372" t="s">
        <v>2031</v>
      </c>
      <c r="B16" s="373"/>
      <c r="C16" s="373"/>
      <c r="D16" s="373"/>
      <c r="E16" s="373"/>
      <c r="F16" s="373"/>
      <c r="G16" s="373"/>
      <c r="H16" s="373"/>
      <c r="I16" s="373"/>
      <c r="J16" s="373"/>
      <c r="K16" s="373"/>
      <c r="L16" s="374"/>
      <c r="M16" s="367"/>
      <c r="N16" s="367"/>
      <c r="O16" s="367"/>
      <c r="P16" s="367"/>
      <c r="Q16" s="367"/>
      <c r="R16" s="367"/>
      <c r="U16"/>
      <c r="V16"/>
      <c r="W16"/>
      <c r="X16"/>
      <c r="Y16"/>
      <c r="Z16"/>
      <c r="AA16"/>
      <c r="AB16"/>
      <c r="AC16"/>
      <c r="AD16"/>
      <c r="AE16"/>
      <c r="AF16"/>
      <c r="AG16"/>
    </row>
    <row r="17" spans="1:33" ht="15.75" x14ac:dyDescent="0.25">
      <c r="A17" s="375"/>
      <c r="B17" s="376"/>
      <c r="C17" s="376"/>
      <c r="D17" s="376"/>
      <c r="E17" s="376"/>
      <c r="F17" s="376"/>
      <c r="G17" s="376"/>
      <c r="H17" s="376"/>
      <c r="I17" s="376"/>
      <c r="J17" s="376"/>
      <c r="K17" s="376"/>
      <c r="L17" s="377"/>
      <c r="M17" s="367"/>
      <c r="N17" s="367"/>
      <c r="O17" s="367"/>
      <c r="P17" s="367"/>
      <c r="Q17" s="367"/>
      <c r="R17" s="367"/>
      <c r="U17"/>
      <c r="V17"/>
      <c r="W17"/>
      <c r="X17"/>
      <c r="Y17"/>
      <c r="Z17"/>
      <c r="AA17"/>
      <c r="AB17"/>
      <c r="AC17"/>
      <c r="AD17"/>
      <c r="AE17"/>
      <c r="AF17"/>
      <c r="AG17"/>
    </row>
    <row r="18" spans="1:33" x14ac:dyDescent="0.25">
      <c r="A18" s="607" t="s">
        <v>61</v>
      </c>
      <c r="B18" s="607"/>
      <c r="C18" s="607"/>
      <c r="D18" s="607"/>
      <c r="E18" s="607"/>
      <c r="F18" s="607"/>
      <c r="G18" s="607"/>
      <c r="H18" s="607"/>
      <c r="I18" s="607"/>
      <c r="J18" s="607"/>
      <c r="K18" s="607"/>
      <c r="L18" s="607"/>
      <c r="M18" s="367"/>
      <c r="N18" s="367"/>
      <c r="O18" s="367"/>
      <c r="P18" s="367"/>
      <c r="Q18" s="367"/>
      <c r="R18" s="367"/>
      <c r="U18"/>
      <c r="V18"/>
      <c r="W18"/>
      <c r="X18"/>
      <c r="Y18"/>
      <c r="Z18"/>
      <c r="AA18"/>
      <c r="AB18"/>
      <c r="AC18"/>
      <c r="AD18"/>
      <c r="AE18"/>
      <c r="AF18"/>
      <c r="AG18"/>
    </row>
    <row r="19" spans="1:33" ht="45" x14ac:dyDescent="0.25">
      <c r="A19" s="378" t="s">
        <v>1755</v>
      </c>
      <c r="B19" s="378" t="s">
        <v>1756</v>
      </c>
      <c r="C19" s="378" t="s">
        <v>1757</v>
      </c>
      <c r="D19" s="378" t="s">
        <v>1758</v>
      </c>
      <c r="E19" s="378" t="s">
        <v>1759</v>
      </c>
      <c r="F19" s="378" t="s">
        <v>1760</v>
      </c>
      <c r="G19" s="378" t="s">
        <v>1761</v>
      </c>
      <c r="H19" s="378" t="s">
        <v>1762</v>
      </c>
      <c r="I19" s="378" t="s">
        <v>1763</v>
      </c>
      <c r="J19" s="378" t="s">
        <v>1764</v>
      </c>
      <c r="K19" s="378" t="s">
        <v>1765</v>
      </c>
      <c r="L19" s="378" t="s">
        <v>1766</v>
      </c>
      <c r="M19" s="501"/>
      <c r="N19" s="502"/>
      <c r="O19" s="502"/>
      <c r="P19" s="382">
        <v>0.7</v>
      </c>
      <c r="Q19" s="367"/>
      <c r="R19" s="367"/>
      <c r="U19"/>
      <c r="V19"/>
      <c r="W19"/>
      <c r="X19"/>
      <c r="Y19"/>
      <c r="Z19"/>
      <c r="AA19"/>
      <c r="AB19"/>
      <c r="AC19"/>
      <c r="AD19"/>
      <c r="AE19"/>
      <c r="AF19"/>
      <c r="AG19"/>
    </row>
    <row r="20" spans="1:33" ht="29.25" customHeight="1" x14ac:dyDescent="0.25">
      <c r="A20" s="379">
        <v>27.25</v>
      </c>
      <c r="B20" s="379">
        <v>65.75</v>
      </c>
      <c r="C20" s="379">
        <v>7.5</v>
      </c>
      <c r="D20" s="379">
        <v>0.83333333333333326</v>
      </c>
      <c r="E20" s="379">
        <v>20</v>
      </c>
      <c r="F20" s="379">
        <v>81.937499999999986</v>
      </c>
      <c r="G20" s="379">
        <v>191.55</v>
      </c>
      <c r="H20" s="379">
        <v>81.837500000000006</v>
      </c>
      <c r="I20" s="379">
        <v>6.5</v>
      </c>
      <c r="J20" s="379">
        <v>0</v>
      </c>
      <c r="K20" s="379">
        <v>13.85</v>
      </c>
      <c r="L20" s="379">
        <v>0</v>
      </c>
      <c r="M20" s="501"/>
      <c r="N20" s="459">
        <f>SUM(A20:L20)</f>
        <v>497.00833333333333</v>
      </c>
      <c r="O20" s="458"/>
      <c r="P20" s="367"/>
      <c r="Q20" s="367"/>
      <c r="R20" s="367"/>
      <c r="U20"/>
      <c r="V20"/>
      <c r="W20"/>
      <c r="X20"/>
      <c r="Y20"/>
      <c r="Z20"/>
      <c r="AA20"/>
      <c r="AB20"/>
      <c r="AC20"/>
      <c r="AD20"/>
      <c r="AE20"/>
      <c r="AF20"/>
      <c r="AG20"/>
    </row>
    <row r="21" spans="1:33" ht="20.25" customHeight="1" x14ac:dyDescent="0.25">
      <c r="A21" s="501"/>
      <c r="B21" s="380"/>
      <c r="C21" s="380"/>
      <c r="D21" s="380"/>
      <c r="E21" s="380"/>
      <c r="F21" s="380"/>
      <c r="G21" s="380"/>
      <c r="H21" s="380"/>
      <c r="I21" s="380"/>
      <c r="J21" s="380"/>
      <c r="K21" s="380"/>
      <c r="L21" s="381"/>
      <c r="M21" s="460" t="s">
        <v>2032</v>
      </c>
      <c r="N21" s="463">
        <f>N20*P19</f>
        <v>347.90583333333331</v>
      </c>
      <c r="O21" s="367"/>
      <c r="P21" s="367"/>
      <c r="Q21" s="367"/>
      <c r="R21" s="367"/>
      <c r="U21"/>
      <c r="V21"/>
      <c r="W21"/>
      <c r="X21"/>
      <c r="Y21"/>
      <c r="Z21"/>
      <c r="AA21"/>
      <c r="AB21"/>
      <c r="AC21"/>
      <c r="AD21"/>
      <c r="AE21"/>
      <c r="AF21"/>
      <c r="AG21"/>
    </row>
    <row r="22" spans="1:33" x14ac:dyDescent="0.25">
      <c r="A22" s="607" t="s">
        <v>62</v>
      </c>
      <c r="B22" s="607"/>
      <c r="C22" s="607"/>
      <c r="D22" s="607"/>
      <c r="E22" s="607"/>
      <c r="F22" s="607"/>
      <c r="G22" s="607"/>
      <c r="H22" s="607"/>
      <c r="I22" s="607"/>
      <c r="J22" s="607"/>
      <c r="K22" s="607"/>
      <c r="L22" s="607"/>
      <c r="O22" s="367"/>
      <c r="P22" s="367"/>
      <c r="Q22" s="367"/>
      <c r="R22" s="367"/>
      <c r="U22"/>
      <c r="V22"/>
      <c r="W22"/>
      <c r="X22"/>
      <c r="Y22"/>
      <c r="Z22"/>
      <c r="AA22"/>
      <c r="AB22"/>
      <c r="AC22"/>
      <c r="AD22"/>
      <c r="AE22"/>
      <c r="AF22"/>
      <c r="AG22"/>
    </row>
    <row r="23" spans="1:33" ht="45" x14ac:dyDescent="0.25">
      <c r="A23" s="378" t="s">
        <v>1767</v>
      </c>
      <c r="B23" s="378" t="s">
        <v>1768</v>
      </c>
      <c r="C23" s="378" t="s">
        <v>1769</v>
      </c>
      <c r="D23" s="378" t="s">
        <v>1770</v>
      </c>
      <c r="E23" s="378" t="s">
        <v>1771</v>
      </c>
      <c r="F23" s="378" t="s">
        <v>1772</v>
      </c>
      <c r="G23" s="378" t="s">
        <v>1773</v>
      </c>
      <c r="H23" s="378" t="s">
        <v>1774</v>
      </c>
      <c r="I23" s="378" t="s">
        <v>1775</v>
      </c>
      <c r="J23" s="383" t="s">
        <v>1779</v>
      </c>
      <c r="K23" s="378" t="s">
        <v>1776</v>
      </c>
      <c r="L23" s="378" t="s">
        <v>1777</v>
      </c>
      <c r="M23" s="608"/>
      <c r="N23" s="609"/>
      <c r="O23" s="609"/>
      <c r="P23" s="367"/>
      <c r="Q23" s="367"/>
      <c r="R23" s="367"/>
      <c r="U23"/>
      <c r="V23"/>
      <c r="W23"/>
      <c r="X23"/>
      <c r="Y23"/>
      <c r="Z23"/>
      <c r="AA23"/>
      <c r="AB23"/>
      <c r="AC23"/>
      <c r="AD23"/>
      <c r="AE23"/>
      <c r="AF23"/>
      <c r="AG23"/>
    </row>
    <row r="24" spans="1:33" ht="27.75" customHeight="1" x14ac:dyDescent="0.25">
      <c r="A24" s="423">
        <v>21.8</v>
      </c>
      <c r="B24" s="423">
        <v>52.600000000000016</v>
      </c>
      <c r="C24" s="423">
        <v>6</v>
      </c>
      <c r="D24" s="423">
        <v>0.66666666666666663</v>
      </c>
      <c r="E24" s="423">
        <v>16</v>
      </c>
      <c r="F24" s="423">
        <v>65.78333333333336</v>
      </c>
      <c r="G24" s="423">
        <v>154.4675</v>
      </c>
      <c r="H24" s="423">
        <v>65.470000000000013</v>
      </c>
      <c r="I24" s="423">
        <v>5.2</v>
      </c>
      <c r="J24" s="423">
        <v>0</v>
      </c>
      <c r="K24" s="424">
        <v>11.08</v>
      </c>
      <c r="L24" s="424">
        <v>0</v>
      </c>
      <c r="M24" s="501"/>
      <c r="N24" s="458"/>
      <c r="O24" s="459">
        <f>SUM(A24:L24)</f>
        <v>399.06750000000005</v>
      </c>
      <c r="P24" s="367"/>
      <c r="Q24" s="367"/>
      <c r="R24" s="367"/>
      <c r="U24"/>
      <c r="V24"/>
      <c r="W24"/>
      <c r="X24"/>
      <c r="Y24"/>
      <c r="Z24"/>
      <c r="AA24"/>
      <c r="AB24"/>
      <c r="AC24"/>
      <c r="AD24"/>
      <c r="AE24"/>
      <c r="AF24"/>
      <c r="AG24"/>
    </row>
    <row r="25" spans="1:33" ht="21" customHeight="1" x14ac:dyDescent="0.25">
      <c r="A25" s="358"/>
      <c r="B25" s="462"/>
      <c r="C25" s="462"/>
      <c r="D25" s="462"/>
      <c r="E25" s="462"/>
      <c r="F25" s="462"/>
      <c r="G25" s="462"/>
      <c r="H25" s="462"/>
      <c r="I25" s="462"/>
      <c r="J25" s="462"/>
      <c r="K25" s="462"/>
      <c r="L25" s="462"/>
      <c r="M25" s="460" t="s">
        <v>2033</v>
      </c>
      <c r="N25" s="459"/>
      <c r="O25" s="463">
        <f>O24*P19</f>
        <v>279.34725000000003</v>
      </c>
    </row>
    <row r="27" spans="1:33" ht="15.75" x14ac:dyDescent="0.25">
      <c r="A27" s="441" t="s">
        <v>387</v>
      </c>
      <c r="B27" s="355"/>
      <c r="C27" s="355"/>
      <c r="D27" s="355"/>
      <c r="E27" s="355"/>
      <c r="F27" s="355"/>
      <c r="G27" s="355"/>
      <c r="H27" s="355"/>
      <c r="I27" s="355"/>
      <c r="J27" s="355"/>
      <c r="K27" s="355"/>
      <c r="L27" s="355"/>
      <c r="M27" s="355"/>
      <c r="N27" s="461"/>
      <c r="O27" s="466"/>
    </row>
    <row r="28" spans="1:33" x14ac:dyDescent="0.25">
      <c r="A28" s="370"/>
      <c r="B28" s="358"/>
      <c r="C28" s="358"/>
      <c r="D28" s="358"/>
      <c r="E28" s="358"/>
      <c r="F28" s="358"/>
      <c r="G28" s="358"/>
      <c r="H28" s="358"/>
      <c r="I28" s="358"/>
      <c r="J28" s="358"/>
      <c r="K28" s="358"/>
      <c r="L28" s="358"/>
      <c r="M28" s="358"/>
      <c r="N28" s="358"/>
      <c r="O28" s="359"/>
    </row>
    <row r="29" spans="1:33" x14ac:dyDescent="0.25">
      <c r="A29" s="370" t="s">
        <v>2042</v>
      </c>
      <c r="B29" s="358"/>
      <c r="C29" s="358"/>
      <c r="D29" s="358"/>
      <c r="E29" s="358"/>
      <c r="F29" s="358"/>
      <c r="G29" s="358"/>
      <c r="H29" s="358"/>
      <c r="I29" s="358"/>
      <c r="J29" s="358"/>
      <c r="K29" s="358"/>
      <c r="L29" s="358"/>
      <c r="M29" s="358"/>
      <c r="N29" s="358"/>
      <c r="O29" s="359"/>
    </row>
    <row r="30" spans="1:33" x14ac:dyDescent="0.25">
      <c r="A30" s="438"/>
      <c r="B30" s="358"/>
      <c r="C30" s="358"/>
      <c r="D30" s="358"/>
      <c r="E30" s="358"/>
      <c r="F30" s="358"/>
      <c r="G30" s="358"/>
      <c r="H30" s="358"/>
      <c r="I30" s="358"/>
      <c r="J30" s="358"/>
      <c r="K30" s="358"/>
      <c r="L30" s="358"/>
      <c r="M30" s="358"/>
      <c r="N30" s="358"/>
      <c r="O30" s="359"/>
    </row>
    <row r="31" spans="1:33" x14ac:dyDescent="0.25">
      <c r="A31" s="370" t="s">
        <v>1984</v>
      </c>
      <c r="B31" s="358"/>
      <c r="C31" s="358"/>
      <c r="D31" s="358"/>
      <c r="E31" s="358"/>
      <c r="F31" s="358"/>
      <c r="G31" s="358"/>
      <c r="H31" s="358"/>
      <c r="I31" s="358"/>
      <c r="J31" s="358"/>
      <c r="K31" s="358"/>
      <c r="L31" s="358"/>
      <c r="M31" s="358"/>
      <c r="N31" s="358"/>
      <c r="O31" s="359"/>
    </row>
    <row r="32" spans="1:33" x14ac:dyDescent="0.25">
      <c r="A32" s="442" t="s">
        <v>1917</v>
      </c>
      <c r="N32" s="470"/>
      <c r="O32" s="471"/>
    </row>
    <row r="33" spans="1:15" x14ac:dyDescent="0.25">
      <c r="A33" s="438" t="s">
        <v>1918</v>
      </c>
      <c r="N33" s="468" t="s">
        <v>61</v>
      </c>
      <c r="O33" s="468" t="s">
        <v>62</v>
      </c>
    </row>
    <row r="34" spans="1:15" ht="21.75" customHeight="1" x14ac:dyDescent="0.25">
      <c r="A34" s="443"/>
      <c r="B34" s="369"/>
      <c r="C34" s="369"/>
      <c r="D34" s="369"/>
      <c r="E34" s="369"/>
      <c r="F34" s="369"/>
      <c r="G34" s="369"/>
      <c r="H34" s="369"/>
      <c r="I34" s="369"/>
      <c r="J34" s="369"/>
      <c r="K34" s="369"/>
      <c r="L34" s="440" t="s">
        <v>2034</v>
      </c>
      <c r="M34" s="439"/>
      <c r="N34" s="469">
        <f>N6-N20+N21</f>
        <v>1987.9004166666668</v>
      </c>
      <c r="O34" s="467">
        <f>O11-O24+O25</f>
        <v>1672.8113958333338</v>
      </c>
    </row>
    <row r="36" spans="1:15" x14ac:dyDescent="0.25">
      <c r="A36" s="483" t="s">
        <v>2037</v>
      </c>
      <c r="B36" s="371"/>
      <c r="C36" s="484"/>
      <c r="E36" s="483" t="s">
        <v>2039</v>
      </c>
      <c r="F36" s="484"/>
      <c r="G36" s="483" t="s">
        <v>2040</v>
      </c>
      <c r="H36" s="484"/>
      <c r="I36" s="483" t="s">
        <v>2044</v>
      </c>
      <c r="J36" s="484"/>
      <c r="K36" s="601" t="s">
        <v>2043</v>
      </c>
      <c r="L36" s="602"/>
      <c r="M36" s="603" t="s">
        <v>2041</v>
      </c>
      <c r="N36" s="604"/>
      <c r="O36" s="605"/>
    </row>
    <row r="37" spans="1:15" x14ac:dyDescent="0.25">
      <c r="A37" s="468" t="s">
        <v>2038</v>
      </c>
      <c r="B37" s="468" t="s">
        <v>61</v>
      </c>
      <c r="C37" s="468" t="s">
        <v>62</v>
      </c>
      <c r="E37" s="468" t="s">
        <v>61</v>
      </c>
      <c r="F37" s="468" t="s">
        <v>62</v>
      </c>
      <c r="G37" s="468" t="s">
        <v>61</v>
      </c>
      <c r="H37" s="468" t="s">
        <v>62</v>
      </c>
      <c r="I37" s="468" t="s">
        <v>61</v>
      </c>
      <c r="J37" s="468" t="s">
        <v>62</v>
      </c>
      <c r="K37" s="468" t="s">
        <v>61</v>
      </c>
      <c r="L37" s="468" t="s">
        <v>62</v>
      </c>
      <c r="M37" s="493" t="s">
        <v>2038</v>
      </c>
      <c r="N37" s="493" t="s">
        <v>61</v>
      </c>
      <c r="O37" s="493" t="s">
        <v>62</v>
      </c>
    </row>
    <row r="38" spans="1:15" x14ac:dyDescent="0.25">
      <c r="A38" s="468" t="s">
        <v>130</v>
      </c>
      <c r="B38" s="472">
        <f>A6</f>
        <v>47</v>
      </c>
      <c r="C38" s="472">
        <f>A11</f>
        <v>38.587500000000006</v>
      </c>
      <c r="E38" s="472">
        <f>A20</f>
        <v>27.25</v>
      </c>
      <c r="F38" s="472">
        <f>A24</f>
        <v>21.8</v>
      </c>
      <c r="G38" s="481">
        <f>E38*$P$19</f>
        <v>19.074999999999999</v>
      </c>
      <c r="H38" s="481">
        <f>F38*$P$19</f>
        <v>15.26</v>
      </c>
      <c r="I38" s="490">
        <f t="shared" ref="I38:J49" si="0">B38-E38+G38</f>
        <v>38.825000000000003</v>
      </c>
      <c r="J38" s="490">
        <f t="shared" si="0"/>
        <v>32.047500000000007</v>
      </c>
      <c r="K38" s="472">
        <f>37-I38</f>
        <v>-1.8250000000000028</v>
      </c>
      <c r="L38" s="468"/>
      <c r="M38" s="494" t="s">
        <v>130</v>
      </c>
      <c r="N38" s="472">
        <f>I38+K38</f>
        <v>37</v>
      </c>
      <c r="O38" s="472">
        <f t="shared" ref="O38:O41" si="1">J38+L38</f>
        <v>32.047500000000007</v>
      </c>
    </row>
    <row r="39" spans="1:15" x14ac:dyDescent="0.25">
      <c r="A39" s="468" t="s">
        <v>131</v>
      </c>
      <c r="B39" s="472">
        <f>B6</f>
        <v>397.5</v>
      </c>
      <c r="C39" s="472">
        <f>B11</f>
        <v>334.58750000000015</v>
      </c>
      <c r="E39" s="472">
        <f>B20</f>
        <v>65.75</v>
      </c>
      <c r="F39" s="472">
        <f>B24</f>
        <v>52.600000000000016</v>
      </c>
      <c r="G39" s="481">
        <f t="shared" ref="G39:H49" si="2">E39*$P$19</f>
        <v>46.024999999999999</v>
      </c>
      <c r="H39" s="481">
        <f t="shared" si="2"/>
        <v>36.820000000000007</v>
      </c>
      <c r="I39" s="472">
        <f t="shared" si="0"/>
        <v>377.77499999999998</v>
      </c>
      <c r="J39" s="472">
        <f t="shared" si="0"/>
        <v>318.80750000000012</v>
      </c>
      <c r="K39" s="468"/>
      <c r="L39" s="468"/>
      <c r="M39" s="493" t="s">
        <v>131</v>
      </c>
      <c r="N39" s="472">
        <f t="shared" ref="N39:N41" si="3">I39+K39</f>
        <v>377.77499999999998</v>
      </c>
      <c r="O39" s="472">
        <f t="shared" si="1"/>
        <v>318.80750000000012</v>
      </c>
    </row>
    <row r="40" spans="1:15" x14ac:dyDescent="0.25">
      <c r="A40" s="468" t="s">
        <v>132</v>
      </c>
      <c r="B40" s="472">
        <f>C6</f>
        <v>44.5</v>
      </c>
      <c r="C40" s="472">
        <f>C11</f>
        <v>37.450000000000003</v>
      </c>
      <c r="E40" s="472">
        <f>C20</f>
        <v>7.5</v>
      </c>
      <c r="F40" s="472">
        <f>C24</f>
        <v>6</v>
      </c>
      <c r="G40" s="481">
        <f t="shared" si="2"/>
        <v>5.25</v>
      </c>
      <c r="H40" s="481">
        <f t="shared" si="2"/>
        <v>4.1999999999999993</v>
      </c>
      <c r="I40" s="472">
        <f t="shared" si="0"/>
        <v>42.25</v>
      </c>
      <c r="J40" s="472">
        <f t="shared" si="0"/>
        <v>35.650000000000006</v>
      </c>
      <c r="K40" s="468"/>
      <c r="L40" s="468"/>
      <c r="M40" s="493" t="s">
        <v>132</v>
      </c>
      <c r="N40" s="472">
        <f t="shared" si="3"/>
        <v>42.25</v>
      </c>
      <c r="O40" s="472">
        <f t="shared" si="1"/>
        <v>35.650000000000006</v>
      </c>
    </row>
    <row r="41" spans="1:15" x14ac:dyDescent="0.25">
      <c r="A41" s="468" t="s">
        <v>133</v>
      </c>
      <c r="B41" s="472">
        <f>D6</f>
        <v>445.60541666666683</v>
      </c>
      <c r="C41" s="472">
        <f>D11</f>
        <v>378.72293750000017</v>
      </c>
      <c r="E41" s="472">
        <f>D20</f>
        <v>0.83333333333333326</v>
      </c>
      <c r="F41" s="472">
        <f>D24</f>
        <v>0.66666666666666663</v>
      </c>
      <c r="G41" s="481">
        <f t="shared" si="2"/>
        <v>0.58333333333333326</v>
      </c>
      <c r="H41" s="481">
        <f t="shared" si="2"/>
        <v>0.46666666666666662</v>
      </c>
      <c r="I41" s="472">
        <f t="shared" si="0"/>
        <v>445.35541666666683</v>
      </c>
      <c r="J41" s="472">
        <f t="shared" si="0"/>
        <v>378.52293750000013</v>
      </c>
      <c r="K41" s="468"/>
      <c r="L41" s="468"/>
      <c r="M41" s="493" t="s">
        <v>133</v>
      </c>
      <c r="N41" s="472">
        <f t="shared" si="3"/>
        <v>445.35541666666683</v>
      </c>
      <c r="O41" s="472">
        <f t="shared" si="1"/>
        <v>378.52293750000013</v>
      </c>
    </row>
    <row r="42" spans="1:15" x14ac:dyDescent="0.25">
      <c r="A42" s="468" t="s">
        <v>134</v>
      </c>
      <c r="B42" s="472">
        <f>E6</f>
        <v>31.5</v>
      </c>
      <c r="C42" s="472">
        <f>E11</f>
        <v>25.774999999999999</v>
      </c>
      <c r="E42" s="488">
        <f>E20</f>
        <v>20</v>
      </c>
      <c r="F42" s="488">
        <f>E24</f>
        <v>16</v>
      </c>
      <c r="G42" s="489">
        <f t="shared" si="2"/>
        <v>14</v>
      </c>
      <c r="H42" s="481">
        <f t="shared" si="2"/>
        <v>11.2</v>
      </c>
      <c r="I42" s="490">
        <f t="shared" si="0"/>
        <v>25.5</v>
      </c>
      <c r="J42" s="490">
        <f t="shared" si="0"/>
        <v>20.974999999999998</v>
      </c>
      <c r="K42" s="472">
        <f>10-I42</f>
        <v>-15.5</v>
      </c>
      <c r="L42" s="472">
        <f>10-J42</f>
        <v>-10.974999999999998</v>
      </c>
      <c r="M42" s="493" t="s">
        <v>134</v>
      </c>
      <c r="N42" s="472">
        <f>I42+K42</f>
        <v>10</v>
      </c>
      <c r="O42" s="472">
        <f>J42+L42</f>
        <v>10</v>
      </c>
    </row>
    <row r="43" spans="1:15" x14ac:dyDescent="0.25">
      <c r="A43" s="468" t="s">
        <v>135</v>
      </c>
      <c r="B43" s="472">
        <f>F6</f>
        <v>257.01249999999999</v>
      </c>
      <c r="C43" s="472">
        <f>F11</f>
        <v>214.59708333333336</v>
      </c>
      <c r="E43" s="488">
        <f>F20</f>
        <v>81.937499999999986</v>
      </c>
      <c r="F43" s="488">
        <f>F24</f>
        <v>65.78333333333336</v>
      </c>
      <c r="G43" s="489">
        <f t="shared" si="2"/>
        <v>57.356249999999989</v>
      </c>
      <c r="H43" s="481">
        <f t="shared" si="2"/>
        <v>46.048333333333346</v>
      </c>
      <c r="I43" s="490">
        <f t="shared" si="0"/>
        <v>232.43124999999998</v>
      </c>
      <c r="J43" s="490">
        <f t="shared" si="0"/>
        <v>194.86208333333335</v>
      </c>
      <c r="K43" s="472">
        <f>-(K38+K42)</f>
        <v>17.325000000000003</v>
      </c>
      <c r="L43" s="472">
        <f>-(L38+L42)</f>
        <v>10.974999999999998</v>
      </c>
      <c r="M43" s="493" t="s">
        <v>135</v>
      </c>
      <c r="N43" s="472">
        <f t="shared" ref="N43:O49" si="4">I43+K43</f>
        <v>249.75624999999997</v>
      </c>
      <c r="O43" s="472">
        <f t="shared" si="4"/>
        <v>205.83708333333334</v>
      </c>
    </row>
    <row r="44" spans="1:15" x14ac:dyDescent="0.25">
      <c r="A44" s="468" t="s">
        <v>136</v>
      </c>
      <c r="B44" s="472">
        <f>G6</f>
        <v>537.74583333333339</v>
      </c>
      <c r="C44" s="472">
        <f>G11</f>
        <v>448.73395833333325</v>
      </c>
      <c r="E44" s="472">
        <f>G20</f>
        <v>191.55</v>
      </c>
      <c r="F44" s="472">
        <f>G24</f>
        <v>154.4675</v>
      </c>
      <c r="G44" s="481">
        <f t="shared" si="2"/>
        <v>134.08500000000001</v>
      </c>
      <c r="H44" s="481">
        <f t="shared" si="2"/>
        <v>108.12724999999999</v>
      </c>
      <c r="I44" s="472">
        <f t="shared" si="0"/>
        <v>480.28083333333336</v>
      </c>
      <c r="J44" s="472">
        <f t="shared" si="0"/>
        <v>402.39370833333328</v>
      </c>
      <c r="K44" s="468"/>
      <c r="L44" s="468"/>
      <c r="M44" s="493" t="s">
        <v>136</v>
      </c>
      <c r="N44" s="472">
        <f t="shared" si="4"/>
        <v>480.28083333333336</v>
      </c>
      <c r="O44" s="472">
        <f t="shared" si="4"/>
        <v>402.39370833333328</v>
      </c>
    </row>
    <row r="45" spans="1:15" x14ac:dyDescent="0.25">
      <c r="A45" s="468" t="s">
        <v>126</v>
      </c>
      <c r="B45" s="472">
        <f>H6</f>
        <v>96.787500000000009</v>
      </c>
      <c r="C45" s="472">
        <f>H11</f>
        <v>78.177500000000023</v>
      </c>
      <c r="E45" s="472">
        <f>H20</f>
        <v>81.837500000000006</v>
      </c>
      <c r="F45" s="472">
        <f>H24</f>
        <v>65.470000000000013</v>
      </c>
      <c r="G45" s="481">
        <f t="shared" si="2"/>
        <v>57.286250000000003</v>
      </c>
      <c r="H45" s="481">
        <f t="shared" si="2"/>
        <v>45.829000000000008</v>
      </c>
      <c r="I45" s="472">
        <f t="shared" si="0"/>
        <v>72.236250000000013</v>
      </c>
      <c r="J45" s="472">
        <f t="shared" si="0"/>
        <v>58.536500000000018</v>
      </c>
      <c r="K45" s="468"/>
      <c r="L45" s="468"/>
      <c r="M45" s="493" t="s">
        <v>126</v>
      </c>
      <c r="N45" s="472">
        <f t="shared" si="4"/>
        <v>72.236250000000013</v>
      </c>
      <c r="O45" s="472">
        <f t="shared" si="4"/>
        <v>58.536500000000018</v>
      </c>
    </row>
    <row r="46" spans="1:15" x14ac:dyDescent="0.25">
      <c r="A46" s="468" t="s">
        <v>774</v>
      </c>
      <c r="B46" s="472">
        <f>I6</f>
        <v>180.375</v>
      </c>
      <c r="C46" s="472">
        <f>I11</f>
        <v>152.99375000000001</v>
      </c>
      <c r="E46" s="472">
        <f>I20</f>
        <v>6.5</v>
      </c>
      <c r="F46" s="472">
        <f>I24</f>
        <v>5.2</v>
      </c>
      <c r="G46" s="481">
        <f t="shared" si="2"/>
        <v>4.55</v>
      </c>
      <c r="H46" s="481">
        <f t="shared" si="2"/>
        <v>3.6399999999999997</v>
      </c>
      <c r="I46" s="472">
        <f t="shared" si="0"/>
        <v>178.42500000000001</v>
      </c>
      <c r="J46" s="472">
        <f t="shared" si="0"/>
        <v>151.43375</v>
      </c>
      <c r="K46" s="468"/>
      <c r="L46" s="468"/>
      <c r="M46" s="493" t="s">
        <v>774</v>
      </c>
      <c r="N46" s="472">
        <f t="shared" si="4"/>
        <v>178.42500000000001</v>
      </c>
      <c r="O46" s="472">
        <f t="shared" si="4"/>
        <v>151.43375</v>
      </c>
    </row>
    <row r="47" spans="1:15" x14ac:dyDescent="0.25">
      <c r="A47" s="468" t="s">
        <v>342</v>
      </c>
      <c r="B47" s="472">
        <f>J6</f>
        <v>0.625</v>
      </c>
      <c r="C47" s="468"/>
      <c r="E47" s="468"/>
      <c r="F47" s="468"/>
      <c r="G47" s="481">
        <f t="shared" si="2"/>
        <v>0</v>
      </c>
      <c r="H47" s="481">
        <f t="shared" si="2"/>
        <v>0</v>
      </c>
      <c r="I47" s="482">
        <f t="shared" si="0"/>
        <v>0.625</v>
      </c>
      <c r="J47" s="472">
        <f t="shared" si="0"/>
        <v>0</v>
      </c>
      <c r="K47" s="468"/>
      <c r="L47" s="468"/>
      <c r="M47" s="493" t="s">
        <v>342</v>
      </c>
      <c r="N47" s="490">
        <f>I47+K47</f>
        <v>0.625</v>
      </c>
      <c r="O47" s="472">
        <f t="shared" si="4"/>
        <v>0</v>
      </c>
    </row>
    <row r="48" spans="1:15" x14ac:dyDescent="0.25">
      <c r="A48" s="468" t="s">
        <v>137</v>
      </c>
      <c r="B48" s="472">
        <f>K6</f>
        <v>57.225000000000001</v>
      </c>
      <c r="C48" s="472">
        <f>K11</f>
        <v>47.948749999999997</v>
      </c>
      <c r="E48" s="472">
        <f>K20</f>
        <v>13.85</v>
      </c>
      <c r="F48" s="472">
        <f>K24</f>
        <v>11.08</v>
      </c>
      <c r="G48" s="481">
        <f t="shared" si="2"/>
        <v>9.6949999999999985</v>
      </c>
      <c r="H48" s="481">
        <f t="shared" si="2"/>
        <v>7.7559999999999993</v>
      </c>
      <c r="I48" s="472">
        <f t="shared" si="0"/>
        <v>53.07</v>
      </c>
      <c r="J48" s="472">
        <f t="shared" si="0"/>
        <v>44.624749999999999</v>
      </c>
      <c r="K48" s="468"/>
      <c r="L48" s="468"/>
      <c r="M48" s="493" t="s">
        <v>137</v>
      </c>
      <c r="N48" s="472">
        <f t="shared" si="4"/>
        <v>53.07</v>
      </c>
      <c r="O48" s="472">
        <f t="shared" si="4"/>
        <v>44.624749999999999</v>
      </c>
    </row>
    <row r="49" spans="1:15" x14ac:dyDescent="0.25">
      <c r="A49" s="468" t="s">
        <v>322</v>
      </c>
      <c r="B49" s="472">
        <f>L6</f>
        <v>41.126666666666665</v>
      </c>
      <c r="C49" s="472">
        <f>L11</f>
        <v>34.957666666666675</v>
      </c>
      <c r="E49" s="472">
        <f>L24</f>
        <v>0</v>
      </c>
      <c r="F49" s="472">
        <f>L24</f>
        <v>0</v>
      </c>
      <c r="G49" s="481">
        <f t="shared" si="2"/>
        <v>0</v>
      </c>
      <c r="H49" s="481">
        <f t="shared" si="2"/>
        <v>0</v>
      </c>
      <c r="I49" s="472">
        <f t="shared" si="0"/>
        <v>41.126666666666665</v>
      </c>
      <c r="J49" s="472">
        <f t="shared" si="0"/>
        <v>34.957666666666675</v>
      </c>
      <c r="K49" s="468"/>
      <c r="L49" s="468"/>
      <c r="M49" s="493" t="s">
        <v>322</v>
      </c>
      <c r="N49" s="472">
        <f t="shared" si="4"/>
        <v>41.126666666666665</v>
      </c>
      <c r="O49" s="472">
        <f t="shared" si="4"/>
        <v>34.957666666666675</v>
      </c>
    </row>
    <row r="50" spans="1:15" x14ac:dyDescent="0.25">
      <c r="A50" s="468" t="s">
        <v>154</v>
      </c>
      <c r="B50" s="472">
        <f>SUM(B38:B49)</f>
        <v>2137.0029166666668</v>
      </c>
      <c r="C50" s="472">
        <f>SUM(C38:C49)</f>
        <v>1792.5316458333339</v>
      </c>
      <c r="E50" s="472">
        <f t="shared" ref="E50:J50" si="5">SUM(E38:E49)</f>
        <v>497.00833333333333</v>
      </c>
      <c r="F50" s="472">
        <f t="shared" si="5"/>
        <v>399.06750000000005</v>
      </c>
      <c r="G50" s="481">
        <f t="shared" si="5"/>
        <v>347.90583333333336</v>
      </c>
      <c r="H50" s="481">
        <f t="shared" si="5"/>
        <v>279.34724999999997</v>
      </c>
      <c r="I50" s="485">
        <f t="shared" si="5"/>
        <v>1987.9004166666664</v>
      </c>
      <c r="J50" s="485">
        <f t="shared" si="5"/>
        <v>1672.8113958333333</v>
      </c>
      <c r="K50" s="468"/>
      <c r="L50" s="468"/>
      <c r="M50" s="491" t="s">
        <v>154</v>
      </c>
      <c r="N50" s="492">
        <f>SUM(N38:N49)</f>
        <v>1987.9004166666664</v>
      </c>
      <c r="O50" s="492">
        <f>SUM(O38:O49)</f>
        <v>1672.8113958333333</v>
      </c>
    </row>
  </sheetData>
  <mergeCells count="7">
    <mergeCell ref="K36:L36"/>
    <mergeCell ref="M36:O36"/>
    <mergeCell ref="A4:L4"/>
    <mergeCell ref="A9:L9"/>
    <mergeCell ref="A18:L18"/>
    <mergeCell ref="A22:L22"/>
    <mergeCell ref="M23:O23"/>
  </mergeCells>
  <pageMargins left="0.70866141732283472" right="0.70866141732283472" top="0.74803149606299213" bottom="0.74803149606299213" header="0.31496062992125984" footer="0.31496062992125984"/>
  <pageSetup paperSize="9" scale="69" orientation="landscape" r:id="rId1"/>
  <headerFooter>
    <oddFooter>&amp;L&amp;A&amp;C&amp;F&amp;R&amp;D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8EEF"/>
    <pageSetUpPr fitToPage="1"/>
  </sheetPr>
  <dimension ref="A1:BP1087"/>
  <sheetViews>
    <sheetView zoomScale="110" zoomScaleNormal="110" zoomScalePageLayoutView="110" workbookViewId="0">
      <pane ySplit="1" topLeftCell="A2" activePane="bottomLeft" state="frozen"/>
      <selection pane="bottomLeft" activeCell="J496" sqref="J496"/>
    </sheetView>
  </sheetViews>
  <sheetFormatPr defaultColWidth="8.85546875" defaultRowHeight="15" x14ac:dyDescent="0.25"/>
  <cols>
    <col min="1" max="1" width="13.5703125" style="31" customWidth="1"/>
    <col min="2" max="2" width="69" style="59" customWidth="1"/>
    <col min="3" max="3" width="7.5703125" style="31" customWidth="1"/>
    <col min="4" max="4" width="11.7109375" style="31" customWidth="1"/>
    <col min="5" max="5" width="9.140625" style="31" customWidth="1"/>
    <col min="6" max="6" width="9.42578125" style="31" customWidth="1"/>
    <col min="7" max="7" width="25.140625" style="31" customWidth="1"/>
    <col min="8" max="8" width="7.42578125" style="31" customWidth="1"/>
    <col min="9" max="9" width="9" style="31" customWidth="1"/>
    <col min="10" max="10" width="11" style="31" customWidth="1"/>
    <col min="11" max="11" width="9.140625" style="31" customWidth="1"/>
    <col min="12" max="12" width="8.42578125" style="31" customWidth="1"/>
    <col min="13" max="13" width="5.85546875" style="31" customWidth="1"/>
    <col min="14" max="15" width="8.42578125" style="31" customWidth="1"/>
    <col min="16" max="16" width="6.42578125" style="31" customWidth="1"/>
    <col min="17" max="17" width="8.42578125" style="41" customWidth="1"/>
    <col min="18" max="18" width="8" style="31" customWidth="1"/>
    <col min="19" max="19" width="6.5703125" style="45" customWidth="1"/>
    <col min="20" max="20" width="12.42578125" style="31" customWidth="1"/>
    <col min="21" max="21" width="24" style="31" customWidth="1"/>
    <col min="22" max="22" width="11.42578125" style="31" customWidth="1"/>
    <col min="23" max="23" width="32.42578125" style="31" customWidth="1"/>
    <col min="24" max="27" width="11.42578125" style="42" customWidth="1"/>
    <col min="28" max="28" width="12" style="42" customWidth="1"/>
    <col min="29" max="29" width="11.42578125" style="42" customWidth="1"/>
    <col min="30" max="41" width="11.42578125" style="31" customWidth="1"/>
    <col min="42" max="42" width="28.140625" style="31" customWidth="1"/>
    <col min="43" max="43" width="32.140625" style="31" customWidth="1"/>
    <col min="44" max="44" width="9.42578125" style="31" customWidth="1"/>
    <col min="45" max="45" width="8.85546875" style="31" customWidth="1"/>
    <col min="46" max="46" width="7.5703125" style="31" customWidth="1"/>
    <col min="47" max="47" width="8" style="31" customWidth="1"/>
    <col min="48" max="48" width="7.140625" style="31" customWidth="1"/>
    <col min="49" max="50" width="7.5703125" style="31" customWidth="1"/>
    <col min="51" max="51" width="7.85546875" style="31" customWidth="1"/>
    <col min="52" max="52" width="10.85546875" style="31" customWidth="1"/>
    <col min="53" max="53" width="10.42578125" style="31" customWidth="1"/>
    <col min="54" max="54" width="7.85546875" style="31" customWidth="1"/>
    <col min="55" max="55" width="8.42578125" style="31" customWidth="1"/>
    <col min="56" max="56" width="7.5703125" style="31" customWidth="1"/>
    <col min="57" max="57" width="7.42578125" style="31" customWidth="1"/>
    <col min="58" max="58" width="7" style="31" customWidth="1"/>
    <col min="59" max="60" width="7.5703125" style="31" customWidth="1"/>
    <col min="61" max="62" width="8.85546875" style="31"/>
    <col min="63" max="63" width="8" style="31" customWidth="1"/>
    <col min="64" max="64" width="8.140625" style="31" customWidth="1"/>
    <col min="65" max="65" width="7.85546875" style="31" customWidth="1"/>
    <col min="66" max="66" width="8.140625" style="31" customWidth="1"/>
    <col min="67" max="16384" width="8.85546875" style="31"/>
  </cols>
  <sheetData>
    <row r="1" spans="1:66" s="96" customFormat="1" ht="54.75" customHeight="1" x14ac:dyDescent="0.25">
      <c r="A1" s="94" t="s">
        <v>59</v>
      </c>
      <c r="B1" s="389" t="s">
        <v>110</v>
      </c>
      <c r="C1" s="95" t="s">
        <v>437</v>
      </c>
      <c r="D1" s="165" t="s">
        <v>105</v>
      </c>
      <c r="E1" s="165" t="s">
        <v>1581</v>
      </c>
      <c r="F1" s="165" t="s">
        <v>106</v>
      </c>
      <c r="G1" s="166" t="s">
        <v>398</v>
      </c>
      <c r="H1" s="167" t="s">
        <v>107</v>
      </c>
      <c r="I1" s="165" t="s">
        <v>108</v>
      </c>
      <c r="J1" s="165" t="s">
        <v>438</v>
      </c>
      <c r="K1" s="165" t="s">
        <v>439</v>
      </c>
      <c r="L1" s="168" t="s">
        <v>109</v>
      </c>
      <c r="M1" s="166" t="s">
        <v>111</v>
      </c>
      <c r="N1" s="315" t="s">
        <v>1612</v>
      </c>
      <c r="O1" s="315" t="s">
        <v>1613</v>
      </c>
      <c r="P1" s="169" t="s">
        <v>112</v>
      </c>
      <c r="Q1" s="170" t="s">
        <v>61</v>
      </c>
      <c r="R1" s="171" t="s">
        <v>113</v>
      </c>
      <c r="S1" s="172" t="s">
        <v>62</v>
      </c>
      <c r="T1" s="173" t="s">
        <v>60</v>
      </c>
      <c r="U1" s="173" t="s">
        <v>2</v>
      </c>
      <c r="V1" s="173" t="s">
        <v>71</v>
      </c>
      <c r="W1" s="165" t="s">
        <v>361</v>
      </c>
      <c r="X1" s="174" t="s">
        <v>69</v>
      </c>
      <c r="Y1" s="174" t="s">
        <v>70</v>
      </c>
      <c r="Z1" s="174" t="s">
        <v>77</v>
      </c>
      <c r="AA1" s="174" t="s">
        <v>337</v>
      </c>
      <c r="AB1" s="174" t="s">
        <v>149</v>
      </c>
      <c r="AC1" s="174" t="s">
        <v>444</v>
      </c>
      <c r="AD1" s="175" t="s">
        <v>130</v>
      </c>
      <c r="AE1" s="175" t="s">
        <v>131</v>
      </c>
      <c r="AF1" s="175" t="s">
        <v>132</v>
      </c>
      <c r="AG1" s="175" t="s">
        <v>133</v>
      </c>
      <c r="AH1" s="175" t="s">
        <v>134</v>
      </c>
      <c r="AI1" s="175" t="s">
        <v>135</v>
      </c>
      <c r="AJ1" s="175" t="s">
        <v>136</v>
      </c>
      <c r="AK1" s="175" t="s">
        <v>126</v>
      </c>
      <c r="AL1" s="175" t="s">
        <v>774</v>
      </c>
      <c r="AM1" s="175" t="s">
        <v>342</v>
      </c>
      <c r="AN1" s="175" t="s">
        <v>137</v>
      </c>
      <c r="AO1" s="175" t="s">
        <v>322</v>
      </c>
      <c r="AP1" s="176" t="s">
        <v>440</v>
      </c>
      <c r="AQ1" s="96" t="s">
        <v>433</v>
      </c>
      <c r="AR1" s="175" t="s">
        <v>781</v>
      </c>
      <c r="AS1" s="175" t="s">
        <v>782</v>
      </c>
      <c r="AT1" s="175" t="s">
        <v>784</v>
      </c>
      <c r="AU1" s="175" t="s">
        <v>783</v>
      </c>
      <c r="AV1" s="175" t="s">
        <v>786</v>
      </c>
      <c r="AW1" s="175" t="s">
        <v>785</v>
      </c>
      <c r="AX1" s="175" t="s">
        <v>788</v>
      </c>
      <c r="AY1" s="175" t="s">
        <v>787</v>
      </c>
      <c r="AZ1" s="175" t="s">
        <v>790</v>
      </c>
      <c r="BA1" s="175" t="s">
        <v>789</v>
      </c>
      <c r="BB1" s="175" t="s">
        <v>791</v>
      </c>
      <c r="BC1" s="175" t="s">
        <v>792</v>
      </c>
      <c r="BD1" s="175" t="s">
        <v>793</v>
      </c>
      <c r="BE1" s="175" t="s">
        <v>794</v>
      </c>
      <c r="BF1" s="175" t="s">
        <v>795</v>
      </c>
      <c r="BG1" s="175" t="s">
        <v>796</v>
      </c>
      <c r="BH1" s="175" t="s">
        <v>797</v>
      </c>
      <c r="BI1" s="175" t="s">
        <v>798</v>
      </c>
      <c r="BJ1" s="175" t="s">
        <v>799</v>
      </c>
      <c r="BK1" s="175" t="s">
        <v>800</v>
      </c>
      <c r="BL1" s="175" t="s">
        <v>801</v>
      </c>
      <c r="BM1" s="175" t="s">
        <v>802</v>
      </c>
      <c r="BN1" s="175" t="s">
        <v>803</v>
      </c>
    </row>
    <row r="2" spans="1:66" x14ac:dyDescent="0.25">
      <c r="A2" s="159" t="s">
        <v>1010</v>
      </c>
      <c r="B2" s="182" t="str">
        <f>VLOOKUP(A2,kurspris!$A$1:$B$894,2,FALSE)</f>
        <v>Fysiologi och cellbiologi</v>
      </c>
      <c r="C2" s="37"/>
      <c r="D2" s="31" t="s">
        <v>483</v>
      </c>
      <c r="F2" s="59">
        <v>2019</v>
      </c>
      <c r="I2" s="159"/>
      <c r="J2" s="159"/>
      <c r="K2" s="159"/>
      <c r="Q2" s="237">
        <v>2.25</v>
      </c>
      <c r="R2" s="40">
        <v>0.85</v>
      </c>
      <c r="S2" s="313">
        <f t="shared" ref="S2:S65" si="0">Q2*R2</f>
        <v>1.9124999999999999</v>
      </c>
      <c r="T2" s="31">
        <f>VLOOKUP(A2,'Ansvar kurs'!$A$1:$C$1027,2,FALSE)</f>
        <v>5160</v>
      </c>
      <c r="U2" s="31" t="str">
        <f>VLOOKUP(T2,Orgenheter!$A$1:$C$165,2,FALSE)</f>
        <v xml:space="preserve">Inst för Fysiologisk botanik  </v>
      </c>
      <c r="V2" s="31" t="str">
        <f>VLOOKUP(T2,Orgenheter!$A$1:$C$165,3,FALSE)</f>
        <v>TekNat</v>
      </c>
      <c r="W2" s="37" t="str">
        <f>VLOOKUP(D2,Program!$A$1:$B$34,2,FALSE)</f>
        <v>Ämneslärarprogrammet - Gy</v>
      </c>
      <c r="X2" s="42">
        <f>VLOOKUP(A2,kurspris!$A$1:$Q$815,15,FALSE)</f>
        <v>19473</v>
      </c>
      <c r="Y2" s="42">
        <f>VLOOKUP(A2,kurspris!$A$1:$Q$815,16,FALSE)</f>
        <v>34806</v>
      </c>
      <c r="Z2" s="42">
        <f t="shared" ref="Z2:Z65" si="1">X2*Q2+S2*Y2</f>
        <v>110380.72499999999</v>
      </c>
      <c r="AA2" s="42">
        <f>VLOOKUP(A2,kurspris!$A$1:$Q$815,17,FALSE)</f>
        <v>21800</v>
      </c>
      <c r="AB2" s="42">
        <f t="shared" ref="AB2:AB65" si="2">AA2*Q2</f>
        <v>49050</v>
      </c>
      <c r="AC2" s="42">
        <f t="shared" ref="AC2:AC65" si="3">Z2+AB2</f>
        <v>159430.72499999998</v>
      </c>
      <c r="AD2" s="31">
        <f>VLOOKUP($A2,kurspris!$A$1:$Q$852,3,FALSE)</f>
        <v>0</v>
      </c>
      <c r="AE2" s="31">
        <f>VLOOKUP($A2,kurspris!$A$1:$Q$852,4,FALSE)</f>
        <v>0</v>
      </c>
      <c r="AF2" s="31">
        <f>VLOOKUP($A2,kurspris!$A$1:$Q$852,5,FALSE)</f>
        <v>0</v>
      </c>
      <c r="AG2" s="31">
        <f>VLOOKUP($A2,kurspris!$A$1:$Q$852,6,FALSE)</f>
        <v>0</v>
      </c>
      <c r="AH2" s="31">
        <f>VLOOKUP($A2,kurspris!$A$1:$Q$852,7,FALSE)</f>
        <v>0</v>
      </c>
      <c r="AI2" s="31">
        <f>VLOOKUP($A2,kurspris!$A$1:$Q$852,8,FALSE)</f>
        <v>1</v>
      </c>
      <c r="AJ2" s="31">
        <f>VLOOKUP($A2,kurspris!$A$1:$Q$852,9,FALSE)</f>
        <v>0</v>
      </c>
      <c r="AK2" s="31">
        <f>VLOOKUP($A2,kurspris!$A$1:$Q$852,10,FALSE)</f>
        <v>0</v>
      </c>
      <c r="AL2" s="31">
        <f>VLOOKUP($A2,kurspris!$A$1:$Q$852,11,FALSE)</f>
        <v>0</v>
      </c>
      <c r="AM2" s="31">
        <f>VLOOKUP($A2,kurspris!$A$1:$Q$852,12,FALSE)</f>
        <v>0</v>
      </c>
      <c r="AN2" s="31">
        <f>VLOOKUP($A2,kurspris!$A$1:$Q$852,13,FALSE)</f>
        <v>0</v>
      </c>
      <c r="AO2" s="31">
        <f>VLOOKUP($A2,kurspris!$A$1:$Q$852,14,FALSE)</f>
        <v>0</v>
      </c>
      <c r="AP2" s="59" t="s">
        <v>2216</v>
      </c>
      <c r="AR2" s="31">
        <f t="shared" ref="AR2:AR65" si="4">$Q2*AD2</f>
        <v>0</v>
      </c>
      <c r="AS2" s="237">
        <f t="shared" ref="AS2:AS65" si="5">$S2*AD2</f>
        <v>0</v>
      </c>
      <c r="AT2" s="31">
        <f t="shared" ref="AT2:AT65" si="6">$Q2*AE2</f>
        <v>0</v>
      </c>
      <c r="AU2" s="237">
        <f t="shared" ref="AU2:AU65" si="7">$S2*AE2</f>
        <v>0</v>
      </c>
      <c r="AV2" s="31">
        <f t="shared" ref="AV2:AV65" si="8">$Q2*AF2</f>
        <v>0</v>
      </c>
      <c r="AW2" s="31">
        <f t="shared" ref="AW2:AW65" si="9">$S2*AF2</f>
        <v>0</v>
      </c>
      <c r="AX2" s="31">
        <f t="shared" ref="AX2:AX65" si="10">$Q2*AG2</f>
        <v>0</v>
      </c>
      <c r="AY2" s="237">
        <f t="shared" ref="AY2:AY65" si="11">$S2*AG2</f>
        <v>0</v>
      </c>
      <c r="AZ2" s="214">
        <f t="shared" ref="AZ2:AZ65" si="12">$Q2*AH2</f>
        <v>0</v>
      </c>
      <c r="BA2" s="237">
        <f t="shared" ref="BA2:BA65" si="13">$S2*AH2</f>
        <v>0</v>
      </c>
      <c r="BB2" s="31">
        <f t="shared" ref="BB2:BB65" si="14">$Q2*AI2</f>
        <v>2.25</v>
      </c>
      <c r="BC2" s="237">
        <f t="shared" ref="BC2:BC65" si="15">$S2*AI2</f>
        <v>1.9124999999999999</v>
      </c>
      <c r="BD2" s="31">
        <f t="shared" ref="BD2:BD65" si="16">$Q2*AJ2</f>
        <v>0</v>
      </c>
      <c r="BE2" s="237">
        <f t="shared" ref="BE2:BE65" si="17">$S2*AJ2</f>
        <v>0</v>
      </c>
      <c r="BF2" s="31">
        <f t="shared" ref="BF2:BF65" si="18">$Q2*AK2</f>
        <v>0</v>
      </c>
      <c r="BG2" s="237">
        <f t="shared" ref="BG2:BG65" si="19">$S2*AK2</f>
        <v>0</v>
      </c>
      <c r="BH2" s="31">
        <f t="shared" ref="BH2:BH65" si="20">$Q2*AL2</f>
        <v>0</v>
      </c>
      <c r="BI2" s="237">
        <f t="shared" ref="BI2:BI65" si="21">$S2*AL2</f>
        <v>0</v>
      </c>
      <c r="BJ2" s="31">
        <f t="shared" ref="BJ2:BJ65" si="22">$Q2*AM2</f>
        <v>0</v>
      </c>
      <c r="BK2" s="31">
        <f t="shared" ref="BK2:BK65" si="23">$Q2*AN2</f>
        <v>0</v>
      </c>
      <c r="BL2" s="237">
        <f t="shared" ref="BL2:BL65" si="24">$S2*AN2</f>
        <v>0</v>
      </c>
      <c r="BM2" s="31">
        <f t="shared" ref="BM2:BM65" si="25">$Q2*AO2</f>
        <v>0</v>
      </c>
      <c r="BN2" s="237">
        <f t="shared" ref="BN2:BN65" si="26">$S2*AO2</f>
        <v>0</v>
      </c>
    </row>
    <row r="3" spans="1:66" x14ac:dyDescent="0.25">
      <c r="A3" s="159" t="s">
        <v>1572</v>
      </c>
      <c r="B3" s="182" t="str">
        <f>VLOOKUP(A3,kurspris!$A$1:$B$894,2,FALSE)</f>
        <v>Naturens mångfald</v>
      </c>
      <c r="C3" s="37"/>
      <c r="D3" s="31" t="s">
        <v>483</v>
      </c>
      <c r="F3" s="59">
        <v>2019</v>
      </c>
      <c r="I3" s="159"/>
      <c r="J3" s="159"/>
      <c r="K3" s="159"/>
      <c r="Q3" s="237">
        <v>0.25</v>
      </c>
      <c r="R3" s="40">
        <v>0.85</v>
      </c>
      <c r="S3" s="313">
        <f t="shared" si="0"/>
        <v>0.21249999999999999</v>
      </c>
      <c r="T3" s="31">
        <f>VLOOKUP(A3,'Ansvar kurs'!$A$1:$C$1027,2,FALSE)</f>
        <v>5100</v>
      </c>
      <c r="U3" s="31" t="str">
        <f>VLOOKUP(T3,Orgenheter!$A$1:$C$165,2,FALSE)</f>
        <v>EMG</v>
      </c>
      <c r="V3" s="31" t="str">
        <f>VLOOKUP(T3,Orgenheter!$A$1:$C$165,3,FALSE)</f>
        <v>TekNat</v>
      </c>
      <c r="W3" s="37" t="str">
        <f>VLOOKUP(D3,Program!$A$1:$B$34,2,FALSE)</f>
        <v>Ämneslärarprogrammet - Gy</v>
      </c>
      <c r="X3" s="42">
        <f>VLOOKUP(A3,kurspris!$A$1:$Q$815,15,FALSE)</f>
        <v>19473</v>
      </c>
      <c r="Y3" s="42">
        <f>VLOOKUP(A3,kurspris!$A$1:$Q$815,16,FALSE)</f>
        <v>34806</v>
      </c>
      <c r="Z3" s="42">
        <f t="shared" si="1"/>
        <v>12264.525</v>
      </c>
      <c r="AA3" s="42">
        <f>VLOOKUP(A3,kurspris!$A$1:$Q$815,17,FALSE)</f>
        <v>21800</v>
      </c>
      <c r="AB3" s="42">
        <f t="shared" si="2"/>
        <v>5450</v>
      </c>
      <c r="AC3" s="42">
        <f t="shared" si="3"/>
        <v>17714.525000000001</v>
      </c>
      <c r="AD3" s="31">
        <f>VLOOKUP($A3,kurspris!$A$1:$Q$852,3,FALSE)</f>
        <v>0</v>
      </c>
      <c r="AE3" s="31">
        <f>VLOOKUP($A3,kurspris!$A$1:$Q$852,4,FALSE)</f>
        <v>0</v>
      </c>
      <c r="AF3" s="31">
        <f>VLOOKUP($A3,kurspris!$A$1:$Q$852,5,FALSE)</f>
        <v>0</v>
      </c>
      <c r="AG3" s="31">
        <f>VLOOKUP($A3,kurspris!$A$1:$Q$852,6,FALSE)</f>
        <v>0</v>
      </c>
      <c r="AH3" s="31">
        <f>VLOOKUP($A3,kurspris!$A$1:$Q$852,7,FALSE)</f>
        <v>0</v>
      </c>
      <c r="AI3" s="31">
        <f>VLOOKUP($A3,kurspris!$A$1:$Q$852,8,FALSE)</f>
        <v>1</v>
      </c>
      <c r="AJ3" s="31">
        <f>VLOOKUP($A3,kurspris!$A$1:$Q$852,9,FALSE)</f>
        <v>0</v>
      </c>
      <c r="AK3" s="31">
        <f>VLOOKUP($A3,kurspris!$A$1:$Q$852,10,FALSE)</f>
        <v>0</v>
      </c>
      <c r="AL3" s="31">
        <f>VLOOKUP($A3,kurspris!$A$1:$Q$852,11,FALSE)</f>
        <v>0</v>
      </c>
      <c r="AM3" s="31">
        <f>VLOOKUP($A3,kurspris!$A$1:$Q$852,12,FALSE)</f>
        <v>0</v>
      </c>
      <c r="AN3" s="31">
        <f>VLOOKUP($A3,kurspris!$A$1:$Q$852,13,FALSE)</f>
        <v>0</v>
      </c>
      <c r="AO3" s="31">
        <f>VLOOKUP($A3,kurspris!$A$1:$Q$852,14,FALSE)</f>
        <v>0</v>
      </c>
      <c r="AP3" s="59" t="s">
        <v>2216</v>
      </c>
      <c r="AR3" s="31">
        <f t="shared" si="4"/>
        <v>0</v>
      </c>
      <c r="AS3" s="237">
        <f t="shared" si="5"/>
        <v>0</v>
      </c>
      <c r="AT3" s="31">
        <f t="shared" si="6"/>
        <v>0</v>
      </c>
      <c r="AU3" s="237">
        <f t="shared" si="7"/>
        <v>0</v>
      </c>
      <c r="AV3" s="31">
        <f t="shared" si="8"/>
        <v>0</v>
      </c>
      <c r="AW3" s="31">
        <f t="shared" si="9"/>
        <v>0</v>
      </c>
      <c r="AX3" s="31">
        <f t="shared" si="10"/>
        <v>0</v>
      </c>
      <c r="AY3" s="237">
        <f t="shared" si="11"/>
        <v>0</v>
      </c>
      <c r="AZ3" s="214">
        <f t="shared" si="12"/>
        <v>0</v>
      </c>
      <c r="BA3" s="237">
        <f t="shared" si="13"/>
        <v>0</v>
      </c>
      <c r="BB3" s="31">
        <f t="shared" si="14"/>
        <v>0.25</v>
      </c>
      <c r="BC3" s="237">
        <f t="shared" si="15"/>
        <v>0.21249999999999999</v>
      </c>
      <c r="BD3" s="31">
        <f t="shared" si="16"/>
        <v>0</v>
      </c>
      <c r="BE3" s="237">
        <f t="shared" si="17"/>
        <v>0</v>
      </c>
      <c r="BF3" s="31">
        <f t="shared" si="18"/>
        <v>0</v>
      </c>
      <c r="BG3" s="237">
        <f t="shared" si="19"/>
        <v>0</v>
      </c>
      <c r="BH3" s="31">
        <f t="shared" si="20"/>
        <v>0</v>
      </c>
      <c r="BI3" s="237">
        <f t="shared" si="21"/>
        <v>0</v>
      </c>
      <c r="BJ3" s="31">
        <f t="shared" si="22"/>
        <v>0</v>
      </c>
      <c r="BK3" s="31">
        <f t="shared" si="23"/>
        <v>0</v>
      </c>
      <c r="BL3" s="237">
        <f t="shared" si="24"/>
        <v>0</v>
      </c>
      <c r="BM3" s="31">
        <f t="shared" si="25"/>
        <v>0</v>
      </c>
      <c r="BN3" s="237">
        <f t="shared" si="26"/>
        <v>0</v>
      </c>
    </row>
    <row r="4" spans="1:66" x14ac:dyDescent="0.25">
      <c r="A4" s="31" t="s">
        <v>1553</v>
      </c>
      <c r="B4" s="182" t="str">
        <f>VLOOKUP(A4,kurspris!$A$1:$B$894,2,FALSE)</f>
        <v>Genetik och evolution</v>
      </c>
      <c r="D4" s="31" t="s">
        <v>483</v>
      </c>
      <c r="F4" s="59">
        <v>2019</v>
      </c>
      <c r="Q4" s="237">
        <v>2</v>
      </c>
      <c r="R4" s="40">
        <v>0.85</v>
      </c>
      <c r="S4" s="313">
        <f t="shared" si="0"/>
        <v>1.7</v>
      </c>
      <c r="T4" s="31">
        <f>VLOOKUP(A4,'Ansvar kurs'!$A$1:$C$1027,2,FALSE)</f>
        <v>5100</v>
      </c>
      <c r="U4" s="31" t="str">
        <f>VLOOKUP(T4,Orgenheter!$A$1:$C$165,2,FALSE)</f>
        <v>EMG</v>
      </c>
      <c r="V4" s="31" t="str">
        <f>VLOOKUP(T4,Orgenheter!$A$1:$C$165,3,FALSE)</f>
        <v>TekNat</v>
      </c>
      <c r="W4" s="37" t="str">
        <f>VLOOKUP(D4,Program!$A$1:$B$34,2,FALSE)</f>
        <v>Ämneslärarprogrammet - Gy</v>
      </c>
      <c r="X4" s="42">
        <f>VLOOKUP(A4,kurspris!$A$1:$Q$815,15,FALSE)</f>
        <v>19473</v>
      </c>
      <c r="Y4" s="42">
        <f>VLOOKUP(A4,kurspris!$A$1:$Q$815,16,FALSE)</f>
        <v>34806</v>
      </c>
      <c r="Z4" s="42">
        <f t="shared" si="1"/>
        <v>98116.2</v>
      </c>
      <c r="AA4" s="42">
        <f>VLOOKUP(A4,kurspris!$A$1:$Q$815,17,FALSE)</f>
        <v>21800</v>
      </c>
      <c r="AB4" s="42">
        <f t="shared" si="2"/>
        <v>43600</v>
      </c>
      <c r="AC4" s="42">
        <f t="shared" si="3"/>
        <v>141716.20000000001</v>
      </c>
      <c r="AD4" s="31">
        <f>VLOOKUP($A4,kurspris!$A$1:$Q$852,3,FALSE)</f>
        <v>0</v>
      </c>
      <c r="AE4" s="31">
        <f>VLOOKUP($A4,kurspris!$A$1:$Q$852,4,FALSE)</f>
        <v>0</v>
      </c>
      <c r="AF4" s="31">
        <f>VLOOKUP($A4,kurspris!$A$1:$Q$852,5,FALSE)</f>
        <v>0</v>
      </c>
      <c r="AG4" s="31">
        <f>VLOOKUP($A4,kurspris!$A$1:$Q$852,6,FALSE)</f>
        <v>0</v>
      </c>
      <c r="AH4" s="31">
        <f>VLOOKUP($A4,kurspris!$A$1:$Q$852,7,FALSE)</f>
        <v>0</v>
      </c>
      <c r="AI4" s="31">
        <f>VLOOKUP($A4,kurspris!$A$1:$Q$852,8,FALSE)</f>
        <v>0.5</v>
      </c>
      <c r="AJ4" s="31">
        <f>VLOOKUP($A4,kurspris!$A$1:$Q$852,9,FALSE)</f>
        <v>0</v>
      </c>
      <c r="AK4" s="31">
        <f>VLOOKUP($A4,kurspris!$A$1:$Q$852,10,FALSE)</f>
        <v>0.5</v>
      </c>
      <c r="AL4" s="31">
        <f>VLOOKUP($A4,kurspris!$A$1:$Q$852,11,FALSE)</f>
        <v>0</v>
      </c>
      <c r="AM4" s="31">
        <f>VLOOKUP($A4,kurspris!$A$1:$Q$852,12,FALSE)</f>
        <v>0</v>
      </c>
      <c r="AN4" s="31">
        <f>VLOOKUP($A4,kurspris!$A$1:$Q$852,13,FALSE)</f>
        <v>0</v>
      </c>
      <c r="AO4" s="31">
        <f>VLOOKUP($A4,kurspris!$A$1:$Q$852,14,FALSE)</f>
        <v>0</v>
      </c>
      <c r="AP4" s="59" t="s">
        <v>2216</v>
      </c>
      <c r="AR4" s="31">
        <f t="shared" si="4"/>
        <v>0</v>
      </c>
      <c r="AS4" s="237">
        <f t="shared" si="5"/>
        <v>0</v>
      </c>
      <c r="AT4" s="31">
        <f t="shared" si="6"/>
        <v>0</v>
      </c>
      <c r="AU4" s="237">
        <f t="shared" si="7"/>
        <v>0</v>
      </c>
      <c r="AV4" s="31">
        <f t="shared" si="8"/>
        <v>0</v>
      </c>
      <c r="AW4" s="31">
        <f t="shared" si="9"/>
        <v>0</v>
      </c>
      <c r="AX4" s="31">
        <f t="shared" si="10"/>
        <v>0</v>
      </c>
      <c r="AY4" s="237">
        <f t="shared" si="11"/>
        <v>0</v>
      </c>
      <c r="AZ4" s="214">
        <f t="shared" si="12"/>
        <v>0</v>
      </c>
      <c r="BA4" s="237">
        <f t="shared" si="13"/>
        <v>0</v>
      </c>
      <c r="BB4" s="31">
        <f t="shared" si="14"/>
        <v>1</v>
      </c>
      <c r="BC4" s="237">
        <f t="shared" si="15"/>
        <v>0.85</v>
      </c>
      <c r="BD4" s="31">
        <f t="shared" si="16"/>
        <v>0</v>
      </c>
      <c r="BE4" s="237">
        <f t="shared" si="17"/>
        <v>0</v>
      </c>
      <c r="BF4" s="31">
        <f t="shared" si="18"/>
        <v>1</v>
      </c>
      <c r="BG4" s="237">
        <f t="shared" si="19"/>
        <v>0.85</v>
      </c>
      <c r="BH4" s="31">
        <f t="shared" si="20"/>
        <v>0</v>
      </c>
      <c r="BI4" s="237">
        <f t="shared" si="21"/>
        <v>0</v>
      </c>
      <c r="BJ4" s="31">
        <f t="shared" si="22"/>
        <v>0</v>
      </c>
      <c r="BK4" s="31">
        <f t="shared" si="23"/>
        <v>0</v>
      </c>
      <c r="BL4" s="237">
        <f t="shared" si="24"/>
        <v>0</v>
      </c>
      <c r="BM4" s="31">
        <f t="shared" si="25"/>
        <v>0</v>
      </c>
      <c r="BN4" s="237">
        <f t="shared" si="26"/>
        <v>0</v>
      </c>
    </row>
    <row r="5" spans="1:66" x14ac:dyDescent="0.25">
      <c r="A5" s="31" t="s">
        <v>2046</v>
      </c>
      <c r="B5" s="182" t="str">
        <f>VLOOKUP(A5,kurspris!$A$1:$B$894,2,FALSE)</f>
        <v>Ekologi</v>
      </c>
      <c r="D5" s="31" t="s">
        <v>483</v>
      </c>
      <c r="F5" s="59">
        <v>2019</v>
      </c>
      <c r="Q5" s="237">
        <v>2.5</v>
      </c>
      <c r="R5" s="40">
        <v>0.85</v>
      </c>
      <c r="S5" s="313">
        <f t="shared" si="0"/>
        <v>2.125</v>
      </c>
      <c r="T5" s="31">
        <f>VLOOKUP(A5,'Ansvar kurs'!$A$1:$C$1027,2,FALSE)</f>
        <v>5100</v>
      </c>
      <c r="U5" s="31" t="str">
        <f>VLOOKUP(T5,Orgenheter!$A$1:$C$165,2,FALSE)</f>
        <v>EMG</v>
      </c>
      <c r="V5" s="31" t="str">
        <f>VLOOKUP(T5,Orgenheter!$A$1:$C$165,3,FALSE)</f>
        <v>TekNat</v>
      </c>
      <c r="W5" s="37" t="str">
        <f>VLOOKUP(D5,Program!$A$1:$B$34,2,FALSE)</f>
        <v>Ämneslärarprogrammet - Gy</v>
      </c>
      <c r="X5" s="42">
        <f>VLOOKUP(A5,kurspris!$A$1:$Q$815,15,FALSE)</f>
        <v>19473</v>
      </c>
      <c r="Y5" s="42">
        <f>VLOOKUP(A5,kurspris!$A$1:$Q$815,16,FALSE)</f>
        <v>34806</v>
      </c>
      <c r="Z5" s="42">
        <f t="shared" si="1"/>
        <v>122645.25</v>
      </c>
      <c r="AA5" s="42">
        <f>VLOOKUP(A5,kurspris!$A$1:$Q$815,17,FALSE)</f>
        <v>21800</v>
      </c>
      <c r="AB5" s="42">
        <f t="shared" si="2"/>
        <v>54500</v>
      </c>
      <c r="AC5" s="42">
        <f t="shared" si="3"/>
        <v>177145.25</v>
      </c>
      <c r="AD5" s="31">
        <f>VLOOKUP($A5,kurspris!$A$1:$Q$852,3,FALSE)</f>
        <v>0</v>
      </c>
      <c r="AE5" s="31">
        <f>VLOOKUP($A5,kurspris!$A$1:$Q$852,4,FALSE)</f>
        <v>0</v>
      </c>
      <c r="AF5" s="31">
        <f>VLOOKUP($A5,kurspris!$A$1:$Q$852,5,FALSE)</f>
        <v>0</v>
      </c>
      <c r="AG5" s="31">
        <f>VLOOKUP($A5,kurspris!$A$1:$Q$852,6,FALSE)</f>
        <v>0</v>
      </c>
      <c r="AH5" s="31">
        <f>VLOOKUP($A5,kurspris!$A$1:$Q$852,7,FALSE)</f>
        <v>0</v>
      </c>
      <c r="AI5" s="31">
        <f>VLOOKUP($A5,kurspris!$A$1:$Q$852,8,FALSE)</f>
        <v>1</v>
      </c>
      <c r="AJ5" s="31">
        <f>VLOOKUP($A5,kurspris!$A$1:$Q$852,9,FALSE)</f>
        <v>0</v>
      </c>
      <c r="AK5" s="31">
        <f>VLOOKUP($A5,kurspris!$A$1:$Q$852,10,FALSE)</f>
        <v>0</v>
      </c>
      <c r="AL5" s="31">
        <f>VLOOKUP($A5,kurspris!$A$1:$Q$852,11,FALSE)</f>
        <v>0</v>
      </c>
      <c r="AM5" s="31">
        <f>VLOOKUP($A5,kurspris!$A$1:$Q$852,12,FALSE)</f>
        <v>0</v>
      </c>
      <c r="AN5" s="31">
        <f>VLOOKUP($A5,kurspris!$A$1:$Q$852,13,FALSE)</f>
        <v>0</v>
      </c>
      <c r="AO5" s="31">
        <f>VLOOKUP($A5,kurspris!$A$1:$Q$852,14,FALSE)</f>
        <v>0</v>
      </c>
      <c r="AP5" s="59" t="s">
        <v>2216</v>
      </c>
      <c r="AR5" s="31">
        <f t="shared" si="4"/>
        <v>0</v>
      </c>
      <c r="AS5" s="237">
        <f t="shared" si="5"/>
        <v>0</v>
      </c>
      <c r="AT5" s="31">
        <f t="shared" si="6"/>
        <v>0</v>
      </c>
      <c r="AU5" s="237">
        <f t="shared" si="7"/>
        <v>0</v>
      </c>
      <c r="AV5" s="31">
        <f t="shared" si="8"/>
        <v>0</v>
      </c>
      <c r="AW5" s="31">
        <f t="shared" si="9"/>
        <v>0</v>
      </c>
      <c r="AX5" s="31">
        <f t="shared" si="10"/>
        <v>0</v>
      </c>
      <c r="AY5" s="237">
        <f t="shared" si="11"/>
        <v>0</v>
      </c>
      <c r="AZ5" s="214">
        <f t="shared" si="12"/>
        <v>0</v>
      </c>
      <c r="BA5" s="237">
        <f t="shared" si="13"/>
        <v>0</v>
      </c>
      <c r="BB5" s="31">
        <f t="shared" si="14"/>
        <v>2.5</v>
      </c>
      <c r="BC5" s="237">
        <f t="shared" si="15"/>
        <v>2.125</v>
      </c>
      <c r="BD5" s="31">
        <f t="shared" si="16"/>
        <v>0</v>
      </c>
      <c r="BE5" s="237">
        <f t="shared" si="17"/>
        <v>0</v>
      </c>
      <c r="BF5" s="31">
        <f t="shared" si="18"/>
        <v>0</v>
      </c>
      <c r="BG5" s="237">
        <f t="shared" si="19"/>
        <v>0</v>
      </c>
      <c r="BH5" s="31">
        <f t="shared" si="20"/>
        <v>0</v>
      </c>
      <c r="BI5" s="237">
        <f t="shared" si="21"/>
        <v>0</v>
      </c>
      <c r="BJ5" s="31">
        <f t="shared" si="22"/>
        <v>0</v>
      </c>
      <c r="BK5" s="31">
        <f t="shared" si="23"/>
        <v>0</v>
      </c>
      <c r="BL5" s="237">
        <f t="shared" si="24"/>
        <v>0</v>
      </c>
      <c r="BM5" s="31">
        <f t="shared" si="25"/>
        <v>0</v>
      </c>
      <c r="BN5" s="237">
        <f t="shared" si="26"/>
        <v>0</v>
      </c>
    </row>
    <row r="6" spans="1:66" x14ac:dyDescent="0.25">
      <c r="A6" s="31" t="s">
        <v>2045</v>
      </c>
      <c r="B6" s="182" t="str">
        <f>VLOOKUP(A6,kurspris!$A$1:$B$894,2,FALSE)</f>
        <v>Ekologi A</v>
      </c>
      <c r="D6" s="31" t="s">
        <v>483</v>
      </c>
      <c r="F6" s="59">
        <v>2019</v>
      </c>
      <c r="Q6" s="237">
        <v>3</v>
      </c>
      <c r="R6" s="40">
        <v>0.85</v>
      </c>
      <c r="S6" s="313">
        <f t="shared" si="0"/>
        <v>2.5499999999999998</v>
      </c>
      <c r="T6" s="31">
        <f>VLOOKUP(A6,'Ansvar kurs'!$A$1:$C$1027,2,FALSE)</f>
        <v>5100</v>
      </c>
      <c r="U6" s="31" t="str">
        <f>VLOOKUP(T6,Orgenheter!$A$1:$C$165,2,FALSE)</f>
        <v>EMG</v>
      </c>
      <c r="V6" s="31" t="str">
        <f>VLOOKUP(T6,Orgenheter!$A$1:$C$165,3,FALSE)</f>
        <v>TekNat</v>
      </c>
      <c r="W6" s="37" t="str">
        <f>VLOOKUP(D6,Program!$A$1:$B$34,2,FALSE)</f>
        <v>Ämneslärarprogrammet - Gy</v>
      </c>
      <c r="X6" s="42">
        <f>VLOOKUP(A6,kurspris!$A$1:$Q$815,15,FALSE)</f>
        <v>19473</v>
      </c>
      <c r="Y6" s="42">
        <f>VLOOKUP(A6,kurspris!$A$1:$Q$815,16,FALSE)</f>
        <v>34806</v>
      </c>
      <c r="Z6" s="42">
        <f t="shared" si="1"/>
        <v>147174.29999999999</v>
      </c>
      <c r="AA6" s="42">
        <f>VLOOKUP(A6,kurspris!$A$1:$Q$815,17,FALSE)</f>
        <v>21800</v>
      </c>
      <c r="AB6" s="42">
        <f t="shared" si="2"/>
        <v>65400</v>
      </c>
      <c r="AC6" s="42">
        <f t="shared" si="3"/>
        <v>212574.3</v>
      </c>
      <c r="AD6" s="31">
        <f>VLOOKUP($A6,kurspris!$A$1:$Q$852,3,FALSE)</f>
        <v>0</v>
      </c>
      <c r="AE6" s="31">
        <f>VLOOKUP($A6,kurspris!$A$1:$Q$852,4,FALSE)</f>
        <v>0</v>
      </c>
      <c r="AF6" s="31">
        <f>VLOOKUP($A6,kurspris!$A$1:$Q$852,5,FALSE)</f>
        <v>0</v>
      </c>
      <c r="AG6" s="31">
        <f>VLOOKUP($A6,kurspris!$A$1:$Q$852,6,FALSE)</f>
        <v>0</v>
      </c>
      <c r="AH6" s="31">
        <f>VLOOKUP($A6,kurspris!$A$1:$Q$852,7,FALSE)</f>
        <v>0</v>
      </c>
      <c r="AI6" s="31">
        <f>VLOOKUP($A6,kurspris!$A$1:$Q$852,8,FALSE)</f>
        <v>1</v>
      </c>
      <c r="AJ6" s="31">
        <f>VLOOKUP($A6,kurspris!$A$1:$Q$852,9,FALSE)</f>
        <v>0</v>
      </c>
      <c r="AK6" s="31">
        <f>VLOOKUP($A6,kurspris!$A$1:$Q$852,10,FALSE)</f>
        <v>0</v>
      </c>
      <c r="AL6" s="31">
        <f>VLOOKUP($A6,kurspris!$A$1:$Q$852,11,FALSE)</f>
        <v>0</v>
      </c>
      <c r="AM6" s="31">
        <f>VLOOKUP($A6,kurspris!$A$1:$Q$852,12,FALSE)</f>
        <v>0</v>
      </c>
      <c r="AN6" s="31">
        <f>VLOOKUP($A6,kurspris!$A$1:$Q$852,13,FALSE)</f>
        <v>0</v>
      </c>
      <c r="AO6" s="31">
        <f>VLOOKUP($A6,kurspris!$A$1:$Q$852,14,FALSE)</f>
        <v>0</v>
      </c>
      <c r="AP6" s="59" t="s">
        <v>2216</v>
      </c>
      <c r="AR6" s="31">
        <f t="shared" si="4"/>
        <v>0</v>
      </c>
      <c r="AS6" s="237">
        <f t="shared" si="5"/>
        <v>0</v>
      </c>
      <c r="AT6" s="31">
        <f t="shared" si="6"/>
        <v>0</v>
      </c>
      <c r="AU6" s="237">
        <f t="shared" si="7"/>
        <v>0</v>
      </c>
      <c r="AV6" s="31">
        <f t="shared" si="8"/>
        <v>0</v>
      </c>
      <c r="AW6" s="31">
        <f t="shared" si="9"/>
        <v>0</v>
      </c>
      <c r="AX6" s="31">
        <f t="shared" si="10"/>
        <v>0</v>
      </c>
      <c r="AY6" s="237">
        <f t="shared" si="11"/>
        <v>0</v>
      </c>
      <c r="AZ6" s="214">
        <f t="shared" si="12"/>
        <v>0</v>
      </c>
      <c r="BA6" s="237">
        <f t="shared" si="13"/>
        <v>0</v>
      </c>
      <c r="BB6" s="31">
        <f t="shared" si="14"/>
        <v>3</v>
      </c>
      <c r="BC6" s="237">
        <f t="shared" si="15"/>
        <v>2.5499999999999998</v>
      </c>
      <c r="BD6" s="31">
        <f t="shared" si="16"/>
        <v>0</v>
      </c>
      <c r="BE6" s="237">
        <f t="shared" si="17"/>
        <v>0</v>
      </c>
      <c r="BF6" s="31">
        <f t="shared" si="18"/>
        <v>0</v>
      </c>
      <c r="BG6" s="237">
        <f t="shared" si="19"/>
        <v>0</v>
      </c>
      <c r="BH6" s="31">
        <f t="shared" si="20"/>
        <v>0</v>
      </c>
      <c r="BI6" s="237">
        <f t="shared" si="21"/>
        <v>0</v>
      </c>
      <c r="BJ6" s="31">
        <f t="shared" si="22"/>
        <v>0</v>
      </c>
      <c r="BK6" s="31">
        <f t="shared" si="23"/>
        <v>0</v>
      </c>
      <c r="BL6" s="237">
        <f t="shared" si="24"/>
        <v>0</v>
      </c>
      <c r="BM6" s="31">
        <f t="shared" si="25"/>
        <v>0</v>
      </c>
      <c r="BN6" s="237">
        <f t="shared" si="26"/>
        <v>0</v>
      </c>
    </row>
    <row r="7" spans="1:66" x14ac:dyDescent="0.25">
      <c r="A7" s="31" t="s">
        <v>1011</v>
      </c>
      <c r="B7" s="182" t="str">
        <f>VLOOKUP(A7,kurspris!$A$1:$B$894,2,FALSE)</f>
        <v>Analog kretsteknik</v>
      </c>
      <c r="D7" s="31" t="s">
        <v>483</v>
      </c>
      <c r="F7" s="59">
        <v>2019</v>
      </c>
      <c r="Q7" s="237">
        <v>0.1</v>
      </c>
      <c r="R7" s="40">
        <v>0.85</v>
      </c>
      <c r="S7" s="313">
        <f t="shared" si="0"/>
        <v>8.5000000000000006E-2</v>
      </c>
      <c r="T7" s="31">
        <f>VLOOKUP(A7,'Ansvar kurs'!$A$1:$C$1027,2,FALSE)</f>
        <v>5410</v>
      </c>
      <c r="U7" s="31" t="str">
        <f>VLOOKUP(T7,Orgenheter!$A$1:$C$165,2,FALSE)</f>
        <v>TFE</v>
      </c>
      <c r="V7" s="31" t="str">
        <f>VLOOKUP(T7,Orgenheter!$A$1:$C$165,3,FALSE)</f>
        <v>TekNat</v>
      </c>
      <c r="W7" s="37" t="str">
        <f>VLOOKUP(D7,Program!$A$1:$B$34,2,FALSE)</f>
        <v>Ämneslärarprogrammet - Gy</v>
      </c>
      <c r="X7" s="42">
        <f>VLOOKUP(A7,kurspris!$A$1:$Q$815,15,FALSE)</f>
        <v>19473</v>
      </c>
      <c r="Y7" s="42">
        <f>VLOOKUP(A7,kurspris!$A$1:$Q$815,16,FALSE)</f>
        <v>34806</v>
      </c>
      <c r="Z7" s="42">
        <f t="shared" si="1"/>
        <v>4905.8100000000004</v>
      </c>
      <c r="AA7" s="42">
        <f>VLOOKUP(A7,kurspris!$A$1:$Q$815,17,FALSE)</f>
        <v>21800</v>
      </c>
      <c r="AB7" s="42">
        <f t="shared" si="2"/>
        <v>2180</v>
      </c>
      <c r="AC7" s="42">
        <f t="shared" si="3"/>
        <v>7085.81</v>
      </c>
      <c r="AD7" s="31">
        <f>VLOOKUP($A7,kurspris!$A$1:$Q$852,3,FALSE)</f>
        <v>0</v>
      </c>
      <c r="AE7" s="31">
        <f>VLOOKUP($A7,kurspris!$A$1:$Q$852,4,FALSE)</f>
        <v>0</v>
      </c>
      <c r="AF7" s="31">
        <f>VLOOKUP($A7,kurspris!$A$1:$Q$852,5,FALSE)</f>
        <v>0</v>
      </c>
      <c r="AG7" s="31">
        <f>VLOOKUP($A7,kurspris!$A$1:$Q$852,6,FALSE)</f>
        <v>0</v>
      </c>
      <c r="AH7" s="31">
        <f>VLOOKUP($A7,kurspris!$A$1:$Q$852,7,FALSE)</f>
        <v>0</v>
      </c>
      <c r="AI7" s="31">
        <f>VLOOKUP($A7,kurspris!$A$1:$Q$852,8,FALSE)</f>
        <v>0</v>
      </c>
      <c r="AJ7" s="31">
        <f>VLOOKUP($A7,kurspris!$A$1:$Q$852,9,FALSE)</f>
        <v>0</v>
      </c>
      <c r="AK7" s="31">
        <f>VLOOKUP($A7,kurspris!$A$1:$Q$852,10,FALSE)</f>
        <v>1</v>
      </c>
      <c r="AL7" s="31">
        <f>VLOOKUP($A7,kurspris!$A$1:$Q$852,11,FALSE)</f>
        <v>0</v>
      </c>
      <c r="AM7" s="31">
        <f>VLOOKUP($A7,kurspris!$A$1:$Q$852,12,FALSE)</f>
        <v>0</v>
      </c>
      <c r="AN7" s="31">
        <f>VLOOKUP($A7,kurspris!$A$1:$Q$852,13,FALSE)</f>
        <v>0</v>
      </c>
      <c r="AO7" s="31">
        <f>VLOOKUP($A7,kurspris!$A$1:$Q$852,14,FALSE)</f>
        <v>0</v>
      </c>
      <c r="AP7" s="59" t="s">
        <v>2216</v>
      </c>
      <c r="AR7" s="31">
        <f t="shared" si="4"/>
        <v>0</v>
      </c>
      <c r="AS7" s="237">
        <f t="shared" si="5"/>
        <v>0</v>
      </c>
      <c r="AT7" s="31">
        <f t="shared" si="6"/>
        <v>0</v>
      </c>
      <c r="AU7" s="237">
        <f t="shared" si="7"/>
        <v>0</v>
      </c>
      <c r="AV7" s="31">
        <f t="shared" si="8"/>
        <v>0</v>
      </c>
      <c r="AW7" s="31">
        <f t="shared" si="9"/>
        <v>0</v>
      </c>
      <c r="AX7" s="31">
        <f t="shared" si="10"/>
        <v>0</v>
      </c>
      <c r="AY7" s="237">
        <f t="shared" si="11"/>
        <v>0</v>
      </c>
      <c r="AZ7" s="214">
        <f t="shared" si="12"/>
        <v>0</v>
      </c>
      <c r="BA7" s="237">
        <f t="shared" si="13"/>
        <v>0</v>
      </c>
      <c r="BB7" s="31">
        <f t="shared" si="14"/>
        <v>0</v>
      </c>
      <c r="BC7" s="237">
        <f t="shared" si="15"/>
        <v>0</v>
      </c>
      <c r="BD7" s="31">
        <f t="shared" si="16"/>
        <v>0</v>
      </c>
      <c r="BE7" s="237">
        <f t="shared" si="17"/>
        <v>0</v>
      </c>
      <c r="BF7" s="31">
        <f t="shared" si="18"/>
        <v>0.1</v>
      </c>
      <c r="BG7" s="237">
        <f t="shared" si="19"/>
        <v>8.5000000000000006E-2</v>
      </c>
      <c r="BH7" s="31">
        <f t="shared" si="20"/>
        <v>0</v>
      </c>
      <c r="BI7" s="237">
        <f t="shared" si="21"/>
        <v>0</v>
      </c>
      <c r="BJ7" s="31">
        <f t="shared" si="22"/>
        <v>0</v>
      </c>
      <c r="BK7" s="31">
        <f t="shared" si="23"/>
        <v>0</v>
      </c>
      <c r="BL7" s="237">
        <f t="shared" si="24"/>
        <v>0</v>
      </c>
      <c r="BM7" s="31">
        <f t="shared" si="25"/>
        <v>0</v>
      </c>
      <c r="BN7" s="237">
        <f t="shared" si="26"/>
        <v>0</v>
      </c>
    </row>
    <row r="8" spans="1:66" x14ac:dyDescent="0.25">
      <c r="A8" s="31" t="s">
        <v>1132</v>
      </c>
      <c r="B8" s="182" t="str">
        <f>VLOOKUP(A8,kurspris!$A$1:$B$894,2,FALSE)</f>
        <v>Analytisk mekanik, 6 hp</v>
      </c>
      <c r="D8" s="31" t="s">
        <v>483</v>
      </c>
      <c r="F8" s="59">
        <v>2019</v>
      </c>
      <c r="Q8" s="237">
        <v>0.1</v>
      </c>
      <c r="R8" s="40">
        <v>0.85</v>
      </c>
      <c r="S8" s="313">
        <f t="shared" si="0"/>
        <v>8.5000000000000006E-2</v>
      </c>
      <c r="T8" s="31">
        <f>VLOOKUP(A8,'Ansvar kurs'!$A$1:$C$1027,2,FALSE)</f>
        <v>5400</v>
      </c>
      <c r="U8" s="31" t="str">
        <f>VLOOKUP(T8,Orgenheter!$A$1:$C$165,2,FALSE)</f>
        <v xml:space="preserve">Inst för Fysik                </v>
      </c>
      <c r="V8" s="31" t="str">
        <f>VLOOKUP(T8,Orgenheter!$A$1:$C$165,3,FALSE)</f>
        <v>TekNat</v>
      </c>
      <c r="W8" s="37" t="str">
        <f>VLOOKUP(D8,Program!$A$1:$B$34,2,FALSE)</f>
        <v>Ämneslärarprogrammet - Gy</v>
      </c>
      <c r="X8" s="42">
        <f>VLOOKUP(A8,kurspris!$A$1:$Q$815,15,FALSE)</f>
        <v>19473</v>
      </c>
      <c r="Y8" s="42">
        <f>VLOOKUP(A8,kurspris!$A$1:$Q$815,16,FALSE)</f>
        <v>34806</v>
      </c>
      <c r="Z8" s="42">
        <f t="shared" si="1"/>
        <v>4905.8100000000004</v>
      </c>
      <c r="AA8" s="42">
        <f>VLOOKUP(A8,kurspris!$A$1:$Q$815,17,FALSE)</f>
        <v>21800</v>
      </c>
      <c r="AB8" s="42">
        <f t="shared" si="2"/>
        <v>2180</v>
      </c>
      <c r="AC8" s="42">
        <f t="shared" si="3"/>
        <v>7085.81</v>
      </c>
      <c r="AD8" s="31">
        <f>VLOOKUP($A8,kurspris!$A$1:$Q$852,3,FALSE)</f>
        <v>0</v>
      </c>
      <c r="AE8" s="31">
        <f>VLOOKUP($A8,kurspris!$A$1:$Q$852,4,FALSE)</f>
        <v>0</v>
      </c>
      <c r="AF8" s="31">
        <f>VLOOKUP($A8,kurspris!$A$1:$Q$852,5,FALSE)</f>
        <v>0</v>
      </c>
      <c r="AG8" s="31">
        <f>VLOOKUP($A8,kurspris!$A$1:$Q$852,6,FALSE)</f>
        <v>0</v>
      </c>
      <c r="AH8" s="31">
        <f>VLOOKUP($A8,kurspris!$A$1:$Q$852,7,FALSE)</f>
        <v>0</v>
      </c>
      <c r="AI8" s="31">
        <f>VLOOKUP($A8,kurspris!$A$1:$Q$852,8,FALSE)</f>
        <v>0</v>
      </c>
      <c r="AJ8" s="31">
        <f>VLOOKUP($A8,kurspris!$A$1:$Q$852,9,FALSE)</f>
        <v>0</v>
      </c>
      <c r="AK8" s="31">
        <f>VLOOKUP($A8,kurspris!$A$1:$Q$852,10,FALSE)</f>
        <v>1</v>
      </c>
      <c r="AL8" s="31">
        <f>VLOOKUP($A8,kurspris!$A$1:$Q$852,11,FALSE)</f>
        <v>0</v>
      </c>
      <c r="AM8" s="31">
        <f>VLOOKUP($A8,kurspris!$A$1:$Q$852,12,FALSE)</f>
        <v>0</v>
      </c>
      <c r="AN8" s="31">
        <f>VLOOKUP($A8,kurspris!$A$1:$Q$852,13,FALSE)</f>
        <v>0</v>
      </c>
      <c r="AO8" s="31">
        <f>VLOOKUP($A8,kurspris!$A$1:$Q$852,14,FALSE)</f>
        <v>0</v>
      </c>
      <c r="AP8" s="59" t="s">
        <v>2216</v>
      </c>
      <c r="AR8" s="31">
        <f t="shared" si="4"/>
        <v>0</v>
      </c>
      <c r="AS8" s="237">
        <f t="shared" si="5"/>
        <v>0</v>
      </c>
      <c r="AT8" s="31">
        <f t="shared" si="6"/>
        <v>0</v>
      </c>
      <c r="AU8" s="237">
        <f t="shared" si="7"/>
        <v>0</v>
      </c>
      <c r="AV8" s="31">
        <f t="shared" si="8"/>
        <v>0</v>
      </c>
      <c r="AW8" s="31">
        <f t="shared" si="9"/>
        <v>0</v>
      </c>
      <c r="AX8" s="31">
        <f t="shared" si="10"/>
        <v>0</v>
      </c>
      <c r="AY8" s="237">
        <f t="shared" si="11"/>
        <v>0</v>
      </c>
      <c r="AZ8" s="214">
        <f t="shared" si="12"/>
        <v>0</v>
      </c>
      <c r="BA8" s="237">
        <f t="shared" si="13"/>
        <v>0</v>
      </c>
      <c r="BB8" s="31">
        <f t="shared" si="14"/>
        <v>0</v>
      </c>
      <c r="BC8" s="237">
        <f t="shared" si="15"/>
        <v>0</v>
      </c>
      <c r="BD8" s="31">
        <f t="shared" si="16"/>
        <v>0</v>
      </c>
      <c r="BE8" s="237">
        <f t="shared" si="17"/>
        <v>0</v>
      </c>
      <c r="BF8" s="31">
        <f t="shared" si="18"/>
        <v>0.1</v>
      </c>
      <c r="BG8" s="237">
        <f t="shared" si="19"/>
        <v>8.5000000000000006E-2</v>
      </c>
      <c r="BH8" s="31">
        <f t="shared" si="20"/>
        <v>0</v>
      </c>
      <c r="BI8" s="237">
        <f t="shared" si="21"/>
        <v>0</v>
      </c>
      <c r="BJ8" s="31">
        <f t="shared" si="22"/>
        <v>0</v>
      </c>
      <c r="BK8" s="31">
        <f t="shared" si="23"/>
        <v>0</v>
      </c>
      <c r="BL8" s="237">
        <f t="shared" si="24"/>
        <v>0</v>
      </c>
      <c r="BM8" s="31">
        <f t="shared" si="25"/>
        <v>0</v>
      </c>
      <c r="BN8" s="237">
        <f t="shared" si="26"/>
        <v>0</v>
      </c>
    </row>
    <row r="9" spans="1:66" x14ac:dyDescent="0.25">
      <c r="A9" s="31" t="s">
        <v>348</v>
      </c>
      <c r="B9" s="182" t="str">
        <f>VLOOKUP(A9,kurspris!$A$1:$B$894,2,FALSE)</f>
        <v>Fasta tillståndets fysik C, 7,5 hp</v>
      </c>
      <c r="D9" s="31" t="s">
        <v>483</v>
      </c>
      <c r="F9" s="59">
        <v>2019</v>
      </c>
      <c r="Q9" s="237">
        <v>0.625</v>
      </c>
      <c r="R9" s="40">
        <v>0.85</v>
      </c>
      <c r="S9" s="313">
        <f t="shared" si="0"/>
        <v>0.53125</v>
      </c>
      <c r="T9" s="31">
        <f>VLOOKUP(A9,'Ansvar kurs'!$A$1:$C$1027,2,FALSE)</f>
        <v>5400</v>
      </c>
      <c r="U9" s="31" t="str">
        <f>VLOOKUP(T9,Orgenheter!$A$1:$C$165,2,FALSE)</f>
        <v xml:space="preserve">Inst för Fysik                </v>
      </c>
      <c r="V9" s="31" t="str">
        <f>VLOOKUP(T9,Orgenheter!$A$1:$C$165,3,FALSE)</f>
        <v>TekNat</v>
      </c>
      <c r="W9" s="37" t="str">
        <f>VLOOKUP(D9,Program!$A$1:$B$34,2,FALSE)</f>
        <v>Ämneslärarprogrammet - Gy</v>
      </c>
      <c r="X9" s="42">
        <f>VLOOKUP(A9,kurspris!$A$1:$Q$815,15,FALSE)</f>
        <v>19473</v>
      </c>
      <c r="Y9" s="42">
        <f>VLOOKUP(A9,kurspris!$A$1:$Q$815,16,FALSE)</f>
        <v>34806</v>
      </c>
      <c r="Z9" s="42">
        <f t="shared" si="1"/>
        <v>30661.3125</v>
      </c>
      <c r="AA9" s="42">
        <f>VLOOKUP(A9,kurspris!$A$1:$Q$815,17,FALSE)</f>
        <v>21800</v>
      </c>
      <c r="AB9" s="42">
        <f t="shared" si="2"/>
        <v>13625</v>
      </c>
      <c r="AC9" s="42">
        <f t="shared" si="3"/>
        <v>44286.3125</v>
      </c>
      <c r="AD9" s="31">
        <f>VLOOKUP($A9,kurspris!$A$1:$Q$852,3,FALSE)</f>
        <v>0</v>
      </c>
      <c r="AE9" s="31">
        <f>VLOOKUP($A9,kurspris!$A$1:$Q$852,4,FALSE)</f>
        <v>0</v>
      </c>
      <c r="AF9" s="31">
        <f>VLOOKUP($A9,kurspris!$A$1:$Q$852,5,FALSE)</f>
        <v>0</v>
      </c>
      <c r="AG9" s="31">
        <f>VLOOKUP($A9,kurspris!$A$1:$Q$852,6,FALSE)</f>
        <v>0</v>
      </c>
      <c r="AH9" s="31">
        <f>VLOOKUP($A9,kurspris!$A$1:$Q$852,7,FALSE)</f>
        <v>0</v>
      </c>
      <c r="AI9" s="31">
        <f>VLOOKUP($A9,kurspris!$A$1:$Q$852,8,FALSE)</f>
        <v>0</v>
      </c>
      <c r="AJ9" s="31">
        <f>VLOOKUP($A9,kurspris!$A$1:$Q$852,9,FALSE)</f>
        <v>0</v>
      </c>
      <c r="AK9" s="31">
        <f>VLOOKUP($A9,kurspris!$A$1:$Q$852,10,FALSE)</f>
        <v>1</v>
      </c>
      <c r="AL9" s="31">
        <f>VLOOKUP($A9,kurspris!$A$1:$Q$852,11,FALSE)</f>
        <v>0</v>
      </c>
      <c r="AM9" s="31">
        <f>VLOOKUP($A9,kurspris!$A$1:$Q$852,12,FALSE)</f>
        <v>0</v>
      </c>
      <c r="AN9" s="31">
        <f>VLOOKUP($A9,kurspris!$A$1:$Q$852,13,FALSE)</f>
        <v>0</v>
      </c>
      <c r="AO9" s="31">
        <f>VLOOKUP($A9,kurspris!$A$1:$Q$852,14,FALSE)</f>
        <v>0</v>
      </c>
      <c r="AP9" s="59" t="s">
        <v>2216</v>
      </c>
      <c r="AR9" s="31">
        <f t="shared" si="4"/>
        <v>0</v>
      </c>
      <c r="AS9" s="237">
        <f t="shared" si="5"/>
        <v>0</v>
      </c>
      <c r="AT9" s="31">
        <f t="shared" si="6"/>
        <v>0</v>
      </c>
      <c r="AU9" s="237">
        <f t="shared" si="7"/>
        <v>0</v>
      </c>
      <c r="AV9" s="31">
        <f t="shared" si="8"/>
        <v>0</v>
      </c>
      <c r="AW9" s="31">
        <f t="shared" si="9"/>
        <v>0</v>
      </c>
      <c r="AX9" s="31">
        <f t="shared" si="10"/>
        <v>0</v>
      </c>
      <c r="AY9" s="237">
        <f t="shared" si="11"/>
        <v>0</v>
      </c>
      <c r="AZ9" s="214">
        <f t="shared" si="12"/>
        <v>0</v>
      </c>
      <c r="BA9" s="237">
        <f t="shared" si="13"/>
        <v>0</v>
      </c>
      <c r="BB9" s="31">
        <f t="shared" si="14"/>
        <v>0</v>
      </c>
      <c r="BC9" s="237">
        <f t="shared" si="15"/>
        <v>0</v>
      </c>
      <c r="BD9" s="31">
        <f t="shared" si="16"/>
        <v>0</v>
      </c>
      <c r="BE9" s="237">
        <f t="shared" si="17"/>
        <v>0</v>
      </c>
      <c r="BF9" s="31">
        <f t="shared" si="18"/>
        <v>0.625</v>
      </c>
      <c r="BG9" s="237">
        <f t="shared" si="19"/>
        <v>0.53125</v>
      </c>
      <c r="BH9" s="31">
        <f t="shared" si="20"/>
        <v>0</v>
      </c>
      <c r="BI9" s="237">
        <f t="shared" si="21"/>
        <v>0</v>
      </c>
      <c r="BJ9" s="31">
        <f t="shared" si="22"/>
        <v>0</v>
      </c>
      <c r="BK9" s="31">
        <f t="shared" si="23"/>
        <v>0</v>
      </c>
      <c r="BL9" s="237">
        <f t="shared" si="24"/>
        <v>0</v>
      </c>
      <c r="BM9" s="31">
        <f t="shared" si="25"/>
        <v>0</v>
      </c>
      <c r="BN9" s="237">
        <f t="shared" si="26"/>
        <v>0</v>
      </c>
    </row>
    <row r="10" spans="1:66" x14ac:dyDescent="0.25">
      <c r="A10" s="31" t="s">
        <v>1505</v>
      </c>
      <c r="B10" s="182" t="str">
        <f>VLOOKUP(A10,kurspris!$A$1:$B$894,2,FALSE)</f>
        <v>Klassisk mekanik A</v>
      </c>
      <c r="D10" s="31" t="s">
        <v>483</v>
      </c>
      <c r="F10" s="59">
        <v>2019</v>
      </c>
      <c r="Q10" s="237">
        <v>0.25</v>
      </c>
      <c r="R10" s="40">
        <v>0.85</v>
      </c>
      <c r="S10" s="313">
        <f t="shared" si="0"/>
        <v>0.21249999999999999</v>
      </c>
      <c r="T10" s="31">
        <f>VLOOKUP(A10,'Ansvar kurs'!$A$1:$C$1027,2,FALSE)</f>
        <v>5400</v>
      </c>
      <c r="U10" s="31" t="str">
        <f>VLOOKUP(T10,Orgenheter!$A$1:$C$165,2,FALSE)</f>
        <v xml:space="preserve">Inst för Fysik                </v>
      </c>
      <c r="V10" s="31" t="str">
        <f>VLOOKUP(T10,Orgenheter!$A$1:$C$165,3,FALSE)</f>
        <v>TekNat</v>
      </c>
      <c r="W10" s="37" t="str">
        <f>VLOOKUP(D10,Program!$A$1:$B$34,2,FALSE)</f>
        <v>Ämneslärarprogrammet - Gy</v>
      </c>
      <c r="X10" s="42">
        <f>VLOOKUP(A10,kurspris!$A$1:$Q$815,15,FALSE)</f>
        <v>19473</v>
      </c>
      <c r="Y10" s="42">
        <f>VLOOKUP(A10,kurspris!$A$1:$Q$815,16,FALSE)</f>
        <v>34806</v>
      </c>
      <c r="Z10" s="42">
        <f t="shared" si="1"/>
        <v>12264.525</v>
      </c>
      <c r="AA10" s="42">
        <f>VLOOKUP(A10,kurspris!$A$1:$Q$815,17,FALSE)</f>
        <v>21800</v>
      </c>
      <c r="AB10" s="42">
        <f t="shared" si="2"/>
        <v>5450</v>
      </c>
      <c r="AC10" s="42">
        <f t="shared" si="3"/>
        <v>17714.525000000001</v>
      </c>
      <c r="AD10" s="31">
        <f>VLOOKUP($A10,kurspris!$A$1:$Q$852,3,FALSE)</f>
        <v>0</v>
      </c>
      <c r="AE10" s="31">
        <f>VLOOKUP($A10,kurspris!$A$1:$Q$852,4,FALSE)</f>
        <v>0</v>
      </c>
      <c r="AF10" s="31">
        <f>VLOOKUP($A10,kurspris!$A$1:$Q$852,5,FALSE)</f>
        <v>0</v>
      </c>
      <c r="AG10" s="31">
        <f>VLOOKUP($A10,kurspris!$A$1:$Q$852,6,FALSE)</f>
        <v>0</v>
      </c>
      <c r="AH10" s="31">
        <f>VLOOKUP($A10,kurspris!$A$1:$Q$852,7,FALSE)</f>
        <v>0</v>
      </c>
      <c r="AI10" s="31">
        <f>VLOOKUP($A10,kurspris!$A$1:$Q$852,8,FALSE)</f>
        <v>0</v>
      </c>
      <c r="AJ10" s="31">
        <f>VLOOKUP($A10,kurspris!$A$1:$Q$852,9,FALSE)</f>
        <v>0</v>
      </c>
      <c r="AK10" s="31">
        <f>VLOOKUP($A10,kurspris!$A$1:$Q$852,10,FALSE)</f>
        <v>1</v>
      </c>
      <c r="AL10" s="31">
        <f>VLOOKUP($A10,kurspris!$A$1:$Q$852,11,FALSE)</f>
        <v>0</v>
      </c>
      <c r="AM10" s="31">
        <f>VLOOKUP($A10,kurspris!$A$1:$Q$852,12,FALSE)</f>
        <v>0</v>
      </c>
      <c r="AN10" s="31">
        <f>VLOOKUP($A10,kurspris!$A$1:$Q$852,13,FALSE)</f>
        <v>0</v>
      </c>
      <c r="AO10" s="31">
        <f>VLOOKUP($A10,kurspris!$A$1:$Q$852,14,FALSE)</f>
        <v>0</v>
      </c>
      <c r="AP10" s="59" t="s">
        <v>2216</v>
      </c>
      <c r="AR10" s="31">
        <f t="shared" si="4"/>
        <v>0</v>
      </c>
      <c r="AS10" s="237">
        <f t="shared" si="5"/>
        <v>0</v>
      </c>
      <c r="AT10" s="31">
        <f t="shared" si="6"/>
        <v>0</v>
      </c>
      <c r="AU10" s="237">
        <f t="shared" si="7"/>
        <v>0</v>
      </c>
      <c r="AV10" s="31">
        <f t="shared" si="8"/>
        <v>0</v>
      </c>
      <c r="AW10" s="31">
        <f t="shared" si="9"/>
        <v>0</v>
      </c>
      <c r="AX10" s="31">
        <f t="shared" si="10"/>
        <v>0</v>
      </c>
      <c r="AY10" s="237">
        <f t="shared" si="11"/>
        <v>0</v>
      </c>
      <c r="AZ10" s="214">
        <f t="shared" si="12"/>
        <v>0</v>
      </c>
      <c r="BA10" s="237">
        <f t="shared" si="13"/>
        <v>0</v>
      </c>
      <c r="BB10" s="31">
        <f t="shared" si="14"/>
        <v>0</v>
      </c>
      <c r="BC10" s="237">
        <f t="shared" si="15"/>
        <v>0</v>
      </c>
      <c r="BD10" s="31">
        <f t="shared" si="16"/>
        <v>0</v>
      </c>
      <c r="BE10" s="237">
        <f t="shared" si="17"/>
        <v>0</v>
      </c>
      <c r="BF10" s="31">
        <f t="shared" si="18"/>
        <v>0.25</v>
      </c>
      <c r="BG10" s="237">
        <f t="shared" si="19"/>
        <v>0.21249999999999999</v>
      </c>
      <c r="BH10" s="31">
        <f t="shared" si="20"/>
        <v>0</v>
      </c>
      <c r="BI10" s="237">
        <f t="shared" si="21"/>
        <v>0</v>
      </c>
      <c r="BJ10" s="31">
        <f t="shared" si="22"/>
        <v>0</v>
      </c>
      <c r="BK10" s="31">
        <f t="shared" si="23"/>
        <v>0</v>
      </c>
      <c r="BL10" s="237">
        <f t="shared" si="24"/>
        <v>0</v>
      </c>
      <c r="BM10" s="31">
        <f t="shared" si="25"/>
        <v>0</v>
      </c>
      <c r="BN10" s="237">
        <f t="shared" si="26"/>
        <v>0</v>
      </c>
    </row>
    <row r="11" spans="1:66" x14ac:dyDescent="0.25">
      <c r="A11" s="31" t="s">
        <v>945</v>
      </c>
      <c r="B11" s="182" t="str">
        <f>VLOOKUP(A11,kurspris!$A$1:$B$894,2,FALSE)</f>
        <v>Klassisk mekanik A</v>
      </c>
      <c r="D11" s="31" t="s">
        <v>483</v>
      </c>
      <c r="F11" s="59">
        <v>2019</v>
      </c>
      <c r="Q11" s="237">
        <v>0.15</v>
      </c>
      <c r="R11" s="40">
        <v>0.85</v>
      </c>
      <c r="S11" s="313">
        <f t="shared" si="0"/>
        <v>0.1275</v>
      </c>
      <c r="T11" s="31">
        <f>VLOOKUP(A11,'Ansvar kurs'!$A$1:$C$1027,2,FALSE)</f>
        <v>5400</v>
      </c>
      <c r="U11" s="31" t="str">
        <f>VLOOKUP(T11,Orgenheter!$A$1:$C$165,2,FALSE)</f>
        <v xml:space="preserve">Inst för Fysik                </v>
      </c>
      <c r="V11" s="31" t="str">
        <f>VLOOKUP(T11,Orgenheter!$A$1:$C$165,3,FALSE)</f>
        <v>TekNat</v>
      </c>
      <c r="W11" s="37" t="str">
        <f>VLOOKUP(D11,Program!$A$1:$B$34,2,FALSE)</f>
        <v>Ämneslärarprogrammet - Gy</v>
      </c>
      <c r="X11" s="42">
        <f>VLOOKUP(A11,kurspris!$A$1:$Q$815,15,FALSE)</f>
        <v>19473</v>
      </c>
      <c r="Y11" s="42">
        <f>VLOOKUP(A11,kurspris!$A$1:$Q$815,16,FALSE)</f>
        <v>34806</v>
      </c>
      <c r="Z11" s="42">
        <f t="shared" si="1"/>
        <v>7358.7150000000001</v>
      </c>
      <c r="AA11" s="42">
        <f>VLOOKUP(A11,kurspris!$A$1:$Q$815,17,FALSE)</f>
        <v>21800</v>
      </c>
      <c r="AB11" s="42">
        <f t="shared" si="2"/>
        <v>3270</v>
      </c>
      <c r="AC11" s="42">
        <f t="shared" si="3"/>
        <v>10628.715</v>
      </c>
      <c r="AD11" s="31">
        <f>VLOOKUP($A11,kurspris!$A$1:$Q$852,3,FALSE)</f>
        <v>0</v>
      </c>
      <c r="AE11" s="31">
        <f>VLOOKUP($A11,kurspris!$A$1:$Q$852,4,FALSE)</f>
        <v>0</v>
      </c>
      <c r="AF11" s="31">
        <f>VLOOKUP($A11,kurspris!$A$1:$Q$852,5,FALSE)</f>
        <v>0</v>
      </c>
      <c r="AG11" s="31">
        <f>VLOOKUP($A11,kurspris!$A$1:$Q$852,6,FALSE)</f>
        <v>0</v>
      </c>
      <c r="AH11" s="31">
        <f>VLOOKUP($A11,kurspris!$A$1:$Q$852,7,FALSE)</f>
        <v>0</v>
      </c>
      <c r="AI11" s="31">
        <f>VLOOKUP($A11,kurspris!$A$1:$Q$852,8,FALSE)</f>
        <v>0</v>
      </c>
      <c r="AJ11" s="31">
        <f>VLOOKUP($A11,kurspris!$A$1:$Q$852,9,FALSE)</f>
        <v>0</v>
      </c>
      <c r="AK11" s="31">
        <f>VLOOKUP($A11,kurspris!$A$1:$Q$852,10,FALSE)</f>
        <v>1</v>
      </c>
      <c r="AL11" s="31">
        <f>VLOOKUP($A11,kurspris!$A$1:$Q$852,11,FALSE)</f>
        <v>0</v>
      </c>
      <c r="AM11" s="31">
        <f>VLOOKUP($A11,kurspris!$A$1:$Q$852,12,FALSE)</f>
        <v>0</v>
      </c>
      <c r="AN11" s="31">
        <f>VLOOKUP($A11,kurspris!$A$1:$Q$852,13,FALSE)</f>
        <v>0</v>
      </c>
      <c r="AO11" s="31">
        <f>VLOOKUP($A11,kurspris!$A$1:$Q$852,14,FALSE)</f>
        <v>0</v>
      </c>
      <c r="AP11" s="59" t="s">
        <v>2216</v>
      </c>
      <c r="AR11" s="31">
        <f t="shared" si="4"/>
        <v>0</v>
      </c>
      <c r="AS11" s="237">
        <f t="shared" si="5"/>
        <v>0</v>
      </c>
      <c r="AT11" s="31">
        <f t="shared" si="6"/>
        <v>0</v>
      </c>
      <c r="AU11" s="237">
        <f t="shared" si="7"/>
        <v>0</v>
      </c>
      <c r="AV11" s="31">
        <f t="shared" si="8"/>
        <v>0</v>
      </c>
      <c r="AW11" s="31">
        <f t="shared" si="9"/>
        <v>0</v>
      </c>
      <c r="AX11" s="31">
        <f t="shared" si="10"/>
        <v>0</v>
      </c>
      <c r="AY11" s="237">
        <f t="shared" si="11"/>
        <v>0</v>
      </c>
      <c r="AZ11" s="214">
        <f t="shared" si="12"/>
        <v>0</v>
      </c>
      <c r="BA11" s="237">
        <f t="shared" si="13"/>
        <v>0</v>
      </c>
      <c r="BB11" s="31">
        <f t="shared" si="14"/>
        <v>0</v>
      </c>
      <c r="BC11" s="237">
        <f t="shared" si="15"/>
        <v>0</v>
      </c>
      <c r="BD11" s="31">
        <f t="shared" si="16"/>
        <v>0</v>
      </c>
      <c r="BE11" s="237">
        <f t="shared" si="17"/>
        <v>0</v>
      </c>
      <c r="BF11" s="31">
        <f t="shared" si="18"/>
        <v>0.15</v>
      </c>
      <c r="BG11" s="237">
        <f t="shared" si="19"/>
        <v>0.1275</v>
      </c>
      <c r="BH11" s="31">
        <f t="shared" si="20"/>
        <v>0</v>
      </c>
      <c r="BI11" s="237">
        <f t="shared" si="21"/>
        <v>0</v>
      </c>
      <c r="BJ11" s="31">
        <f t="shared" si="22"/>
        <v>0</v>
      </c>
      <c r="BK11" s="31">
        <f t="shared" si="23"/>
        <v>0</v>
      </c>
      <c r="BL11" s="237">
        <f t="shared" si="24"/>
        <v>0</v>
      </c>
      <c r="BM11" s="31">
        <f t="shared" si="25"/>
        <v>0</v>
      </c>
      <c r="BN11" s="237">
        <f t="shared" si="26"/>
        <v>0</v>
      </c>
    </row>
    <row r="12" spans="1:66" x14ac:dyDescent="0.25">
      <c r="A12" s="159" t="s">
        <v>1574</v>
      </c>
      <c r="B12" s="182" t="str">
        <f>VLOOKUP(A12,kurspris!$A$1:$B$894,2,FALSE)</f>
        <v>Termodynamik B</v>
      </c>
      <c r="C12" s="37"/>
      <c r="D12" s="31" t="s">
        <v>483</v>
      </c>
      <c r="F12" s="59">
        <v>2019</v>
      </c>
      <c r="Q12" s="237">
        <v>0.2</v>
      </c>
      <c r="R12" s="40">
        <v>0.85</v>
      </c>
      <c r="S12" s="313">
        <f t="shared" si="0"/>
        <v>0.17</v>
      </c>
      <c r="T12" s="31">
        <f>VLOOKUP(A12,'Ansvar kurs'!$A$1:$C$1027,2,FALSE)</f>
        <v>5400</v>
      </c>
      <c r="U12" s="31" t="str">
        <f>VLOOKUP(T12,Orgenheter!$A$1:$C$165,2,FALSE)</f>
        <v xml:space="preserve">Inst för Fysik                </v>
      </c>
      <c r="V12" s="31" t="str">
        <f>VLOOKUP(T12,Orgenheter!$A$1:$C$165,3,FALSE)</f>
        <v>TekNat</v>
      </c>
      <c r="W12" s="37" t="str">
        <f>VLOOKUP(D12,Program!$A$1:$B$34,2,FALSE)</f>
        <v>Ämneslärarprogrammet - Gy</v>
      </c>
      <c r="X12" s="42">
        <f>VLOOKUP(A12,kurspris!$A$1:$Q$815,15,FALSE)</f>
        <v>19473</v>
      </c>
      <c r="Y12" s="42">
        <f>VLOOKUP(A12,kurspris!$A$1:$Q$815,16,FALSE)</f>
        <v>34806</v>
      </c>
      <c r="Z12" s="42">
        <f t="shared" si="1"/>
        <v>9811.6200000000008</v>
      </c>
      <c r="AA12" s="42">
        <f>VLOOKUP(A12,kurspris!$A$1:$Q$815,17,FALSE)</f>
        <v>21800</v>
      </c>
      <c r="AB12" s="42">
        <f t="shared" si="2"/>
        <v>4360</v>
      </c>
      <c r="AC12" s="42">
        <f t="shared" si="3"/>
        <v>14171.62</v>
      </c>
      <c r="AD12" s="31">
        <f>VLOOKUP($A12,kurspris!$A$1:$Q$852,3,FALSE)</f>
        <v>0</v>
      </c>
      <c r="AE12" s="31">
        <f>VLOOKUP($A12,kurspris!$A$1:$Q$852,4,FALSE)</f>
        <v>0</v>
      </c>
      <c r="AF12" s="31">
        <f>VLOOKUP($A12,kurspris!$A$1:$Q$852,5,FALSE)</f>
        <v>0</v>
      </c>
      <c r="AG12" s="31">
        <f>VLOOKUP($A12,kurspris!$A$1:$Q$852,6,FALSE)</f>
        <v>0</v>
      </c>
      <c r="AH12" s="31">
        <f>VLOOKUP($A12,kurspris!$A$1:$Q$852,7,FALSE)</f>
        <v>0</v>
      </c>
      <c r="AI12" s="31">
        <f>VLOOKUP($A12,kurspris!$A$1:$Q$852,8,FALSE)</f>
        <v>0</v>
      </c>
      <c r="AJ12" s="31">
        <f>VLOOKUP($A12,kurspris!$A$1:$Q$852,9,FALSE)</f>
        <v>0</v>
      </c>
      <c r="AK12" s="31">
        <f>VLOOKUP($A12,kurspris!$A$1:$Q$852,10,FALSE)</f>
        <v>1</v>
      </c>
      <c r="AL12" s="31">
        <f>VLOOKUP($A12,kurspris!$A$1:$Q$852,11,FALSE)</f>
        <v>0</v>
      </c>
      <c r="AM12" s="31">
        <f>VLOOKUP($A12,kurspris!$A$1:$Q$852,12,FALSE)</f>
        <v>0</v>
      </c>
      <c r="AN12" s="31">
        <f>VLOOKUP($A12,kurspris!$A$1:$Q$852,13,FALSE)</f>
        <v>0</v>
      </c>
      <c r="AO12" s="31">
        <f>VLOOKUP($A12,kurspris!$A$1:$Q$852,14,FALSE)</f>
        <v>0</v>
      </c>
      <c r="AP12" s="59" t="s">
        <v>2216</v>
      </c>
      <c r="AR12" s="31">
        <f t="shared" si="4"/>
        <v>0</v>
      </c>
      <c r="AS12" s="237">
        <f t="shared" si="5"/>
        <v>0</v>
      </c>
      <c r="AT12" s="31">
        <f t="shared" si="6"/>
        <v>0</v>
      </c>
      <c r="AU12" s="237">
        <f t="shared" si="7"/>
        <v>0</v>
      </c>
      <c r="AV12" s="31">
        <f t="shared" si="8"/>
        <v>0</v>
      </c>
      <c r="AW12" s="31">
        <f t="shared" si="9"/>
        <v>0</v>
      </c>
      <c r="AX12" s="31">
        <f t="shared" si="10"/>
        <v>0</v>
      </c>
      <c r="AY12" s="237">
        <f t="shared" si="11"/>
        <v>0</v>
      </c>
      <c r="AZ12" s="214">
        <f t="shared" si="12"/>
        <v>0</v>
      </c>
      <c r="BA12" s="237">
        <f t="shared" si="13"/>
        <v>0</v>
      </c>
      <c r="BB12" s="31">
        <f t="shared" si="14"/>
        <v>0</v>
      </c>
      <c r="BC12" s="237">
        <f t="shared" si="15"/>
        <v>0</v>
      </c>
      <c r="BD12" s="31">
        <f t="shared" si="16"/>
        <v>0</v>
      </c>
      <c r="BE12" s="237">
        <f t="shared" si="17"/>
        <v>0</v>
      </c>
      <c r="BF12" s="31">
        <f t="shared" si="18"/>
        <v>0.2</v>
      </c>
      <c r="BG12" s="237">
        <f t="shared" si="19"/>
        <v>0.17</v>
      </c>
      <c r="BH12" s="31">
        <f t="shared" si="20"/>
        <v>0</v>
      </c>
      <c r="BI12" s="237">
        <f t="shared" si="21"/>
        <v>0</v>
      </c>
      <c r="BJ12" s="31">
        <f t="shared" si="22"/>
        <v>0</v>
      </c>
      <c r="BK12" s="31">
        <f t="shared" si="23"/>
        <v>0</v>
      </c>
      <c r="BL12" s="237">
        <f t="shared" si="24"/>
        <v>0</v>
      </c>
      <c r="BM12" s="31">
        <f t="shared" si="25"/>
        <v>0</v>
      </c>
      <c r="BN12" s="237">
        <f t="shared" si="26"/>
        <v>0</v>
      </c>
    </row>
    <row r="13" spans="1:66" x14ac:dyDescent="0.25">
      <c r="A13" s="159" t="s">
        <v>1797</v>
      </c>
      <c r="B13" s="182" t="str">
        <f>VLOOKUP(A13,kurspris!$A$1:$B$894,2,FALSE)</f>
        <v>Vågfysik och optik B</v>
      </c>
      <c r="C13" s="37"/>
      <c r="D13" s="31" t="s">
        <v>483</v>
      </c>
      <c r="F13" s="59">
        <v>2019</v>
      </c>
      <c r="Q13" s="237">
        <v>0.1</v>
      </c>
      <c r="R13" s="40">
        <v>0.85</v>
      </c>
      <c r="S13" s="313">
        <f t="shared" si="0"/>
        <v>8.5000000000000006E-2</v>
      </c>
      <c r="T13" s="31">
        <f>VLOOKUP(A13,'Ansvar kurs'!$A$1:$C$1027,2,FALSE)</f>
        <v>5400</v>
      </c>
      <c r="U13" s="31" t="str">
        <f>VLOOKUP(T13,Orgenheter!$A$1:$C$165,2,FALSE)</f>
        <v xml:space="preserve">Inst för Fysik                </v>
      </c>
      <c r="V13" s="31" t="str">
        <f>VLOOKUP(T13,Orgenheter!$A$1:$C$165,3,FALSE)</f>
        <v>TekNat</v>
      </c>
      <c r="W13" s="37" t="str">
        <f>VLOOKUP(D13,Program!$A$1:$B$34,2,FALSE)</f>
        <v>Ämneslärarprogrammet - Gy</v>
      </c>
      <c r="X13" s="42">
        <f>VLOOKUP(A13,kurspris!$A$1:$Q$815,15,FALSE)</f>
        <v>19473</v>
      </c>
      <c r="Y13" s="42">
        <f>VLOOKUP(A13,kurspris!$A$1:$Q$815,16,FALSE)</f>
        <v>34806</v>
      </c>
      <c r="Z13" s="42">
        <f t="shared" si="1"/>
        <v>4905.8100000000004</v>
      </c>
      <c r="AA13" s="42">
        <f>VLOOKUP(A13,kurspris!$A$1:$Q$815,17,FALSE)</f>
        <v>21800</v>
      </c>
      <c r="AB13" s="42">
        <f t="shared" si="2"/>
        <v>2180</v>
      </c>
      <c r="AC13" s="42">
        <f t="shared" si="3"/>
        <v>7085.81</v>
      </c>
      <c r="AD13" s="31">
        <f>VLOOKUP($A13,kurspris!$A$1:$Q$852,3,FALSE)</f>
        <v>0</v>
      </c>
      <c r="AE13" s="31">
        <f>VLOOKUP($A13,kurspris!$A$1:$Q$852,4,FALSE)</f>
        <v>0</v>
      </c>
      <c r="AF13" s="31">
        <f>VLOOKUP($A13,kurspris!$A$1:$Q$852,5,FALSE)</f>
        <v>0</v>
      </c>
      <c r="AG13" s="31">
        <f>VLOOKUP($A13,kurspris!$A$1:$Q$852,6,FALSE)</f>
        <v>0</v>
      </c>
      <c r="AH13" s="31">
        <f>VLOOKUP($A13,kurspris!$A$1:$Q$852,7,FALSE)</f>
        <v>0</v>
      </c>
      <c r="AI13" s="31">
        <f>VLOOKUP($A13,kurspris!$A$1:$Q$852,8,FALSE)</f>
        <v>0</v>
      </c>
      <c r="AJ13" s="31">
        <f>VLOOKUP($A13,kurspris!$A$1:$Q$852,9,FALSE)</f>
        <v>0</v>
      </c>
      <c r="AK13" s="31">
        <f>VLOOKUP($A13,kurspris!$A$1:$Q$852,10,FALSE)</f>
        <v>1</v>
      </c>
      <c r="AL13" s="31">
        <f>VLOOKUP($A13,kurspris!$A$1:$Q$852,11,FALSE)</f>
        <v>0</v>
      </c>
      <c r="AM13" s="31">
        <f>VLOOKUP($A13,kurspris!$A$1:$Q$852,12,FALSE)</f>
        <v>0</v>
      </c>
      <c r="AN13" s="31">
        <f>VLOOKUP($A13,kurspris!$A$1:$Q$852,13,FALSE)</f>
        <v>0</v>
      </c>
      <c r="AO13" s="31">
        <f>VLOOKUP($A13,kurspris!$A$1:$Q$852,14,FALSE)</f>
        <v>0</v>
      </c>
      <c r="AP13" s="59" t="s">
        <v>2216</v>
      </c>
      <c r="AR13" s="31">
        <f t="shared" si="4"/>
        <v>0</v>
      </c>
      <c r="AS13" s="237">
        <f t="shared" si="5"/>
        <v>0</v>
      </c>
      <c r="AT13" s="31">
        <f t="shared" si="6"/>
        <v>0</v>
      </c>
      <c r="AU13" s="237">
        <f t="shared" si="7"/>
        <v>0</v>
      </c>
      <c r="AV13" s="31">
        <f t="shared" si="8"/>
        <v>0</v>
      </c>
      <c r="AW13" s="31">
        <f t="shared" si="9"/>
        <v>0</v>
      </c>
      <c r="AX13" s="31">
        <f t="shared" si="10"/>
        <v>0</v>
      </c>
      <c r="AY13" s="237">
        <f t="shared" si="11"/>
        <v>0</v>
      </c>
      <c r="AZ13" s="214">
        <f t="shared" si="12"/>
        <v>0</v>
      </c>
      <c r="BA13" s="237">
        <f t="shared" si="13"/>
        <v>0</v>
      </c>
      <c r="BB13" s="31">
        <f t="shared" si="14"/>
        <v>0</v>
      </c>
      <c r="BC13" s="237">
        <f t="shared" si="15"/>
        <v>0</v>
      </c>
      <c r="BD13" s="31">
        <f t="shared" si="16"/>
        <v>0</v>
      </c>
      <c r="BE13" s="237">
        <f t="shared" si="17"/>
        <v>0</v>
      </c>
      <c r="BF13" s="31">
        <f t="shared" si="18"/>
        <v>0.1</v>
      </c>
      <c r="BG13" s="237">
        <f t="shared" si="19"/>
        <v>8.5000000000000006E-2</v>
      </c>
      <c r="BH13" s="31">
        <f t="shared" si="20"/>
        <v>0</v>
      </c>
      <c r="BI13" s="237">
        <f t="shared" si="21"/>
        <v>0</v>
      </c>
      <c r="BJ13" s="31">
        <f t="shared" si="22"/>
        <v>0</v>
      </c>
      <c r="BK13" s="31">
        <f t="shared" si="23"/>
        <v>0</v>
      </c>
      <c r="BL13" s="237">
        <f t="shared" si="24"/>
        <v>0</v>
      </c>
      <c r="BM13" s="31">
        <f t="shared" si="25"/>
        <v>0</v>
      </c>
      <c r="BN13" s="237">
        <f t="shared" si="26"/>
        <v>0</v>
      </c>
    </row>
    <row r="14" spans="1:66" x14ac:dyDescent="0.25">
      <c r="A14" s="159" t="s">
        <v>1798</v>
      </c>
      <c r="B14" s="182" t="str">
        <f>VLOOKUP(A14,kurspris!$A$1:$B$894,2,FALSE)</f>
        <v>Elektromagnetismens grunder</v>
      </c>
      <c r="C14" s="37"/>
      <c r="D14" s="31" t="s">
        <v>483</v>
      </c>
      <c r="F14" s="59">
        <v>2019</v>
      </c>
      <c r="Q14" s="237">
        <v>0.1</v>
      </c>
      <c r="R14" s="40">
        <v>0.85</v>
      </c>
      <c r="S14" s="313">
        <f t="shared" si="0"/>
        <v>8.5000000000000006E-2</v>
      </c>
      <c r="T14" s="31">
        <f>VLOOKUP(A14,'Ansvar kurs'!$A$1:$C$1027,2,FALSE)</f>
        <v>5400</v>
      </c>
      <c r="U14" s="31" t="str">
        <f>VLOOKUP(T14,Orgenheter!$A$1:$C$165,2,FALSE)</f>
        <v xml:space="preserve">Inst för Fysik                </v>
      </c>
      <c r="V14" s="31" t="str">
        <f>VLOOKUP(T14,Orgenheter!$A$1:$C$165,3,FALSE)</f>
        <v>TekNat</v>
      </c>
      <c r="W14" s="37" t="str">
        <f>VLOOKUP(D14,Program!$A$1:$B$34,2,FALSE)</f>
        <v>Ämneslärarprogrammet - Gy</v>
      </c>
      <c r="X14" s="42">
        <f>VLOOKUP(A14,kurspris!$A$1:$Q$815,15,FALSE)</f>
        <v>19473</v>
      </c>
      <c r="Y14" s="42">
        <f>VLOOKUP(A14,kurspris!$A$1:$Q$815,16,FALSE)</f>
        <v>34806</v>
      </c>
      <c r="Z14" s="42">
        <f t="shared" si="1"/>
        <v>4905.8100000000004</v>
      </c>
      <c r="AA14" s="42">
        <f>VLOOKUP(A14,kurspris!$A$1:$Q$815,17,FALSE)</f>
        <v>21800</v>
      </c>
      <c r="AB14" s="42">
        <f t="shared" si="2"/>
        <v>2180</v>
      </c>
      <c r="AC14" s="42">
        <f t="shared" si="3"/>
        <v>7085.81</v>
      </c>
      <c r="AD14" s="31">
        <f>VLOOKUP($A14,kurspris!$A$1:$Q$852,3,FALSE)</f>
        <v>0</v>
      </c>
      <c r="AE14" s="31">
        <f>VLOOKUP($A14,kurspris!$A$1:$Q$852,4,FALSE)</f>
        <v>0</v>
      </c>
      <c r="AF14" s="31">
        <f>VLOOKUP($A14,kurspris!$A$1:$Q$852,5,FALSE)</f>
        <v>0</v>
      </c>
      <c r="AG14" s="31">
        <f>VLOOKUP($A14,kurspris!$A$1:$Q$852,6,FALSE)</f>
        <v>0</v>
      </c>
      <c r="AH14" s="31">
        <f>VLOOKUP($A14,kurspris!$A$1:$Q$852,7,FALSE)</f>
        <v>0</v>
      </c>
      <c r="AI14" s="31">
        <f>VLOOKUP($A14,kurspris!$A$1:$Q$852,8,FALSE)</f>
        <v>0.5</v>
      </c>
      <c r="AJ14" s="31">
        <f>VLOOKUP($A14,kurspris!$A$1:$Q$852,9,FALSE)</f>
        <v>0</v>
      </c>
      <c r="AK14" s="31">
        <f>VLOOKUP($A14,kurspris!$A$1:$Q$852,10,FALSE)</f>
        <v>0.5</v>
      </c>
      <c r="AL14" s="31">
        <f>VLOOKUP($A14,kurspris!$A$1:$Q$852,11,FALSE)</f>
        <v>0</v>
      </c>
      <c r="AM14" s="31">
        <f>VLOOKUP($A14,kurspris!$A$1:$Q$852,12,FALSE)</f>
        <v>0</v>
      </c>
      <c r="AN14" s="31">
        <f>VLOOKUP($A14,kurspris!$A$1:$Q$852,13,FALSE)</f>
        <v>0</v>
      </c>
      <c r="AO14" s="31">
        <f>VLOOKUP($A14,kurspris!$A$1:$Q$852,14,FALSE)</f>
        <v>0</v>
      </c>
      <c r="AP14" s="59" t="s">
        <v>2216</v>
      </c>
      <c r="AR14" s="31">
        <f t="shared" si="4"/>
        <v>0</v>
      </c>
      <c r="AS14" s="237">
        <f t="shared" si="5"/>
        <v>0</v>
      </c>
      <c r="AT14" s="31">
        <f t="shared" si="6"/>
        <v>0</v>
      </c>
      <c r="AU14" s="237">
        <f t="shared" si="7"/>
        <v>0</v>
      </c>
      <c r="AV14" s="31">
        <f t="shared" si="8"/>
        <v>0</v>
      </c>
      <c r="AW14" s="31">
        <f t="shared" si="9"/>
        <v>0</v>
      </c>
      <c r="AX14" s="31">
        <f t="shared" si="10"/>
        <v>0</v>
      </c>
      <c r="AY14" s="237">
        <f t="shared" si="11"/>
        <v>0</v>
      </c>
      <c r="AZ14" s="214">
        <f t="shared" si="12"/>
        <v>0</v>
      </c>
      <c r="BA14" s="237">
        <f t="shared" si="13"/>
        <v>0</v>
      </c>
      <c r="BB14" s="31">
        <f t="shared" si="14"/>
        <v>0.05</v>
      </c>
      <c r="BC14" s="237">
        <f t="shared" si="15"/>
        <v>4.2500000000000003E-2</v>
      </c>
      <c r="BD14" s="31">
        <f t="shared" si="16"/>
        <v>0</v>
      </c>
      <c r="BE14" s="237">
        <f t="shared" si="17"/>
        <v>0</v>
      </c>
      <c r="BF14" s="31">
        <f t="shared" si="18"/>
        <v>0.05</v>
      </c>
      <c r="BG14" s="237">
        <f t="shared" si="19"/>
        <v>4.2500000000000003E-2</v>
      </c>
      <c r="BH14" s="31">
        <f t="shared" si="20"/>
        <v>0</v>
      </c>
      <c r="BI14" s="237">
        <f t="shared" si="21"/>
        <v>0</v>
      </c>
      <c r="BJ14" s="31">
        <f t="shared" si="22"/>
        <v>0</v>
      </c>
      <c r="BK14" s="31">
        <f t="shared" si="23"/>
        <v>0</v>
      </c>
      <c r="BL14" s="237">
        <f t="shared" si="24"/>
        <v>0</v>
      </c>
      <c r="BM14" s="31">
        <f t="shared" si="25"/>
        <v>0</v>
      </c>
      <c r="BN14" s="237">
        <f t="shared" si="26"/>
        <v>0</v>
      </c>
    </row>
    <row r="15" spans="1:66" x14ac:dyDescent="0.25">
      <c r="A15" s="159" t="s">
        <v>1588</v>
      </c>
      <c r="B15" s="182" t="str">
        <f>VLOOKUP(A15,kurspris!$A$1:$B$894,2,FALSE)</f>
        <v>Fördjupning i termodynamik</v>
      </c>
      <c r="C15" s="37"/>
      <c r="D15" s="31" t="s">
        <v>483</v>
      </c>
      <c r="F15" s="59">
        <v>2019</v>
      </c>
      <c r="Q15" s="237">
        <v>0.05</v>
      </c>
      <c r="R15" s="40">
        <v>0.85</v>
      </c>
      <c r="S15" s="313">
        <f t="shared" si="0"/>
        <v>4.2500000000000003E-2</v>
      </c>
      <c r="T15" s="31">
        <f>VLOOKUP(A15,'Ansvar kurs'!$A$1:$C$1027,2,FALSE)</f>
        <v>5400</v>
      </c>
      <c r="U15" s="31" t="str">
        <f>VLOOKUP(T15,Orgenheter!$A$1:$C$165,2,FALSE)</f>
        <v xml:space="preserve">Inst för Fysik                </v>
      </c>
      <c r="V15" s="31" t="str">
        <f>VLOOKUP(T15,Orgenheter!$A$1:$C$165,3,FALSE)</f>
        <v>TekNat</v>
      </c>
      <c r="W15" s="37" t="str">
        <f>VLOOKUP(D15,Program!$A$1:$B$34,2,FALSE)</f>
        <v>Ämneslärarprogrammet - Gy</v>
      </c>
      <c r="X15" s="42">
        <f>VLOOKUP(A15,kurspris!$A$1:$Q$815,15,FALSE)</f>
        <v>19473</v>
      </c>
      <c r="Y15" s="42">
        <f>VLOOKUP(A15,kurspris!$A$1:$Q$815,16,FALSE)</f>
        <v>34806</v>
      </c>
      <c r="Z15" s="42">
        <f t="shared" si="1"/>
        <v>2452.9050000000002</v>
      </c>
      <c r="AA15" s="42">
        <f>VLOOKUP(A15,kurspris!$A$1:$Q$815,17,FALSE)</f>
        <v>21800</v>
      </c>
      <c r="AB15" s="42">
        <f t="shared" si="2"/>
        <v>1090</v>
      </c>
      <c r="AC15" s="42">
        <f t="shared" si="3"/>
        <v>3542.9050000000002</v>
      </c>
      <c r="AD15" s="31">
        <f>VLOOKUP($A15,kurspris!$A$1:$Q$852,3,FALSE)</f>
        <v>0</v>
      </c>
      <c r="AE15" s="31">
        <f>VLOOKUP($A15,kurspris!$A$1:$Q$852,4,FALSE)</f>
        <v>0</v>
      </c>
      <c r="AF15" s="31">
        <f>VLOOKUP($A15,kurspris!$A$1:$Q$852,5,FALSE)</f>
        <v>0</v>
      </c>
      <c r="AG15" s="31">
        <f>VLOOKUP($A15,kurspris!$A$1:$Q$852,6,FALSE)</f>
        <v>0</v>
      </c>
      <c r="AH15" s="31">
        <f>VLOOKUP($A15,kurspris!$A$1:$Q$852,7,FALSE)</f>
        <v>0</v>
      </c>
      <c r="AI15" s="31">
        <f>VLOOKUP($A15,kurspris!$A$1:$Q$852,8,FALSE)</f>
        <v>0.5</v>
      </c>
      <c r="AJ15" s="31">
        <f>VLOOKUP($A15,kurspris!$A$1:$Q$852,9,FALSE)</f>
        <v>0</v>
      </c>
      <c r="AK15" s="31">
        <f>VLOOKUP($A15,kurspris!$A$1:$Q$852,10,FALSE)</f>
        <v>0.5</v>
      </c>
      <c r="AL15" s="31">
        <f>VLOOKUP($A15,kurspris!$A$1:$Q$852,11,FALSE)</f>
        <v>0</v>
      </c>
      <c r="AM15" s="31">
        <f>VLOOKUP($A15,kurspris!$A$1:$Q$852,12,FALSE)</f>
        <v>0</v>
      </c>
      <c r="AN15" s="31">
        <f>VLOOKUP($A15,kurspris!$A$1:$Q$852,13,FALSE)</f>
        <v>0</v>
      </c>
      <c r="AO15" s="31">
        <f>VLOOKUP($A15,kurspris!$A$1:$Q$852,14,FALSE)</f>
        <v>0</v>
      </c>
      <c r="AP15" s="59" t="s">
        <v>2216</v>
      </c>
      <c r="AR15" s="31">
        <f t="shared" si="4"/>
        <v>0</v>
      </c>
      <c r="AS15" s="237">
        <f t="shared" si="5"/>
        <v>0</v>
      </c>
      <c r="AT15" s="31">
        <f t="shared" si="6"/>
        <v>0</v>
      </c>
      <c r="AU15" s="237">
        <f t="shared" si="7"/>
        <v>0</v>
      </c>
      <c r="AV15" s="31">
        <f t="shared" si="8"/>
        <v>0</v>
      </c>
      <c r="AW15" s="31">
        <f t="shared" si="9"/>
        <v>0</v>
      </c>
      <c r="AX15" s="31">
        <f t="shared" si="10"/>
        <v>0</v>
      </c>
      <c r="AY15" s="237">
        <f t="shared" si="11"/>
        <v>0</v>
      </c>
      <c r="AZ15" s="214">
        <f t="shared" si="12"/>
        <v>0</v>
      </c>
      <c r="BA15" s="237">
        <f t="shared" si="13"/>
        <v>0</v>
      </c>
      <c r="BB15" s="31">
        <f t="shared" si="14"/>
        <v>2.5000000000000001E-2</v>
      </c>
      <c r="BC15" s="237">
        <f t="shared" si="15"/>
        <v>2.1250000000000002E-2</v>
      </c>
      <c r="BD15" s="31">
        <f t="shared" si="16"/>
        <v>0</v>
      </c>
      <c r="BE15" s="237">
        <f t="shared" si="17"/>
        <v>0</v>
      </c>
      <c r="BF15" s="31">
        <f t="shared" si="18"/>
        <v>2.5000000000000001E-2</v>
      </c>
      <c r="BG15" s="237">
        <f t="shared" si="19"/>
        <v>2.1250000000000002E-2</v>
      </c>
      <c r="BH15" s="31">
        <f t="shared" si="20"/>
        <v>0</v>
      </c>
      <c r="BI15" s="237">
        <f t="shared" si="21"/>
        <v>0</v>
      </c>
      <c r="BJ15" s="31">
        <f t="shared" si="22"/>
        <v>0</v>
      </c>
      <c r="BK15" s="31">
        <f t="shared" si="23"/>
        <v>0</v>
      </c>
      <c r="BL15" s="237">
        <f t="shared" si="24"/>
        <v>0</v>
      </c>
      <c r="BM15" s="31">
        <f t="shared" si="25"/>
        <v>0</v>
      </c>
      <c r="BN15" s="237">
        <f t="shared" si="26"/>
        <v>0</v>
      </c>
    </row>
    <row r="16" spans="1:66" x14ac:dyDescent="0.25">
      <c r="A16" s="159" t="s">
        <v>2142</v>
      </c>
      <c r="B16" s="182" t="str">
        <f>VLOOKUP(A16,kurspris!$A$1:$B$894,2,FALSE)</f>
        <v>Avancerade material, 7,5 hp</v>
      </c>
      <c r="C16" s="37"/>
      <c r="D16" s="31" t="s">
        <v>483</v>
      </c>
      <c r="F16" s="59">
        <v>2019</v>
      </c>
      <c r="Q16" s="237">
        <v>0.25</v>
      </c>
      <c r="R16" s="40">
        <v>0.85</v>
      </c>
      <c r="S16" s="313">
        <f t="shared" si="0"/>
        <v>0.21249999999999999</v>
      </c>
      <c r="T16" s="31">
        <f>VLOOKUP(A16,'Ansvar kurs'!$A$1:$C$1027,2,FALSE)</f>
        <v>5400</v>
      </c>
      <c r="U16" s="31" t="str">
        <f>VLOOKUP(T16,Orgenheter!$A$1:$C$165,2,FALSE)</f>
        <v xml:space="preserve">Inst för Fysik                </v>
      </c>
      <c r="V16" s="31" t="str">
        <f>VLOOKUP(T16,Orgenheter!$A$1:$C$165,3,FALSE)</f>
        <v>TekNat</v>
      </c>
      <c r="W16" s="37" t="str">
        <f>VLOOKUP(D16,Program!$A$1:$B$34,2,FALSE)</f>
        <v>Ämneslärarprogrammet - Gy</v>
      </c>
      <c r="X16" s="42">
        <f>VLOOKUP(A16,kurspris!$A$1:$Q$815,15,FALSE)</f>
        <v>19473</v>
      </c>
      <c r="Y16" s="42">
        <f>VLOOKUP(A16,kurspris!$A$1:$Q$815,16,FALSE)</f>
        <v>34806</v>
      </c>
      <c r="Z16" s="42">
        <f t="shared" si="1"/>
        <v>12264.525</v>
      </c>
      <c r="AA16" s="42">
        <f>VLOOKUP(A16,kurspris!$A$1:$Q$815,17,FALSE)</f>
        <v>21800</v>
      </c>
      <c r="AB16" s="42">
        <f t="shared" si="2"/>
        <v>5450</v>
      </c>
      <c r="AC16" s="42">
        <f t="shared" si="3"/>
        <v>17714.525000000001</v>
      </c>
      <c r="AD16" s="31">
        <f>VLOOKUP($A16,kurspris!$A$1:$Q$852,3,FALSE)</f>
        <v>0</v>
      </c>
      <c r="AE16" s="31">
        <f>VLOOKUP($A16,kurspris!$A$1:$Q$852,4,FALSE)</f>
        <v>0</v>
      </c>
      <c r="AF16" s="31">
        <f>VLOOKUP($A16,kurspris!$A$1:$Q$852,5,FALSE)</f>
        <v>0</v>
      </c>
      <c r="AG16" s="31">
        <f>VLOOKUP($A16,kurspris!$A$1:$Q$852,6,FALSE)</f>
        <v>0</v>
      </c>
      <c r="AH16" s="31">
        <f>VLOOKUP($A16,kurspris!$A$1:$Q$852,7,FALSE)</f>
        <v>0</v>
      </c>
      <c r="AI16" s="31">
        <f>VLOOKUP($A16,kurspris!$A$1:$Q$852,8,FALSE)</f>
        <v>0.5</v>
      </c>
      <c r="AJ16" s="31">
        <f>VLOOKUP($A16,kurspris!$A$1:$Q$852,9,FALSE)</f>
        <v>0</v>
      </c>
      <c r="AK16" s="31">
        <f>VLOOKUP($A16,kurspris!$A$1:$Q$852,10,FALSE)</f>
        <v>0.5</v>
      </c>
      <c r="AL16" s="31">
        <f>VLOOKUP($A16,kurspris!$A$1:$Q$852,11,FALSE)</f>
        <v>0</v>
      </c>
      <c r="AM16" s="31">
        <f>VLOOKUP($A16,kurspris!$A$1:$Q$852,12,FALSE)</f>
        <v>0</v>
      </c>
      <c r="AN16" s="31">
        <f>VLOOKUP($A16,kurspris!$A$1:$Q$852,13,FALSE)</f>
        <v>0</v>
      </c>
      <c r="AO16" s="31">
        <f>VLOOKUP($A16,kurspris!$A$1:$Q$852,14,FALSE)</f>
        <v>0</v>
      </c>
      <c r="AP16" s="59" t="s">
        <v>2216</v>
      </c>
      <c r="AR16" s="31">
        <f t="shared" si="4"/>
        <v>0</v>
      </c>
      <c r="AS16" s="237">
        <f t="shared" si="5"/>
        <v>0</v>
      </c>
      <c r="AT16" s="31">
        <f t="shared" si="6"/>
        <v>0</v>
      </c>
      <c r="AU16" s="237">
        <f t="shared" si="7"/>
        <v>0</v>
      </c>
      <c r="AV16" s="31">
        <f t="shared" si="8"/>
        <v>0</v>
      </c>
      <c r="AW16" s="31">
        <f t="shared" si="9"/>
        <v>0</v>
      </c>
      <c r="AX16" s="31">
        <f t="shared" si="10"/>
        <v>0</v>
      </c>
      <c r="AY16" s="237">
        <f t="shared" si="11"/>
        <v>0</v>
      </c>
      <c r="AZ16" s="214">
        <f t="shared" si="12"/>
        <v>0</v>
      </c>
      <c r="BA16" s="237">
        <f t="shared" si="13"/>
        <v>0</v>
      </c>
      <c r="BB16" s="31">
        <f t="shared" si="14"/>
        <v>0.125</v>
      </c>
      <c r="BC16" s="237">
        <f t="shared" si="15"/>
        <v>0.10625</v>
      </c>
      <c r="BD16" s="31">
        <f t="shared" si="16"/>
        <v>0</v>
      </c>
      <c r="BE16" s="237">
        <f t="shared" si="17"/>
        <v>0</v>
      </c>
      <c r="BF16" s="31">
        <f t="shared" si="18"/>
        <v>0.125</v>
      </c>
      <c r="BG16" s="237">
        <f t="shared" si="19"/>
        <v>0.10625</v>
      </c>
      <c r="BH16" s="31">
        <f t="shared" si="20"/>
        <v>0</v>
      </c>
      <c r="BI16" s="237">
        <f t="shared" si="21"/>
        <v>0</v>
      </c>
      <c r="BJ16" s="31">
        <f t="shared" si="22"/>
        <v>0</v>
      </c>
      <c r="BK16" s="31">
        <f t="shared" si="23"/>
        <v>0</v>
      </c>
      <c r="BL16" s="237">
        <f t="shared" si="24"/>
        <v>0</v>
      </c>
      <c r="BM16" s="31">
        <f t="shared" si="25"/>
        <v>0</v>
      </c>
      <c r="BN16" s="237">
        <f t="shared" si="26"/>
        <v>0</v>
      </c>
    </row>
    <row r="17" spans="1:66" x14ac:dyDescent="0.25">
      <c r="A17" s="159" t="s">
        <v>2143</v>
      </c>
      <c r="B17" s="182" t="str">
        <f>VLOOKUP(A17,kurspris!$A$1:$B$894,2,FALSE)</f>
        <v>Solceller, 7,5 hp</v>
      </c>
      <c r="C17" s="37"/>
      <c r="D17" s="31" t="s">
        <v>483</v>
      </c>
      <c r="F17" s="59">
        <v>2019</v>
      </c>
      <c r="Q17" s="237">
        <v>0.25</v>
      </c>
      <c r="R17" s="40">
        <v>0.85</v>
      </c>
      <c r="S17" s="313">
        <f t="shared" si="0"/>
        <v>0.21249999999999999</v>
      </c>
      <c r="T17" s="31">
        <f>VLOOKUP(A17,'Ansvar kurs'!$A$1:$C$1027,2,FALSE)</f>
        <v>5400</v>
      </c>
      <c r="U17" s="31" t="str">
        <f>VLOOKUP(T17,Orgenheter!$A$1:$C$165,2,FALSE)</f>
        <v xml:space="preserve">Inst för Fysik                </v>
      </c>
      <c r="V17" s="31" t="str">
        <f>VLOOKUP(T17,Orgenheter!$A$1:$C$165,3,FALSE)</f>
        <v>TekNat</v>
      </c>
      <c r="W17" s="37" t="str">
        <f>VLOOKUP(D17,Program!$A$1:$B$34,2,FALSE)</f>
        <v>Ämneslärarprogrammet - Gy</v>
      </c>
      <c r="X17" s="42">
        <f>VLOOKUP(A17,kurspris!$A$1:$Q$815,15,FALSE)</f>
        <v>19473</v>
      </c>
      <c r="Y17" s="42">
        <f>VLOOKUP(A17,kurspris!$A$1:$Q$815,16,FALSE)</f>
        <v>34806</v>
      </c>
      <c r="Z17" s="42">
        <f t="shared" si="1"/>
        <v>12264.525</v>
      </c>
      <c r="AA17" s="42">
        <f>VLOOKUP(A17,kurspris!$A$1:$Q$815,17,FALSE)</f>
        <v>21800</v>
      </c>
      <c r="AB17" s="42">
        <f t="shared" si="2"/>
        <v>5450</v>
      </c>
      <c r="AC17" s="42">
        <f t="shared" si="3"/>
        <v>17714.525000000001</v>
      </c>
      <c r="AD17" s="31">
        <f>VLOOKUP($A17,kurspris!$A$1:$Q$852,3,FALSE)</f>
        <v>0</v>
      </c>
      <c r="AE17" s="31">
        <f>VLOOKUP($A17,kurspris!$A$1:$Q$852,4,FALSE)</f>
        <v>0</v>
      </c>
      <c r="AF17" s="31">
        <f>VLOOKUP($A17,kurspris!$A$1:$Q$852,5,FALSE)</f>
        <v>0</v>
      </c>
      <c r="AG17" s="31">
        <f>VLOOKUP($A17,kurspris!$A$1:$Q$852,6,FALSE)</f>
        <v>0</v>
      </c>
      <c r="AH17" s="31">
        <f>VLOOKUP($A17,kurspris!$A$1:$Q$852,7,FALSE)</f>
        <v>0</v>
      </c>
      <c r="AI17" s="31">
        <f>VLOOKUP($A17,kurspris!$A$1:$Q$852,8,FALSE)</f>
        <v>0.5</v>
      </c>
      <c r="AJ17" s="31">
        <f>VLOOKUP($A17,kurspris!$A$1:$Q$852,9,FALSE)</f>
        <v>0</v>
      </c>
      <c r="AK17" s="31">
        <f>VLOOKUP($A17,kurspris!$A$1:$Q$852,10,FALSE)</f>
        <v>0.5</v>
      </c>
      <c r="AL17" s="31">
        <f>VLOOKUP($A17,kurspris!$A$1:$Q$852,11,FALSE)</f>
        <v>0</v>
      </c>
      <c r="AM17" s="31">
        <f>VLOOKUP($A17,kurspris!$A$1:$Q$852,12,FALSE)</f>
        <v>0</v>
      </c>
      <c r="AN17" s="31">
        <f>VLOOKUP($A17,kurspris!$A$1:$Q$852,13,FALSE)</f>
        <v>0</v>
      </c>
      <c r="AO17" s="31">
        <f>VLOOKUP($A17,kurspris!$A$1:$Q$852,14,FALSE)</f>
        <v>0</v>
      </c>
      <c r="AP17" s="59" t="s">
        <v>2216</v>
      </c>
      <c r="AR17" s="31">
        <f t="shared" si="4"/>
        <v>0</v>
      </c>
      <c r="AS17" s="237">
        <f t="shared" si="5"/>
        <v>0</v>
      </c>
      <c r="AT17" s="31">
        <f t="shared" si="6"/>
        <v>0</v>
      </c>
      <c r="AU17" s="237">
        <f t="shared" si="7"/>
        <v>0</v>
      </c>
      <c r="AV17" s="31">
        <f t="shared" si="8"/>
        <v>0</v>
      </c>
      <c r="AW17" s="31">
        <f t="shared" si="9"/>
        <v>0</v>
      </c>
      <c r="AX17" s="31">
        <f t="shared" si="10"/>
        <v>0</v>
      </c>
      <c r="AY17" s="237">
        <f t="shared" si="11"/>
        <v>0</v>
      </c>
      <c r="AZ17" s="214">
        <f t="shared" si="12"/>
        <v>0</v>
      </c>
      <c r="BA17" s="237">
        <f t="shared" si="13"/>
        <v>0</v>
      </c>
      <c r="BB17" s="31">
        <f t="shared" si="14"/>
        <v>0.125</v>
      </c>
      <c r="BC17" s="237">
        <f t="shared" si="15"/>
        <v>0.10625</v>
      </c>
      <c r="BD17" s="31">
        <f t="shared" si="16"/>
        <v>0</v>
      </c>
      <c r="BE17" s="237">
        <f t="shared" si="17"/>
        <v>0</v>
      </c>
      <c r="BF17" s="31">
        <f t="shared" si="18"/>
        <v>0.125</v>
      </c>
      <c r="BG17" s="237">
        <f t="shared" si="19"/>
        <v>0.10625</v>
      </c>
      <c r="BH17" s="31">
        <f t="shared" si="20"/>
        <v>0</v>
      </c>
      <c r="BI17" s="237">
        <f t="shared" si="21"/>
        <v>0</v>
      </c>
      <c r="BJ17" s="31">
        <f t="shared" si="22"/>
        <v>0</v>
      </c>
      <c r="BK17" s="31">
        <f t="shared" si="23"/>
        <v>0</v>
      </c>
      <c r="BL17" s="237">
        <f t="shared" si="24"/>
        <v>0</v>
      </c>
      <c r="BM17" s="31">
        <f t="shared" si="25"/>
        <v>0</v>
      </c>
      <c r="BN17" s="237">
        <f t="shared" si="26"/>
        <v>0</v>
      </c>
    </row>
    <row r="18" spans="1:66" x14ac:dyDescent="0.25">
      <c r="A18" s="31" t="s">
        <v>2111</v>
      </c>
      <c r="B18" s="182" t="str">
        <f>VLOOKUP(A18,kurspris!$A$1:$B$894,2,FALSE)</f>
        <v>Modern fysik</v>
      </c>
      <c r="D18" s="31" t="s">
        <v>483</v>
      </c>
      <c r="F18" s="59">
        <v>2019</v>
      </c>
      <c r="Q18" s="237">
        <v>7.4999999999999997E-2</v>
      </c>
      <c r="R18" s="40">
        <v>0.85</v>
      </c>
      <c r="S18" s="313">
        <f t="shared" si="0"/>
        <v>6.3750000000000001E-2</v>
      </c>
      <c r="T18" s="31">
        <f>VLOOKUP(A18,'Ansvar kurs'!$A$1:$C$1027,2,FALSE)</f>
        <v>5400</v>
      </c>
      <c r="U18" s="31" t="str">
        <f>VLOOKUP(T18,Orgenheter!$A$1:$C$165,2,FALSE)</f>
        <v xml:space="preserve">Inst för Fysik                </v>
      </c>
      <c r="V18" s="31" t="str">
        <f>VLOOKUP(T18,Orgenheter!$A$1:$C$165,3,FALSE)</f>
        <v>TekNat</v>
      </c>
      <c r="W18" s="37" t="str">
        <f>VLOOKUP(D18,Program!$A$1:$B$34,2,FALSE)</f>
        <v>Ämneslärarprogrammet - Gy</v>
      </c>
      <c r="X18" s="42">
        <f>VLOOKUP(A18,kurspris!$A$1:$Q$815,15,FALSE)</f>
        <v>19473</v>
      </c>
      <c r="Y18" s="42">
        <f>VLOOKUP(A18,kurspris!$A$1:$Q$815,16,FALSE)</f>
        <v>34806</v>
      </c>
      <c r="Z18" s="42">
        <f t="shared" si="1"/>
        <v>3679.3575000000001</v>
      </c>
      <c r="AA18" s="42">
        <f>VLOOKUP(A18,kurspris!$A$1:$Q$815,17,FALSE)</f>
        <v>21800</v>
      </c>
      <c r="AB18" s="42">
        <f t="shared" si="2"/>
        <v>1635</v>
      </c>
      <c r="AC18" s="42">
        <f t="shared" si="3"/>
        <v>5314.3575000000001</v>
      </c>
      <c r="AD18" s="31">
        <f>VLOOKUP($A18,kurspris!$A$1:$Q$852,3,FALSE)</f>
        <v>0</v>
      </c>
      <c r="AE18" s="31">
        <f>VLOOKUP($A18,kurspris!$A$1:$Q$852,4,FALSE)</f>
        <v>0</v>
      </c>
      <c r="AF18" s="31">
        <f>VLOOKUP($A18,kurspris!$A$1:$Q$852,5,FALSE)</f>
        <v>0</v>
      </c>
      <c r="AG18" s="31">
        <f>VLOOKUP($A18,kurspris!$A$1:$Q$852,6,FALSE)</f>
        <v>0</v>
      </c>
      <c r="AH18" s="31">
        <f>VLOOKUP($A18,kurspris!$A$1:$Q$852,7,FALSE)</f>
        <v>0</v>
      </c>
      <c r="AI18" s="31">
        <f>VLOOKUP($A18,kurspris!$A$1:$Q$852,8,FALSE)</f>
        <v>0.5</v>
      </c>
      <c r="AJ18" s="31">
        <f>VLOOKUP($A18,kurspris!$A$1:$Q$852,9,FALSE)</f>
        <v>0</v>
      </c>
      <c r="AK18" s="31">
        <f>VLOOKUP($A18,kurspris!$A$1:$Q$852,10,FALSE)</f>
        <v>0.5</v>
      </c>
      <c r="AL18" s="31">
        <f>VLOOKUP($A18,kurspris!$A$1:$Q$852,11,FALSE)</f>
        <v>0</v>
      </c>
      <c r="AM18" s="31">
        <f>VLOOKUP($A18,kurspris!$A$1:$Q$852,12,FALSE)</f>
        <v>0</v>
      </c>
      <c r="AN18" s="31">
        <f>VLOOKUP($A18,kurspris!$A$1:$Q$852,13,FALSE)</f>
        <v>0</v>
      </c>
      <c r="AO18" s="31">
        <f>VLOOKUP($A18,kurspris!$A$1:$Q$852,14,FALSE)</f>
        <v>0</v>
      </c>
      <c r="AP18" s="59" t="s">
        <v>2216</v>
      </c>
      <c r="AR18" s="31">
        <f t="shared" si="4"/>
        <v>0</v>
      </c>
      <c r="AS18" s="237">
        <f t="shared" si="5"/>
        <v>0</v>
      </c>
      <c r="AT18" s="31">
        <f t="shared" si="6"/>
        <v>0</v>
      </c>
      <c r="AU18" s="237">
        <f t="shared" si="7"/>
        <v>0</v>
      </c>
      <c r="AV18" s="31">
        <f t="shared" si="8"/>
        <v>0</v>
      </c>
      <c r="AW18" s="31">
        <f t="shared" si="9"/>
        <v>0</v>
      </c>
      <c r="AX18" s="31">
        <f t="shared" si="10"/>
        <v>0</v>
      </c>
      <c r="AY18" s="237">
        <f t="shared" si="11"/>
        <v>0</v>
      </c>
      <c r="AZ18" s="214">
        <f t="shared" si="12"/>
        <v>0</v>
      </c>
      <c r="BA18" s="237">
        <f t="shared" si="13"/>
        <v>0</v>
      </c>
      <c r="BB18" s="31">
        <f t="shared" si="14"/>
        <v>3.7499999999999999E-2</v>
      </c>
      <c r="BC18" s="237">
        <f t="shared" si="15"/>
        <v>3.1875000000000001E-2</v>
      </c>
      <c r="BD18" s="31">
        <f t="shared" si="16"/>
        <v>0</v>
      </c>
      <c r="BE18" s="237">
        <f t="shared" si="17"/>
        <v>0</v>
      </c>
      <c r="BF18" s="31">
        <f t="shared" si="18"/>
        <v>3.7499999999999999E-2</v>
      </c>
      <c r="BG18" s="237">
        <f t="shared" si="19"/>
        <v>3.1875000000000001E-2</v>
      </c>
      <c r="BH18" s="31">
        <f t="shared" si="20"/>
        <v>0</v>
      </c>
      <c r="BI18" s="237">
        <f t="shared" si="21"/>
        <v>0</v>
      </c>
      <c r="BJ18" s="31">
        <f t="shared" si="22"/>
        <v>0</v>
      </c>
      <c r="BK18" s="31">
        <f t="shared" si="23"/>
        <v>0</v>
      </c>
      <c r="BL18" s="237">
        <f t="shared" si="24"/>
        <v>0</v>
      </c>
      <c r="BM18" s="31">
        <f t="shared" si="25"/>
        <v>0</v>
      </c>
      <c r="BN18" s="237">
        <f t="shared" si="26"/>
        <v>0</v>
      </c>
    </row>
    <row r="19" spans="1:66" x14ac:dyDescent="0.25">
      <c r="A19" s="31" t="s">
        <v>1016</v>
      </c>
      <c r="B19" s="182" t="str">
        <f>VLOOKUP(A19,kurspris!$A$1:$B$894,2,FALSE)</f>
        <v>Akvatisk kemi</v>
      </c>
      <c r="D19" s="31" t="s">
        <v>483</v>
      </c>
      <c r="F19" s="59">
        <v>2019</v>
      </c>
      <c r="Q19" s="237">
        <v>0.25</v>
      </c>
      <c r="R19" s="40">
        <v>0.85</v>
      </c>
      <c r="S19" s="313">
        <f t="shared" si="0"/>
        <v>0.21249999999999999</v>
      </c>
      <c r="T19" s="31">
        <f>VLOOKUP(A19,'Ansvar kurs'!$A$1:$C$1027,2,FALSE)</f>
        <v>5500</v>
      </c>
      <c r="U19" s="31" t="str">
        <f>VLOOKUP(T19,Orgenheter!$A$1:$C$165,2,FALSE)</f>
        <v xml:space="preserve">Kemiska institutionen         </v>
      </c>
      <c r="V19" s="31" t="str">
        <f>VLOOKUP(T19,Orgenheter!$A$1:$C$165,3,FALSE)</f>
        <v>TekNat</v>
      </c>
      <c r="W19" s="37" t="str">
        <f>VLOOKUP(D19,Program!$A$1:$B$34,2,FALSE)</f>
        <v>Ämneslärarprogrammet - Gy</v>
      </c>
      <c r="X19" s="42">
        <f>VLOOKUP(A19,kurspris!$A$1:$Q$815,15,FALSE)</f>
        <v>19473</v>
      </c>
      <c r="Y19" s="42">
        <f>VLOOKUP(A19,kurspris!$A$1:$Q$815,16,FALSE)</f>
        <v>34806</v>
      </c>
      <c r="Z19" s="42">
        <f t="shared" si="1"/>
        <v>12264.525</v>
      </c>
      <c r="AA19" s="42">
        <f>VLOOKUP(A19,kurspris!$A$1:$Q$815,17,FALSE)</f>
        <v>21800</v>
      </c>
      <c r="AB19" s="42">
        <f t="shared" si="2"/>
        <v>5450</v>
      </c>
      <c r="AC19" s="42">
        <f t="shared" si="3"/>
        <v>17714.525000000001</v>
      </c>
      <c r="AD19" s="31">
        <f>VLOOKUP($A19,kurspris!$A$1:$Q$852,3,FALSE)</f>
        <v>0</v>
      </c>
      <c r="AE19" s="31">
        <f>VLOOKUP($A19,kurspris!$A$1:$Q$852,4,FALSE)</f>
        <v>0</v>
      </c>
      <c r="AF19" s="31">
        <f>VLOOKUP($A19,kurspris!$A$1:$Q$852,5,FALSE)</f>
        <v>0</v>
      </c>
      <c r="AG19" s="31">
        <f>VLOOKUP($A19,kurspris!$A$1:$Q$852,6,FALSE)</f>
        <v>0</v>
      </c>
      <c r="AH19" s="31">
        <f>VLOOKUP($A19,kurspris!$A$1:$Q$852,7,FALSE)</f>
        <v>0</v>
      </c>
      <c r="AI19" s="31">
        <f>VLOOKUP($A19,kurspris!$A$1:$Q$852,8,FALSE)</f>
        <v>0</v>
      </c>
      <c r="AJ19" s="31">
        <f>VLOOKUP($A19,kurspris!$A$1:$Q$852,9,FALSE)</f>
        <v>0</v>
      </c>
      <c r="AK19" s="31">
        <f>VLOOKUP($A19,kurspris!$A$1:$Q$852,10,FALSE)</f>
        <v>1</v>
      </c>
      <c r="AL19" s="31">
        <f>VLOOKUP($A19,kurspris!$A$1:$Q$852,11,FALSE)</f>
        <v>0</v>
      </c>
      <c r="AM19" s="31">
        <f>VLOOKUP($A19,kurspris!$A$1:$Q$852,12,FALSE)</f>
        <v>0</v>
      </c>
      <c r="AN19" s="31">
        <f>VLOOKUP($A19,kurspris!$A$1:$Q$852,13,FALSE)</f>
        <v>0</v>
      </c>
      <c r="AO19" s="31">
        <f>VLOOKUP($A19,kurspris!$A$1:$Q$852,14,FALSE)</f>
        <v>0</v>
      </c>
      <c r="AP19" s="59" t="s">
        <v>2216</v>
      </c>
      <c r="AR19" s="31">
        <f t="shared" si="4"/>
        <v>0</v>
      </c>
      <c r="AS19" s="237">
        <f t="shared" si="5"/>
        <v>0</v>
      </c>
      <c r="AT19" s="31">
        <f t="shared" si="6"/>
        <v>0</v>
      </c>
      <c r="AU19" s="237">
        <f t="shared" si="7"/>
        <v>0</v>
      </c>
      <c r="AV19" s="31">
        <f t="shared" si="8"/>
        <v>0</v>
      </c>
      <c r="AW19" s="31">
        <f t="shared" si="9"/>
        <v>0</v>
      </c>
      <c r="AX19" s="31">
        <f t="shared" si="10"/>
        <v>0</v>
      </c>
      <c r="AY19" s="237">
        <f t="shared" si="11"/>
        <v>0</v>
      </c>
      <c r="AZ19" s="214">
        <f t="shared" si="12"/>
        <v>0</v>
      </c>
      <c r="BA19" s="237">
        <f t="shared" si="13"/>
        <v>0</v>
      </c>
      <c r="BB19" s="31">
        <f t="shared" si="14"/>
        <v>0</v>
      </c>
      <c r="BC19" s="237">
        <f t="shared" si="15"/>
        <v>0</v>
      </c>
      <c r="BD19" s="31">
        <f t="shared" si="16"/>
        <v>0</v>
      </c>
      <c r="BE19" s="237">
        <f t="shared" si="17"/>
        <v>0</v>
      </c>
      <c r="BF19" s="31">
        <f t="shared" si="18"/>
        <v>0.25</v>
      </c>
      <c r="BG19" s="237">
        <f t="shared" si="19"/>
        <v>0.21249999999999999</v>
      </c>
      <c r="BH19" s="31">
        <f t="shared" si="20"/>
        <v>0</v>
      </c>
      <c r="BI19" s="237">
        <f t="shared" si="21"/>
        <v>0</v>
      </c>
      <c r="BJ19" s="31">
        <f t="shared" si="22"/>
        <v>0</v>
      </c>
      <c r="BK19" s="31">
        <f t="shared" si="23"/>
        <v>0</v>
      </c>
      <c r="BL19" s="237">
        <f t="shared" si="24"/>
        <v>0</v>
      </c>
      <c r="BM19" s="31">
        <f t="shared" si="25"/>
        <v>0</v>
      </c>
      <c r="BN19" s="237">
        <f t="shared" si="26"/>
        <v>0</v>
      </c>
    </row>
    <row r="20" spans="1:66" x14ac:dyDescent="0.25">
      <c r="A20" s="31" t="s">
        <v>1799</v>
      </c>
      <c r="B20" s="182" t="str">
        <f>VLOOKUP(A20,kurspris!$A$1:$B$894,2,FALSE)</f>
        <v>Biokemi 15 hp</v>
      </c>
      <c r="D20" s="31" t="s">
        <v>483</v>
      </c>
      <c r="F20" s="59">
        <v>2019</v>
      </c>
      <c r="Q20" s="237">
        <v>0.5</v>
      </c>
      <c r="R20" s="40">
        <v>0.85</v>
      </c>
      <c r="S20" s="313">
        <f t="shared" si="0"/>
        <v>0.42499999999999999</v>
      </c>
      <c r="T20" s="31">
        <f>VLOOKUP(A20,'Ansvar kurs'!$A$1:$C$1027,2,FALSE)</f>
        <v>5500</v>
      </c>
      <c r="U20" s="31" t="str">
        <f>VLOOKUP(T20,Orgenheter!$A$1:$C$165,2,FALSE)</f>
        <v xml:space="preserve">Kemiska institutionen         </v>
      </c>
      <c r="V20" s="31" t="str">
        <f>VLOOKUP(T20,Orgenheter!$A$1:$C$165,3,FALSE)</f>
        <v>TekNat</v>
      </c>
      <c r="W20" s="37" t="str">
        <f>VLOOKUP(D20,Program!$A$1:$B$34,2,FALSE)</f>
        <v>Ämneslärarprogrammet - Gy</v>
      </c>
      <c r="X20" s="42">
        <f>VLOOKUP(A20,kurspris!$A$1:$Q$815,15,FALSE)</f>
        <v>19473</v>
      </c>
      <c r="Y20" s="42">
        <f>VLOOKUP(A20,kurspris!$A$1:$Q$815,16,FALSE)</f>
        <v>34806</v>
      </c>
      <c r="Z20" s="42">
        <f t="shared" si="1"/>
        <v>24529.05</v>
      </c>
      <c r="AA20" s="42">
        <f>VLOOKUP(A20,kurspris!$A$1:$Q$815,17,FALSE)</f>
        <v>21800</v>
      </c>
      <c r="AB20" s="42">
        <f t="shared" si="2"/>
        <v>10900</v>
      </c>
      <c r="AC20" s="42">
        <f t="shared" si="3"/>
        <v>35429.050000000003</v>
      </c>
      <c r="AD20" s="31">
        <f>VLOOKUP($A20,kurspris!$A$1:$Q$852,3,FALSE)</f>
        <v>0</v>
      </c>
      <c r="AE20" s="31">
        <f>VLOOKUP($A20,kurspris!$A$1:$Q$852,4,FALSE)</f>
        <v>0</v>
      </c>
      <c r="AF20" s="31">
        <f>VLOOKUP($A20,kurspris!$A$1:$Q$852,5,FALSE)</f>
        <v>0</v>
      </c>
      <c r="AG20" s="31">
        <f>VLOOKUP($A20,kurspris!$A$1:$Q$852,6,FALSE)</f>
        <v>0</v>
      </c>
      <c r="AH20" s="31">
        <f>VLOOKUP($A20,kurspris!$A$1:$Q$852,7,FALSE)</f>
        <v>0</v>
      </c>
      <c r="AI20" s="31">
        <f>VLOOKUP($A20,kurspris!$A$1:$Q$852,8,FALSE)</f>
        <v>0</v>
      </c>
      <c r="AJ20" s="31">
        <f>VLOOKUP($A20,kurspris!$A$1:$Q$852,9,FALSE)</f>
        <v>0</v>
      </c>
      <c r="AK20" s="31">
        <f>VLOOKUP($A20,kurspris!$A$1:$Q$852,10,FALSE)</f>
        <v>1</v>
      </c>
      <c r="AL20" s="31">
        <f>VLOOKUP($A20,kurspris!$A$1:$Q$852,11,FALSE)</f>
        <v>0</v>
      </c>
      <c r="AM20" s="31">
        <f>VLOOKUP($A20,kurspris!$A$1:$Q$852,12,FALSE)</f>
        <v>0</v>
      </c>
      <c r="AN20" s="31">
        <f>VLOOKUP($A20,kurspris!$A$1:$Q$852,13,FALSE)</f>
        <v>0</v>
      </c>
      <c r="AO20" s="31">
        <f>VLOOKUP($A20,kurspris!$A$1:$Q$852,14,FALSE)</f>
        <v>0</v>
      </c>
      <c r="AP20" s="59" t="s">
        <v>2216</v>
      </c>
      <c r="AR20" s="31">
        <f t="shared" si="4"/>
        <v>0</v>
      </c>
      <c r="AS20" s="237">
        <f t="shared" si="5"/>
        <v>0</v>
      </c>
      <c r="AT20" s="31">
        <f t="shared" si="6"/>
        <v>0</v>
      </c>
      <c r="AU20" s="237">
        <f t="shared" si="7"/>
        <v>0</v>
      </c>
      <c r="AV20" s="31">
        <f t="shared" si="8"/>
        <v>0</v>
      </c>
      <c r="AW20" s="31">
        <f t="shared" si="9"/>
        <v>0</v>
      </c>
      <c r="AX20" s="31">
        <f t="shared" si="10"/>
        <v>0</v>
      </c>
      <c r="AY20" s="237">
        <f t="shared" si="11"/>
        <v>0</v>
      </c>
      <c r="AZ20" s="214">
        <f t="shared" si="12"/>
        <v>0</v>
      </c>
      <c r="BA20" s="237">
        <f t="shared" si="13"/>
        <v>0</v>
      </c>
      <c r="BB20" s="31">
        <f t="shared" si="14"/>
        <v>0</v>
      </c>
      <c r="BC20" s="237">
        <f t="shared" si="15"/>
        <v>0</v>
      </c>
      <c r="BD20" s="31">
        <f t="shared" si="16"/>
        <v>0</v>
      </c>
      <c r="BE20" s="237">
        <f t="shared" si="17"/>
        <v>0</v>
      </c>
      <c r="BF20" s="31">
        <f t="shared" si="18"/>
        <v>0.5</v>
      </c>
      <c r="BG20" s="237">
        <f t="shared" si="19"/>
        <v>0.42499999999999999</v>
      </c>
      <c r="BH20" s="31">
        <f t="shared" si="20"/>
        <v>0</v>
      </c>
      <c r="BI20" s="237">
        <f t="shared" si="21"/>
        <v>0</v>
      </c>
      <c r="BJ20" s="31">
        <f t="shared" si="22"/>
        <v>0</v>
      </c>
      <c r="BK20" s="31">
        <f t="shared" si="23"/>
        <v>0</v>
      </c>
      <c r="BL20" s="237">
        <f t="shared" si="24"/>
        <v>0</v>
      </c>
      <c r="BM20" s="31">
        <f t="shared" si="25"/>
        <v>0</v>
      </c>
      <c r="BN20" s="237">
        <f t="shared" si="26"/>
        <v>0</v>
      </c>
    </row>
    <row r="21" spans="1:66" x14ac:dyDescent="0.25">
      <c r="A21" s="31" t="s">
        <v>1850</v>
      </c>
      <c r="B21" s="182" t="str">
        <f>VLOOKUP(A21,kurspris!$A$1:$B$894,2,FALSE)</f>
        <v>Biofysikalisk kemi: Termodynamik</v>
      </c>
      <c r="D21" s="31" t="s">
        <v>483</v>
      </c>
      <c r="F21" s="59">
        <v>2019</v>
      </c>
      <c r="Q21" s="237">
        <v>0.125</v>
      </c>
      <c r="R21" s="40">
        <v>0.85</v>
      </c>
      <c r="S21" s="313">
        <f t="shared" si="0"/>
        <v>0.10625</v>
      </c>
      <c r="T21" s="31">
        <f>VLOOKUP(A21,'Ansvar kurs'!$A$1:$C$1027,2,FALSE)</f>
        <v>5500</v>
      </c>
      <c r="U21" s="31" t="str">
        <f>VLOOKUP(T21,Orgenheter!$A$1:$C$165,2,FALSE)</f>
        <v xml:space="preserve">Kemiska institutionen         </v>
      </c>
      <c r="V21" s="31" t="str">
        <f>VLOOKUP(T21,Orgenheter!$A$1:$C$165,3,FALSE)</f>
        <v>TekNat</v>
      </c>
      <c r="W21" s="37" t="str">
        <f>VLOOKUP(D21,Program!$A$1:$B$34,2,FALSE)</f>
        <v>Ämneslärarprogrammet - Gy</v>
      </c>
      <c r="X21" s="42">
        <f>VLOOKUP(A21,kurspris!$A$1:$Q$815,15,FALSE)</f>
        <v>19473</v>
      </c>
      <c r="Y21" s="42">
        <f>VLOOKUP(A21,kurspris!$A$1:$Q$815,16,FALSE)</f>
        <v>34806</v>
      </c>
      <c r="Z21" s="42">
        <f t="shared" si="1"/>
        <v>6132.2624999999998</v>
      </c>
      <c r="AA21" s="42">
        <f>VLOOKUP(A21,kurspris!$A$1:$Q$815,17,FALSE)</f>
        <v>21800</v>
      </c>
      <c r="AB21" s="42">
        <f t="shared" si="2"/>
        <v>2725</v>
      </c>
      <c r="AC21" s="42">
        <f t="shared" si="3"/>
        <v>8857.2625000000007</v>
      </c>
      <c r="AD21" s="31">
        <f>VLOOKUP($A21,kurspris!$A$1:$Q$852,3,FALSE)</f>
        <v>0</v>
      </c>
      <c r="AE21" s="31">
        <f>VLOOKUP($A21,kurspris!$A$1:$Q$852,4,FALSE)</f>
        <v>0</v>
      </c>
      <c r="AF21" s="31">
        <f>VLOOKUP($A21,kurspris!$A$1:$Q$852,5,FALSE)</f>
        <v>0</v>
      </c>
      <c r="AG21" s="31">
        <f>VLOOKUP($A21,kurspris!$A$1:$Q$852,6,FALSE)</f>
        <v>0</v>
      </c>
      <c r="AH21" s="31">
        <f>VLOOKUP($A21,kurspris!$A$1:$Q$852,7,FALSE)</f>
        <v>0</v>
      </c>
      <c r="AI21" s="31">
        <f>VLOOKUP($A21,kurspris!$A$1:$Q$852,8,FALSE)</f>
        <v>1</v>
      </c>
      <c r="AJ21" s="31">
        <f>VLOOKUP($A21,kurspris!$A$1:$Q$852,9,FALSE)</f>
        <v>0</v>
      </c>
      <c r="AK21" s="31">
        <f>VLOOKUP($A21,kurspris!$A$1:$Q$852,10,FALSE)</f>
        <v>0</v>
      </c>
      <c r="AL21" s="31">
        <f>VLOOKUP($A21,kurspris!$A$1:$Q$852,11,FALSE)</f>
        <v>0</v>
      </c>
      <c r="AM21" s="31">
        <f>VLOOKUP($A21,kurspris!$A$1:$Q$852,12,FALSE)</f>
        <v>0</v>
      </c>
      <c r="AN21" s="31">
        <f>VLOOKUP($A21,kurspris!$A$1:$Q$852,13,FALSE)</f>
        <v>0</v>
      </c>
      <c r="AO21" s="31">
        <f>VLOOKUP($A21,kurspris!$A$1:$Q$852,14,FALSE)</f>
        <v>0</v>
      </c>
      <c r="AP21" s="59" t="s">
        <v>2216</v>
      </c>
      <c r="AR21" s="31">
        <f t="shared" si="4"/>
        <v>0</v>
      </c>
      <c r="AS21" s="237">
        <f t="shared" si="5"/>
        <v>0</v>
      </c>
      <c r="AT21" s="31">
        <f t="shared" si="6"/>
        <v>0</v>
      </c>
      <c r="AU21" s="237">
        <f t="shared" si="7"/>
        <v>0</v>
      </c>
      <c r="AV21" s="31">
        <f t="shared" si="8"/>
        <v>0</v>
      </c>
      <c r="AW21" s="31">
        <f t="shared" si="9"/>
        <v>0</v>
      </c>
      <c r="AX21" s="31">
        <f t="shared" si="10"/>
        <v>0</v>
      </c>
      <c r="AY21" s="237">
        <f t="shared" si="11"/>
        <v>0</v>
      </c>
      <c r="AZ21" s="214">
        <f t="shared" si="12"/>
        <v>0</v>
      </c>
      <c r="BA21" s="237">
        <f t="shared" si="13"/>
        <v>0</v>
      </c>
      <c r="BB21" s="31">
        <f t="shared" si="14"/>
        <v>0.125</v>
      </c>
      <c r="BC21" s="237">
        <f t="shared" si="15"/>
        <v>0.10625</v>
      </c>
      <c r="BD21" s="31">
        <f t="shared" si="16"/>
        <v>0</v>
      </c>
      <c r="BE21" s="237">
        <f t="shared" si="17"/>
        <v>0</v>
      </c>
      <c r="BF21" s="31">
        <f t="shared" si="18"/>
        <v>0</v>
      </c>
      <c r="BG21" s="237">
        <f t="shared" si="19"/>
        <v>0</v>
      </c>
      <c r="BH21" s="31">
        <f t="shared" si="20"/>
        <v>0</v>
      </c>
      <c r="BI21" s="237">
        <f t="shared" si="21"/>
        <v>0</v>
      </c>
      <c r="BJ21" s="31">
        <f t="shared" si="22"/>
        <v>0</v>
      </c>
      <c r="BK21" s="31">
        <f t="shared" si="23"/>
        <v>0</v>
      </c>
      <c r="BL21" s="237">
        <f t="shared" si="24"/>
        <v>0</v>
      </c>
      <c r="BM21" s="31">
        <f t="shared" si="25"/>
        <v>0</v>
      </c>
      <c r="BN21" s="237">
        <f t="shared" si="26"/>
        <v>0</v>
      </c>
    </row>
    <row r="22" spans="1:66" x14ac:dyDescent="0.25">
      <c r="A22" s="31" t="s">
        <v>1851</v>
      </c>
      <c r="B22" s="182" t="str">
        <f>VLOOKUP(A22,kurspris!$A$1:$B$894,2,FALSE)</f>
        <v>Biofysikalisk kemi: Spektroskopi</v>
      </c>
      <c r="D22" s="31" t="s">
        <v>483</v>
      </c>
      <c r="F22" s="59">
        <v>2019</v>
      </c>
      <c r="Q22" s="237">
        <v>0.125</v>
      </c>
      <c r="R22" s="40">
        <v>0.85</v>
      </c>
      <c r="S22" s="313">
        <f t="shared" si="0"/>
        <v>0.10625</v>
      </c>
      <c r="T22" s="31">
        <f>VLOOKUP(A22,'Ansvar kurs'!$A$1:$C$1027,2,FALSE)</f>
        <v>5500</v>
      </c>
      <c r="U22" s="31" t="str">
        <f>VLOOKUP(T22,Orgenheter!$A$1:$C$165,2,FALSE)</f>
        <v xml:space="preserve">Kemiska institutionen         </v>
      </c>
      <c r="V22" s="31" t="str">
        <f>VLOOKUP(T22,Orgenheter!$A$1:$C$165,3,FALSE)</f>
        <v>TekNat</v>
      </c>
      <c r="W22" s="37" t="str">
        <f>VLOOKUP(D22,Program!$A$1:$B$34,2,FALSE)</f>
        <v>Ämneslärarprogrammet - Gy</v>
      </c>
      <c r="X22" s="42">
        <f>VLOOKUP(A22,kurspris!$A$1:$Q$815,15,FALSE)</f>
        <v>19473</v>
      </c>
      <c r="Y22" s="42">
        <f>VLOOKUP(A22,kurspris!$A$1:$Q$815,16,FALSE)</f>
        <v>34806</v>
      </c>
      <c r="Z22" s="42">
        <f t="shared" si="1"/>
        <v>6132.2624999999998</v>
      </c>
      <c r="AA22" s="42">
        <f>VLOOKUP(A22,kurspris!$A$1:$Q$815,17,FALSE)</f>
        <v>21800</v>
      </c>
      <c r="AB22" s="42">
        <f t="shared" si="2"/>
        <v>2725</v>
      </c>
      <c r="AC22" s="42">
        <f t="shared" si="3"/>
        <v>8857.2625000000007</v>
      </c>
      <c r="AD22" s="31">
        <f>VLOOKUP($A22,kurspris!$A$1:$Q$852,3,FALSE)</f>
        <v>0</v>
      </c>
      <c r="AE22" s="31">
        <f>VLOOKUP($A22,kurspris!$A$1:$Q$852,4,FALSE)</f>
        <v>0</v>
      </c>
      <c r="AF22" s="31">
        <f>VLOOKUP($A22,kurspris!$A$1:$Q$852,5,FALSE)</f>
        <v>0</v>
      </c>
      <c r="AG22" s="31">
        <f>VLOOKUP($A22,kurspris!$A$1:$Q$852,6,FALSE)</f>
        <v>0</v>
      </c>
      <c r="AH22" s="31">
        <f>VLOOKUP($A22,kurspris!$A$1:$Q$852,7,FALSE)</f>
        <v>0</v>
      </c>
      <c r="AI22" s="31">
        <f>VLOOKUP($A22,kurspris!$A$1:$Q$852,8,FALSE)</f>
        <v>1</v>
      </c>
      <c r="AJ22" s="31">
        <f>VLOOKUP($A22,kurspris!$A$1:$Q$852,9,FALSE)</f>
        <v>0</v>
      </c>
      <c r="AK22" s="31">
        <f>VLOOKUP($A22,kurspris!$A$1:$Q$852,10,FALSE)</f>
        <v>0</v>
      </c>
      <c r="AL22" s="31">
        <f>VLOOKUP($A22,kurspris!$A$1:$Q$852,11,FALSE)</f>
        <v>0</v>
      </c>
      <c r="AM22" s="31">
        <f>VLOOKUP($A22,kurspris!$A$1:$Q$852,12,FALSE)</f>
        <v>0</v>
      </c>
      <c r="AN22" s="31">
        <f>VLOOKUP($A22,kurspris!$A$1:$Q$852,13,FALSE)</f>
        <v>0</v>
      </c>
      <c r="AO22" s="31">
        <f>VLOOKUP($A22,kurspris!$A$1:$Q$852,14,FALSE)</f>
        <v>0</v>
      </c>
      <c r="AP22" s="59" t="s">
        <v>2216</v>
      </c>
      <c r="AR22" s="31">
        <f t="shared" si="4"/>
        <v>0</v>
      </c>
      <c r="AS22" s="237">
        <f t="shared" si="5"/>
        <v>0</v>
      </c>
      <c r="AT22" s="31">
        <f t="shared" si="6"/>
        <v>0</v>
      </c>
      <c r="AU22" s="237">
        <f t="shared" si="7"/>
        <v>0</v>
      </c>
      <c r="AV22" s="31">
        <f t="shared" si="8"/>
        <v>0</v>
      </c>
      <c r="AW22" s="31">
        <f t="shared" si="9"/>
        <v>0</v>
      </c>
      <c r="AX22" s="31">
        <f t="shared" si="10"/>
        <v>0</v>
      </c>
      <c r="AY22" s="237">
        <f t="shared" si="11"/>
        <v>0</v>
      </c>
      <c r="AZ22" s="214">
        <f t="shared" si="12"/>
        <v>0</v>
      </c>
      <c r="BA22" s="237">
        <f t="shared" si="13"/>
        <v>0</v>
      </c>
      <c r="BB22" s="31">
        <f t="shared" si="14"/>
        <v>0.125</v>
      </c>
      <c r="BC22" s="237">
        <f t="shared" si="15"/>
        <v>0.10625</v>
      </c>
      <c r="BD22" s="31">
        <f t="shared" si="16"/>
        <v>0</v>
      </c>
      <c r="BE22" s="237">
        <f t="shared" si="17"/>
        <v>0</v>
      </c>
      <c r="BF22" s="31">
        <f t="shared" si="18"/>
        <v>0</v>
      </c>
      <c r="BG22" s="237">
        <f t="shared" si="19"/>
        <v>0</v>
      </c>
      <c r="BH22" s="31">
        <f t="shared" si="20"/>
        <v>0</v>
      </c>
      <c r="BI22" s="237">
        <f t="shared" si="21"/>
        <v>0</v>
      </c>
      <c r="BJ22" s="31">
        <f t="shared" si="22"/>
        <v>0</v>
      </c>
      <c r="BK22" s="31">
        <f t="shared" si="23"/>
        <v>0</v>
      </c>
      <c r="BL22" s="237">
        <f t="shared" si="24"/>
        <v>0</v>
      </c>
      <c r="BM22" s="31">
        <f t="shared" si="25"/>
        <v>0</v>
      </c>
      <c r="BN22" s="237">
        <f t="shared" si="26"/>
        <v>0</v>
      </c>
    </row>
    <row r="23" spans="1:66" x14ac:dyDescent="0.25">
      <c r="A23" s="31" t="s">
        <v>1017</v>
      </c>
      <c r="B23" s="182" t="str">
        <f>VLOOKUP(A23,kurspris!$A$1:$B$894,2,FALSE)</f>
        <v>Analytisk kemi</v>
      </c>
      <c r="D23" s="31" t="s">
        <v>483</v>
      </c>
      <c r="F23" s="59">
        <v>2019</v>
      </c>
      <c r="Q23" s="237">
        <v>0.5</v>
      </c>
      <c r="R23" s="40">
        <v>0.85</v>
      </c>
      <c r="S23" s="313">
        <f t="shared" si="0"/>
        <v>0.42499999999999999</v>
      </c>
      <c r="T23" s="31">
        <f>VLOOKUP(A23,'Ansvar kurs'!$A$1:$C$1027,2,FALSE)</f>
        <v>5500</v>
      </c>
      <c r="U23" s="31" t="str">
        <f>VLOOKUP(T23,Orgenheter!$A$1:$C$165,2,FALSE)</f>
        <v xml:space="preserve">Kemiska institutionen         </v>
      </c>
      <c r="V23" s="31" t="str">
        <f>VLOOKUP(T23,Orgenheter!$A$1:$C$165,3,FALSE)</f>
        <v>TekNat</v>
      </c>
      <c r="W23" s="37" t="str">
        <f>VLOOKUP(D23,Program!$A$1:$B$34,2,FALSE)</f>
        <v>Ämneslärarprogrammet - Gy</v>
      </c>
      <c r="X23" s="42">
        <f>VLOOKUP(A23,kurspris!$A$1:$Q$815,15,FALSE)</f>
        <v>19473</v>
      </c>
      <c r="Y23" s="42">
        <f>VLOOKUP(A23,kurspris!$A$1:$Q$815,16,FALSE)</f>
        <v>34806</v>
      </c>
      <c r="Z23" s="42">
        <f t="shared" si="1"/>
        <v>24529.05</v>
      </c>
      <c r="AA23" s="42">
        <f>VLOOKUP(A23,kurspris!$A$1:$Q$815,17,FALSE)</f>
        <v>21800</v>
      </c>
      <c r="AB23" s="42">
        <f t="shared" si="2"/>
        <v>10900</v>
      </c>
      <c r="AC23" s="42">
        <f t="shared" si="3"/>
        <v>35429.050000000003</v>
      </c>
      <c r="AD23" s="31">
        <f>VLOOKUP($A23,kurspris!$A$1:$Q$852,3,FALSE)</f>
        <v>0</v>
      </c>
      <c r="AE23" s="31">
        <f>VLOOKUP($A23,kurspris!$A$1:$Q$852,4,FALSE)</f>
        <v>0</v>
      </c>
      <c r="AF23" s="31">
        <f>VLOOKUP($A23,kurspris!$A$1:$Q$852,5,FALSE)</f>
        <v>0</v>
      </c>
      <c r="AG23" s="31">
        <f>VLOOKUP($A23,kurspris!$A$1:$Q$852,6,FALSE)</f>
        <v>0</v>
      </c>
      <c r="AH23" s="31">
        <f>VLOOKUP($A23,kurspris!$A$1:$Q$852,7,FALSE)</f>
        <v>0</v>
      </c>
      <c r="AI23" s="31">
        <f>VLOOKUP($A23,kurspris!$A$1:$Q$852,8,FALSE)</f>
        <v>0</v>
      </c>
      <c r="AJ23" s="31">
        <f>VLOOKUP($A23,kurspris!$A$1:$Q$852,9,FALSE)</f>
        <v>0</v>
      </c>
      <c r="AK23" s="31">
        <f>VLOOKUP($A23,kurspris!$A$1:$Q$852,10,FALSE)</f>
        <v>1</v>
      </c>
      <c r="AL23" s="31">
        <f>VLOOKUP($A23,kurspris!$A$1:$Q$852,11,FALSE)</f>
        <v>0</v>
      </c>
      <c r="AM23" s="31">
        <f>VLOOKUP($A23,kurspris!$A$1:$Q$852,12,FALSE)</f>
        <v>0</v>
      </c>
      <c r="AN23" s="31">
        <f>VLOOKUP($A23,kurspris!$A$1:$Q$852,13,FALSE)</f>
        <v>0</v>
      </c>
      <c r="AO23" s="31">
        <f>VLOOKUP($A23,kurspris!$A$1:$Q$852,14,FALSE)</f>
        <v>0</v>
      </c>
      <c r="AP23" s="59" t="s">
        <v>2216</v>
      </c>
      <c r="AR23" s="31">
        <f t="shared" si="4"/>
        <v>0</v>
      </c>
      <c r="AS23" s="237">
        <f t="shared" si="5"/>
        <v>0</v>
      </c>
      <c r="AT23" s="31">
        <f t="shared" si="6"/>
        <v>0</v>
      </c>
      <c r="AU23" s="237">
        <f t="shared" si="7"/>
        <v>0</v>
      </c>
      <c r="AV23" s="31">
        <f t="shared" si="8"/>
        <v>0</v>
      </c>
      <c r="AW23" s="31">
        <f t="shared" si="9"/>
        <v>0</v>
      </c>
      <c r="AX23" s="31">
        <f t="shared" si="10"/>
        <v>0</v>
      </c>
      <c r="AY23" s="237">
        <f t="shared" si="11"/>
        <v>0</v>
      </c>
      <c r="AZ23" s="214">
        <f t="shared" si="12"/>
        <v>0</v>
      </c>
      <c r="BA23" s="237">
        <f t="shared" si="13"/>
        <v>0</v>
      </c>
      <c r="BB23" s="31">
        <f t="shared" si="14"/>
        <v>0</v>
      </c>
      <c r="BC23" s="237">
        <f t="shared" si="15"/>
        <v>0</v>
      </c>
      <c r="BD23" s="31">
        <f t="shared" si="16"/>
        <v>0</v>
      </c>
      <c r="BE23" s="237">
        <f t="shared" si="17"/>
        <v>0</v>
      </c>
      <c r="BF23" s="31">
        <f t="shared" si="18"/>
        <v>0.5</v>
      </c>
      <c r="BG23" s="237">
        <f t="shared" si="19"/>
        <v>0.42499999999999999</v>
      </c>
      <c r="BH23" s="31">
        <f t="shared" si="20"/>
        <v>0</v>
      </c>
      <c r="BI23" s="237">
        <f t="shared" si="21"/>
        <v>0</v>
      </c>
      <c r="BJ23" s="31">
        <f t="shared" si="22"/>
        <v>0</v>
      </c>
      <c r="BK23" s="31">
        <f t="shared" si="23"/>
        <v>0</v>
      </c>
      <c r="BL23" s="237">
        <f t="shared" si="24"/>
        <v>0</v>
      </c>
      <c r="BM23" s="31">
        <f t="shared" si="25"/>
        <v>0</v>
      </c>
      <c r="BN23" s="237">
        <f t="shared" si="26"/>
        <v>0</v>
      </c>
    </row>
    <row r="24" spans="1:66" x14ac:dyDescent="0.25">
      <c r="A24" s="31" t="s">
        <v>2145</v>
      </c>
      <c r="B24" s="182" t="str">
        <f>VLOOKUP(A24,kurspris!$A$1:$B$894,2,FALSE)</f>
        <v>Biologisk kemi</v>
      </c>
      <c r="D24" s="31" t="s">
        <v>483</v>
      </c>
      <c r="F24" s="59">
        <v>2019</v>
      </c>
      <c r="Q24" s="237">
        <v>1</v>
      </c>
      <c r="R24" s="40">
        <v>0.85</v>
      </c>
      <c r="S24" s="313">
        <f t="shared" si="0"/>
        <v>0.85</v>
      </c>
      <c r="T24" s="31">
        <f>VLOOKUP(A24,'Ansvar kurs'!$A$1:$C$1027,2,FALSE)</f>
        <v>5500</v>
      </c>
      <c r="U24" s="31" t="str">
        <f>VLOOKUP(T24,Orgenheter!$A$1:$C$165,2,FALSE)</f>
        <v xml:space="preserve">Kemiska institutionen         </v>
      </c>
      <c r="V24" s="31" t="str">
        <f>VLOOKUP(T24,Orgenheter!$A$1:$C$165,3,FALSE)</f>
        <v>TekNat</v>
      </c>
      <c r="W24" s="37" t="str">
        <f>VLOOKUP(D24,Program!$A$1:$B$34,2,FALSE)</f>
        <v>Ämneslärarprogrammet - Gy</v>
      </c>
      <c r="X24" s="42">
        <f>VLOOKUP(A24,kurspris!$A$1:$Q$815,15,FALSE)</f>
        <v>19473</v>
      </c>
      <c r="Y24" s="42">
        <f>VLOOKUP(A24,kurspris!$A$1:$Q$815,16,FALSE)</f>
        <v>34806</v>
      </c>
      <c r="Z24" s="42">
        <f t="shared" si="1"/>
        <v>49058.1</v>
      </c>
      <c r="AA24" s="42">
        <f>VLOOKUP(A24,kurspris!$A$1:$Q$815,17,FALSE)</f>
        <v>21800</v>
      </c>
      <c r="AB24" s="42">
        <f t="shared" si="2"/>
        <v>21800</v>
      </c>
      <c r="AC24" s="42">
        <f t="shared" si="3"/>
        <v>70858.100000000006</v>
      </c>
      <c r="AD24" s="31">
        <f>VLOOKUP($A24,kurspris!$A$1:$Q$852,3,FALSE)</f>
        <v>0</v>
      </c>
      <c r="AE24" s="31">
        <f>VLOOKUP($A24,kurspris!$A$1:$Q$852,4,FALSE)</f>
        <v>0</v>
      </c>
      <c r="AF24" s="31">
        <f>VLOOKUP($A24,kurspris!$A$1:$Q$852,5,FALSE)</f>
        <v>0</v>
      </c>
      <c r="AG24" s="31">
        <f>VLOOKUP($A24,kurspris!$A$1:$Q$852,6,FALSE)</f>
        <v>0</v>
      </c>
      <c r="AH24" s="31">
        <f>VLOOKUP($A24,kurspris!$A$1:$Q$852,7,FALSE)</f>
        <v>0</v>
      </c>
      <c r="AI24" s="31">
        <f>VLOOKUP($A24,kurspris!$A$1:$Q$852,8,FALSE)</f>
        <v>1</v>
      </c>
      <c r="AJ24" s="31">
        <f>VLOOKUP($A24,kurspris!$A$1:$Q$852,9,FALSE)</f>
        <v>0</v>
      </c>
      <c r="AK24" s="31">
        <f>VLOOKUP($A24,kurspris!$A$1:$Q$852,10,FALSE)</f>
        <v>0</v>
      </c>
      <c r="AL24" s="31">
        <f>VLOOKUP($A24,kurspris!$A$1:$Q$852,11,FALSE)</f>
        <v>0</v>
      </c>
      <c r="AM24" s="31">
        <f>VLOOKUP($A24,kurspris!$A$1:$Q$852,12,FALSE)</f>
        <v>0</v>
      </c>
      <c r="AN24" s="31">
        <f>VLOOKUP($A24,kurspris!$A$1:$Q$852,13,FALSE)</f>
        <v>0</v>
      </c>
      <c r="AO24" s="31">
        <f>VLOOKUP($A24,kurspris!$A$1:$Q$852,14,FALSE)</f>
        <v>0</v>
      </c>
      <c r="AP24" s="59" t="s">
        <v>2216</v>
      </c>
      <c r="AR24" s="31">
        <f t="shared" si="4"/>
        <v>0</v>
      </c>
      <c r="AS24" s="237">
        <f t="shared" si="5"/>
        <v>0</v>
      </c>
      <c r="AT24" s="31">
        <f t="shared" si="6"/>
        <v>0</v>
      </c>
      <c r="AU24" s="237">
        <f t="shared" si="7"/>
        <v>0</v>
      </c>
      <c r="AV24" s="31">
        <f t="shared" si="8"/>
        <v>0</v>
      </c>
      <c r="AW24" s="31">
        <f t="shared" si="9"/>
        <v>0</v>
      </c>
      <c r="AX24" s="31">
        <f t="shared" si="10"/>
        <v>0</v>
      </c>
      <c r="AY24" s="237">
        <f t="shared" si="11"/>
        <v>0</v>
      </c>
      <c r="AZ24" s="214">
        <f t="shared" si="12"/>
        <v>0</v>
      </c>
      <c r="BA24" s="237">
        <f t="shared" si="13"/>
        <v>0</v>
      </c>
      <c r="BB24" s="31">
        <f t="shared" si="14"/>
        <v>1</v>
      </c>
      <c r="BC24" s="237">
        <f t="shared" si="15"/>
        <v>0.85</v>
      </c>
      <c r="BD24" s="31">
        <f t="shared" si="16"/>
        <v>0</v>
      </c>
      <c r="BE24" s="237">
        <f t="shared" si="17"/>
        <v>0</v>
      </c>
      <c r="BF24" s="31">
        <f t="shared" si="18"/>
        <v>0</v>
      </c>
      <c r="BG24" s="237">
        <f t="shared" si="19"/>
        <v>0</v>
      </c>
      <c r="BH24" s="31">
        <f t="shared" si="20"/>
        <v>0</v>
      </c>
      <c r="BI24" s="237">
        <f t="shared" si="21"/>
        <v>0</v>
      </c>
      <c r="BJ24" s="31">
        <f t="shared" si="22"/>
        <v>0</v>
      </c>
      <c r="BK24" s="31">
        <f t="shared" si="23"/>
        <v>0</v>
      </c>
      <c r="BL24" s="237">
        <f t="shared" si="24"/>
        <v>0</v>
      </c>
      <c r="BM24" s="31">
        <f t="shared" si="25"/>
        <v>0</v>
      </c>
      <c r="BN24" s="237">
        <f t="shared" si="26"/>
        <v>0</v>
      </c>
    </row>
    <row r="25" spans="1:66" x14ac:dyDescent="0.25">
      <c r="A25" s="31" t="s">
        <v>1852</v>
      </c>
      <c r="B25" s="182" t="str">
        <f>VLOOKUP(A25,kurspris!$A$1:$B$894,2,FALSE)</f>
        <v>Kemins grunder</v>
      </c>
      <c r="D25" s="31" t="s">
        <v>483</v>
      </c>
      <c r="F25" s="59">
        <v>2019</v>
      </c>
      <c r="Q25" s="237">
        <v>1.25</v>
      </c>
      <c r="R25" s="40">
        <v>0.85</v>
      </c>
      <c r="S25" s="313">
        <f t="shared" si="0"/>
        <v>1.0625</v>
      </c>
      <c r="T25" s="31">
        <f>VLOOKUP(A25,'Ansvar kurs'!$A$1:$C$1027,2,FALSE)</f>
        <v>5500</v>
      </c>
      <c r="U25" s="31" t="str">
        <f>VLOOKUP(T25,Orgenheter!$A$1:$C$165,2,FALSE)</f>
        <v xml:space="preserve">Kemiska institutionen         </v>
      </c>
      <c r="V25" s="31" t="str">
        <f>VLOOKUP(T25,Orgenheter!$A$1:$C$165,3,FALSE)</f>
        <v>TekNat</v>
      </c>
      <c r="W25" s="37" t="str">
        <f>VLOOKUP(D25,Program!$A$1:$B$34,2,FALSE)</f>
        <v>Ämneslärarprogrammet - Gy</v>
      </c>
      <c r="X25" s="42">
        <f>VLOOKUP(A25,kurspris!$A$1:$Q$815,15,FALSE)</f>
        <v>19473</v>
      </c>
      <c r="Y25" s="42">
        <f>VLOOKUP(A25,kurspris!$A$1:$Q$815,16,FALSE)</f>
        <v>34806</v>
      </c>
      <c r="Z25" s="42">
        <f t="shared" si="1"/>
        <v>61322.625</v>
      </c>
      <c r="AA25" s="42">
        <f>VLOOKUP(A25,kurspris!$A$1:$Q$815,17,FALSE)</f>
        <v>21800</v>
      </c>
      <c r="AB25" s="42">
        <f t="shared" si="2"/>
        <v>27250</v>
      </c>
      <c r="AC25" s="42">
        <f t="shared" si="3"/>
        <v>88572.625</v>
      </c>
      <c r="AD25" s="31">
        <f>VLOOKUP($A25,kurspris!$A$1:$Q$852,3,FALSE)</f>
        <v>0</v>
      </c>
      <c r="AE25" s="31">
        <f>VLOOKUP($A25,kurspris!$A$1:$Q$852,4,FALSE)</f>
        <v>0</v>
      </c>
      <c r="AF25" s="31">
        <f>VLOOKUP($A25,kurspris!$A$1:$Q$852,5,FALSE)</f>
        <v>0</v>
      </c>
      <c r="AG25" s="31">
        <f>VLOOKUP($A25,kurspris!$A$1:$Q$852,6,FALSE)</f>
        <v>0</v>
      </c>
      <c r="AH25" s="31">
        <f>VLOOKUP($A25,kurspris!$A$1:$Q$852,7,FALSE)</f>
        <v>0</v>
      </c>
      <c r="AI25" s="31">
        <f>VLOOKUP($A25,kurspris!$A$1:$Q$852,8,FALSE)</f>
        <v>0.5</v>
      </c>
      <c r="AJ25" s="31">
        <f>VLOOKUP($A25,kurspris!$A$1:$Q$852,9,FALSE)</f>
        <v>0</v>
      </c>
      <c r="AK25" s="31">
        <f>VLOOKUP($A25,kurspris!$A$1:$Q$852,10,FALSE)</f>
        <v>0.5</v>
      </c>
      <c r="AL25" s="31">
        <f>VLOOKUP($A25,kurspris!$A$1:$Q$852,11,FALSE)</f>
        <v>0</v>
      </c>
      <c r="AM25" s="31">
        <f>VLOOKUP($A25,kurspris!$A$1:$Q$852,12,FALSE)</f>
        <v>0</v>
      </c>
      <c r="AN25" s="31">
        <f>VLOOKUP($A25,kurspris!$A$1:$Q$852,13,FALSE)</f>
        <v>0</v>
      </c>
      <c r="AO25" s="31">
        <f>VLOOKUP($A25,kurspris!$A$1:$Q$852,14,FALSE)</f>
        <v>0</v>
      </c>
      <c r="AP25" s="59" t="s">
        <v>2216</v>
      </c>
      <c r="AR25" s="31">
        <f t="shared" si="4"/>
        <v>0</v>
      </c>
      <c r="AS25" s="237">
        <f t="shared" si="5"/>
        <v>0</v>
      </c>
      <c r="AT25" s="31">
        <f t="shared" si="6"/>
        <v>0</v>
      </c>
      <c r="AU25" s="237">
        <f t="shared" si="7"/>
        <v>0</v>
      </c>
      <c r="AV25" s="31">
        <f t="shared" si="8"/>
        <v>0</v>
      </c>
      <c r="AW25" s="31">
        <f t="shared" si="9"/>
        <v>0</v>
      </c>
      <c r="AX25" s="31">
        <f t="shared" si="10"/>
        <v>0</v>
      </c>
      <c r="AY25" s="237">
        <f t="shared" si="11"/>
        <v>0</v>
      </c>
      <c r="AZ25" s="214">
        <f t="shared" si="12"/>
        <v>0</v>
      </c>
      <c r="BA25" s="237">
        <f t="shared" si="13"/>
        <v>0</v>
      </c>
      <c r="BB25" s="31">
        <f t="shared" si="14"/>
        <v>0.625</v>
      </c>
      <c r="BC25" s="237">
        <f t="shared" si="15"/>
        <v>0.53125</v>
      </c>
      <c r="BD25" s="31">
        <f t="shared" si="16"/>
        <v>0</v>
      </c>
      <c r="BE25" s="237">
        <f t="shared" si="17"/>
        <v>0</v>
      </c>
      <c r="BF25" s="31">
        <f t="shared" si="18"/>
        <v>0.625</v>
      </c>
      <c r="BG25" s="237">
        <f t="shared" si="19"/>
        <v>0.53125</v>
      </c>
      <c r="BH25" s="31">
        <f t="shared" si="20"/>
        <v>0</v>
      </c>
      <c r="BI25" s="237">
        <f t="shared" si="21"/>
        <v>0</v>
      </c>
      <c r="BJ25" s="31">
        <f t="shared" si="22"/>
        <v>0</v>
      </c>
      <c r="BK25" s="31">
        <f t="shared" si="23"/>
        <v>0</v>
      </c>
      <c r="BL25" s="237">
        <f t="shared" si="24"/>
        <v>0</v>
      </c>
      <c r="BM25" s="31">
        <f t="shared" si="25"/>
        <v>0</v>
      </c>
      <c r="BN25" s="237">
        <f t="shared" si="26"/>
        <v>0</v>
      </c>
    </row>
    <row r="26" spans="1:66" x14ac:dyDescent="0.25">
      <c r="A26" s="31" t="s">
        <v>1951</v>
      </c>
      <c r="B26" s="182" t="str">
        <f>VLOOKUP(A26,kurspris!$A$1:$B$894,2,FALSE)</f>
        <v>Avancerad miljökemi</v>
      </c>
      <c r="D26" s="31" t="s">
        <v>483</v>
      </c>
      <c r="F26" s="59">
        <v>2019</v>
      </c>
      <c r="Q26" s="237">
        <v>0.25</v>
      </c>
      <c r="R26" s="40">
        <v>0.85</v>
      </c>
      <c r="S26" s="313">
        <f t="shared" si="0"/>
        <v>0.21249999999999999</v>
      </c>
      <c r="T26" s="31">
        <f>VLOOKUP(A26,'Ansvar kurs'!$A$1:$C$1027,2,FALSE)</f>
        <v>5500</v>
      </c>
      <c r="U26" s="31" t="str">
        <f>VLOOKUP(T26,Orgenheter!$A$1:$C$165,2,FALSE)</f>
        <v xml:space="preserve">Kemiska institutionen         </v>
      </c>
      <c r="V26" s="31" t="str">
        <f>VLOOKUP(T26,Orgenheter!$A$1:$C$165,3,FALSE)</f>
        <v>TekNat</v>
      </c>
      <c r="W26" s="37" t="str">
        <f>VLOOKUP(D26,Program!$A$1:$B$34,2,FALSE)</f>
        <v>Ämneslärarprogrammet - Gy</v>
      </c>
      <c r="X26" s="42">
        <f>VLOOKUP(A26,kurspris!$A$1:$Q$815,15,FALSE)</f>
        <v>19473</v>
      </c>
      <c r="Y26" s="42">
        <f>VLOOKUP(A26,kurspris!$A$1:$Q$815,16,FALSE)</f>
        <v>34806</v>
      </c>
      <c r="Z26" s="42">
        <f t="shared" si="1"/>
        <v>12264.525</v>
      </c>
      <c r="AA26" s="42">
        <f>VLOOKUP(A26,kurspris!$A$1:$Q$815,17,FALSE)</f>
        <v>21800</v>
      </c>
      <c r="AB26" s="42">
        <f t="shared" si="2"/>
        <v>5450</v>
      </c>
      <c r="AC26" s="42">
        <f t="shared" si="3"/>
        <v>17714.525000000001</v>
      </c>
      <c r="AD26" s="31">
        <f>VLOOKUP($A26,kurspris!$A$1:$Q$852,3,FALSE)</f>
        <v>0</v>
      </c>
      <c r="AE26" s="31">
        <f>VLOOKUP($A26,kurspris!$A$1:$Q$852,4,FALSE)</f>
        <v>0</v>
      </c>
      <c r="AF26" s="31">
        <f>VLOOKUP($A26,kurspris!$A$1:$Q$852,5,FALSE)</f>
        <v>0</v>
      </c>
      <c r="AG26" s="31">
        <f>VLOOKUP($A26,kurspris!$A$1:$Q$852,6,FALSE)</f>
        <v>0</v>
      </c>
      <c r="AH26" s="31">
        <f>VLOOKUP($A26,kurspris!$A$1:$Q$852,7,FALSE)</f>
        <v>0</v>
      </c>
      <c r="AI26" s="31">
        <f>VLOOKUP($A26,kurspris!$A$1:$Q$852,8,FALSE)</f>
        <v>0.5</v>
      </c>
      <c r="AJ26" s="31">
        <f>VLOOKUP($A26,kurspris!$A$1:$Q$852,9,FALSE)</f>
        <v>0</v>
      </c>
      <c r="AK26" s="31">
        <f>VLOOKUP($A26,kurspris!$A$1:$Q$852,10,FALSE)</f>
        <v>0.5</v>
      </c>
      <c r="AL26" s="31">
        <f>VLOOKUP($A26,kurspris!$A$1:$Q$852,11,FALSE)</f>
        <v>0</v>
      </c>
      <c r="AM26" s="31">
        <f>VLOOKUP($A26,kurspris!$A$1:$Q$852,12,FALSE)</f>
        <v>0</v>
      </c>
      <c r="AN26" s="31">
        <f>VLOOKUP($A26,kurspris!$A$1:$Q$852,13,FALSE)</f>
        <v>0</v>
      </c>
      <c r="AO26" s="31">
        <f>VLOOKUP($A26,kurspris!$A$1:$Q$852,14,FALSE)</f>
        <v>0</v>
      </c>
      <c r="AP26" s="59" t="s">
        <v>2216</v>
      </c>
      <c r="AR26" s="31">
        <f t="shared" si="4"/>
        <v>0</v>
      </c>
      <c r="AS26" s="237">
        <f t="shared" si="5"/>
        <v>0</v>
      </c>
      <c r="AT26" s="31">
        <f t="shared" si="6"/>
        <v>0</v>
      </c>
      <c r="AU26" s="237">
        <f t="shared" si="7"/>
        <v>0</v>
      </c>
      <c r="AV26" s="31">
        <f t="shared" si="8"/>
        <v>0</v>
      </c>
      <c r="AW26" s="31">
        <f t="shared" si="9"/>
        <v>0</v>
      </c>
      <c r="AX26" s="31">
        <f t="shared" si="10"/>
        <v>0</v>
      </c>
      <c r="AY26" s="237">
        <f t="shared" si="11"/>
        <v>0</v>
      </c>
      <c r="AZ26" s="214">
        <f t="shared" si="12"/>
        <v>0</v>
      </c>
      <c r="BA26" s="237">
        <f t="shared" si="13"/>
        <v>0</v>
      </c>
      <c r="BB26" s="31">
        <f t="shared" si="14"/>
        <v>0.125</v>
      </c>
      <c r="BC26" s="237">
        <f t="shared" si="15"/>
        <v>0.10625</v>
      </c>
      <c r="BD26" s="31">
        <f t="shared" si="16"/>
        <v>0</v>
      </c>
      <c r="BE26" s="237">
        <f t="shared" si="17"/>
        <v>0</v>
      </c>
      <c r="BF26" s="31">
        <f t="shared" si="18"/>
        <v>0.125</v>
      </c>
      <c r="BG26" s="237">
        <f t="shared" si="19"/>
        <v>0.10625</v>
      </c>
      <c r="BH26" s="31">
        <f t="shared" si="20"/>
        <v>0</v>
      </c>
      <c r="BI26" s="237">
        <f t="shared" si="21"/>
        <v>0</v>
      </c>
      <c r="BJ26" s="31">
        <f t="shared" si="22"/>
        <v>0</v>
      </c>
      <c r="BK26" s="31">
        <f t="shared" si="23"/>
        <v>0</v>
      </c>
      <c r="BL26" s="237">
        <f t="shared" si="24"/>
        <v>0</v>
      </c>
      <c r="BM26" s="31">
        <f t="shared" si="25"/>
        <v>0</v>
      </c>
      <c r="BN26" s="237">
        <f t="shared" si="26"/>
        <v>0</v>
      </c>
    </row>
    <row r="27" spans="1:66" x14ac:dyDescent="0.25">
      <c r="A27" s="31" t="s">
        <v>2113</v>
      </c>
      <c r="B27" s="182" t="str">
        <f>VLOOKUP(A27,kurspris!$A$1:$B$894,2,FALSE)</f>
        <v>Organisk kemi</v>
      </c>
      <c r="D27" s="31" t="s">
        <v>483</v>
      </c>
      <c r="F27" s="59">
        <v>2019</v>
      </c>
      <c r="Q27" s="237">
        <v>0.5</v>
      </c>
      <c r="R27" s="40">
        <v>0.85</v>
      </c>
      <c r="S27" s="313">
        <f t="shared" si="0"/>
        <v>0.42499999999999999</v>
      </c>
      <c r="T27" s="31">
        <f>VLOOKUP(A27,'Ansvar kurs'!$A$1:$C$1027,2,FALSE)</f>
        <v>5500</v>
      </c>
      <c r="U27" s="31" t="str">
        <f>VLOOKUP(T27,Orgenheter!$A$1:$C$165,2,FALSE)</f>
        <v xml:space="preserve">Kemiska institutionen         </v>
      </c>
      <c r="V27" s="31" t="str">
        <f>VLOOKUP(T27,Orgenheter!$A$1:$C$165,3,FALSE)</f>
        <v>TekNat</v>
      </c>
      <c r="W27" s="37" t="str">
        <f>VLOOKUP(D27,Program!$A$1:$B$34,2,FALSE)</f>
        <v>Ämneslärarprogrammet - Gy</v>
      </c>
      <c r="X27" s="42">
        <f>VLOOKUP(A27,kurspris!$A$1:$Q$815,15,FALSE)</f>
        <v>19473</v>
      </c>
      <c r="Y27" s="42">
        <f>VLOOKUP(A27,kurspris!$A$1:$Q$815,16,FALSE)</f>
        <v>34806</v>
      </c>
      <c r="Z27" s="42">
        <f t="shared" si="1"/>
        <v>24529.05</v>
      </c>
      <c r="AA27" s="42">
        <f>VLOOKUP(A27,kurspris!$A$1:$Q$815,17,FALSE)</f>
        <v>21800</v>
      </c>
      <c r="AB27" s="42">
        <f t="shared" si="2"/>
        <v>10900</v>
      </c>
      <c r="AC27" s="42">
        <f t="shared" si="3"/>
        <v>35429.050000000003</v>
      </c>
      <c r="AD27" s="31">
        <f>VLOOKUP($A27,kurspris!$A$1:$Q$852,3,FALSE)</f>
        <v>0</v>
      </c>
      <c r="AE27" s="31">
        <f>VLOOKUP($A27,kurspris!$A$1:$Q$852,4,FALSE)</f>
        <v>0</v>
      </c>
      <c r="AF27" s="31">
        <f>VLOOKUP($A27,kurspris!$A$1:$Q$852,5,FALSE)</f>
        <v>0</v>
      </c>
      <c r="AG27" s="31">
        <f>VLOOKUP($A27,kurspris!$A$1:$Q$852,6,FALSE)</f>
        <v>0</v>
      </c>
      <c r="AH27" s="31">
        <f>VLOOKUP($A27,kurspris!$A$1:$Q$852,7,FALSE)</f>
        <v>0</v>
      </c>
      <c r="AI27" s="31">
        <f>VLOOKUP($A27,kurspris!$A$1:$Q$852,8,FALSE)</f>
        <v>1</v>
      </c>
      <c r="AJ27" s="31">
        <f>VLOOKUP($A27,kurspris!$A$1:$Q$852,9,FALSE)</f>
        <v>0</v>
      </c>
      <c r="AK27" s="31">
        <f>VLOOKUP($A27,kurspris!$A$1:$Q$852,10,FALSE)</f>
        <v>0</v>
      </c>
      <c r="AL27" s="31">
        <f>VLOOKUP($A27,kurspris!$A$1:$Q$852,11,FALSE)</f>
        <v>0</v>
      </c>
      <c r="AM27" s="31">
        <f>VLOOKUP($A27,kurspris!$A$1:$Q$852,12,FALSE)</f>
        <v>0</v>
      </c>
      <c r="AN27" s="31">
        <f>VLOOKUP($A27,kurspris!$A$1:$Q$852,13,FALSE)</f>
        <v>0</v>
      </c>
      <c r="AO27" s="31">
        <f>VLOOKUP($A27,kurspris!$A$1:$Q$852,14,FALSE)</f>
        <v>0</v>
      </c>
      <c r="AP27" s="59" t="s">
        <v>2216</v>
      </c>
      <c r="AR27" s="31">
        <f t="shared" si="4"/>
        <v>0</v>
      </c>
      <c r="AS27" s="237">
        <f t="shared" si="5"/>
        <v>0</v>
      </c>
      <c r="AT27" s="31">
        <f t="shared" si="6"/>
        <v>0</v>
      </c>
      <c r="AU27" s="237">
        <f t="shared" si="7"/>
        <v>0</v>
      </c>
      <c r="AV27" s="31">
        <f t="shared" si="8"/>
        <v>0</v>
      </c>
      <c r="AW27" s="31">
        <f t="shared" si="9"/>
        <v>0</v>
      </c>
      <c r="AX27" s="31">
        <f t="shared" si="10"/>
        <v>0</v>
      </c>
      <c r="AY27" s="237">
        <f t="shared" si="11"/>
        <v>0</v>
      </c>
      <c r="AZ27" s="214">
        <f t="shared" si="12"/>
        <v>0</v>
      </c>
      <c r="BA27" s="237">
        <f t="shared" si="13"/>
        <v>0</v>
      </c>
      <c r="BB27" s="31">
        <f t="shared" si="14"/>
        <v>0.5</v>
      </c>
      <c r="BC27" s="237">
        <f t="shared" si="15"/>
        <v>0.42499999999999999</v>
      </c>
      <c r="BD27" s="31">
        <f t="shared" si="16"/>
        <v>0</v>
      </c>
      <c r="BE27" s="237">
        <f t="shared" si="17"/>
        <v>0</v>
      </c>
      <c r="BF27" s="31">
        <f t="shared" si="18"/>
        <v>0</v>
      </c>
      <c r="BG27" s="237">
        <f t="shared" si="19"/>
        <v>0</v>
      </c>
      <c r="BH27" s="31">
        <f t="shared" si="20"/>
        <v>0</v>
      </c>
      <c r="BI27" s="237">
        <f t="shared" si="21"/>
        <v>0</v>
      </c>
      <c r="BJ27" s="31">
        <f t="shared" si="22"/>
        <v>0</v>
      </c>
      <c r="BK27" s="31">
        <f t="shared" si="23"/>
        <v>0</v>
      </c>
      <c r="BL27" s="237">
        <f t="shared" si="24"/>
        <v>0</v>
      </c>
      <c r="BM27" s="31">
        <f t="shared" si="25"/>
        <v>0</v>
      </c>
      <c r="BN27" s="237">
        <f t="shared" si="26"/>
        <v>0</v>
      </c>
    </row>
    <row r="28" spans="1:66" x14ac:dyDescent="0.25">
      <c r="A28" s="31" t="s">
        <v>2115</v>
      </c>
      <c r="B28" s="182" t="str">
        <f>VLOOKUP(A28,kurspris!$A$1:$B$894,2,FALSE)</f>
        <v>Introduktion till diskret matematik</v>
      </c>
      <c r="D28" s="31" t="s">
        <v>483</v>
      </c>
      <c r="F28" s="59">
        <v>2019</v>
      </c>
      <c r="Q28" s="237">
        <v>0.25</v>
      </c>
      <c r="R28" s="40">
        <v>0.85</v>
      </c>
      <c r="S28" s="313">
        <f t="shared" si="0"/>
        <v>0.21249999999999999</v>
      </c>
      <c r="T28" s="31">
        <f>VLOOKUP(A28,'Ansvar kurs'!$A$1:$C$1027,2,FALSE)</f>
        <v>5730</v>
      </c>
      <c r="U28" s="31" t="str">
        <f>VLOOKUP(T28,Orgenheter!$A$1:$C$165,2,FALSE)</f>
        <v>Inst för MA och MA statistik</v>
      </c>
      <c r="V28" s="31" t="str">
        <f>VLOOKUP(T28,Orgenheter!$A$1:$C$165,3,FALSE)</f>
        <v>TekNat</v>
      </c>
      <c r="W28" s="37" t="str">
        <f>VLOOKUP(D28,Program!$A$1:$B$34,2,FALSE)</f>
        <v>Ämneslärarprogrammet - Gy</v>
      </c>
      <c r="X28" s="42">
        <f>VLOOKUP(A28,kurspris!$A$1:$Q$815,15,FALSE)</f>
        <v>19473</v>
      </c>
      <c r="Y28" s="42">
        <f>VLOOKUP(A28,kurspris!$A$1:$Q$815,16,FALSE)</f>
        <v>34806</v>
      </c>
      <c r="Z28" s="42">
        <f t="shared" si="1"/>
        <v>12264.525</v>
      </c>
      <c r="AA28" s="42">
        <f>VLOOKUP(A28,kurspris!$A$1:$Q$815,17,FALSE)</f>
        <v>21800</v>
      </c>
      <c r="AB28" s="42">
        <f t="shared" si="2"/>
        <v>5450</v>
      </c>
      <c r="AC28" s="42">
        <f t="shared" si="3"/>
        <v>17714.525000000001</v>
      </c>
      <c r="AD28" s="31">
        <f>VLOOKUP($A28,kurspris!$A$1:$Q$852,3,FALSE)</f>
        <v>0</v>
      </c>
      <c r="AE28" s="31">
        <f>VLOOKUP($A28,kurspris!$A$1:$Q$852,4,FALSE)</f>
        <v>0</v>
      </c>
      <c r="AF28" s="31">
        <f>VLOOKUP($A28,kurspris!$A$1:$Q$852,5,FALSE)</f>
        <v>0</v>
      </c>
      <c r="AG28" s="31">
        <f>VLOOKUP($A28,kurspris!$A$1:$Q$852,6,FALSE)</f>
        <v>0</v>
      </c>
      <c r="AH28" s="31">
        <f>VLOOKUP($A28,kurspris!$A$1:$Q$852,7,FALSE)</f>
        <v>0</v>
      </c>
      <c r="AI28" s="31">
        <f>VLOOKUP($A28,kurspris!$A$1:$Q$852,8,FALSE)</f>
        <v>0.5</v>
      </c>
      <c r="AJ28" s="31">
        <f>VLOOKUP($A28,kurspris!$A$1:$Q$852,9,FALSE)</f>
        <v>0</v>
      </c>
      <c r="AK28" s="31">
        <f>VLOOKUP($A28,kurspris!$A$1:$Q$852,10,FALSE)</f>
        <v>0.5</v>
      </c>
      <c r="AL28" s="31">
        <f>VLOOKUP($A28,kurspris!$A$1:$Q$852,11,FALSE)</f>
        <v>0</v>
      </c>
      <c r="AM28" s="31">
        <f>VLOOKUP($A28,kurspris!$A$1:$Q$852,12,FALSE)</f>
        <v>0</v>
      </c>
      <c r="AN28" s="31">
        <f>VLOOKUP($A28,kurspris!$A$1:$Q$852,13,FALSE)</f>
        <v>0</v>
      </c>
      <c r="AO28" s="31">
        <f>VLOOKUP($A28,kurspris!$A$1:$Q$852,14,FALSE)</f>
        <v>0</v>
      </c>
      <c r="AP28" s="59" t="s">
        <v>2216</v>
      </c>
      <c r="AR28" s="31">
        <f t="shared" si="4"/>
        <v>0</v>
      </c>
      <c r="AS28" s="237">
        <f t="shared" si="5"/>
        <v>0</v>
      </c>
      <c r="AT28" s="31">
        <f t="shared" si="6"/>
        <v>0</v>
      </c>
      <c r="AU28" s="237">
        <f t="shared" si="7"/>
        <v>0</v>
      </c>
      <c r="AV28" s="31">
        <f t="shared" si="8"/>
        <v>0</v>
      </c>
      <c r="AW28" s="31">
        <f t="shared" si="9"/>
        <v>0</v>
      </c>
      <c r="AX28" s="31">
        <f t="shared" si="10"/>
        <v>0</v>
      </c>
      <c r="AY28" s="237">
        <f t="shared" si="11"/>
        <v>0</v>
      </c>
      <c r="AZ28" s="214">
        <f t="shared" si="12"/>
        <v>0</v>
      </c>
      <c r="BA28" s="237">
        <f t="shared" si="13"/>
        <v>0</v>
      </c>
      <c r="BB28" s="31">
        <f t="shared" si="14"/>
        <v>0.125</v>
      </c>
      <c r="BC28" s="237">
        <f t="shared" si="15"/>
        <v>0.10625</v>
      </c>
      <c r="BD28" s="31">
        <f t="shared" si="16"/>
        <v>0</v>
      </c>
      <c r="BE28" s="237">
        <f t="shared" si="17"/>
        <v>0</v>
      </c>
      <c r="BF28" s="31">
        <f t="shared" si="18"/>
        <v>0.125</v>
      </c>
      <c r="BG28" s="237">
        <f t="shared" si="19"/>
        <v>0.10625</v>
      </c>
      <c r="BH28" s="31">
        <f t="shared" si="20"/>
        <v>0</v>
      </c>
      <c r="BI28" s="237">
        <f t="shared" si="21"/>
        <v>0</v>
      </c>
      <c r="BJ28" s="31">
        <f t="shared" si="22"/>
        <v>0</v>
      </c>
      <c r="BK28" s="31">
        <f t="shared" si="23"/>
        <v>0</v>
      </c>
      <c r="BL28" s="237">
        <f t="shared" si="24"/>
        <v>0</v>
      </c>
      <c r="BM28" s="31">
        <f t="shared" si="25"/>
        <v>0</v>
      </c>
      <c r="BN28" s="237">
        <f t="shared" si="26"/>
        <v>0</v>
      </c>
    </row>
    <row r="29" spans="1:66" x14ac:dyDescent="0.25">
      <c r="A29" s="159" t="s">
        <v>2189</v>
      </c>
      <c r="B29" s="182" t="str">
        <f>VLOOKUP(A29,kurspris!$A$1:$B$894,2,FALSE)</f>
        <v>Envariabelanalys 2</v>
      </c>
      <c r="C29" s="37"/>
      <c r="D29" s="31" t="s">
        <v>483</v>
      </c>
      <c r="F29" s="59">
        <v>2019</v>
      </c>
      <c r="Q29" s="237">
        <v>0.125</v>
      </c>
      <c r="R29" s="40">
        <v>0.85</v>
      </c>
      <c r="S29" s="313">
        <f t="shared" si="0"/>
        <v>0.10625</v>
      </c>
      <c r="T29" s="31">
        <f>VLOOKUP(A29,'Ansvar kurs'!$A$1:$C$1027,2,FALSE)</f>
        <v>5730</v>
      </c>
      <c r="U29" s="31" t="str">
        <f>VLOOKUP(T29,Orgenheter!$A$1:$C$165,2,FALSE)</f>
        <v>Inst för MA och MA statistik</v>
      </c>
      <c r="V29" s="31" t="str">
        <f>VLOOKUP(T29,Orgenheter!$A$1:$C$165,3,FALSE)</f>
        <v>TekNat</v>
      </c>
      <c r="W29" s="37" t="str">
        <f>VLOOKUP(D29,Program!$A$1:$B$34,2,FALSE)</f>
        <v>Ämneslärarprogrammet - Gy</v>
      </c>
      <c r="X29" s="42">
        <f>VLOOKUP(A29,kurspris!$A$1:$Q$815,15,FALSE)</f>
        <v>19473</v>
      </c>
      <c r="Y29" s="42">
        <f>VLOOKUP(A29,kurspris!$A$1:$Q$815,16,FALSE)</f>
        <v>34806</v>
      </c>
      <c r="Z29" s="42">
        <f t="shared" si="1"/>
        <v>6132.2624999999998</v>
      </c>
      <c r="AA29" s="42">
        <f>VLOOKUP(A29,kurspris!$A$1:$Q$815,17,FALSE)</f>
        <v>21800</v>
      </c>
      <c r="AB29" s="42">
        <f t="shared" si="2"/>
        <v>2725</v>
      </c>
      <c r="AC29" s="42">
        <f t="shared" si="3"/>
        <v>8857.2625000000007</v>
      </c>
      <c r="AD29" s="31">
        <f>VLOOKUP($A29,kurspris!$A$1:$Q$852,3,FALSE)</f>
        <v>0</v>
      </c>
      <c r="AE29" s="31">
        <f>VLOOKUP($A29,kurspris!$A$1:$Q$852,4,FALSE)</f>
        <v>0</v>
      </c>
      <c r="AF29" s="31">
        <f>VLOOKUP($A29,kurspris!$A$1:$Q$852,5,FALSE)</f>
        <v>0</v>
      </c>
      <c r="AG29" s="31">
        <f>VLOOKUP($A29,kurspris!$A$1:$Q$852,6,FALSE)</f>
        <v>0</v>
      </c>
      <c r="AH29" s="31">
        <f>VLOOKUP($A29,kurspris!$A$1:$Q$852,7,FALSE)</f>
        <v>0</v>
      </c>
      <c r="AI29" s="31">
        <f>VLOOKUP($A29,kurspris!$A$1:$Q$852,8,FALSE)</f>
        <v>0.5</v>
      </c>
      <c r="AJ29" s="31">
        <f>VLOOKUP($A29,kurspris!$A$1:$Q$852,9,FALSE)</f>
        <v>0</v>
      </c>
      <c r="AK29" s="31">
        <f>VLOOKUP($A29,kurspris!$A$1:$Q$852,10,FALSE)</f>
        <v>0.5</v>
      </c>
      <c r="AL29" s="31">
        <f>VLOOKUP($A29,kurspris!$A$1:$Q$852,11,FALSE)</f>
        <v>0</v>
      </c>
      <c r="AM29" s="31">
        <f>VLOOKUP($A29,kurspris!$A$1:$Q$852,12,FALSE)</f>
        <v>0</v>
      </c>
      <c r="AN29" s="31">
        <f>VLOOKUP($A29,kurspris!$A$1:$Q$852,13,FALSE)</f>
        <v>0</v>
      </c>
      <c r="AO29" s="31">
        <f>VLOOKUP($A29,kurspris!$A$1:$Q$852,14,FALSE)</f>
        <v>0</v>
      </c>
      <c r="AP29" s="59" t="s">
        <v>2216</v>
      </c>
      <c r="AR29" s="31">
        <f t="shared" si="4"/>
        <v>0</v>
      </c>
      <c r="AS29" s="237">
        <f t="shared" si="5"/>
        <v>0</v>
      </c>
      <c r="AT29" s="31">
        <f t="shared" si="6"/>
        <v>0</v>
      </c>
      <c r="AU29" s="237">
        <f t="shared" si="7"/>
        <v>0</v>
      </c>
      <c r="AV29" s="31">
        <f t="shared" si="8"/>
        <v>0</v>
      </c>
      <c r="AW29" s="31">
        <f t="shared" si="9"/>
        <v>0</v>
      </c>
      <c r="AX29" s="31">
        <f t="shared" si="10"/>
        <v>0</v>
      </c>
      <c r="AY29" s="237">
        <f t="shared" si="11"/>
        <v>0</v>
      </c>
      <c r="AZ29" s="214">
        <f t="shared" si="12"/>
        <v>0</v>
      </c>
      <c r="BA29" s="237">
        <f t="shared" si="13"/>
        <v>0</v>
      </c>
      <c r="BB29" s="31">
        <f t="shared" si="14"/>
        <v>6.25E-2</v>
      </c>
      <c r="BC29" s="237">
        <f t="shared" si="15"/>
        <v>5.3124999999999999E-2</v>
      </c>
      <c r="BD29" s="31">
        <f t="shared" si="16"/>
        <v>0</v>
      </c>
      <c r="BE29" s="237">
        <f t="shared" si="17"/>
        <v>0</v>
      </c>
      <c r="BF29" s="31">
        <f t="shared" si="18"/>
        <v>6.25E-2</v>
      </c>
      <c r="BG29" s="237">
        <f t="shared" si="19"/>
        <v>5.3124999999999999E-2</v>
      </c>
      <c r="BH29" s="31">
        <f t="shared" si="20"/>
        <v>0</v>
      </c>
      <c r="BI29" s="237">
        <f t="shared" si="21"/>
        <v>0</v>
      </c>
      <c r="BJ29" s="31">
        <f t="shared" si="22"/>
        <v>0</v>
      </c>
      <c r="BK29" s="31">
        <f t="shared" si="23"/>
        <v>0</v>
      </c>
      <c r="BL29" s="237">
        <f t="shared" si="24"/>
        <v>0</v>
      </c>
      <c r="BM29" s="31">
        <f t="shared" si="25"/>
        <v>0</v>
      </c>
      <c r="BN29" s="237">
        <f t="shared" si="26"/>
        <v>0</v>
      </c>
    </row>
    <row r="30" spans="1:66" x14ac:dyDescent="0.25">
      <c r="A30" s="31" t="s">
        <v>1478</v>
      </c>
      <c r="B30" s="182" t="str">
        <f>VLOOKUP(A30,kurspris!$A$1:$B$894,2,FALSE)</f>
        <v>Examensarbete för ämneslärarexamen - Biologi</v>
      </c>
      <c r="D30" s="31" t="s">
        <v>483</v>
      </c>
      <c r="F30" s="59">
        <v>2019</v>
      </c>
      <c r="Q30" s="237">
        <v>1.125</v>
      </c>
      <c r="R30" s="40">
        <v>0.85</v>
      </c>
      <c r="S30" s="313">
        <f t="shared" si="0"/>
        <v>0.95624999999999993</v>
      </c>
      <c r="T30" s="31">
        <f>VLOOKUP(A30,'Ansvar kurs'!$A$1:$C$1027,2,FALSE)</f>
        <v>5740</v>
      </c>
      <c r="U30" s="31" t="str">
        <f>VLOOKUP(T30,Orgenheter!$A$1:$C$165,2,FALSE)</f>
        <v>NMD</v>
      </c>
      <c r="V30" s="31" t="str">
        <f>VLOOKUP(T30,Orgenheter!$A$1:$C$165,3,FALSE)</f>
        <v>TekNat</v>
      </c>
      <c r="W30" s="37" t="str">
        <f>VLOOKUP(D30,Program!$A$1:$B$34,2,FALSE)</f>
        <v>Ämneslärarprogrammet - Gy</v>
      </c>
      <c r="X30" s="42">
        <f>VLOOKUP(A30,kurspris!$A$1:$Q$815,15,FALSE)</f>
        <v>19473</v>
      </c>
      <c r="Y30" s="42">
        <f>VLOOKUP(A30,kurspris!$A$1:$Q$815,16,FALSE)</f>
        <v>34806</v>
      </c>
      <c r="Z30" s="42">
        <f t="shared" si="1"/>
        <v>55190.362499999996</v>
      </c>
      <c r="AA30" s="42">
        <f>VLOOKUP(A30,kurspris!$A$1:$Q$815,17,FALSE)</f>
        <v>21800</v>
      </c>
      <c r="AB30" s="42">
        <f t="shared" si="2"/>
        <v>24525</v>
      </c>
      <c r="AC30" s="42">
        <f t="shared" si="3"/>
        <v>79715.362499999988</v>
      </c>
      <c r="AD30" s="31">
        <f>VLOOKUP($A30,kurspris!$A$1:$Q$852,3,FALSE)</f>
        <v>0</v>
      </c>
      <c r="AE30" s="31">
        <f>VLOOKUP($A30,kurspris!$A$1:$Q$852,4,FALSE)</f>
        <v>0</v>
      </c>
      <c r="AF30" s="31">
        <f>VLOOKUP($A30,kurspris!$A$1:$Q$852,5,FALSE)</f>
        <v>0</v>
      </c>
      <c r="AG30" s="31">
        <f>VLOOKUP($A30,kurspris!$A$1:$Q$852,6,FALSE)</f>
        <v>0</v>
      </c>
      <c r="AH30" s="31">
        <f>VLOOKUP($A30,kurspris!$A$1:$Q$852,7,FALSE)</f>
        <v>0</v>
      </c>
      <c r="AI30" s="31">
        <f>VLOOKUP($A30,kurspris!$A$1:$Q$852,8,FALSE)</f>
        <v>1</v>
      </c>
      <c r="AJ30" s="31">
        <f>VLOOKUP($A30,kurspris!$A$1:$Q$852,9,FALSE)</f>
        <v>0</v>
      </c>
      <c r="AK30" s="31">
        <f>VLOOKUP($A30,kurspris!$A$1:$Q$852,10,FALSE)</f>
        <v>0</v>
      </c>
      <c r="AL30" s="31">
        <f>VLOOKUP($A30,kurspris!$A$1:$Q$852,11,FALSE)</f>
        <v>0</v>
      </c>
      <c r="AM30" s="31">
        <f>VLOOKUP($A30,kurspris!$A$1:$Q$852,12,FALSE)</f>
        <v>0</v>
      </c>
      <c r="AN30" s="31">
        <f>VLOOKUP($A30,kurspris!$A$1:$Q$852,13,FALSE)</f>
        <v>0</v>
      </c>
      <c r="AO30" s="31">
        <f>VLOOKUP($A30,kurspris!$A$1:$Q$852,14,FALSE)</f>
        <v>0</v>
      </c>
      <c r="AP30" s="59" t="s">
        <v>2216</v>
      </c>
      <c r="AR30" s="31">
        <f t="shared" si="4"/>
        <v>0</v>
      </c>
      <c r="AS30" s="237">
        <f t="shared" si="5"/>
        <v>0</v>
      </c>
      <c r="AT30" s="31">
        <f t="shared" si="6"/>
        <v>0</v>
      </c>
      <c r="AU30" s="237">
        <f t="shared" si="7"/>
        <v>0</v>
      </c>
      <c r="AV30" s="31">
        <f t="shared" si="8"/>
        <v>0</v>
      </c>
      <c r="AW30" s="31">
        <f t="shared" si="9"/>
        <v>0</v>
      </c>
      <c r="AX30" s="31">
        <f t="shared" si="10"/>
        <v>0</v>
      </c>
      <c r="AY30" s="237">
        <f t="shared" si="11"/>
        <v>0</v>
      </c>
      <c r="AZ30" s="214">
        <f t="shared" si="12"/>
        <v>0</v>
      </c>
      <c r="BA30" s="237">
        <f t="shared" si="13"/>
        <v>0</v>
      </c>
      <c r="BB30" s="31">
        <f t="shared" si="14"/>
        <v>1.125</v>
      </c>
      <c r="BC30" s="237">
        <f t="shared" si="15"/>
        <v>0.95624999999999993</v>
      </c>
      <c r="BD30" s="31">
        <f t="shared" si="16"/>
        <v>0</v>
      </c>
      <c r="BE30" s="237">
        <f t="shared" si="17"/>
        <v>0</v>
      </c>
      <c r="BF30" s="31">
        <f t="shared" si="18"/>
        <v>0</v>
      </c>
      <c r="BG30" s="237">
        <f t="shared" si="19"/>
        <v>0</v>
      </c>
      <c r="BH30" s="31">
        <f t="shared" si="20"/>
        <v>0</v>
      </c>
      <c r="BI30" s="237">
        <f t="shared" si="21"/>
        <v>0</v>
      </c>
      <c r="BJ30" s="31">
        <f t="shared" si="22"/>
        <v>0</v>
      </c>
      <c r="BK30" s="31">
        <f t="shared" si="23"/>
        <v>0</v>
      </c>
      <c r="BL30" s="237">
        <f t="shared" si="24"/>
        <v>0</v>
      </c>
      <c r="BM30" s="31">
        <f t="shared" si="25"/>
        <v>0</v>
      </c>
      <c r="BN30" s="237">
        <f t="shared" si="26"/>
        <v>0</v>
      </c>
    </row>
    <row r="31" spans="1:66" x14ac:dyDescent="0.25">
      <c r="A31" s="31" t="s">
        <v>1953</v>
      </c>
      <c r="B31" s="182" t="str">
        <f>VLOOKUP(A31,kurspris!$A$1:$B$894,2,FALSE)</f>
        <v>Läraryrkets dimensioner - ingångsämne biologi (VFU)</v>
      </c>
      <c r="D31" s="31" t="s">
        <v>483</v>
      </c>
      <c r="F31" s="59">
        <v>2019</v>
      </c>
      <c r="Q31" s="237">
        <v>1.125</v>
      </c>
      <c r="R31" s="40">
        <v>0.85</v>
      </c>
      <c r="S31" s="313">
        <f t="shared" si="0"/>
        <v>0.95624999999999993</v>
      </c>
      <c r="T31" s="31">
        <f>VLOOKUP(A31,'Ansvar kurs'!$A$1:$C$1027,2,FALSE)</f>
        <v>5740</v>
      </c>
      <c r="U31" s="31" t="str">
        <f>VLOOKUP(T31,Orgenheter!$A$1:$C$165,2,FALSE)</f>
        <v>NMD</v>
      </c>
      <c r="V31" s="31" t="str">
        <f>VLOOKUP(T31,Orgenheter!$A$1:$C$165,3,FALSE)</f>
        <v>TekNat</v>
      </c>
      <c r="W31" s="37" t="str">
        <f>VLOOKUP(D31,Program!$A$1:$B$34,2,FALSE)</f>
        <v>Ämneslärarprogrammet - Gy</v>
      </c>
      <c r="X31" s="42">
        <f>VLOOKUP(A31,kurspris!$A$1:$Q$815,15,FALSE)</f>
        <v>21634</v>
      </c>
      <c r="Y31" s="42">
        <f>VLOOKUP(A31,kurspris!$A$1:$Q$815,16,FALSE)</f>
        <v>26986</v>
      </c>
      <c r="Z31" s="42">
        <f t="shared" si="1"/>
        <v>50143.612500000003</v>
      </c>
      <c r="AA31" s="42">
        <f>VLOOKUP(A31,kurspris!$A$1:$Q$815,17,FALSE)</f>
        <v>3400</v>
      </c>
      <c r="AB31" s="42">
        <f t="shared" si="2"/>
        <v>3825</v>
      </c>
      <c r="AC31" s="42">
        <f t="shared" si="3"/>
        <v>53968.612500000003</v>
      </c>
      <c r="AD31" s="31">
        <f>VLOOKUP($A31,kurspris!$A$1:$Q$852,3,FALSE)</f>
        <v>0</v>
      </c>
      <c r="AE31" s="31">
        <f>VLOOKUP($A31,kurspris!$A$1:$Q$852,4,FALSE)</f>
        <v>0</v>
      </c>
      <c r="AF31" s="31">
        <f>VLOOKUP($A31,kurspris!$A$1:$Q$852,5,FALSE)</f>
        <v>0</v>
      </c>
      <c r="AG31" s="31">
        <f>VLOOKUP($A31,kurspris!$A$1:$Q$852,6,FALSE)</f>
        <v>0</v>
      </c>
      <c r="AH31" s="31">
        <f>VLOOKUP($A31,kurspris!$A$1:$Q$852,7,FALSE)</f>
        <v>0</v>
      </c>
      <c r="AI31" s="31">
        <f>VLOOKUP($A31,kurspris!$A$1:$Q$852,8,FALSE)</f>
        <v>0</v>
      </c>
      <c r="AJ31" s="31">
        <f>VLOOKUP($A31,kurspris!$A$1:$Q$852,9,FALSE)</f>
        <v>0</v>
      </c>
      <c r="AK31" s="31">
        <f>VLOOKUP($A31,kurspris!$A$1:$Q$852,10,FALSE)</f>
        <v>0</v>
      </c>
      <c r="AL31" s="31">
        <f>VLOOKUP($A31,kurspris!$A$1:$Q$852,11,FALSE)</f>
        <v>1</v>
      </c>
      <c r="AM31" s="31">
        <f>VLOOKUP($A31,kurspris!$A$1:$Q$852,12,FALSE)</f>
        <v>0</v>
      </c>
      <c r="AN31" s="31">
        <f>VLOOKUP($A31,kurspris!$A$1:$Q$852,13,FALSE)</f>
        <v>0</v>
      </c>
      <c r="AO31" s="31">
        <f>VLOOKUP($A31,kurspris!$A$1:$Q$852,14,FALSE)</f>
        <v>0</v>
      </c>
      <c r="AP31" s="59" t="s">
        <v>2216</v>
      </c>
      <c r="AR31" s="31">
        <f t="shared" si="4"/>
        <v>0</v>
      </c>
      <c r="AS31" s="237">
        <f t="shared" si="5"/>
        <v>0</v>
      </c>
      <c r="AT31" s="31">
        <f t="shared" si="6"/>
        <v>0</v>
      </c>
      <c r="AU31" s="237">
        <f t="shared" si="7"/>
        <v>0</v>
      </c>
      <c r="AV31" s="31">
        <f t="shared" si="8"/>
        <v>0</v>
      </c>
      <c r="AW31" s="31">
        <f t="shared" si="9"/>
        <v>0</v>
      </c>
      <c r="AX31" s="31">
        <f t="shared" si="10"/>
        <v>0</v>
      </c>
      <c r="AY31" s="237">
        <f t="shared" si="11"/>
        <v>0</v>
      </c>
      <c r="AZ31" s="214">
        <f t="shared" si="12"/>
        <v>0</v>
      </c>
      <c r="BA31" s="237">
        <f t="shared" si="13"/>
        <v>0</v>
      </c>
      <c r="BB31" s="31">
        <f t="shared" si="14"/>
        <v>0</v>
      </c>
      <c r="BC31" s="237">
        <f t="shared" si="15"/>
        <v>0</v>
      </c>
      <c r="BD31" s="31">
        <f t="shared" si="16"/>
        <v>0</v>
      </c>
      <c r="BE31" s="237">
        <f t="shared" si="17"/>
        <v>0</v>
      </c>
      <c r="BF31" s="31">
        <f t="shared" si="18"/>
        <v>0</v>
      </c>
      <c r="BG31" s="237">
        <f t="shared" si="19"/>
        <v>0</v>
      </c>
      <c r="BH31" s="31">
        <f t="shared" si="20"/>
        <v>1.125</v>
      </c>
      <c r="BI31" s="237">
        <f t="shared" si="21"/>
        <v>0.95624999999999993</v>
      </c>
      <c r="BJ31" s="31">
        <f t="shared" si="22"/>
        <v>0</v>
      </c>
      <c r="BK31" s="31">
        <f t="shared" si="23"/>
        <v>0</v>
      </c>
      <c r="BL31" s="237">
        <f t="shared" si="24"/>
        <v>0</v>
      </c>
      <c r="BM31" s="31">
        <f t="shared" si="25"/>
        <v>0</v>
      </c>
      <c r="BN31" s="237">
        <f t="shared" si="26"/>
        <v>0</v>
      </c>
    </row>
    <row r="32" spans="1:66" x14ac:dyDescent="0.25">
      <c r="A32" s="31" t="s">
        <v>1942</v>
      </c>
      <c r="B32" s="182" t="str">
        <f>VLOOKUP(A32,kurspris!$A$1:$B$894,2,FALSE)</f>
        <v>Naturens mångfald för naturkunskapslärare</v>
      </c>
      <c r="D32" s="31" t="s">
        <v>483</v>
      </c>
      <c r="F32" s="59">
        <v>2019</v>
      </c>
      <c r="Q32" s="237">
        <v>0.75</v>
      </c>
      <c r="R32" s="40">
        <v>0.85</v>
      </c>
      <c r="S32" s="313">
        <f t="shared" si="0"/>
        <v>0.63749999999999996</v>
      </c>
      <c r="T32" s="31">
        <f>VLOOKUP(A32,'Ansvar kurs'!$A$1:$C$1027,2,FALSE)</f>
        <v>5100</v>
      </c>
      <c r="U32" s="31" t="str">
        <f>VLOOKUP(T32,Orgenheter!$A$1:$C$165,2,FALSE)</f>
        <v>EMG</v>
      </c>
      <c r="V32" s="31" t="str">
        <f>VLOOKUP(T32,Orgenheter!$A$1:$C$165,3,FALSE)</f>
        <v>TekNat</v>
      </c>
      <c r="W32" s="37" t="str">
        <f>VLOOKUP(D32,Program!$A$1:$B$34,2,FALSE)</f>
        <v>Ämneslärarprogrammet - Gy</v>
      </c>
      <c r="X32" s="42">
        <f>VLOOKUP(A32,kurspris!$A$1:$Q$815,15,FALSE)</f>
        <v>19473</v>
      </c>
      <c r="Y32" s="42">
        <f>VLOOKUP(A32,kurspris!$A$1:$Q$815,16,FALSE)</f>
        <v>34806</v>
      </c>
      <c r="Z32" s="42">
        <f t="shared" si="1"/>
        <v>36793.574999999997</v>
      </c>
      <c r="AA32" s="42">
        <f>VLOOKUP(A32,kurspris!$A$1:$Q$815,17,FALSE)</f>
        <v>21800</v>
      </c>
      <c r="AB32" s="42">
        <f t="shared" si="2"/>
        <v>16350</v>
      </c>
      <c r="AC32" s="42">
        <f t="shared" si="3"/>
        <v>53143.574999999997</v>
      </c>
      <c r="AD32" s="31">
        <f>VLOOKUP($A32,kurspris!$A$1:$Q$852,3,FALSE)</f>
        <v>0</v>
      </c>
      <c r="AE32" s="31">
        <f>VLOOKUP($A32,kurspris!$A$1:$Q$852,4,FALSE)</f>
        <v>0</v>
      </c>
      <c r="AF32" s="31">
        <f>VLOOKUP($A32,kurspris!$A$1:$Q$852,5,FALSE)</f>
        <v>0</v>
      </c>
      <c r="AG32" s="31">
        <f>VLOOKUP($A32,kurspris!$A$1:$Q$852,6,FALSE)</f>
        <v>0</v>
      </c>
      <c r="AH32" s="31">
        <f>VLOOKUP($A32,kurspris!$A$1:$Q$852,7,FALSE)</f>
        <v>0</v>
      </c>
      <c r="AI32" s="31">
        <f>VLOOKUP($A32,kurspris!$A$1:$Q$852,8,FALSE)</f>
        <v>1</v>
      </c>
      <c r="AJ32" s="31">
        <f>VLOOKUP($A32,kurspris!$A$1:$Q$852,9,FALSE)</f>
        <v>0</v>
      </c>
      <c r="AK32" s="31">
        <f>VLOOKUP($A32,kurspris!$A$1:$Q$852,10,FALSE)</f>
        <v>0</v>
      </c>
      <c r="AL32" s="31">
        <f>VLOOKUP($A32,kurspris!$A$1:$Q$852,11,FALSE)</f>
        <v>0</v>
      </c>
      <c r="AM32" s="31">
        <f>VLOOKUP($A32,kurspris!$A$1:$Q$852,12,FALSE)</f>
        <v>0</v>
      </c>
      <c r="AN32" s="31">
        <f>VLOOKUP($A32,kurspris!$A$1:$Q$852,13,FALSE)</f>
        <v>0</v>
      </c>
      <c r="AO32" s="31">
        <f>VLOOKUP($A32,kurspris!$A$1:$Q$852,14,FALSE)</f>
        <v>0</v>
      </c>
      <c r="AP32" s="59" t="s">
        <v>2216</v>
      </c>
      <c r="AR32" s="31">
        <f t="shared" si="4"/>
        <v>0</v>
      </c>
      <c r="AS32" s="237">
        <f t="shared" si="5"/>
        <v>0</v>
      </c>
      <c r="AT32" s="31">
        <f t="shared" si="6"/>
        <v>0</v>
      </c>
      <c r="AU32" s="237">
        <f t="shared" si="7"/>
        <v>0</v>
      </c>
      <c r="AV32" s="31">
        <f t="shared" si="8"/>
        <v>0</v>
      </c>
      <c r="AW32" s="31">
        <f t="shared" si="9"/>
        <v>0</v>
      </c>
      <c r="AX32" s="31">
        <f t="shared" si="10"/>
        <v>0</v>
      </c>
      <c r="AY32" s="237">
        <f t="shared" si="11"/>
        <v>0</v>
      </c>
      <c r="AZ32" s="214">
        <f t="shared" si="12"/>
        <v>0</v>
      </c>
      <c r="BA32" s="237">
        <f t="shared" si="13"/>
        <v>0</v>
      </c>
      <c r="BB32" s="31">
        <f t="shared" si="14"/>
        <v>0.75</v>
      </c>
      <c r="BC32" s="237">
        <f t="shared" si="15"/>
        <v>0.63749999999999996</v>
      </c>
      <c r="BD32" s="31">
        <f t="shared" si="16"/>
        <v>0</v>
      </c>
      <c r="BE32" s="237">
        <f t="shared" si="17"/>
        <v>0</v>
      </c>
      <c r="BF32" s="31">
        <f t="shared" si="18"/>
        <v>0</v>
      </c>
      <c r="BG32" s="237">
        <f t="shared" si="19"/>
        <v>0</v>
      </c>
      <c r="BH32" s="31">
        <f t="shared" si="20"/>
        <v>0</v>
      </c>
      <c r="BI32" s="237">
        <f t="shared" si="21"/>
        <v>0</v>
      </c>
      <c r="BJ32" s="31">
        <f t="shared" si="22"/>
        <v>0</v>
      </c>
      <c r="BK32" s="31">
        <f t="shared" si="23"/>
        <v>0</v>
      </c>
      <c r="BL32" s="237">
        <f t="shared" si="24"/>
        <v>0</v>
      </c>
      <c r="BM32" s="31">
        <f t="shared" si="25"/>
        <v>0</v>
      </c>
      <c r="BN32" s="237">
        <f t="shared" si="26"/>
        <v>0</v>
      </c>
    </row>
    <row r="33" spans="1:66" x14ac:dyDescent="0.25">
      <c r="A33" s="31" t="s">
        <v>1933</v>
      </c>
      <c r="B33" s="182" t="str">
        <f>VLOOKUP(A33,kurspris!$A$1:$B$894,2,FALSE)</f>
        <v>Artkunskap och systematik för biologilärare</v>
      </c>
      <c r="D33" s="31" t="s">
        <v>483</v>
      </c>
      <c r="F33" s="59">
        <v>2019</v>
      </c>
      <c r="Q33" s="237">
        <v>2.5</v>
      </c>
      <c r="R33" s="40">
        <v>0.85</v>
      </c>
      <c r="S33" s="313">
        <f t="shared" si="0"/>
        <v>2.125</v>
      </c>
      <c r="T33" s="31">
        <f>VLOOKUP(A33,'Ansvar kurs'!$A$1:$C$1027,2,FALSE)</f>
        <v>5100</v>
      </c>
      <c r="U33" s="31" t="str">
        <f>VLOOKUP(T33,Orgenheter!$A$1:$C$165,2,FALSE)</f>
        <v>EMG</v>
      </c>
      <c r="V33" s="31" t="str">
        <f>VLOOKUP(T33,Orgenheter!$A$1:$C$165,3,FALSE)</f>
        <v>TekNat</v>
      </c>
      <c r="W33" s="37" t="str">
        <f>VLOOKUP(D33,Program!$A$1:$B$34,2,FALSE)</f>
        <v>Ämneslärarprogrammet - Gy</v>
      </c>
      <c r="X33" s="42">
        <f>VLOOKUP(A33,kurspris!$A$1:$Q$815,15,FALSE)</f>
        <v>19473</v>
      </c>
      <c r="Y33" s="42">
        <f>VLOOKUP(A33,kurspris!$A$1:$Q$815,16,FALSE)</f>
        <v>34806</v>
      </c>
      <c r="Z33" s="42">
        <f t="shared" si="1"/>
        <v>122645.25</v>
      </c>
      <c r="AA33" s="42">
        <f>VLOOKUP(A33,kurspris!$A$1:$Q$815,17,FALSE)</f>
        <v>21800</v>
      </c>
      <c r="AB33" s="42">
        <f t="shared" si="2"/>
        <v>54500</v>
      </c>
      <c r="AC33" s="42">
        <f t="shared" si="3"/>
        <v>177145.25</v>
      </c>
      <c r="AD33" s="31">
        <f>VLOOKUP($A33,kurspris!$A$1:$Q$852,3,FALSE)</f>
        <v>0</v>
      </c>
      <c r="AE33" s="31">
        <f>VLOOKUP($A33,kurspris!$A$1:$Q$852,4,FALSE)</f>
        <v>0</v>
      </c>
      <c r="AF33" s="31">
        <f>VLOOKUP($A33,kurspris!$A$1:$Q$852,5,FALSE)</f>
        <v>0</v>
      </c>
      <c r="AG33" s="31">
        <f>VLOOKUP($A33,kurspris!$A$1:$Q$852,6,FALSE)</f>
        <v>0</v>
      </c>
      <c r="AH33" s="31">
        <f>VLOOKUP($A33,kurspris!$A$1:$Q$852,7,FALSE)</f>
        <v>0</v>
      </c>
      <c r="AI33" s="31">
        <f>VLOOKUP($A33,kurspris!$A$1:$Q$852,8,FALSE)</f>
        <v>1</v>
      </c>
      <c r="AJ33" s="31">
        <f>VLOOKUP($A33,kurspris!$A$1:$Q$852,9,FALSE)</f>
        <v>0</v>
      </c>
      <c r="AK33" s="31">
        <f>VLOOKUP($A33,kurspris!$A$1:$Q$852,10,FALSE)</f>
        <v>0</v>
      </c>
      <c r="AL33" s="31">
        <f>VLOOKUP($A33,kurspris!$A$1:$Q$852,11,FALSE)</f>
        <v>0</v>
      </c>
      <c r="AM33" s="31">
        <f>VLOOKUP($A33,kurspris!$A$1:$Q$852,12,FALSE)</f>
        <v>0</v>
      </c>
      <c r="AN33" s="31">
        <f>VLOOKUP($A33,kurspris!$A$1:$Q$852,13,FALSE)</f>
        <v>0</v>
      </c>
      <c r="AO33" s="31">
        <f>VLOOKUP($A33,kurspris!$A$1:$Q$852,14,FALSE)</f>
        <v>0</v>
      </c>
      <c r="AP33" s="59" t="s">
        <v>2216</v>
      </c>
      <c r="AR33" s="31">
        <f t="shared" si="4"/>
        <v>0</v>
      </c>
      <c r="AS33" s="237">
        <f t="shared" si="5"/>
        <v>0</v>
      </c>
      <c r="AT33" s="31">
        <f t="shared" si="6"/>
        <v>0</v>
      </c>
      <c r="AU33" s="237">
        <f t="shared" si="7"/>
        <v>0</v>
      </c>
      <c r="AV33" s="31">
        <f t="shared" si="8"/>
        <v>0</v>
      </c>
      <c r="AW33" s="31">
        <f t="shared" si="9"/>
        <v>0</v>
      </c>
      <c r="AX33" s="31">
        <f t="shared" si="10"/>
        <v>0</v>
      </c>
      <c r="AY33" s="237">
        <f t="shared" si="11"/>
        <v>0</v>
      </c>
      <c r="AZ33" s="214">
        <f t="shared" si="12"/>
        <v>0</v>
      </c>
      <c r="BA33" s="237">
        <f t="shared" si="13"/>
        <v>0</v>
      </c>
      <c r="BB33" s="31">
        <f t="shared" si="14"/>
        <v>2.5</v>
      </c>
      <c r="BC33" s="237">
        <f t="shared" si="15"/>
        <v>2.125</v>
      </c>
      <c r="BD33" s="31">
        <f t="shared" si="16"/>
        <v>0</v>
      </c>
      <c r="BE33" s="237">
        <f t="shared" si="17"/>
        <v>0</v>
      </c>
      <c r="BF33" s="31">
        <f t="shared" si="18"/>
        <v>0</v>
      </c>
      <c r="BG33" s="237">
        <f t="shared" si="19"/>
        <v>0</v>
      </c>
      <c r="BH33" s="31">
        <f t="shared" si="20"/>
        <v>0</v>
      </c>
      <c r="BI33" s="237">
        <f t="shared" si="21"/>
        <v>0</v>
      </c>
      <c r="BJ33" s="31">
        <f t="shared" si="22"/>
        <v>0</v>
      </c>
      <c r="BK33" s="31">
        <f t="shared" si="23"/>
        <v>0</v>
      </c>
      <c r="BL33" s="237">
        <f t="shared" si="24"/>
        <v>0</v>
      </c>
      <c r="BM33" s="31">
        <f t="shared" si="25"/>
        <v>0</v>
      </c>
      <c r="BN33" s="237">
        <f t="shared" si="26"/>
        <v>0</v>
      </c>
    </row>
    <row r="34" spans="1:66" x14ac:dyDescent="0.25">
      <c r="A34" s="31" t="s">
        <v>1489</v>
      </c>
      <c r="B34" s="182" t="str">
        <f>VLOOKUP(A34,kurspris!$A$1:$B$894,2,FALSE)</f>
        <v>Biologididaktik 1 för ämneslärare för gymnasium</v>
      </c>
      <c r="D34" s="31" t="s">
        <v>483</v>
      </c>
      <c r="F34" s="59">
        <v>2019</v>
      </c>
      <c r="Q34" s="237">
        <v>1</v>
      </c>
      <c r="R34" s="40">
        <v>0.85</v>
      </c>
      <c r="S34" s="313">
        <f t="shared" si="0"/>
        <v>0.85</v>
      </c>
      <c r="T34" s="31">
        <f>VLOOKUP(A34,'Ansvar kurs'!$A$1:$C$1027,2,FALSE)</f>
        <v>5740</v>
      </c>
      <c r="U34" s="31" t="str">
        <f>VLOOKUP(T34,Orgenheter!$A$1:$C$165,2,FALSE)</f>
        <v>NMD</v>
      </c>
      <c r="V34" s="31" t="str">
        <f>VLOOKUP(T34,Orgenheter!$A$1:$C$165,3,FALSE)</f>
        <v>TekNat</v>
      </c>
      <c r="W34" s="37" t="str">
        <f>VLOOKUP(D34,Program!$A$1:$B$34,2,FALSE)</f>
        <v>Ämneslärarprogrammet - Gy</v>
      </c>
      <c r="X34" s="42">
        <f>VLOOKUP(A34,kurspris!$A$1:$Q$815,15,FALSE)</f>
        <v>19473</v>
      </c>
      <c r="Y34" s="42">
        <f>VLOOKUP(A34,kurspris!$A$1:$Q$815,16,FALSE)</f>
        <v>34806</v>
      </c>
      <c r="Z34" s="42">
        <f t="shared" si="1"/>
        <v>49058.1</v>
      </c>
      <c r="AA34" s="42">
        <f>VLOOKUP(A34,kurspris!$A$1:$Q$815,17,FALSE)</f>
        <v>21800</v>
      </c>
      <c r="AB34" s="42">
        <f t="shared" si="2"/>
        <v>21800</v>
      </c>
      <c r="AC34" s="42">
        <f t="shared" si="3"/>
        <v>70858.100000000006</v>
      </c>
      <c r="AD34" s="31">
        <f>VLOOKUP($A34,kurspris!$A$1:$Q$852,3,FALSE)</f>
        <v>0</v>
      </c>
      <c r="AE34" s="31">
        <f>VLOOKUP($A34,kurspris!$A$1:$Q$852,4,FALSE)</f>
        <v>0</v>
      </c>
      <c r="AF34" s="31">
        <f>VLOOKUP($A34,kurspris!$A$1:$Q$852,5,FALSE)</f>
        <v>0</v>
      </c>
      <c r="AG34" s="31">
        <f>VLOOKUP($A34,kurspris!$A$1:$Q$852,6,FALSE)</f>
        <v>0</v>
      </c>
      <c r="AH34" s="31">
        <f>VLOOKUP($A34,kurspris!$A$1:$Q$852,7,FALSE)</f>
        <v>0</v>
      </c>
      <c r="AI34" s="31">
        <f>VLOOKUP($A34,kurspris!$A$1:$Q$852,8,FALSE)</f>
        <v>1</v>
      </c>
      <c r="AJ34" s="31">
        <f>VLOOKUP($A34,kurspris!$A$1:$Q$852,9,FALSE)</f>
        <v>0</v>
      </c>
      <c r="AK34" s="31">
        <f>VLOOKUP($A34,kurspris!$A$1:$Q$852,10,FALSE)</f>
        <v>0</v>
      </c>
      <c r="AL34" s="31">
        <f>VLOOKUP($A34,kurspris!$A$1:$Q$852,11,FALSE)</f>
        <v>0</v>
      </c>
      <c r="AM34" s="31">
        <f>VLOOKUP($A34,kurspris!$A$1:$Q$852,12,FALSE)</f>
        <v>0</v>
      </c>
      <c r="AN34" s="31">
        <f>VLOOKUP($A34,kurspris!$A$1:$Q$852,13,FALSE)</f>
        <v>0</v>
      </c>
      <c r="AO34" s="31">
        <f>VLOOKUP($A34,kurspris!$A$1:$Q$852,14,FALSE)</f>
        <v>0</v>
      </c>
      <c r="AP34" s="59" t="s">
        <v>2216</v>
      </c>
      <c r="AR34" s="31">
        <f t="shared" si="4"/>
        <v>0</v>
      </c>
      <c r="AS34" s="237">
        <f t="shared" si="5"/>
        <v>0</v>
      </c>
      <c r="AT34" s="31">
        <f t="shared" si="6"/>
        <v>0</v>
      </c>
      <c r="AU34" s="237">
        <f t="shared" si="7"/>
        <v>0</v>
      </c>
      <c r="AV34" s="31">
        <f t="shared" si="8"/>
        <v>0</v>
      </c>
      <c r="AW34" s="31">
        <f t="shared" si="9"/>
        <v>0</v>
      </c>
      <c r="AX34" s="31">
        <f t="shared" si="10"/>
        <v>0</v>
      </c>
      <c r="AY34" s="237">
        <f t="shared" si="11"/>
        <v>0</v>
      </c>
      <c r="AZ34" s="214">
        <f t="shared" si="12"/>
        <v>0</v>
      </c>
      <c r="BA34" s="237">
        <f t="shared" si="13"/>
        <v>0</v>
      </c>
      <c r="BB34" s="31">
        <f t="shared" si="14"/>
        <v>1</v>
      </c>
      <c r="BC34" s="237">
        <f t="shared" si="15"/>
        <v>0.85</v>
      </c>
      <c r="BD34" s="31">
        <f t="shared" si="16"/>
        <v>0</v>
      </c>
      <c r="BE34" s="237">
        <f t="shared" si="17"/>
        <v>0</v>
      </c>
      <c r="BF34" s="31">
        <f t="shared" si="18"/>
        <v>0</v>
      </c>
      <c r="BG34" s="237">
        <f t="shared" si="19"/>
        <v>0</v>
      </c>
      <c r="BH34" s="31">
        <f t="shared" si="20"/>
        <v>0</v>
      </c>
      <c r="BI34" s="237">
        <f t="shared" si="21"/>
        <v>0</v>
      </c>
      <c r="BJ34" s="31">
        <f t="shared" si="22"/>
        <v>0</v>
      </c>
      <c r="BK34" s="31">
        <f t="shared" si="23"/>
        <v>0</v>
      </c>
      <c r="BL34" s="237">
        <f t="shared" si="24"/>
        <v>0</v>
      </c>
      <c r="BM34" s="31">
        <f t="shared" si="25"/>
        <v>0</v>
      </c>
      <c r="BN34" s="237">
        <f t="shared" si="26"/>
        <v>0</v>
      </c>
    </row>
    <row r="35" spans="1:66" x14ac:dyDescent="0.25">
      <c r="A35" s="159" t="s">
        <v>1490</v>
      </c>
      <c r="B35" s="182" t="str">
        <f>VLOOKUP(A35,kurspris!$A$1:$B$894,2,FALSE)</f>
        <v>Biologididaktik 2 för ämneslärare för gymnasium</v>
      </c>
      <c r="C35" s="37"/>
      <c r="D35" s="31" t="s">
        <v>483</v>
      </c>
      <c r="F35" s="59">
        <v>2019</v>
      </c>
      <c r="Q35" s="237">
        <v>1</v>
      </c>
      <c r="R35" s="40">
        <v>0.85</v>
      </c>
      <c r="S35" s="313">
        <f t="shared" si="0"/>
        <v>0.85</v>
      </c>
      <c r="T35" s="31">
        <f>VLOOKUP(A35,'Ansvar kurs'!$A$1:$C$1027,2,FALSE)</f>
        <v>5740</v>
      </c>
      <c r="U35" s="31" t="str">
        <f>VLOOKUP(T35,Orgenheter!$A$1:$C$165,2,FALSE)</f>
        <v>NMD</v>
      </c>
      <c r="V35" s="31" t="str">
        <f>VLOOKUP(T35,Orgenheter!$A$1:$C$165,3,FALSE)</f>
        <v>TekNat</v>
      </c>
      <c r="W35" s="37" t="str">
        <f>VLOOKUP(D35,Program!$A$1:$B$34,2,FALSE)</f>
        <v>Ämneslärarprogrammet - Gy</v>
      </c>
      <c r="X35" s="42">
        <f>VLOOKUP(A35,kurspris!$A$1:$Q$815,15,FALSE)</f>
        <v>19473</v>
      </c>
      <c r="Y35" s="42">
        <f>VLOOKUP(A35,kurspris!$A$1:$Q$815,16,FALSE)</f>
        <v>34806</v>
      </c>
      <c r="Z35" s="42">
        <f t="shared" si="1"/>
        <v>49058.1</v>
      </c>
      <c r="AA35" s="42">
        <f>VLOOKUP(A35,kurspris!$A$1:$Q$815,17,FALSE)</f>
        <v>21800</v>
      </c>
      <c r="AB35" s="42">
        <f t="shared" si="2"/>
        <v>21800</v>
      </c>
      <c r="AC35" s="42">
        <f t="shared" si="3"/>
        <v>70858.100000000006</v>
      </c>
      <c r="AD35" s="31">
        <f>VLOOKUP($A35,kurspris!$A$1:$Q$852,3,FALSE)</f>
        <v>0</v>
      </c>
      <c r="AE35" s="31">
        <f>VLOOKUP($A35,kurspris!$A$1:$Q$852,4,FALSE)</f>
        <v>0</v>
      </c>
      <c r="AF35" s="31">
        <f>VLOOKUP($A35,kurspris!$A$1:$Q$852,5,FALSE)</f>
        <v>0</v>
      </c>
      <c r="AG35" s="31">
        <f>VLOOKUP($A35,kurspris!$A$1:$Q$852,6,FALSE)</f>
        <v>0</v>
      </c>
      <c r="AH35" s="31">
        <f>VLOOKUP($A35,kurspris!$A$1:$Q$852,7,FALSE)</f>
        <v>0</v>
      </c>
      <c r="AI35" s="31">
        <f>VLOOKUP($A35,kurspris!$A$1:$Q$852,8,FALSE)</f>
        <v>1</v>
      </c>
      <c r="AJ35" s="31">
        <f>VLOOKUP($A35,kurspris!$A$1:$Q$852,9,FALSE)</f>
        <v>0</v>
      </c>
      <c r="AK35" s="31">
        <f>VLOOKUP($A35,kurspris!$A$1:$Q$852,10,FALSE)</f>
        <v>0</v>
      </c>
      <c r="AL35" s="31">
        <f>VLOOKUP($A35,kurspris!$A$1:$Q$852,11,FALSE)</f>
        <v>0</v>
      </c>
      <c r="AM35" s="31">
        <f>VLOOKUP($A35,kurspris!$A$1:$Q$852,12,FALSE)</f>
        <v>0</v>
      </c>
      <c r="AN35" s="31">
        <f>VLOOKUP($A35,kurspris!$A$1:$Q$852,13,FALSE)</f>
        <v>0</v>
      </c>
      <c r="AO35" s="31">
        <f>VLOOKUP($A35,kurspris!$A$1:$Q$852,14,FALSE)</f>
        <v>0</v>
      </c>
      <c r="AP35" s="59" t="s">
        <v>2216</v>
      </c>
      <c r="AR35" s="31">
        <f t="shared" si="4"/>
        <v>0</v>
      </c>
      <c r="AS35" s="237">
        <f t="shared" si="5"/>
        <v>0</v>
      </c>
      <c r="AT35" s="31">
        <f t="shared" si="6"/>
        <v>0</v>
      </c>
      <c r="AU35" s="237">
        <f t="shared" si="7"/>
        <v>0</v>
      </c>
      <c r="AV35" s="31">
        <f t="shared" si="8"/>
        <v>0</v>
      </c>
      <c r="AW35" s="31">
        <f t="shared" si="9"/>
        <v>0</v>
      </c>
      <c r="AX35" s="31">
        <f t="shared" si="10"/>
        <v>0</v>
      </c>
      <c r="AY35" s="237">
        <f t="shared" si="11"/>
        <v>0</v>
      </c>
      <c r="AZ35" s="214">
        <f t="shared" si="12"/>
        <v>0</v>
      </c>
      <c r="BA35" s="237">
        <f t="shared" si="13"/>
        <v>0</v>
      </c>
      <c r="BB35" s="31">
        <f t="shared" si="14"/>
        <v>1</v>
      </c>
      <c r="BC35" s="237">
        <f t="shared" si="15"/>
        <v>0.85</v>
      </c>
      <c r="BD35" s="31">
        <f t="shared" si="16"/>
        <v>0</v>
      </c>
      <c r="BE35" s="237">
        <f t="shared" si="17"/>
        <v>0</v>
      </c>
      <c r="BF35" s="31">
        <f t="shared" si="18"/>
        <v>0</v>
      </c>
      <c r="BG35" s="237">
        <f t="shared" si="19"/>
        <v>0</v>
      </c>
      <c r="BH35" s="31">
        <f t="shared" si="20"/>
        <v>0</v>
      </c>
      <c r="BI35" s="237">
        <f t="shared" si="21"/>
        <v>0</v>
      </c>
      <c r="BJ35" s="31">
        <f t="shared" si="22"/>
        <v>0</v>
      </c>
      <c r="BK35" s="31">
        <f t="shared" si="23"/>
        <v>0</v>
      </c>
      <c r="BL35" s="237">
        <f t="shared" si="24"/>
        <v>0</v>
      </c>
      <c r="BM35" s="31">
        <f t="shared" si="25"/>
        <v>0</v>
      </c>
      <c r="BN35" s="237">
        <f t="shared" si="26"/>
        <v>0</v>
      </c>
    </row>
    <row r="36" spans="1:66" x14ac:dyDescent="0.25">
      <c r="A36" s="59" t="s">
        <v>1989</v>
      </c>
      <c r="B36" s="182" t="str">
        <f>VLOOKUP(A36,kurspris!$A$1:$B$894,2,FALSE)</f>
        <v>Programmeringsteknik med C och Matlab</v>
      </c>
      <c r="C36" s="37"/>
      <c r="D36" s="59" t="s">
        <v>483</v>
      </c>
      <c r="E36" s="62"/>
      <c r="F36" s="59">
        <v>2019</v>
      </c>
      <c r="M36" s="388"/>
      <c r="N36" s="40"/>
      <c r="P36" s="387"/>
      <c r="Q36" s="237">
        <v>0.125</v>
      </c>
      <c r="R36" s="40">
        <v>0.85</v>
      </c>
      <c r="S36" s="313">
        <f t="shared" si="0"/>
        <v>0.10625</v>
      </c>
      <c r="T36" s="31">
        <f>VLOOKUP(A36,'Ansvar kurs'!$A$1:$C$1027,2,FALSE)</f>
        <v>5700</v>
      </c>
      <c r="U36" s="31" t="str">
        <f>VLOOKUP(T36,Orgenheter!$A$1:$C$165,2,FALSE)</f>
        <v xml:space="preserve">Inst för datavetenskap        </v>
      </c>
      <c r="V36" s="31" t="str">
        <f>VLOOKUP(T36,Orgenheter!$A$1:$C$165,3,FALSE)</f>
        <v>TekNat</v>
      </c>
      <c r="W36" s="37" t="str">
        <f>VLOOKUP(D36,Program!$A$1:$B$34,2,FALSE)</f>
        <v>Ämneslärarprogrammet - Gy</v>
      </c>
      <c r="X36" s="42">
        <f>VLOOKUP(A36,kurspris!$A$1:$Q$815,15,FALSE)</f>
        <v>19473</v>
      </c>
      <c r="Y36" s="42">
        <f>VLOOKUP(A36,kurspris!$A$1:$Q$815,16,FALSE)</f>
        <v>34806</v>
      </c>
      <c r="Z36" s="42">
        <f t="shared" si="1"/>
        <v>6132.2624999999998</v>
      </c>
      <c r="AA36" s="42">
        <f>VLOOKUP(A36,kurspris!$A$1:$Q$815,17,FALSE)</f>
        <v>21800</v>
      </c>
      <c r="AB36" s="42">
        <f t="shared" si="2"/>
        <v>2725</v>
      </c>
      <c r="AC36" s="42">
        <f t="shared" si="3"/>
        <v>8857.2625000000007</v>
      </c>
      <c r="AD36" s="31">
        <f>VLOOKUP($A36,kurspris!$A$1:$Q$852,3,FALSE)</f>
        <v>0</v>
      </c>
      <c r="AE36" s="31">
        <f>VLOOKUP($A36,kurspris!$A$1:$Q$852,4,FALSE)</f>
        <v>0</v>
      </c>
      <c r="AF36" s="31">
        <f>VLOOKUP($A36,kurspris!$A$1:$Q$852,5,FALSE)</f>
        <v>0</v>
      </c>
      <c r="AG36" s="31">
        <f>VLOOKUP($A36,kurspris!$A$1:$Q$852,6,FALSE)</f>
        <v>0</v>
      </c>
      <c r="AH36" s="31">
        <f>VLOOKUP($A36,kurspris!$A$1:$Q$852,7,FALSE)</f>
        <v>0</v>
      </c>
      <c r="AI36" s="31">
        <f>VLOOKUP($A36,kurspris!$A$1:$Q$852,8,FALSE)</f>
        <v>0.5</v>
      </c>
      <c r="AJ36" s="31">
        <f>VLOOKUP($A36,kurspris!$A$1:$Q$852,9,FALSE)</f>
        <v>0</v>
      </c>
      <c r="AK36" s="31">
        <f>VLOOKUP($A36,kurspris!$A$1:$Q$852,10,FALSE)</f>
        <v>0.5</v>
      </c>
      <c r="AL36" s="31">
        <f>VLOOKUP($A36,kurspris!$A$1:$Q$852,11,FALSE)</f>
        <v>0</v>
      </c>
      <c r="AM36" s="31">
        <f>VLOOKUP($A36,kurspris!$A$1:$Q$852,12,FALSE)</f>
        <v>0</v>
      </c>
      <c r="AN36" s="31">
        <f>VLOOKUP($A36,kurspris!$A$1:$Q$852,13,FALSE)</f>
        <v>0</v>
      </c>
      <c r="AO36" s="31">
        <f>VLOOKUP($A36,kurspris!$A$1:$Q$852,14,FALSE)</f>
        <v>0</v>
      </c>
      <c r="AP36" s="59" t="s">
        <v>2216</v>
      </c>
      <c r="AR36" s="31">
        <f t="shared" si="4"/>
        <v>0</v>
      </c>
      <c r="AS36" s="237">
        <f t="shared" si="5"/>
        <v>0</v>
      </c>
      <c r="AT36" s="31">
        <f t="shared" si="6"/>
        <v>0</v>
      </c>
      <c r="AU36" s="237">
        <f t="shared" si="7"/>
        <v>0</v>
      </c>
      <c r="AV36" s="31">
        <f t="shared" si="8"/>
        <v>0</v>
      </c>
      <c r="AW36" s="31">
        <f t="shared" si="9"/>
        <v>0</v>
      </c>
      <c r="AX36" s="31">
        <f t="shared" si="10"/>
        <v>0</v>
      </c>
      <c r="AY36" s="237">
        <f t="shared" si="11"/>
        <v>0</v>
      </c>
      <c r="AZ36" s="214">
        <f t="shared" si="12"/>
        <v>0</v>
      </c>
      <c r="BA36" s="237">
        <f t="shared" si="13"/>
        <v>0</v>
      </c>
      <c r="BB36" s="31">
        <f t="shared" si="14"/>
        <v>6.25E-2</v>
      </c>
      <c r="BC36" s="237">
        <f t="shared" si="15"/>
        <v>5.3124999999999999E-2</v>
      </c>
      <c r="BD36" s="31">
        <f t="shared" si="16"/>
        <v>0</v>
      </c>
      <c r="BE36" s="237">
        <f t="shared" si="17"/>
        <v>0</v>
      </c>
      <c r="BF36" s="31">
        <f t="shared" si="18"/>
        <v>6.25E-2</v>
      </c>
      <c r="BG36" s="237">
        <f t="shared" si="19"/>
        <v>5.3124999999999999E-2</v>
      </c>
      <c r="BH36" s="31">
        <f t="shared" si="20"/>
        <v>0</v>
      </c>
      <c r="BI36" s="237">
        <f t="shared" si="21"/>
        <v>0</v>
      </c>
      <c r="BJ36" s="31">
        <f t="shared" si="22"/>
        <v>0</v>
      </c>
      <c r="BK36" s="31">
        <f t="shared" si="23"/>
        <v>0</v>
      </c>
      <c r="BL36" s="237">
        <f t="shared" si="24"/>
        <v>0</v>
      </c>
      <c r="BM36" s="31">
        <f t="shared" si="25"/>
        <v>0</v>
      </c>
      <c r="BN36" s="237">
        <f t="shared" si="26"/>
        <v>0</v>
      </c>
    </row>
    <row r="37" spans="1:66" x14ac:dyDescent="0.25">
      <c r="A37" s="159" t="s">
        <v>487</v>
      </c>
      <c r="B37" s="182" t="str">
        <f>VLOOKUP(A37,kurspris!$A$1:$B$894,2,FALSE)</f>
        <v>Engelska I för ämneslärare med inriktning mot gymnasiet</v>
      </c>
      <c r="C37" s="37"/>
      <c r="D37" s="31" t="s">
        <v>483</v>
      </c>
      <c r="F37" s="59">
        <v>2019</v>
      </c>
      <c r="Q37" s="237">
        <v>18</v>
      </c>
      <c r="R37" s="40">
        <v>0.85</v>
      </c>
      <c r="S37" s="313">
        <f t="shared" si="0"/>
        <v>15.299999999999999</v>
      </c>
      <c r="T37" s="31">
        <f>VLOOKUP(A37,'Ansvar kurs'!$A$1:$C$1027,2,FALSE)</f>
        <v>1620</v>
      </c>
      <c r="U37" s="31" t="str">
        <f>VLOOKUP(T37,Orgenheter!$A$1:$C$165,2,FALSE)</f>
        <v>Inst för språkstudier</v>
      </c>
      <c r="V37" s="31" t="str">
        <f>VLOOKUP(T37,Orgenheter!$A$1:$C$165,3,FALSE)</f>
        <v>Hum</v>
      </c>
      <c r="W37" s="37" t="str">
        <f>VLOOKUP(D37,Program!$A$1:$B$34,2,FALSE)</f>
        <v>Ämneslärarprogrammet - Gy</v>
      </c>
      <c r="X37" s="42">
        <f>VLOOKUP(A37,kurspris!$A$1:$Q$815,15,FALSE)</f>
        <v>18405</v>
      </c>
      <c r="Y37" s="42">
        <f>VLOOKUP(A37,kurspris!$A$1:$Q$815,16,FALSE)</f>
        <v>15773</v>
      </c>
      <c r="Z37" s="42">
        <f t="shared" si="1"/>
        <v>572616.9</v>
      </c>
      <c r="AA37" s="42">
        <f>VLOOKUP(A37,kurspris!$A$1:$Q$815,17,FALSE)</f>
        <v>5800</v>
      </c>
      <c r="AB37" s="42">
        <f t="shared" si="2"/>
        <v>104400</v>
      </c>
      <c r="AC37" s="42">
        <f t="shared" si="3"/>
        <v>677016.9</v>
      </c>
      <c r="AD37" s="31">
        <f>VLOOKUP($A37,kurspris!$A$1:$Q$852,3,FALSE)</f>
        <v>0</v>
      </c>
      <c r="AE37" s="31">
        <f>VLOOKUP($A37,kurspris!$A$1:$Q$852,4,FALSE)</f>
        <v>1</v>
      </c>
      <c r="AF37" s="31">
        <f>VLOOKUP($A37,kurspris!$A$1:$Q$852,5,FALSE)</f>
        <v>0</v>
      </c>
      <c r="AG37" s="31">
        <f>VLOOKUP($A37,kurspris!$A$1:$Q$852,6,FALSE)</f>
        <v>0</v>
      </c>
      <c r="AH37" s="31">
        <f>VLOOKUP($A37,kurspris!$A$1:$Q$852,7,FALSE)</f>
        <v>0</v>
      </c>
      <c r="AI37" s="31">
        <f>VLOOKUP($A37,kurspris!$A$1:$Q$852,8,FALSE)</f>
        <v>0</v>
      </c>
      <c r="AJ37" s="31">
        <f>VLOOKUP($A37,kurspris!$A$1:$Q$852,9,FALSE)</f>
        <v>0</v>
      </c>
      <c r="AK37" s="31">
        <f>VLOOKUP($A37,kurspris!$A$1:$Q$852,10,FALSE)</f>
        <v>0</v>
      </c>
      <c r="AL37" s="31">
        <f>VLOOKUP($A37,kurspris!$A$1:$Q$852,11,FALSE)</f>
        <v>0</v>
      </c>
      <c r="AM37" s="31">
        <f>VLOOKUP($A37,kurspris!$A$1:$Q$852,12,FALSE)</f>
        <v>0</v>
      </c>
      <c r="AN37" s="31">
        <f>VLOOKUP($A37,kurspris!$A$1:$Q$852,13,FALSE)</f>
        <v>0</v>
      </c>
      <c r="AO37" s="31">
        <f>VLOOKUP($A37,kurspris!$A$1:$Q$852,14,FALSE)</f>
        <v>0</v>
      </c>
      <c r="AP37" s="59" t="s">
        <v>2216</v>
      </c>
      <c r="AR37" s="31">
        <f t="shared" si="4"/>
        <v>0</v>
      </c>
      <c r="AS37" s="237">
        <f t="shared" si="5"/>
        <v>0</v>
      </c>
      <c r="AT37" s="31">
        <f t="shared" si="6"/>
        <v>18</v>
      </c>
      <c r="AU37" s="237">
        <f t="shared" si="7"/>
        <v>15.299999999999999</v>
      </c>
      <c r="AV37" s="31">
        <f t="shared" si="8"/>
        <v>0</v>
      </c>
      <c r="AW37" s="31">
        <f t="shared" si="9"/>
        <v>0</v>
      </c>
      <c r="AX37" s="31">
        <f t="shared" si="10"/>
        <v>0</v>
      </c>
      <c r="AY37" s="237">
        <f t="shared" si="11"/>
        <v>0</v>
      </c>
      <c r="AZ37" s="214">
        <f t="shared" si="12"/>
        <v>0</v>
      </c>
      <c r="BA37" s="237">
        <f t="shared" si="13"/>
        <v>0</v>
      </c>
      <c r="BB37" s="31">
        <f t="shared" si="14"/>
        <v>0</v>
      </c>
      <c r="BC37" s="237">
        <f t="shared" si="15"/>
        <v>0</v>
      </c>
      <c r="BD37" s="31">
        <f t="shared" si="16"/>
        <v>0</v>
      </c>
      <c r="BE37" s="237">
        <f t="shared" si="17"/>
        <v>0</v>
      </c>
      <c r="BF37" s="31">
        <f t="shared" si="18"/>
        <v>0</v>
      </c>
      <c r="BG37" s="237">
        <f t="shared" si="19"/>
        <v>0</v>
      </c>
      <c r="BH37" s="31">
        <f t="shared" si="20"/>
        <v>0</v>
      </c>
      <c r="BI37" s="237">
        <f t="shared" si="21"/>
        <v>0</v>
      </c>
      <c r="BJ37" s="31">
        <f t="shared" si="22"/>
        <v>0</v>
      </c>
      <c r="BK37" s="31">
        <f t="shared" si="23"/>
        <v>0</v>
      </c>
      <c r="BL37" s="237">
        <f t="shared" si="24"/>
        <v>0</v>
      </c>
      <c r="BM37" s="31">
        <f t="shared" si="25"/>
        <v>0</v>
      </c>
      <c r="BN37" s="237">
        <f t="shared" si="26"/>
        <v>0</v>
      </c>
    </row>
    <row r="38" spans="1:66" x14ac:dyDescent="0.25">
      <c r="A38" s="31" t="s">
        <v>487</v>
      </c>
      <c r="B38" s="182" t="str">
        <f>VLOOKUP(A38,kurspris!$A$1:$B$894,2,FALSE)</f>
        <v>Engelska I för ämneslärare med inriktning mot gymnasiet</v>
      </c>
      <c r="D38" s="31" t="s">
        <v>117</v>
      </c>
      <c r="F38" s="59">
        <v>2019</v>
      </c>
      <c r="Q38" s="237">
        <v>1</v>
      </c>
      <c r="R38" s="40">
        <v>0.8</v>
      </c>
      <c r="S38" s="313">
        <f t="shared" si="0"/>
        <v>0.8</v>
      </c>
      <c r="T38" s="31">
        <f>VLOOKUP(A38,'Ansvar kurs'!$A$1:$C$1027,2,FALSE)</f>
        <v>1620</v>
      </c>
      <c r="U38" s="31" t="str">
        <f>VLOOKUP(T38,Orgenheter!$A$1:$C$165,2,FALSE)</f>
        <v>Inst för språkstudier</v>
      </c>
      <c r="V38" s="31" t="str">
        <f>VLOOKUP(T38,Orgenheter!$A$1:$C$165,3,FALSE)</f>
        <v>Hum</v>
      </c>
      <c r="W38" s="37" t="str">
        <f>VLOOKUP(D38,Program!$A$1:$B$34,2,FALSE)</f>
        <v>Fristående och övriga kurser</v>
      </c>
      <c r="X38" s="42">
        <f>VLOOKUP(A38,kurspris!$A$1:$Q$815,15,FALSE)</f>
        <v>18405</v>
      </c>
      <c r="Y38" s="42">
        <f>VLOOKUP(A38,kurspris!$A$1:$Q$815,16,FALSE)</f>
        <v>15773</v>
      </c>
      <c r="Z38" s="42">
        <f t="shared" si="1"/>
        <v>31023.4</v>
      </c>
      <c r="AA38" s="42">
        <f>VLOOKUP(A38,kurspris!$A$1:$Q$815,17,FALSE)</f>
        <v>5800</v>
      </c>
      <c r="AB38" s="42">
        <f t="shared" si="2"/>
        <v>5800</v>
      </c>
      <c r="AC38" s="42">
        <f t="shared" si="3"/>
        <v>36823.4</v>
      </c>
      <c r="AD38" s="31">
        <f>VLOOKUP($A38,kurspris!$A$1:$Q$852,3,FALSE)</f>
        <v>0</v>
      </c>
      <c r="AE38" s="31">
        <f>VLOOKUP($A38,kurspris!$A$1:$Q$852,4,FALSE)</f>
        <v>1</v>
      </c>
      <c r="AF38" s="31">
        <f>VLOOKUP($A38,kurspris!$A$1:$Q$852,5,FALSE)</f>
        <v>0</v>
      </c>
      <c r="AG38" s="31">
        <f>VLOOKUP($A38,kurspris!$A$1:$Q$852,6,FALSE)</f>
        <v>0</v>
      </c>
      <c r="AH38" s="31">
        <f>VLOOKUP($A38,kurspris!$A$1:$Q$852,7,FALSE)</f>
        <v>0</v>
      </c>
      <c r="AI38" s="31">
        <f>VLOOKUP($A38,kurspris!$A$1:$Q$852,8,FALSE)</f>
        <v>0</v>
      </c>
      <c r="AJ38" s="31">
        <f>VLOOKUP($A38,kurspris!$A$1:$Q$852,9,FALSE)</f>
        <v>0</v>
      </c>
      <c r="AK38" s="31">
        <f>VLOOKUP($A38,kurspris!$A$1:$Q$852,10,FALSE)</f>
        <v>0</v>
      </c>
      <c r="AL38" s="31">
        <f>VLOOKUP($A38,kurspris!$A$1:$Q$852,11,FALSE)</f>
        <v>0</v>
      </c>
      <c r="AM38" s="31">
        <f>VLOOKUP($A38,kurspris!$A$1:$Q$852,12,FALSE)</f>
        <v>0</v>
      </c>
      <c r="AN38" s="31">
        <f>VLOOKUP($A38,kurspris!$A$1:$Q$852,13,FALSE)</f>
        <v>0</v>
      </c>
      <c r="AO38" s="31">
        <f>VLOOKUP($A38,kurspris!$A$1:$Q$852,14,FALSE)</f>
        <v>0</v>
      </c>
      <c r="AP38" s="59" t="s">
        <v>2216</v>
      </c>
      <c r="AR38" s="31">
        <f t="shared" si="4"/>
        <v>0</v>
      </c>
      <c r="AS38" s="237">
        <f t="shared" si="5"/>
        <v>0</v>
      </c>
      <c r="AT38" s="31">
        <f t="shared" si="6"/>
        <v>1</v>
      </c>
      <c r="AU38" s="237">
        <f t="shared" si="7"/>
        <v>0.8</v>
      </c>
      <c r="AV38" s="31">
        <f t="shared" si="8"/>
        <v>0</v>
      </c>
      <c r="AW38" s="31">
        <f t="shared" si="9"/>
        <v>0</v>
      </c>
      <c r="AX38" s="31">
        <f t="shared" si="10"/>
        <v>0</v>
      </c>
      <c r="AY38" s="237">
        <f t="shared" si="11"/>
        <v>0</v>
      </c>
      <c r="AZ38" s="214">
        <f t="shared" si="12"/>
        <v>0</v>
      </c>
      <c r="BA38" s="237">
        <f t="shared" si="13"/>
        <v>0</v>
      </c>
      <c r="BB38" s="31">
        <f t="shared" si="14"/>
        <v>0</v>
      </c>
      <c r="BC38" s="237">
        <f t="shared" si="15"/>
        <v>0</v>
      </c>
      <c r="BD38" s="31">
        <f t="shared" si="16"/>
        <v>0</v>
      </c>
      <c r="BE38" s="237">
        <f t="shared" si="17"/>
        <v>0</v>
      </c>
      <c r="BF38" s="31">
        <f t="shared" si="18"/>
        <v>0</v>
      </c>
      <c r="BG38" s="237">
        <f t="shared" si="19"/>
        <v>0</v>
      </c>
      <c r="BH38" s="31">
        <f t="shared" si="20"/>
        <v>0</v>
      </c>
      <c r="BI38" s="237">
        <f t="shared" si="21"/>
        <v>0</v>
      </c>
      <c r="BJ38" s="31">
        <f t="shared" si="22"/>
        <v>0</v>
      </c>
      <c r="BK38" s="31">
        <f t="shared" si="23"/>
        <v>0</v>
      </c>
      <c r="BL38" s="237">
        <f t="shared" si="24"/>
        <v>0</v>
      </c>
      <c r="BM38" s="31">
        <f t="shared" si="25"/>
        <v>0</v>
      </c>
      <c r="BN38" s="237">
        <f t="shared" si="26"/>
        <v>0</v>
      </c>
    </row>
    <row r="39" spans="1:66" x14ac:dyDescent="0.25">
      <c r="A39" s="31" t="s">
        <v>1728</v>
      </c>
      <c r="B39" s="182" t="str">
        <f>VLOOKUP(A39,kurspris!$A$1:$B$894,2,FALSE)</f>
        <v>Engelska 3 för ämneslärare med inriktning mot gymnasiet</v>
      </c>
      <c r="D39" s="31" t="s">
        <v>483</v>
      </c>
      <c r="F39" s="59">
        <v>2019</v>
      </c>
      <c r="Q39" s="237">
        <v>11.5</v>
      </c>
      <c r="R39" s="40">
        <v>0.85</v>
      </c>
      <c r="S39" s="313">
        <f t="shared" si="0"/>
        <v>9.7750000000000004</v>
      </c>
      <c r="T39" s="31">
        <f>VLOOKUP(A39,'Ansvar kurs'!$A$1:$C$1027,2,FALSE)</f>
        <v>1620</v>
      </c>
      <c r="U39" s="31" t="str">
        <f>VLOOKUP(T39,Orgenheter!$A$1:$C$165,2,FALSE)</f>
        <v>Inst för språkstudier</v>
      </c>
      <c r="V39" s="31" t="str">
        <f>VLOOKUP(T39,Orgenheter!$A$1:$C$165,3,FALSE)</f>
        <v>Hum</v>
      </c>
      <c r="W39" s="37" t="str">
        <f>VLOOKUP(D39,Program!$A$1:$B$34,2,FALSE)</f>
        <v>Ämneslärarprogrammet - Gy</v>
      </c>
      <c r="X39" s="42">
        <f>VLOOKUP(A39,kurspris!$A$1:$Q$815,15,FALSE)</f>
        <v>18405</v>
      </c>
      <c r="Y39" s="42">
        <f>VLOOKUP(A39,kurspris!$A$1:$Q$815,16,FALSE)</f>
        <v>15773</v>
      </c>
      <c r="Z39" s="42">
        <f t="shared" si="1"/>
        <v>365838.57500000001</v>
      </c>
      <c r="AA39" s="42">
        <f>VLOOKUP(A39,kurspris!$A$1:$Q$815,17,FALSE)</f>
        <v>5800</v>
      </c>
      <c r="AB39" s="42">
        <f t="shared" si="2"/>
        <v>66700</v>
      </c>
      <c r="AC39" s="42">
        <f t="shared" si="3"/>
        <v>432538.57500000001</v>
      </c>
      <c r="AD39" s="31">
        <f>VLOOKUP($A39,kurspris!$A$1:$Q$852,3,FALSE)</f>
        <v>0</v>
      </c>
      <c r="AE39" s="31">
        <f>VLOOKUP($A39,kurspris!$A$1:$Q$852,4,FALSE)</f>
        <v>1</v>
      </c>
      <c r="AF39" s="31">
        <f>VLOOKUP($A39,kurspris!$A$1:$Q$852,5,FALSE)</f>
        <v>0</v>
      </c>
      <c r="AG39" s="31">
        <f>VLOOKUP($A39,kurspris!$A$1:$Q$852,6,FALSE)</f>
        <v>0</v>
      </c>
      <c r="AH39" s="31">
        <f>VLOOKUP($A39,kurspris!$A$1:$Q$852,7,FALSE)</f>
        <v>0</v>
      </c>
      <c r="AI39" s="31">
        <f>VLOOKUP($A39,kurspris!$A$1:$Q$852,8,FALSE)</f>
        <v>0</v>
      </c>
      <c r="AJ39" s="31">
        <f>VLOOKUP($A39,kurspris!$A$1:$Q$852,9,FALSE)</f>
        <v>0</v>
      </c>
      <c r="AK39" s="31">
        <f>VLOOKUP($A39,kurspris!$A$1:$Q$852,10,FALSE)</f>
        <v>0</v>
      </c>
      <c r="AL39" s="31">
        <f>VLOOKUP($A39,kurspris!$A$1:$Q$852,11,FALSE)</f>
        <v>0</v>
      </c>
      <c r="AM39" s="31">
        <f>VLOOKUP($A39,kurspris!$A$1:$Q$852,12,FALSE)</f>
        <v>0</v>
      </c>
      <c r="AN39" s="31">
        <f>VLOOKUP($A39,kurspris!$A$1:$Q$852,13,FALSE)</f>
        <v>0</v>
      </c>
      <c r="AO39" s="31">
        <f>VLOOKUP($A39,kurspris!$A$1:$Q$852,14,FALSE)</f>
        <v>0</v>
      </c>
      <c r="AP39" s="59" t="s">
        <v>2216</v>
      </c>
      <c r="AR39" s="31">
        <f t="shared" si="4"/>
        <v>0</v>
      </c>
      <c r="AS39" s="237">
        <f t="shared" si="5"/>
        <v>0</v>
      </c>
      <c r="AT39" s="31">
        <f t="shared" si="6"/>
        <v>11.5</v>
      </c>
      <c r="AU39" s="237">
        <f t="shared" si="7"/>
        <v>9.7750000000000004</v>
      </c>
      <c r="AV39" s="31">
        <f t="shared" si="8"/>
        <v>0</v>
      </c>
      <c r="AW39" s="31">
        <f t="shared" si="9"/>
        <v>0</v>
      </c>
      <c r="AX39" s="31">
        <f t="shared" si="10"/>
        <v>0</v>
      </c>
      <c r="AY39" s="237">
        <f t="shared" si="11"/>
        <v>0</v>
      </c>
      <c r="AZ39" s="214">
        <f t="shared" si="12"/>
        <v>0</v>
      </c>
      <c r="BA39" s="237">
        <f t="shared" si="13"/>
        <v>0</v>
      </c>
      <c r="BB39" s="31">
        <f t="shared" si="14"/>
        <v>0</v>
      </c>
      <c r="BC39" s="237">
        <f t="shared" si="15"/>
        <v>0</v>
      </c>
      <c r="BD39" s="31">
        <f t="shared" si="16"/>
        <v>0</v>
      </c>
      <c r="BE39" s="237">
        <f t="shared" si="17"/>
        <v>0</v>
      </c>
      <c r="BF39" s="31">
        <f t="shared" si="18"/>
        <v>0</v>
      </c>
      <c r="BG39" s="237">
        <f t="shared" si="19"/>
        <v>0</v>
      </c>
      <c r="BH39" s="31">
        <f t="shared" si="20"/>
        <v>0</v>
      </c>
      <c r="BI39" s="237">
        <f t="shared" si="21"/>
        <v>0</v>
      </c>
      <c r="BJ39" s="31">
        <f t="shared" si="22"/>
        <v>0</v>
      </c>
      <c r="BK39" s="31">
        <f t="shared" si="23"/>
        <v>0</v>
      </c>
      <c r="BL39" s="237">
        <f t="shared" si="24"/>
        <v>0</v>
      </c>
      <c r="BM39" s="31">
        <f t="shared" si="25"/>
        <v>0</v>
      </c>
      <c r="BN39" s="237">
        <f t="shared" si="26"/>
        <v>0</v>
      </c>
    </row>
    <row r="40" spans="1:66" x14ac:dyDescent="0.25">
      <c r="A40" s="31" t="s">
        <v>1728</v>
      </c>
      <c r="B40" s="182" t="str">
        <f>VLOOKUP(A40,kurspris!$A$1:$B$894,2,FALSE)</f>
        <v>Engelska 3 för ämneslärare med inriktning mot gymnasiet</v>
      </c>
      <c r="D40" s="31" t="s">
        <v>117</v>
      </c>
      <c r="F40" s="59">
        <v>2019</v>
      </c>
      <c r="Q40" s="237">
        <v>1</v>
      </c>
      <c r="R40" s="40">
        <v>0.8</v>
      </c>
      <c r="S40" s="313">
        <f t="shared" si="0"/>
        <v>0.8</v>
      </c>
      <c r="T40" s="31">
        <f>VLOOKUP(A40,'Ansvar kurs'!$A$1:$C$1027,2,FALSE)</f>
        <v>1620</v>
      </c>
      <c r="U40" s="31" t="str">
        <f>VLOOKUP(T40,Orgenheter!$A$1:$C$165,2,FALSE)</f>
        <v>Inst för språkstudier</v>
      </c>
      <c r="V40" s="31" t="str">
        <f>VLOOKUP(T40,Orgenheter!$A$1:$C$165,3,FALSE)</f>
        <v>Hum</v>
      </c>
      <c r="W40" s="37" t="str">
        <f>VLOOKUP(D40,Program!$A$1:$B$34,2,FALSE)</f>
        <v>Fristående och övriga kurser</v>
      </c>
      <c r="X40" s="42">
        <f>VLOOKUP(A40,kurspris!$A$1:$Q$815,15,FALSE)</f>
        <v>18405</v>
      </c>
      <c r="Y40" s="42">
        <f>VLOOKUP(A40,kurspris!$A$1:$Q$815,16,FALSE)</f>
        <v>15773</v>
      </c>
      <c r="Z40" s="42">
        <f t="shared" si="1"/>
        <v>31023.4</v>
      </c>
      <c r="AA40" s="42">
        <f>VLOOKUP(A40,kurspris!$A$1:$Q$815,17,FALSE)</f>
        <v>5800</v>
      </c>
      <c r="AB40" s="42">
        <f t="shared" si="2"/>
        <v>5800</v>
      </c>
      <c r="AC40" s="42">
        <f t="shared" si="3"/>
        <v>36823.4</v>
      </c>
      <c r="AD40" s="31">
        <f>VLOOKUP($A40,kurspris!$A$1:$Q$852,3,FALSE)</f>
        <v>0</v>
      </c>
      <c r="AE40" s="31">
        <f>VLOOKUP($A40,kurspris!$A$1:$Q$852,4,FALSE)</f>
        <v>1</v>
      </c>
      <c r="AF40" s="31">
        <f>VLOOKUP($A40,kurspris!$A$1:$Q$852,5,FALSE)</f>
        <v>0</v>
      </c>
      <c r="AG40" s="31">
        <f>VLOOKUP($A40,kurspris!$A$1:$Q$852,6,FALSE)</f>
        <v>0</v>
      </c>
      <c r="AH40" s="31">
        <f>VLOOKUP($A40,kurspris!$A$1:$Q$852,7,FALSE)</f>
        <v>0</v>
      </c>
      <c r="AI40" s="31">
        <f>VLOOKUP($A40,kurspris!$A$1:$Q$852,8,FALSE)</f>
        <v>0</v>
      </c>
      <c r="AJ40" s="31">
        <f>VLOOKUP($A40,kurspris!$A$1:$Q$852,9,FALSE)</f>
        <v>0</v>
      </c>
      <c r="AK40" s="31">
        <f>VLOOKUP($A40,kurspris!$A$1:$Q$852,10,FALSE)</f>
        <v>0</v>
      </c>
      <c r="AL40" s="31">
        <f>VLOOKUP($A40,kurspris!$A$1:$Q$852,11,FALSE)</f>
        <v>0</v>
      </c>
      <c r="AM40" s="31">
        <f>VLOOKUP($A40,kurspris!$A$1:$Q$852,12,FALSE)</f>
        <v>0</v>
      </c>
      <c r="AN40" s="31">
        <f>VLOOKUP($A40,kurspris!$A$1:$Q$852,13,FALSE)</f>
        <v>0</v>
      </c>
      <c r="AO40" s="31">
        <f>VLOOKUP($A40,kurspris!$A$1:$Q$852,14,FALSE)</f>
        <v>0</v>
      </c>
      <c r="AP40" s="59" t="s">
        <v>2216</v>
      </c>
      <c r="AR40" s="31">
        <f t="shared" si="4"/>
        <v>0</v>
      </c>
      <c r="AS40" s="237">
        <f t="shared" si="5"/>
        <v>0</v>
      </c>
      <c r="AT40" s="31">
        <f t="shared" si="6"/>
        <v>1</v>
      </c>
      <c r="AU40" s="237">
        <f t="shared" si="7"/>
        <v>0.8</v>
      </c>
      <c r="AV40" s="31">
        <f t="shared" si="8"/>
        <v>0</v>
      </c>
      <c r="AW40" s="31">
        <f t="shared" si="9"/>
        <v>0</v>
      </c>
      <c r="AX40" s="31">
        <f t="shared" si="10"/>
        <v>0</v>
      </c>
      <c r="AY40" s="237">
        <f t="shared" si="11"/>
        <v>0</v>
      </c>
      <c r="AZ40" s="214">
        <f t="shared" si="12"/>
        <v>0</v>
      </c>
      <c r="BA40" s="237">
        <f t="shared" si="13"/>
        <v>0</v>
      </c>
      <c r="BB40" s="31">
        <f t="shared" si="14"/>
        <v>0</v>
      </c>
      <c r="BC40" s="237">
        <f t="shared" si="15"/>
        <v>0</v>
      </c>
      <c r="BD40" s="31">
        <f t="shared" si="16"/>
        <v>0</v>
      </c>
      <c r="BE40" s="237">
        <f t="shared" si="17"/>
        <v>0</v>
      </c>
      <c r="BF40" s="31">
        <f t="shared" si="18"/>
        <v>0</v>
      </c>
      <c r="BG40" s="237">
        <f t="shared" si="19"/>
        <v>0</v>
      </c>
      <c r="BH40" s="31">
        <f t="shared" si="20"/>
        <v>0</v>
      </c>
      <c r="BI40" s="237">
        <f t="shared" si="21"/>
        <v>0</v>
      </c>
      <c r="BJ40" s="31">
        <f t="shared" si="22"/>
        <v>0</v>
      </c>
      <c r="BK40" s="31">
        <f t="shared" si="23"/>
        <v>0</v>
      </c>
      <c r="BL40" s="237">
        <f t="shared" si="24"/>
        <v>0</v>
      </c>
      <c r="BM40" s="31">
        <f t="shared" si="25"/>
        <v>0</v>
      </c>
      <c r="BN40" s="237">
        <f t="shared" si="26"/>
        <v>0</v>
      </c>
    </row>
    <row r="41" spans="1:66" x14ac:dyDescent="0.25">
      <c r="A41" s="31" t="s">
        <v>1729</v>
      </c>
      <c r="B41" s="182" t="str">
        <f>VLOOKUP(A41,kurspris!$A$1:$B$894,2,FALSE)</f>
        <v>Engelska 2 för ämneslärare med inriktning mot gymnasiet</v>
      </c>
      <c r="D41" s="31" t="s">
        <v>483</v>
      </c>
      <c r="F41" s="59">
        <v>2019</v>
      </c>
      <c r="Q41" s="237">
        <v>16</v>
      </c>
      <c r="R41" s="40">
        <v>0.85</v>
      </c>
      <c r="S41" s="313">
        <f t="shared" si="0"/>
        <v>13.6</v>
      </c>
      <c r="T41" s="31">
        <f>VLOOKUP(A41,'Ansvar kurs'!$A$1:$C$1027,2,FALSE)</f>
        <v>1620</v>
      </c>
      <c r="U41" s="31" t="str">
        <f>VLOOKUP(T41,Orgenheter!$A$1:$C$165,2,FALSE)</f>
        <v>Inst för språkstudier</v>
      </c>
      <c r="V41" s="31" t="str">
        <f>VLOOKUP(T41,Orgenheter!$A$1:$C$165,3,FALSE)</f>
        <v>Hum</v>
      </c>
      <c r="W41" s="37" t="str">
        <f>VLOOKUP(D41,Program!$A$1:$B$34,2,FALSE)</f>
        <v>Ämneslärarprogrammet - Gy</v>
      </c>
      <c r="X41" s="42">
        <f>VLOOKUP(A41,kurspris!$A$1:$Q$815,15,FALSE)</f>
        <v>18405</v>
      </c>
      <c r="Y41" s="42">
        <f>VLOOKUP(A41,kurspris!$A$1:$Q$815,16,FALSE)</f>
        <v>15773</v>
      </c>
      <c r="Z41" s="42">
        <f t="shared" si="1"/>
        <v>508992.8</v>
      </c>
      <c r="AA41" s="42">
        <f>VLOOKUP(A41,kurspris!$A$1:$Q$815,17,FALSE)</f>
        <v>5800</v>
      </c>
      <c r="AB41" s="42">
        <f t="shared" si="2"/>
        <v>92800</v>
      </c>
      <c r="AC41" s="42">
        <f t="shared" si="3"/>
        <v>601792.80000000005</v>
      </c>
      <c r="AD41" s="31">
        <f>VLOOKUP($A41,kurspris!$A$1:$Q$852,3,FALSE)</f>
        <v>0</v>
      </c>
      <c r="AE41" s="31">
        <f>VLOOKUP($A41,kurspris!$A$1:$Q$852,4,FALSE)</f>
        <v>1</v>
      </c>
      <c r="AF41" s="31">
        <f>VLOOKUP($A41,kurspris!$A$1:$Q$852,5,FALSE)</f>
        <v>0</v>
      </c>
      <c r="AG41" s="31">
        <f>VLOOKUP($A41,kurspris!$A$1:$Q$852,6,FALSE)</f>
        <v>0</v>
      </c>
      <c r="AH41" s="31">
        <f>VLOOKUP($A41,kurspris!$A$1:$Q$852,7,FALSE)</f>
        <v>0</v>
      </c>
      <c r="AI41" s="31">
        <f>VLOOKUP($A41,kurspris!$A$1:$Q$852,8,FALSE)</f>
        <v>0</v>
      </c>
      <c r="AJ41" s="31">
        <f>VLOOKUP($A41,kurspris!$A$1:$Q$852,9,FALSE)</f>
        <v>0</v>
      </c>
      <c r="AK41" s="31">
        <f>VLOOKUP($A41,kurspris!$A$1:$Q$852,10,FALSE)</f>
        <v>0</v>
      </c>
      <c r="AL41" s="31">
        <f>VLOOKUP($A41,kurspris!$A$1:$Q$852,11,FALSE)</f>
        <v>0</v>
      </c>
      <c r="AM41" s="31">
        <f>VLOOKUP($A41,kurspris!$A$1:$Q$852,12,FALSE)</f>
        <v>0</v>
      </c>
      <c r="AN41" s="31">
        <f>VLOOKUP($A41,kurspris!$A$1:$Q$852,13,FALSE)</f>
        <v>0</v>
      </c>
      <c r="AO41" s="31">
        <f>VLOOKUP($A41,kurspris!$A$1:$Q$852,14,FALSE)</f>
        <v>0</v>
      </c>
      <c r="AP41" s="59" t="s">
        <v>2216</v>
      </c>
      <c r="AR41" s="31">
        <f t="shared" si="4"/>
        <v>0</v>
      </c>
      <c r="AS41" s="237">
        <f t="shared" si="5"/>
        <v>0</v>
      </c>
      <c r="AT41" s="31">
        <f t="shared" si="6"/>
        <v>16</v>
      </c>
      <c r="AU41" s="237">
        <f t="shared" si="7"/>
        <v>13.6</v>
      </c>
      <c r="AV41" s="31">
        <f t="shared" si="8"/>
        <v>0</v>
      </c>
      <c r="AW41" s="31">
        <f t="shared" si="9"/>
        <v>0</v>
      </c>
      <c r="AX41" s="31">
        <f t="shared" si="10"/>
        <v>0</v>
      </c>
      <c r="AY41" s="237">
        <f t="shared" si="11"/>
        <v>0</v>
      </c>
      <c r="AZ41" s="214">
        <f t="shared" si="12"/>
        <v>0</v>
      </c>
      <c r="BA41" s="237">
        <f t="shared" si="13"/>
        <v>0</v>
      </c>
      <c r="BB41" s="31">
        <f t="shared" si="14"/>
        <v>0</v>
      </c>
      <c r="BC41" s="237">
        <f t="shared" si="15"/>
        <v>0</v>
      </c>
      <c r="BD41" s="31">
        <f t="shared" si="16"/>
        <v>0</v>
      </c>
      <c r="BE41" s="237">
        <f t="shared" si="17"/>
        <v>0</v>
      </c>
      <c r="BF41" s="31">
        <f t="shared" si="18"/>
        <v>0</v>
      </c>
      <c r="BG41" s="237">
        <f t="shared" si="19"/>
        <v>0</v>
      </c>
      <c r="BH41" s="31">
        <f t="shared" si="20"/>
        <v>0</v>
      </c>
      <c r="BI41" s="237">
        <f t="shared" si="21"/>
        <v>0</v>
      </c>
      <c r="BJ41" s="31">
        <f t="shared" si="22"/>
        <v>0</v>
      </c>
      <c r="BK41" s="31">
        <f t="shared" si="23"/>
        <v>0</v>
      </c>
      <c r="BL41" s="237">
        <f t="shared" si="24"/>
        <v>0</v>
      </c>
      <c r="BM41" s="31">
        <f t="shared" si="25"/>
        <v>0</v>
      </c>
      <c r="BN41" s="237">
        <f t="shared" si="26"/>
        <v>0</v>
      </c>
    </row>
    <row r="42" spans="1:66" x14ac:dyDescent="0.25">
      <c r="A42" s="31" t="s">
        <v>1895</v>
      </c>
      <c r="B42" s="182" t="str">
        <f>VLOOKUP(A42,kurspris!$A$1:$B$894,2,FALSE)</f>
        <v>Att undervisa i engelska (VFU)</v>
      </c>
      <c r="D42" s="31" t="s">
        <v>483</v>
      </c>
      <c r="F42" s="59">
        <v>2019</v>
      </c>
      <c r="Q42" s="237">
        <v>1.2</v>
      </c>
      <c r="R42" s="40">
        <v>0.85</v>
      </c>
      <c r="S42" s="313">
        <f t="shared" si="0"/>
        <v>1.02</v>
      </c>
      <c r="T42" s="31">
        <f>VLOOKUP(A42,'Ansvar kurs'!$A$1:$C$1027,2,FALSE)</f>
        <v>1620</v>
      </c>
      <c r="U42" s="31" t="str">
        <f>VLOOKUP(T42,Orgenheter!$A$1:$C$165,2,FALSE)</f>
        <v>Inst för språkstudier</v>
      </c>
      <c r="V42" s="31" t="str">
        <f>VLOOKUP(T42,Orgenheter!$A$1:$C$165,3,FALSE)</f>
        <v>Hum</v>
      </c>
      <c r="W42" s="37" t="str">
        <f>VLOOKUP(D42,Program!$A$1:$B$34,2,FALSE)</f>
        <v>Ämneslärarprogrammet - Gy</v>
      </c>
      <c r="X42" s="42">
        <f>VLOOKUP(A42,kurspris!$A$1:$Q$815,15,FALSE)</f>
        <v>21634</v>
      </c>
      <c r="Y42" s="42">
        <f>VLOOKUP(A42,kurspris!$A$1:$Q$815,16,FALSE)</f>
        <v>26986</v>
      </c>
      <c r="Z42" s="42">
        <f t="shared" si="1"/>
        <v>53486.520000000004</v>
      </c>
      <c r="AA42" s="42">
        <f>VLOOKUP(A42,kurspris!$A$1:$Q$815,17,FALSE)</f>
        <v>3400</v>
      </c>
      <c r="AB42" s="42">
        <f t="shared" si="2"/>
        <v>4080</v>
      </c>
      <c r="AC42" s="42">
        <f t="shared" si="3"/>
        <v>57566.520000000004</v>
      </c>
      <c r="AD42" s="31">
        <f>VLOOKUP($A42,kurspris!$A$1:$Q$852,3,FALSE)</f>
        <v>0</v>
      </c>
      <c r="AE42" s="31">
        <f>VLOOKUP($A42,kurspris!$A$1:$Q$852,4,FALSE)</f>
        <v>0</v>
      </c>
      <c r="AF42" s="31">
        <f>VLOOKUP($A42,kurspris!$A$1:$Q$852,5,FALSE)</f>
        <v>0</v>
      </c>
      <c r="AG42" s="31">
        <f>VLOOKUP($A42,kurspris!$A$1:$Q$852,6,FALSE)</f>
        <v>0</v>
      </c>
      <c r="AH42" s="31">
        <f>VLOOKUP($A42,kurspris!$A$1:$Q$852,7,FALSE)</f>
        <v>0</v>
      </c>
      <c r="AI42" s="31">
        <f>VLOOKUP($A42,kurspris!$A$1:$Q$852,8,FALSE)</f>
        <v>0</v>
      </c>
      <c r="AJ42" s="31">
        <f>VLOOKUP($A42,kurspris!$A$1:$Q$852,9,FALSE)</f>
        <v>0</v>
      </c>
      <c r="AK42" s="31">
        <f>VLOOKUP($A42,kurspris!$A$1:$Q$852,10,FALSE)</f>
        <v>0</v>
      </c>
      <c r="AL42" s="31">
        <f>VLOOKUP($A42,kurspris!$A$1:$Q$852,11,FALSE)</f>
        <v>1</v>
      </c>
      <c r="AM42" s="31">
        <f>VLOOKUP($A42,kurspris!$A$1:$Q$852,12,FALSE)</f>
        <v>0</v>
      </c>
      <c r="AN42" s="31">
        <f>VLOOKUP($A42,kurspris!$A$1:$Q$852,13,FALSE)</f>
        <v>0</v>
      </c>
      <c r="AO42" s="31">
        <f>VLOOKUP($A42,kurspris!$A$1:$Q$852,14,FALSE)</f>
        <v>0</v>
      </c>
      <c r="AP42" s="59" t="s">
        <v>2216</v>
      </c>
      <c r="AR42" s="31">
        <f t="shared" si="4"/>
        <v>0</v>
      </c>
      <c r="AS42" s="237">
        <f t="shared" si="5"/>
        <v>0</v>
      </c>
      <c r="AT42" s="31">
        <f t="shared" si="6"/>
        <v>0</v>
      </c>
      <c r="AU42" s="237">
        <f t="shared" si="7"/>
        <v>0</v>
      </c>
      <c r="AV42" s="31">
        <f t="shared" si="8"/>
        <v>0</v>
      </c>
      <c r="AW42" s="31">
        <f t="shared" si="9"/>
        <v>0</v>
      </c>
      <c r="AX42" s="31">
        <f t="shared" si="10"/>
        <v>0</v>
      </c>
      <c r="AY42" s="237">
        <f t="shared" si="11"/>
        <v>0</v>
      </c>
      <c r="AZ42" s="214">
        <f t="shared" si="12"/>
        <v>0</v>
      </c>
      <c r="BA42" s="237">
        <f t="shared" si="13"/>
        <v>0</v>
      </c>
      <c r="BB42" s="31">
        <f t="shared" si="14"/>
        <v>0</v>
      </c>
      <c r="BC42" s="237">
        <f t="shared" si="15"/>
        <v>0</v>
      </c>
      <c r="BD42" s="31">
        <f t="shared" si="16"/>
        <v>0</v>
      </c>
      <c r="BE42" s="237">
        <f t="shared" si="17"/>
        <v>0</v>
      </c>
      <c r="BF42" s="31">
        <f t="shared" si="18"/>
        <v>0</v>
      </c>
      <c r="BG42" s="237">
        <f t="shared" si="19"/>
        <v>0</v>
      </c>
      <c r="BH42" s="31">
        <f t="shared" si="20"/>
        <v>1.2</v>
      </c>
      <c r="BI42" s="237">
        <f t="shared" si="21"/>
        <v>1.02</v>
      </c>
      <c r="BJ42" s="31">
        <f t="shared" si="22"/>
        <v>0</v>
      </c>
      <c r="BK42" s="31">
        <f t="shared" si="23"/>
        <v>0</v>
      </c>
      <c r="BL42" s="237">
        <f t="shared" si="24"/>
        <v>0</v>
      </c>
      <c r="BM42" s="31">
        <f t="shared" si="25"/>
        <v>0</v>
      </c>
      <c r="BN42" s="237">
        <f t="shared" si="26"/>
        <v>0</v>
      </c>
    </row>
    <row r="43" spans="1:66" x14ac:dyDescent="0.25">
      <c r="A43" s="31" t="s">
        <v>1912</v>
      </c>
      <c r="B43" s="182" t="str">
        <f>VLOOKUP(A43,kurspris!$A$1:$B$894,2,FALSE)</f>
        <v>Engelska för F-3, kurs 1</v>
      </c>
      <c r="D43" s="31" t="s">
        <v>486</v>
      </c>
      <c r="F43" s="59">
        <v>2019</v>
      </c>
      <c r="Q43" s="237">
        <v>5.875</v>
      </c>
      <c r="R43" s="40">
        <v>0.85</v>
      </c>
      <c r="S43" s="313">
        <f t="shared" si="0"/>
        <v>4.9937499999999995</v>
      </c>
      <c r="T43" s="31">
        <f>VLOOKUP(A43,'Ansvar kurs'!$A$1:$C$1027,2,FALSE)</f>
        <v>1620</v>
      </c>
      <c r="U43" s="31" t="str">
        <f>VLOOKUP(T43,Orgenheter!$A$1:$C$165,2,FALSE)</f>
        <v>Inst för språkstudier</v>
      </c>
      <c r="V43" s="31" t="str">
        <f>VLOOKUP(T43,Orgenheter!$A$1:$C$165,3,FALSE)</f>
        <v>Hum</v>
      </c>
      <c r="W43" s="37" t="str">
        <f>VLOOKUP(D43,Program!$A$1:$B$34,2,FALSE)</f>
        <v>Grundlärarprogrammet - förskoleklass och åk 1-3</v>
      </c>
      <c r="X43" s="42">
        <f>VLOOKUP(A43,kurspris!$A$1:$Q$815,15,FALSE)</f>
        <v>18405</v>
      </c>
      <c r="Y43" s="42">
        <f>VLOOKUP(A43,kurspris!$A$1:$Q$815,16,FALSE)</f>
        <v>15773</v>
      </c>
      <c r="Z43" s="42">
        <f t="shared" si="1"/>
        <v>186895.79375000001</v>
      </c>
      <c r="AA43" s="42">
        <f>VLOOKUP(A43,kurspris!$A$1:$Q$815,17,FALSE)</f>
        <v>5800</v>
      </c>
      <c r="AB43" s="42">
        <f t="shared" si="2"/>
        <v>34075</v>
      </c>
      <c r="AC43" s="42">
        <f t="shared" si="3"/>
        <v>220970.79375000001</v>
      </c>
      <c r="AD43" s="31">
        <f>VLOOKUP($A43,kurspris!$A$1:$Q$852,3,FALSE)</f>
        <v>0</v>
      </c>
      <c r="AE43" s="31">
        <f>VLOOKUP($A43,kurspris!$A$1:$Q$852,4,FALSE)</f>
        <v>1</v>
      </c>
      <c r="AF43" s="31">
        <f>VLOOKUP($A43,kurspris!$A$1:$Q$852,5,FALSE)</f>
        <v>0</v>
      </c>
      <c r="AG43" s="31">
        <f>VLOOKUP($A43,kurspris!$A$1:$Q$852,6,FALSE)</f>
        <v>0</v>
      </c>
      <c r="AH43" s="31">
        <f>VLOOKUP($A43,kurspris!$A$1:$Q$852,7,FALSE)</f>
        <v>0</v>
      </c>
      <c r="AI43" s="31">
        <f>VLOOKUP($A43,kurspris!$A$1:$Q$852,8,FALSE)</f>
        <v>0</v>
      </c>
      <c r="AJ43" s="31">
        <f>VLOOKUP($A43,kurspris!$A$1:$Q$852,9,FALSE)</f>
        <v>0</v>
      </c>
      <c r="AK43" s="31">
        <f>VLOOKUP($A43,kurspris!$A$1:$Q$852,10,FALSE)</f>
        <v>0</v>
      </c>
      <c r="AL43" s="31">
        <f>VLOOKUP($A43,kurspris!$A$1:$Q$852,11,FALSE)</f>
        <v>0</v>
      </c>
      <c r="AM43" s="31">
        <f>VLOOKUP($A43,kurspris!$A$1:$Q$852,12,FALSE)</f>
        <v>0</v>
      </c>
      <c r="AN43" s="31">
        <f>VLOOKUP($A43,kurspris!$A$1:$Q$852,13,FALSE)</f>
        <v>0</v>
      </c>
      <c r="AO43" s="31">
        <f>VLOOKUP($A43,kurspris!$A$1:$Q$852,14,FALSE)</f>
        <v>0</v>
      </c>
      <c r="AP43" s="59" t="s">
        <v>2216</v>
      </c>
      <c r="AR43" s="31">
        <f t="shared" si="4"/>
        <v>0</v>
      </c>
      <c r="AS43" s="237">
        <f t="shared" si="5"/>
        <v>0</v>
      </c>
      <c r="AT43" s="31">
        <f t="shared" si="6"/>
        <v>5.875</v>
      </c>
      <c r="AU43" s="237">
        <f t="shared" si="7"/>
        <v>4.9937499999999995</v>
      </c>
      <c r="AV43" s="31">
        <f t="shared" si="8"/>
        <v>0</v>
      </c>
      <c r="AW43" s="31">
        <f t="shared" si="9"/>
        <v>0</v>
      </c>
      <c r="AX43" s="31">
        <f t="shared" si="10"/>
        <v>0</v>
      </c>
      <c r="AY43" s="237">
        <f t="shared" si="11"/>
        <v>0</v>
      </c>
      <c r="AZ43" s="214">
        <f t="shared" si="12"/>
        <v>0</v>
      </c>
      <c r="BA43" s="237">
        <f t="shared" si="13"/>
        <v>0</v>
      </c>
      <c r="BB43" s="31">
        <f t="shared" si="14"/>
        <v>0</v>
      </c>
      <c r="BC43" s="237">
        <f t="shared" si="15"/>
        <v>0</v>
      </c>
      <c r="BD43" s="31">
        <f t="shared" si="16"/>
        <v>0</v>
      </c>
      <c r="BE43" s="237">
        <f t="shared" si="17"/>
        <v>0</v>
      </c>
      <c r="BF43" s="31">
        <f t="shared" si="18"/>
        <v>0</v>
      </c>
      <c r="BG43" s="237">
        <f t="shared" si="19"/>
        <v>0</v>
      </c>
      <c r="BH43" s="31">
        <f t="shared" si="20"/>
        <v>0</v>
      </c>
      <c r="BI43" s="237">
        <f t="shared" si="21"/>
        <v>0</v>
      </c>
      <c r="BJ43" s="31">
        <f t="shared" si="22"/>
        <v>0</v>
      </c>
      <c r="BK43" s="31">
        <f t="shared" si="23"/>
        <v>0</v>
      </c>
      <c r="BL43" s="237">
        <f t="shared" si="24"/>
        <v>0</v>
      </c>
      <c r="BM43" s="31">
        <f t="shared" si="25"/>
        <v>0</v>
      </c>
      <c r="BN43" s="237">
        <f t="shared" si="26"/>
        <v>0</v>
      </c>
    </row>
    <row r="44" spans="1:66" x14ac:dyDescent="0.25">
      <c r="A44" s="159" t="s">
        <v>1913</v>
      </c>
      <c r="B44" s="182" t="str">
        <f>VLOOKUP(A44,kurspris!$A$1:$B$894,2,FALSE)</f>
        <v>Engelska för åk 4-6, kurs 1</v>
      </c>
      <c r="C44" s="37"/>
      <c r="D44" s="31" t="s">
        <v>524</v>
      </c>
      <c r="F44" s="59">
        <v>2019</v>
      </c>
      <c r="Q44" s="237">
        <v>3.25</v>
      </c>
      <c r="R44" s="40">
        <v>0.85</v>
      </c>
      <c r="S44" s="313">
        <f t="shared" si="0"/>
        <v>2.7624999999999997</v>
      </c>
      <c r="T44" s="31">
        <f>VLOOKUP(A44,'Ansvar kurs'!$A$1:$C$1027,2,FALSE)</f>
        <v>1620</v>
      </c>
      <c r="U44" s="31" t="str">
        <f>VLOOKUP(T44,Orgenheter!$A$1:$C$165,2,FALSE)</f>
        <v>Inst för språkstudier</v>
      </c>
      <c r="V44" s="31" t="str">
        <f>VLOOKUP(T44,Orgenheter!$A$1:$C$165,3,FALSE)</f>
        <v>Hum</v>
      </c>
      <c r="W44" s="37" t="str">
        <f>VLOOKUP(D44,Program!$A$1:$B$34,2,FALSE)</f>
        <v>Grundlärarprogrammet - grundskolans åk 4-6</v>
      </c>
      <c r="X44" s="42">
        <f>VLOOKUP(A44,kurspris!$A$1:$Q$815,15,FALSE)</f>
        <v>18405</v>
      </c>
      <c r="Y44" s="42">
        <f>VLOOKUP(A44,kurspris!$A$1:$Q$815,16,FALSE)</f>
        <v>15773</v>
      </c>
      <c r="Z44" s="42">
        <f t="shared" si="1"/>
        <v>103389.16250000001</v>
      </c>
      <c r="AA44" s="42">
        <f>VLOOKUP(A44,kurspris!$A$1:$Q$815,17,FALSE)</f>
        <v>5800</v>
      </c>
      <c r="AB44" s="42">
        <f t="shared" si="2"/>
        <v>18850</v>
      </c>
      <c r="AC44" s="42">
        <f t="shared" si="3"/>
        <v>122239.16250000001</v>
      </c>
      <c r="AD44" s="31">
        <f>VLOOKUP($A44,kurspris!$A$1:$Q$852,3,FALSE)</f>
        <v>0</v>
      </c>
      <c r="AE44" s="31">
        <f>VLOOKUP($A44,kurspris!$A$1:$Q$852,4,FALSE)</f>
        <v>1</v>
      </c>
      <c r="AF44" s="31">
        <f>VLOOKUP($A44,kurspris!$A$1:$Q$852,5,FALSE)</f>
        <v>0</v>
      </c>
      <c r="AG44" s="31">
        <f>VLOOKUP($A44,kurspris!$A$1:$Q$852,6,FALSE)</f>
        <v>0</v>
      </c>
      <c r="AH44" s="31">
        <f>VLOOKUP($A44,kurspris!$A$1:$Q$852,7,FALSE)</f>
        <v>0</v>
      </c>
      <c r="AI44" s="31">
        <f>VLOOKUP($A44,kurspris!$A$1:$Q$852,8,FALSE)</f>
        <v>0</v>
      </c>
      <c r="AJ44" s="31">
        <f>VLOOKUP($A44,kurspris!$A$1:$Q$852,9,FALSE)</f>
        <v>0</v>
      </c>
      <c r="AK44" s="31">
        <f>VLOOKUP($A44,kurspris!$A$1:$Q$852,10,FALSE)</f>
        <v>0</v>
      </c>
      <c r="AL44" s="31">
        <f>VLOOKUP($A44,kurspris!$A$1:$Q$852,11,FALSE)</f>
        <v>0</v>
      </c>
      <c r="AM44" s="31">
        <f>VLOOKUP($A44,kurspris!$A$1:$Q$852,12,FALSE)</f>
        <v>0</v>
      </c>
      <c r="AN44" s="31">
        <f>VLOOKUP($A44,kurspris!$A$1:$Q$852,13,FALSE)</f>
        <v>0</v>
      </c>
      <c r="AO44" s="31">
        <f>VLOOKUP($A44,kurspris!$A$1:$Q$852,14,FALSE)</f>
        <v>0</v>
      </c>
      <c r="AP44" s="59" t="s">
        <v>2216</v>
      </c>
      <c r="AR44" s="31">
        <f t="shared" si="4"/>
        <v>0</v>
      </c>
      <c r="AS44" s="237">
        <f t="shared" si="5"/>
        <v>0</v>
      </c>
      <c r="AT44" s="31">
        <f t="shared" si="6"/>
        <v>3.25</v>
      </c>
      <c r="AU44" s="237">
        <f t="shared" si="7"/>
        <v>2.7624999999999997</v>
      </c>
      <c r="AV44" s="31">
        <f t="shared" si="8"/>
        <v>0</v>
      </c>
      <c r="AW44" s="31">
        <f t="shared" si="9"/>
        <v>0</v>
      </c>
      <c r="AX44" s="31">
        <f t="shared" si="10"/>
        <v>0</v>
      </c>
      <c r="AY44" s="237">
        <f t="shared" si="11"/>
        <v>0</v>
      </c>
      <c r="AZ44" s="214">
        <f t="shared" si="12"/>
        <v>0</v>
      </c>
      <c r="BA44" s="237">
        <f t="shared" si="13"/>
        <v>0</v>
      </c>
      <c r="BB44" s="31">
        <f t="shared" si="14"/>
        <v>0</v>
      </c>
      <c r="BC44" s="237">
        <f t="shared" si="15"/>
        <v>0</v>
      </c>
      <c r="BD44" s="31">
        <f t="shared" si="16"/>
        <v>0</v>
      </c>
      <c r="BE44" s="237">
        <f t="shared" si="17"/>
        <v>0</v>
      </c>
      <c r="BF44" s="31">
        <f t="shared" si="18"/>
        <v>0</v>
      </c>
      <c r="BG44" s="237">
        <f t="shared" si="19"/>
        <v>0</v>
      </c>
      <c r="BH44" s="31">
        <f t="shared" si="20"/>
        <v>0</v>
      </c>
      <c r="BI44" s="237">
        <f t="shared" si="21"/>
        <v>0</v>
      </c>
      <c r="BJ44" s="31">
        <f t="shared" si="22"/>
        <v>0</v>
      </c>
      <c r="BK44" s="31">
        <f t="shared" si="23"/>
        <v>0</v>
      </c>
      <c r="BL44" s="237">
        <f t="shared" si="24"/>
        <v>0</v>
      </c>
      <c r="BM44" s="31">
        <f t="shared" si="25"/>
        <v>0</v>
      </c>
      <c r="BN44" s="237">
        <f t="shared" si="26"/>
        <v>0</v>
      </c>
    </row>
    <row r="45" spans="1:66" x14ac:dyDescent="0.25">
      <c r="A45" s="59" t="s">
        <v>1985</v>
      </c>
      <c r="B45" s="182" t="str">
        <f>VLOOKUP(A45,kurspris!$A$1:$B$894,2,FALSE)</f>
        <v>Engelska för F-3, kurs 2</v>
      </c>
      <c r="C45" s="37"/>
      <c r="D45" s="59" t="s">
        <v>486</v>
      </c>
      <c r="E45" s="62"/>
      <c r="F45" s="59">
        <v>2019</v>
      </c>
      <c r="M45" s="388"/>
      <c r="N45" s="40"/>
      <c r="P45" s="387"/>
      <c r="Q45" s="237">
        <v>5.125</v>
      </c>
      <c r="R45" s="40">
        <v>0.85</v>
      </c>
      <c r="S45" s="313">
        <f t="shared" si="0"/>
        <v>4.3562500000000002</v>
      </c>
      <c r="T45" s="31">
        <f>VLOOKUP(A45,'Ansvar kurs'!$A$1:$C$1027,2,FALSE)</f>
        <v>1620</v>
      </c>
      <c r="U45" s="31" t="str">
        <f>VLOOKUP(T45,Orgenheter!$A$1:$C$165,2,FALSE)</f>
        <v>Inst för språkstudier</v>
      </c>
      <c r="V45" s="31" t="str">
        <f>VLOOKUP(T45,Orgenheter!$A$1:$C$165,3,FALSE)</f>
        <v>Hum</v>
      </c>
      <c r="W45" s="37" t="str">
        <f>VLOOKUP(D45,Program!$A$1:$B$34,2,FALSE)</f>
        <v>Grundlärarprogrammet - förskoleklass och åk 1-3</v>
      </c>
      <c r="X45" s="42">
        <f>VLOOKUP(A45,kurspris!$A$1:$Q$815,15,FALSE)</f>
        <v>18405</v>
      </c>
      <c r="Y45" s="42">
        <f>VLOOKUP(A45,kurspris!$A$1:$Q$815,16,FALSE)</f>
        <v>15773</v>
      </c>
      <c r="Z45" s="42">
        <f t="shared" si="1"/>
        <v>163036.75625000001</v>
      </c>
      <c r="AA45" s="42">
        <f>VLOOKUP(A45,kurspris!$A$1:$Q$815,17,FALSE)</f>
        <v>5800</v>
      </c>
      <c r="AB45" s="42">
        <f t="shared" si="2"/>
        <v>29725</v>
      </c>
      <c r="AC45" s="42">
        <f t="shared" si="3"/>
        <v>192761.75625000001</v>
      </c>
      <c r="AD45" s="31">
        <f>VLOOKUP($A45,kurspris!$A$1:$Q$852,3,FALSE)</f>
        <v>0</v>
      </c>
      <c r="AE45" s="31">
        <f>VLOOKUP($A45,kurspris!$A$1:$Q$852,4,FALSE)</f>
        <v>1</v>
      </c>
      <c r="AF45" s="31">
        <f>VLOOKUP($A45,kurspris!$A$1:$Q$852,5,FALSE)</f>
        <v>0</v>
      </c>
      <c r="AG45" s="31">
        <f>VLOOKUP($A45,kurspris!$A$1:$Q$852,6,FALSE)</f>
        <v>0</v>
      </c>
      <c r="AH45" s="31">
        <f>VLOOKUP($A45,kurspris!$A$1:$Q$852,7,FALSE)</f>
        <v>0</v>
      </c>
      <c r="AI45" s="31">
        <f>VLOOKUP($A45,kurspris!$A$1:$Q$852,8,FALSE)</f>
        <v>0</v>
      </c>
      <c r="AJ45" s="31">
        <f>VLOOKUP($A45,kurspris!$A$1:$Q$852,9,FALSE)</f>
        <v>0</v>
      </c>
      <c r="AK45" s="31">
        <f>VLOOKUP($A45,kurspris!$A$1:$Q$852,10,FALSE)</f>
        <v>0</v>
      </c>
      <c r="AL45" s="31">
        <f>VLOOKUP($A45,kurspris!$A$1:$Q$852,11,FALSE)</f>
        <v>0</v>
      </c>
      <c r="AM45" s="31">
        <f>VLOOKUP($A45,kurspris!$A$1:$Q$852,12,FALSE)</f>
        <v>0</v>
      </c>
      <c r="AN45" s="31">
        <f>VLOOKUP($A45,kurspris!$A$1:$Q$852,13,FALSE)</f>
        <v>0</v>
      </c>
      <c r="AO45" s="31">
        <f>VLOOKUP($A45,kurspris!$A$1:$Q$852,14,FALSE)</f>
        <v>0</v>
      </c>
      <c r="AP45" s="59" t="s">
        <v>2216</v>
      </c>
      <c r="AR45" s="31">
        <f t="shared" si="4"/>
        <v>0</v>
      </c>
      <c r="AS45" s="237">
        <f t="shared" si="5"/>
        <v>0</v>
      </c>
      <c r="AT45" s="31">
        <f t="shared" si="6"/>
        <v>5.125</v>
      </c>
      <c r="AU45" s="237">
        <f t="shared" si="7"/>
        <v>4.3562500000000002</v>
      </c>
      <c r="AV45" s="31">
        <f t="shared" si="8"/>
        <v>0</v>
      </c>
      <c r="AW45" s="31">
        <f t="shared" si="9"/>
        <v>0</v>
      </c>
      <c r="AX45" s="31">
        <f t="shared" si="10"/>
        <v>0</v>
      </c>
      <c r="AY45" s="237">
        <f t="shared" si="11"/>
        <v>0</v>
      </c>
      <c r="AZ45" s="214">
        <f t="shared" si="12"/>
        <v>0</v>
      </c>
      <c r="BA45" s="237">
        <f t="shared" si="13"/>
        <v>0</v>
      </c>
      <c r="BB45" s="31">
        <f t="shared" si="14"/>
        <v>0</v>
      </c>
      <c r="BC45" s="237">
        <f t="shared" si="15"/>
        <v>0</v>
      </c>
      <c r="BD45" s="31">
        <f t="shared" si="16"/>
        <v>0</v>
      </c>
      <c r="BE45" s="237">
        <f t="shared" si="17"/>
        <v>0</v>
      </c>
      <c r="BF45" s="31">
        <f t="shared" si="18"/>
        <v>0</v>
      </c>
      <c r="BG45" s="237">
        <f t="shared" si="19"/>
        <v>0</v>
      </c>
      <c r="BH45" s="31">
        <f t="shared" si="20"/>
        <v>0</v>
      </c>
      <c r="BI45" s="237">
        <f t="shared" si="21"/>
        <v>0</v>
      </c>
      <c r="BJ45" s="31">
        <f t="shared" si="22"/>
        <v>0</v>
      </c>
      <c r="BK45" s="31">
        <f t="shared" si="23"/>
        <v>0</v>
      </c>
      <c r="BL45" s="237">
        <f t="shared" si="24"/>
        <v>0</v>
      </c>
      <c r="BM45" s="31">
        <f t="shared" si="25"/>
        <v>0</v>
      </c>
      <c r="BN45" s="237">
        <f t="shared" si="26"/>
        <v>0</v>
      </c>
    </row>
    <row r="46" spans="1:66" x14ac:dyDescent="0.25">
      <c r="A46" s="31" t="s">
        <v>1986</v>
      </c>
      <c r="B46" s="182" t="str">
        <f>VLOOKUP(A46,kurspris!$A$1:$B$894,2,FALSE)</f>
        <v>Engelska för åk 4-6, kurs 2</v>
      </c>
      <c r="D46" s="31" t="s">
        <v>524</v>
      </c>
      <c r="F46" s="59">
        <v>2019</v>
      </c>
      <c r="Q46" s="237">
        <v>2.625</v>
      </c>
      <c r="R46" s="40">
        <v>0.85</v>
      </c>
      <c r="S46" s="313">
        <f t="shared" si="0"/>
        <v>2.2312499999999997</v>
      </c>
      <c r="T46" s="31">
        <f>VLOOKUP(A46,'Ansvar kurs'!$A$1:$C$1027,2,FALSE)</f>
        <v>1620</v>
      </c>
      <c r="U46" s="31" t="str">
        <f>VLOOKUP(T46,Orgenheter!$A$1:$C$165,2,FALSE)</f>
        <v>Inst för språkstudier</v>
      </c>
      <c r="V46" s="31" t="str">
        <f>VLOOKUP(T46,Orgenheter!$A$1:$C$165,3,FALSE)</f>
        <v>Hum</v>
      </c>
      <c r="W46" s="37" t="str">
        <f>VLOOKUP(D46,Program!$A$1:$B$34,2,FALSE)</f>
        <v>Grundlärarprogrammet - grundskolans åk 4-6</v>
      </c>
      <c r="X46" s="42">
        <f>VLOOKUP(A46,kurspris!$A$1:$Q$815,15,FALSE)</f>
        <v>18405</v>
      </c>
      <c r="Y46" s="42">
        <f>VLOOKUP(A46,kurspris!$A$1:$Q$815,16,FALSE)</f>
        <v>15773</v>
      </c>
      <c r="Z46" s="42">
        <f t="shared" si="1"/>
        <v>83506.631250000006</v>
      </c>
      <c r="AA46" s="42">
        <f>VLOOKUP(A46,kurspris!$A$1:$Q$815,17,FALSE)</f>
        <v>5800</v>
      </c>
      <c r="AB46" s="42">
        <f t="shared" si="2"/>
        <v>15225</v>
      </c>
      <c r="AC46" s="42">
        <f t="shared" si="3"/>
        <v>98731.631250000006</v>
      </c>
      <c r="AD46" s="31">
        <f>VLOOKUP($A46,kurspris!$A$1:$Q$852,3,FALSE)</f>
        <v>0</v>
      </c>
      <c r="AE46" s="31">
        <f>VLOOKUP($A46,kurspris!$A$1:$Q$852,4,FALSE)</f>
        <v>1</v>
      </c>
      <c r="AF46" s="31">
        <f>VLOOKUP($A46,kurspris!$A$1:$Q$852,5,FALSE)</f>
        <v>0</v>
      </c>
      <c r="AG46" s="31">
        <f>VLOOKUP($A46,kurspris!$A$1:$Q$852,6,FALSE)</f>
        <v>0</v>
      </c>
      <c r="AH46" s="31">
        <f>VLOOKUP($A46,kurspris!$A$1:$Q$852,7,FALSE)</f>
        <v>0</v>
      </c>
      <c r="AI46" s="31">
        <f>VLOOKUP($A46,kurspris!$A$1:$Q$852,8,FALSE)</f>
        <v>0</v>
      </c>
      <c r="AJ46" s="31">
        <f>VLOOKUP($A46,kurspris!$A$1:$Q$852,9,FALSE)</f>
        <v>0</v>
      </c>
      <c r="AK46" s="31">
        <f>VLOOKUP($A46,kurspris!$A$1:$Q$852,10,FALSE)</f>
        <v>0</v>
      </c>
      <c r="AL46" s="31">
        <f>VLOOKUP($A46,kurspris!$A$1:$Q$852,11,FALSE)</f>
        <v>0</v>
      </c>
      <c r="AM46" s="31">
        <f>VLOOKUP($A46,kurspris!$A$1:$Q$852,12,FALSE)</f>
        <v>0</v>
      </c>
      <c r="AN46" s="31">
        <f>VLOOKUP($A46,kurspris!$A$1:$Q$852,13,FALSE)</f>
        <v>0</v>
      </c>
      <c r="AO46" s="31">
        <f>VLOOKUP($A46,kurspris!$A$1:$Q$852,14,FALSE)</f>
        <v>0</v>
      </c>
      <c r="AP46" s="59" t="s">
        <v>2216</v>
      </c>
      <c r="AR46" s="31">
        <f t="shared" si="4"/>
        <v>0</v>
      </c>
      <c r="AS46" s="237">
        <f t="shared" si="5"/>
        <v>0</v>
      </c>
      <c r="AT46" s="31">
        <f t="shared" si="6"/>
        <v>2.625</v>
      </c>
      <c r="AU46" s="237">
        <f t="shared" si="7"/>
        <v>2.2312499999999997</v>
      </c>
      <c r="AV46" s="31">
        <f t="shared" si="8"/>
        <v>0</v>
      </c>
      <c r="AW46" s="31">
        <f t="shared" si="9"/>
        <v>0</v>
      </c>
      <c r="AX46" s="31">
        <f t="shared" si="10"/>
        <v>0</v>
      </c>
      <c r="AY46" s="237">
        <f t="shared" si="11"/>
        <v>0</v>
      </c>
      <c r="AZ46" s="214">
        <f t="shared" si="12"/>
        <v>0</v>
      </c>
      <c r="BA46" s="237">
        <f t="shared" si="13"/>
        <v>0</v>
      </c>
      <c r="BB46" s="31">
        <f t="shared" si="14"/>
        <v>0</v>
      </c>
      <c r="BC46" s="237">
        <f t="shared" si="15"/>
        <v>0</v>
      </c>
      <c r="BD46" s="31">
        <f t="shared" si="16"/>
        <v>0</v>
      </c>
      <c r="BE46" s="237">
        <f t="shared" si="17"/>
        <v>0</v>
      </c>
      <c r="BF46" s="31">
        <f t="shared" si="18"/>
        <v>0</v>
      </c>
      <c r="BG46" s="237">
        <f t="shared" si="19"/>
        <v>0</v>
      </c>
      <c r="BH46" s="31">
        <f t="shared" si="20"/>
        <v>0</v>
      </c>
      <c r="BI46" s="237">
        <f t="shared" si="21"/>
        <v>0</v>
      </c>
      <c r="BJ46" s="31">
        <f t="shared" si="22"/>
        <v>0</v>
      </c>
      <c r="BK46" s="31">
        <f t="shared" si="23"/>
        <v>0</v>
      </c>
      <c r="BL46" s="237">
        <f t="shared" si="24"/>
        <v>0</v>
      </c>
      <c r="BM46" s="31">
        <f t="shared" si="25"/>
        <v>0</v>
      </c>
      <c r="BN46" s="237">
        <f t="shared" si="26"/>
        <v>0</v>
      </c>
    </row>
    <row r="47" spans="1:66" x14ac:dyDescent="0.25">
      <c r="A47" s="31" t="s">
        <v>1987</v>
      </c>
      <c r="B47" s="182" t="str">
        <f>VLOOKUP(A47,kurspris!$A$1:$B$894,2,FALSE)</f>
        <v>Engelska för åk 4-6, kurs 3</v>
      </c>
      <c r="D47" s="31" t="s">
        <v>524</v>
      </c>
      <c r="F47" s="59">
        <v>2019</v>
      </c>
      <c r="Q47" s="237">
        <v>7</v>
      </c>
      <c r="R47" s="40">
        <v>0.85</v>
      </c>
      <c r="S47" s="313">
        <f t="shared" si="0"/>
        <v>5.95</v>
      </c>
      <c r="T47" s="31">
        <f>VLOOKUP(A47,'Ansvar kurs'!$A$1:$C$1027,2,FALSE)</f>
        <v>1620</v>
      </c>
      <c r="U47" s="31" t="str">
        <f>VLOOKUP(T47,Orgenheter!$A$1:$C$165,2,FALSE)</f>
        <v>Inst för språkstudier</v>
      </c>
      <c r="V47" s="31" t="str">
        <f>VLOOKUP(T47,Orgenheter!$A$1:$C$165,3,FALSE)</f>
        <v>Hum</v>
      </c>
      <c r="W47" s="37" t="str">
        <f>VLOOKUP(D47,Program!$A$1:$B$34,2,FALSE)</f>
        <v>Grundlärarprogrammet - grundskolans åk 4-6</v>
      </c>
      <c r="X47" s="42">
        <f>VLOOKUP(A47,kurspris!$A$1:$Q$815,15,FALSE)</f>
        <v>18405</v>
      </c>
      <c r="Y47" s="42">
        <f>VLOOKUP(A47,kurspris!$A$1:$Q$815,16,FALSE)</f>
        <v>15773</v>
      </c>
      <c r="Z47" s="42">
        <f t="shared" si="1"/>
        <v>222684.35</v>
      </c>
      <c r="AA47" s="42">
        <f>VLOOKUP(A47,kurspris!$A$1:$Q$815,17,FALSE)</f>
        <v>5800</v>
      </c>
      <c r="AB47" s="42">
        <f t="shared" si="2"/>
        <v>40600</v>
      </c>
      <c r="AC47" s="42">
        <f t="shared" si="3"/>
        <v>263284.34999999998</v>
      </c>
      <c r="AD47" s="31">
        <f>VLOOKUP($A47,kurspris!$A$1:$Q$852,3,FALSE)</f>
        <v>0</v>
      </c>
      <c r="AE47" s="31">
        <f>VLOOKUP($A47,kurspris!$A$1:$Q$852,4,FALSE)</f>
        <v>1</v>
      </c>
      <c r="AF47" s="31">
        <f>VLOOKUP($A47,kurspris!$A$1:$Q$852,5,FALSE)</f>
        <v>0</v>
      </c>
      <c r="AG47" s="31">
        <f>VLOOKUP($A47,kurspris!$A$1:$Q$852,6,FALSE)</f>
        <v>0</v>
      </c>
      <c r="AH47" s="31">
        <f>VLOOKUP($A47,kurspris!$A$1:$Q$852,7,FALSE)</f>
        <v>0</v>
      </c>
      <c r="AI47" s="31">
        <f>VLOOKUP($A47,kurspris!$A$1:$Q$852,8,FALSE)</f>
        <v>0</v>
      </c>
      <c r="AJ47" s="31">
        <f>VLOOKUP($A47,kurspris!$A$1:$Q$852,9,FALSE)</f>
        <v>0</v>
      </c>
      <c r="AK47" s="31">
        <f>VLOOKUP($A47,kurspris!$A$1:$Q$852,10,FALSE)</f>
        <v>0</v>
      </c>
      <c r="AL47" s="31">
        <f>VLOOKUP($A47,kurspris!$A$1:$Q$852,11,FALSE)</f>
        <v>0</v>
      </c>
      <c r="AM47" s="31">
        <f>VLOOKUP($A47,kurspris!$A$1:$Q$852,12,FALSE)</f>
        <v>0</v>
      </c>
      <c r="AN47" s="31">
        <f>VLOOKUP($A47,kurspris!$A$1:$Q$852,13,FALSE)</f>
        <v>0</v>
      </c>
      <c r="AO47" s="31">
        <f>VLOOKUP($A47,kurspris!$A$1:$Q$852,14,FALSE)</f>
        <v>0</v>
      </c>
      <c r="AP47" s="59" t="s">
        <v>2216</v>
      </c>
      <c r="AR47" s="31">
        <f t="shared" si="4"/>
        <v>0</v>
      </c>
      <c r="AS47" s="237">
        <f t="shared" si="5"/>
        <v>0</v>
      </c>
      <c r="AT47" s="31">
        <f t="shared" si="6"/>
        <v>7</v>
      </c>
      <c r="AU47" s="237">
        <f t="shared" si="7"/>
        <v>5.95</v>
      </c>
      <c r="AV47" s="31">
        <f t="shared" si="8"/>
        <v>0</v>
      </c>
      <c r="AW47" s="31">
        <f t="shared" si="9"/>
        <v>0</v>
      </c>
      <c r="AX47" s="31">
        <f t="shared" si="10"/>
        <v>0</v>
      </c>
      <c r="AY47" s="237">
        <f t="shared" si="11"/>
        <v>0</v>
      </c>
      <c r="AZ47" s="214">
        <f t="shared" si="12"/>
        <v>0</v>
      </c>
      <c r="BA47" s="237">
        <f t="shared" si="13"/>
        <v>0</v>
      </c>
      <c r="BB47" s="31">
        <f t="shared" si="14"/>
        <v>0</v>
      </c>
      <c r="BC47" s="237">
        <f t="shared" si="15"/>
        <v>0</v>
      </c>
      <c r="BD47" s="31">
        <f t="shared" si="16"/>
        <v>0</v>
      </c>
      <c r="BE47" s="237">
        <f t="shared" si="17"/>
        <v>0</v>
      </c>
      <c r="BF47" s="31">
        <f t="shared" si="18"/>
        <v>0</v>
      </c>
      <c r="BG47" s="237">
        <f t="shared" si="19"/>
        <v>0</v>
      </c>
      <c r="BH47" s="31">
        <f t="shared" si="20"/>
        <v>0</v>
      </c>
      <c r="BI47" s="237">
        <f t="shared" si="21"/>
        <v>0</v>
      </c>
      <c r="BJ47" s="31">
        <f t="shared" si="22"/>
        <v>0</v>
      </c>
      <c r="BK47" s="31">
        <f t="shared" si="23"/>
        <v>0</v>
      </c>
      <c r="BL47" s="237">
        <f t="shared" si="24"/>
        <v>0</v>
      </c>
      <c r="BM47" s="31">
        <f t="shared" si="25"/>
        <v>0</v>
      </c>
      <c r="BN47" s="237">
        <f t="shared" si="26"/>
        <v>0</v>
      </c>
    </row>
    <row r="48" spans="1:66" x14ac:dyDescent="0.25">
      <c r="A48" s="59" t="s">
        <v>2155</v>
      </c>
      <c r="B48" s="182" t="str">
        <f>VLOOKUP(A48,kurspris!$A$1:$B$894,2,FALSE)</f>
        <v>Kommunikativ kompetens i engelska för grundlärare</v>
      </c>
      <c r="D48" s="31" t="s">
        <v>117</v>
      </c>
      <c r="F48" s="59">
        <v>2019</v>
      </c>
      <c r="Q48" s="237">
        <v>3.375</v>
      </c>
      <c r="R48" s="40">
        <v>0.8</v>
      </c>
      <c r="S48" s="313">
        <f t="shared" si="0"/>
        <v>2.7</v>
      </c>
      <c r="T48" s="31">
        <f>VLOOKUP(A48,'Ansvar kurs'!$A$1:$C$1027,2,FALSE)</f>
        <v>1620</v>
      </c>
      <c r="U48" s="31" t="str">
        <f>VLOOKUP(T48,Orgenheter!$A$1:$C$165,2,FALSE)</f>
        <v>Inst för språkstudier</v>
      </c>
      <c r="V48" s="31" t="str">
        <f>VLOOKUP(T48,Orgenheter!$A$1:$C$165,3,FALSE)</f>
        <v>Hum</v>
      </c>
      <c r="W48" s="37" t="str">
        <f>VLOOKUP(D48,Program!$A$1:$B$34,2,FALSE)</f>
        <v>Fristående och övriga kurser</v>
      </c>
      <c r="X48" s="42">
        <f>VLOOKUP(A48,kurspris!$A$1:$Q$815,15,FALSE)</f>
        <v>18405</v>
      </c>
      <c r="Y48" s="42">
        <f>VLOOKUP(A48,kurspris!$A$1:$Q$815,16,FALSE)</f>
        <v>15773</v>
      </c>
      <c r="Z48" s="42">
        <f t="shared" si="1"/>
        <v>104703.97500000001</v>
      </c>
      <c r="AA48" s="42">
        <f>VLOOKUP(A48,kurspris!$A$1:$Q$815,17,FALSE)</f>
        <v>5800</v>
      </c>
      <c r="AB48" s="42">
        <f t="shared" si="2"/>
        <v>19575</v>
      </c>
      <c r="AC48" s="42">
        <f t="shared" si="3"/>
        <v>124278.97500000001</v>
      </c>
      <c r="AD48" s="31">
        <f>VLOOKUP($A48,kurspris!$A$1:$Q$852,3,FALSE)</f>
        <v>0</v>
      </c>
      <c r="AE48" s="31">
        <f>VLOOKUP($A48,kurspris!$A$1:$Q$852,4,FALSE)</f>
        <v>1</v>
      </c>
      <c r="AF48" s="31">
        <f>VLOOKUP($A48,kurspris!$A$1:$Q$852,5,FALSE)</f>
        <v>0</v>
      </c>
      <c r="AG48" s="31">
        <f>VLOOKUP($A48,kurspris!$A$1:$Q$852,6,FALSE)</f>
        <v>0</v>
      </c>
      <c r="AH48" s="31">
        <f>VLOOKUP($A48,kurspris!$A$1:$Q$852,7,FALSE)</f>
        <v>0</v>
      </c>
      <c r="AI48" s="31">
        <f>VLOOKUP($A48,kurspris!$A$1:$Q$852,8,FALSE)</f>
        <v>0</v>
      </c>
      <c r="AJ48" s="31">
        <f>VLOOKUP($A48,kurspris!$A$1:$Q$852,9,FALSE)</f>
        <v>0</v>
      </c>
      <c r="AK48" s="31">
        <f>VLOOKUP($A48,kurspris!$A$1:$Q$852,10,FALSE)</f>
        <v>0</v>
      </c>
      <c r="AL48" s="31">
        <f>VLOOKUP($A48,kurspris!$A$1:$Q$852,11,FALSE)</f>
        <v>0</v>
      </c>
      <c r="AM48" s="31">
        <f>VLOOKUP($A48,kurspris!$A$1:$Q$852,12,FALSE)</f>
        <v>0</v>
      </c>
      <c r="AN48" s="31">
        <f>VLOOKUP($A48,kurspris!$A$1:$Q$852,13,FALSE)</f>
        <v>0</v>
      </c>
      <c r="AO48" s="31">
        <f>VLOOKUP($A48,kurspris!$A$1:$Q$852,14,FALSE)</f>
        <v>0</v>
      </c>
      <c r="AP48" s="59" t="s">
        <v>2216</v>
      </c>
      <c r="AR48" s="31">
        <f t="shared" si="4"/>
        <v>0</v>
      </c>
      <c r="AS48" s="237">
        <f t="shared" si="5"/>
        <v>0</v>
      </c>
      <c r="AT48" s="31">
        <f t="shared" si="6"/>
        <v>3.375</v>
      </c>
      <c r="AU48" s="237">
        <f t="shared" si="7"/>
        <v>2.7</v>
      </c>
      <c r="AV48" s="31">
        <f t="shared" si="8"/>
        <v>0</v>
      </c>
      <c r="AW48" s="31">
        <f t="shared" si="9"/>
        <v>0</v>
      </c>
      <c r="AX48" s="31">
        <f t="shared" si="10"/>
        <v>0</v>
      </c>
      <c r="AY48" s="237">
        <f t="shared" si="11"/>
        <v>0</v>
      </c>
      <c r="AZ48" s="214">
        <f t="shared" si="12"/>
        <v>0</v>
      </c>
      <c r="BA48" s="237">
        <f t="shared" si="13"/>
        <v>0</v>
      </c>
      <c r="BB48" s="31">
        <f t="shared" si="14"/>
        <v>0</v>
      </c>
      <c r="BC48" s="237">
        <f t="shared" si="15"/>
        <v>0</v>
      </c>
      <c r="BD48" s="31">
        <f t="shared" si="16"/>
        <v>0</v>
      </c>
      <c r="BE48" s="237">
        <f t="shared" si="17"/>
        <v>0</v>
      </c>
      <c r="BF48" s="31">
        <f t="shared" si="18"/>
        <v>0</v>
      </c>
      <c r="BG48" s="237">
        <f t="shared" si="19"/>
        <v>0</v>
      </c>
      <c r="BH48" s="31">
        <f t="shared" si="20"/>
        <v>0</v>
      </c>
      <c r="BI48" s="237">
        <f t="shared" si="21"/>
        <v>0</v>
      </c>
      <c r="BJ48" s="31">
        <f t="shared" si="22"/>
        <v>0</v>
      </c>
      <c r="BK48" s="31">
        <f t="shared" si="23"/>
        <v>0</v>
      </c>
      <c r="BL48" s="237">
        <f t="shared" si="24"/>
        <v>0</v>
      </c>
      <c r="BM48" s="31">
        <f t="shared" si="25"/>
        <v>0</v>
      </c>
      <c r="BN48" s="237">
        <f t="shared" si="26"/>
        <v>0</v>
      </c>
    </row>
    <row r="49" spans="1:66" x14ac:dyDescent="0.25">
      <c r="A49" s="159" t="s">
        <v>65</v>
      </c>
      <c r="B49" s="182" t="str">
        <f>VLOOKUP(A49,kurspris!$A$1:$B$894,2,FALSE)</f>
        <v>Forskning och utvecklingsarbete</v>
      </c>
      <c r="C49" s="37"/>
      <c r="D49" s="31" t="s">
        <v>117</v>
      </c>
      <c r="F49" s="59">
        <v>2019</v>
      </c>
      <c r="Q49" s="237">
        <v>3.75</v>
      </c>
      <c r="R49" s="40">
        <v>0.8</v>
      </c>
      <c r="S49" s="313">
        <f t="shared" si="0"/>
        <v>3</v>
      </c>
      <c r="T49" s="31">
        <f>VLOOKUP(A49,'Ansvar kurs'!$A$1:$C$1027,2,FALSE)</f>
        <v>1650</v>
      </c>
      <c r="U49" s="31" t="str">
        <f>VLOOKUP(T49,Orgenheter!$A$1:$C$165,2,FALSE)</f>
        <v xml:space="preserve">Estetiska ämnen               </v>
      </c>
      <c r="V49" s="31" t="str">
        <f>VLOOKUP(T49,Orgenheter!$A$1:$C$165,3,FALSE)</f>
        <v>Hum</v>
      </c>
      <c r="W49" s="37" t="str">
        <f>VLOOKUP(D49,Program!$A$1:$B$34,2,FALSE)</f>
        <v>Fristående och övriga kurser</v>
      </c>
      <c r="X49" s="42">
        <f>VLOOKUP(A49,kurspris!$A$1:$Q$815,15,FALSE)</f>
        <v>18405</v>
      </c>
      <c r="Y49" s="42">
        <f>VLOOKUP(A49,kurspris!$A$1:$Q$815,16,FALSE)</f>
        <v>15773</v>
      </c>
      <c r="Z49" s="42">
        <f t="shared" si="1"/>
        <v>116337.75</v>
      </c>
      <c r="AA49" s="42">
        <f>VLOOKUP(A49,kurspris!$A$1:$Q$815,17,FALSE)</f>
        <v>5800</v>
      </c>
      <c r="AB49" s="42">
        <f t="shared" si="2"/>
        <v>21750</v>
      </c>
      <c r="AC49" s="42">
        <f t="shared" si="3"/>
        <v>138087.75</v>
      </c>
      <c r="AD49" s="31">
        <f>VLOOKUP($A49,kurspris!$A$1:$Q$852,3,FALSE)</f>
        <v>0</v>
      </c>
      <c r="AE49" s="31">
        <f>VLOOKUP($A49,kurspris!$A$1:$Q$852,4,FALSE)</f>
        <v>0</v>
      </c>
      <c r="AF49" s="31">
        <f>VLOOKUP($A49,kurspris!$A$1:$Q$852,5,FALSE)</f>
        <v>0</v>
      </c>
      <c r="AG49" s="31">
        <f>VLOOKUP($A49,kurspris!$A$1:$Q$852,6,FALSE)</f>
        <v>0</v>
      </c>
      <c r="AH49" s="31">
        <f>VLOOKUP($A49,kurspris!$A$1:$Q$852,7,FALSE)</f>
        <v>0</v>
      </c>
      <c r="AI49" s="31">
        <f>VLOOKUP($A49,kurspris!$A$1:$Q$852,8,FALSE)</f>
        <v>0</v>
      </c>
      <c r="AJ49" s="31">
        <f>VLOOKUP($A49,kurspris!$A$1:$Q$852,9,FALSE)</f>
        <v>1</v>
      </c>
      <c r="AK49" s="31">
        <f>VLOOKUP($A49,kurspris!$A$1:$Q$852,10,FALSE)</f>
        <v>0</v>
      </c>
      <c r="AL49" s="31">
        <f>VLOOKUP($A49,kurspris!$A$1:$Q$852,11,FALSE)</f>
        <v>0</v>
      </c>
      <c r="AM49" s="31">
        <f>VLOOKUP($A49,kurspris!$A$1:$Q$852,12,FALSE)</f>
        <v>0</v>
      </c>
      <c r="AN49" s="31">
        <f>VLOOKUP($A49,kurspris!$A$1:$Q$852,13,FALSE)</f>
        <v>0</v>
      </c>
      <c r="AO49" s="31">
        <f>VLOOKUP($A49,kurspris!$A$1:$Q$852,14,FALSE)</f>
        <v>0</v>
      </c>
      <c r="AP49" s="59" t="s">
        <v>2216</v>
      </c>
      <c r="AR49" s="31">
        <f t="shared" si="4"/>
        <v>0</v>
      </c>
      <c r="AS49" s="237">
        <f t="shared" si="5"/>
        <v>0</v>
      </c>
      <c r="AT49" s="31">
        <f t="shared" si="6"/>
        <v>0</v>
      </c>
      <c r="AU49" s="237">
        <f t="shared" si="7"/>
        <v>0</v>
      </c>
      <c r="AV49" s="31">
        <f t="shared" si="8"/>
        <v>0</v>
      </c>
      <c r="AW49" s="31">
        <f t="shared" si="9"/>
        <v>0</v>
      </c>
      <c r="AX49" s="31">
        <f t="shared" si="10"/>
        <v>0</v>
      </c>
      <c r="AY49" s="237">
        <f t="shared" si="11"/>
        <v>0</v>
      </c>
      <c r="AZ49" s="214">
        <f t="shared" si="12"/>
        <v>0</v>
      </c>
      <c r="BA49" s="237">
        <f t="shared" si="13"/>
        <v>0</v>
      </c>
      <c r="BB49" s="31">
        <f t="shared" si="14"/>
        <v>0</v>
      </c>
      <c r="BC49" s="237">
        <f t="shared" si="15"/>
        <v>0</v>
      </c>
      <c r="BD49" s="31">
        <f t="shared" si="16"/>
        <v>3.75</v>
      </c>
      <c r="BE49" s="237">
        <f t="shared" si="17"/>
        <v>3</v>
      </c>
      <c r="BF49" s="31">
        <f t="shared" si="18"/>
        <v>0</v>
      </c>
      <c r="BG49" s="237">
        <f t="shared" si="19"/>
        <v>0</v>
      </c>
      <c r="BH49" s="31">
        <f t="shared" si="20"/>
        <v>0</v>
      </c>
      <c r="BI49" s="237">
        <f t="shared" si="21"/>
        <v>0</v>
      </c>
      <c r="BJ49" s="31">
        <f t="shared" si="22"/>
        <v>0</v>
      </c>
      <c r="BK49" s="31">
        <f t="shared" si="23"/>
        <v>0</v>
      </c>
      <c r="BL49" s="237">
        <f t="shared" si="24"/>
        <v>0</v>
      </c>
      <c r="BM49" s="31">
        <f t="shared" si="25"/>
        <v>0</v>
      </c>
      <c r="BN49" s="237">
        <f t="shared" si="26"/>
        <v>0</v>
      </c>
    </row>
    <row r="50" spans="1:66" x14ac:dyDescent="0.25">
      <c r="A50" s="31" t="s">
        <v>400</v>
      </c>
      <c r="B50" s="182" t="str">
        <f>VLOOKUP(A50,kurspris!$A$1:$B$894,2,FALSE)</f>
        <v>Skapande bild, distans</v>
      </c>
      <c r="D50" s="31" t="s">
        <v>117</v>
      </c>
      <c r="F50" s="59">
        <v>2019</v>
      </c>
      <c r="Q50" s="237">
        <v>4.25</v>
      </c>
      <c r="R50" s="40">
        <v>0.8</v>
      </c>
      <c r="S50" s="313">
        <f t="shared" si="0"/>
        <v>3.4000000000000004</v>
      </c>
      <c r="T50" s="31">
        <f>VLOOKUP(A50,'Ansvar kurs'!$A$1:$C$1027,2,FALSE)</f>
        <v>1650</v>
      </c>
      <c r="U50" s="31" t="str">
        <f>VLOOKUP(T50,Orgenheter!$A$1:$C$165,2,FALSE)</f>
        <v xml:space="preserve">Estetiska ämnen               </v>
      </c>
      <c r="V50" s="31" t="str">
        <f>VLOOKUP(T50,Orgenheter!$A$1:$C$165,3,FALSE)</f>
        <v>Hum</v>
      </c>
      <c r="W50" s="37" t="str">
        <f>VLOOKUP(D50,Program!$A$1:$B$34,2,FALSE)</f>
        <v>Fristående och övriga kurser</v>
      </c>
      <c r="X50" s="42">
        <f>VLOOKUP(A50,kurspris!$A$1:$Q$815,15,FALSE)</f>
        <v>40569</v>
      </c>
      <c r="Y50" s="42">
        <f>VLOOKUP(A50,kurspris!$A$1:$Q$815,16,FALSE)</f>
        <v>46697.75</v>
      </c>
      <c r="Z50" s="42">
        <f t="shared" si="1"/>
        <v>331190.59999999998</v>
      </c>
      <c r="AA50" s="42">
        <f>VLOOKUP(A50,kurspris!$A$1:$Q$815,17,FALSE)</f>
        <v>53200</v>
      </c>
      <c r="AB50" s="42">
        <f t="shared" si="2"/>
        <v>226100</v>
      </c>
      <c r="AC50" s="42">
        <f t="shared" si="3"/>
        <v>557290.6</v>
      </c>
      <c r="AD50" s="31">
        <f>VLOOKUP($A50,kurspris!$A$1:$Q$852,3,FALSE)</f>
        <v>0.75</v>
      </c>
      <c r="AE50" s="31">
        <f>VLOOKUP($A50,kurspris!$A$1:$Q$852,4,FALSE)</f>
        <v>0.25</v>
      </c>
      <c r="AF50" s="31">
        <f>VLOOKUP($A50,kurspris!$A$1:$Q$852,5,FALSE)</f>
        <v>0</v>
      </c>
      <c r="AG50" s="31">
        <f>VLOOKUP($A50,kurspris!$A$1:$Q$852,6,FALSE)</f>
        <v>0</v>
      </c>
      <c r="AH50" s="31">
        <f>VLOOKUP($A50,kurspris!$A$1:$Q$852,7,FALSE)</f>
        <v>0</v>
      </c>
      <c r="AI50" s="31">
        <f>VLOOKUP($A50,kurspris!$A$1:$Q$852,8,FALSE)</f>
        <v>0</v>
      </c>
      <c r="AJ50" s="31">
        <f>VLOOKUP($A50,kurspris!$A$1:$Q$852,9,FALSE)</f>
        <v>0</v>
      </c>
      <c r="AK50" s="31">
        <f>VLOOKUP($A50,kurspris!$A$1:$Q$852,10,FALSE)</f>
        <v>0</v>
      </c>
      <c r="AL50" s="31">
        <f>VLOOKUP($A50,kurspris!$A$1:$Q$852,11,FALSE)</f>
        <v>0</v>
      </c>
      <c r="AM50" s="31">
        <f>VLOOKUP($A50,kurspris!$A$1:$Q$852,12,FALSE)</f>
        <v>0</v>
      </c>
      <c r="AN50" s="31">
        <f>VLOOKUP($A50,kurspris!$A$1:$Q$852,13,FALSE)</f>
        <v>0</v>
      </c>
      <c r="AO50" s="31">
        <f>VLOOKUP($A50,kurspris!$A$1:$Q$852,14,FALSE)</f>
        <v>0</v>
      </c>
      <c r="AP50" s="59" t="s">
        <v>2216</v>
      </c>
      <c r="AR50" s="31">
        <f t="shared" si="4"/>
        <v>3.1875</v>
      </c>
      <c r="AS50" s="237">
        <f t="shared" si="5"/>
        <v>2.5500000000000003</v>
      </c>
      <c r="AT50" s="31">
        <f t="shared" si="6"/>
        <v>1.0625</v>
      </c>
      <c r="AU50" s="237">
        <f t="shared" si="7"/>
        <v>0.85000000000000009</v>
      </c>
      <c r="AV50" s="31">
        <f t="shared" si="8"/>
        <v>0</v>
      </c>
      <c r="AW50" s="31">
        <f t="shared" si="9"/>
        <v>0</v>
      </c>
      <c r="AX50" s="31">
        <f t="shared" si="10"/>
        <v>0</v>
      </c>
      <c r="AY50" s="237">
        <f t="shared" si="11"/>
        <v>0</v>
      </c>
      <c r="AZ50" s="214">
        <f t="shared" si="12"/>
        <v>0</v>
      </c>
      <c r="BA50" s="237">
        <f t="shared" si="13"/>
        <v>0</v>
      </c>
      <c r="BB50" s="31">
        <f t="shared" si="14"/>
        <v>0</v>
      </c>
      <c r="BC50" s="237">
        <f t="shared" si="15"/>
        <v>0</v>
      </c>
      <c r="BD50" s="31">
        <f t="shared" si="16"/>
        <v>0</v>
      </c>
      <c r="BE50" s="237">
        <f t="shared" si="17"/>
        <v>0</v>
      </c>
      <c r="BF50" s="31">
        <f t="shared" si="18"/>
        <v>0</v>
      </c>
      <c r="BG50" s="237">
        <f t="shared" si="19"/>
        <v>0</v>
      </c>
      <c r="BH50" s="31">
        <f t="shared" si="20"/>
        <v>0</v>
      </c>
      <c r="BI50" s="237">
        <f t="shared" si="21"/>
        <v>0</v>
      </c>
      <c r="BJ50" s="31">
        <f t="shared" si="22"/>
        <v>0</v>
      </c>
      <c r="BK50" s="31">
        <f t="shared" si="23"/>
        <v>0</v>
      </c>
      <c r="BL50" s="237">
        <f t="shared" si="24"/>
        <v>0</v>
      </c>
      <c r="BM50" s="31">
        <f t="shared" si="25"/>
        <v>0</v>
      </c>
      <c r="BN50" s="237">
        <f t="shared" si="26"/>
        <v>0</v>
      </c>
    </row>
    <row r="51" spans="1:66" x14ac:dyDescent="0.25">
      <c r="A51" s="31" t="s">
        <v>582</v>
      </c>
      <c r="B51" s="182" t="str">
        <f>VLOOKUP(A51,kurspris!$A$1:$B$894,2,FALSE)</f>
        <v>Bild 3</v>
      </c>
      <c r="D51" s="31" t="s">
        <v>483</v>
      </c>
      <c r="F51" s="59">
        <v>2019</v>
      </c>
      <c r="Q51" s="237">
        <v>1</v>
      </c>
      <c r="R51" s="40">
        <v>0.85</v>
      </c>
      <c r="S51" s="313">
        <f t="shared" si="0"/>
        <v>0.85</v>
      </c>
      <c r="T51" s="31">
        <f>VLOOKUP(A51,'Ansvar kurs'!$A$1:$C$1027,2,FALSE)</f>
        <v>1650</v>
      </c>
      <c r="U51" s="31" t="str">
        <f>VLOOKUP(T51,Orgenheter!$A$1:$C$165,2,FALSE)</f>
        <v xml:space="preserve">Estetiska ämnen               </v>
      </c>
      <c r="V51" s="31" t="str">
        <f>VLOOKUP(T51,Orgenheter!$A$1:$C$165,3,FALSE)</f>
        <v>Hum</v>
      </c>
      <c r="W51" s="37" t="str">
        <f>VLOOKUP(D51,Program!$A$1:$B$34,2,FALSE)</f>
        <v>Ämneslärarprogrammet - Gy</v>
      </c>
      <c r="X51" s="42">
        <f>VLOOKUP(A51,kurspris!$A$1:$Q$815,15,FALSE)</f>
        <v>47957</v>
      </c>
      <c r="Y51" s="42">
        <f>VLOOKUP(A51,kurspris!$A$1:$Q$815,16,FALSE)</f>
        <v>57006</v>
      </c>
      <c r="Z51" s="42">
        <f t="shared" si="1"/>
        <v>96412.1</v>
      </c>
      <c r="AA51" s="42">
        <f>VLOOKUP(A51,kurspris!$A$1:$Q$815,17,FALSE)</f>
        <v>69000</v>
      </c>
      <c r="AB51" s="42">
        <f t="shared" si="2"/>
        <v>69000</v>
      </c>
      <c r="AC51" s="42">
        <f t="shared" si="3"/>
        <v>165412.1</v>
      </c>
      <c r="AD51" s="31">
        <f>VLOOKUP($A51,kurspris!$A$1:$Q$852,3,FALSE)</f>
        <v>1</v>
      </c>
      <c r="AE51" s="31">
        <f>VLOOKUP($A51,kurspris!$A$1:$Q$852,4,FALSE)</f>
        <v>0</v>
      </c>
      <c r="AF51" s="31">
        <f>VLOOKUP($A51,kurspris!$A$1:$Q$852,5,FALSE)</f>
        <v>0</v>
      </c>
      <c r="AG51" s="31">
        <f>VLOOKUP($A51,kurspris!$A$1:$Q$852,6,FALSE)</f>
        <v>0</v>
      </c>
      <c r="AH51" s="31">
        <f>VLOOKUP($A51,kurspris!$A$1:$Q$852,7,FALSE)</f>
        <v>0</v>
      </c>
      <c r="AI51" s="31">
        <f>VLOOKUP($A51,kurspris!$A$1:$Q$852,8,FALSE)</f>
        <v>0</v>
      </c>
      <c r="AJ51" s="31">
        <f>VLOOKUP($A51,kurspris!$A$1:$Q$852,9,FALSE)</f>
        <v>0</v>
      </c>
      <c r="AK51" s="31">
        <f>VLOOKUP($A51,kurspris!$A$1:$Q$852,10,FALSE)</f>
        <v>0</v>
      </c>
      <c r="AL51" s="31">
        <f>VLOOKUP($A51,kurspris!$A$1:$Q$852,11,FALSE)</f>
        <v>0</v>
      </c>
      <c r="AM51" s="31">
        <f>VLOOKUP($A51,kurspris!$A$1:$Q$852,12,FALSE)</f>
        <v>0</v>
      </c>
      <c r="AN51" s="31">
        <f>VLOOKUP($A51,kurspris!$A$1:$Q$852,13,FALSE)</f>
        <v>0</v>
      </c>
      <c r="AO51" s="31">
        <f>VLOOKUP($A51,kurspris!$A$1:$Q$852,14,FALSE)</f>
        <v>0</v>
      </c>
      <c r="AP51" s="59" t="s">
        <v>2216</v>
      </c>
      <c r="AR51" s="31">
        <f t="shared" si="4"/>
        <v>1</v>
      </c>
      <c r="AS51" s="237">
        <f t="shared" si="5"/>
        <v>0.85</v>
      </c>
      <c r="AT51" s="31">
        <f t="shared" si="6"/>
        <v>0</v>
      </c>
      <c r="AU51" s="237">
        <f t="shared" si="7"/>
        <v>0</v>
      </c>
      <c r="AV51" s="31">
        <f t="shared" si="8"/>
        <v>0</v>
      </c>
      <c r="AW51" s="31">
        <f t="shared" si="9"/>
        <v>0</v>
      </c>
      <c r="AX51" s="31">
        <f t="shared" si="10"/>
        <v>0</v>
      </c>
      <c r="AY51" s="237">
        <f t="shared" si="11"/>
        <v>0</v>
      </c>
      <c r="AZ51" s="214">
        <f t="shared" si="12"/>
        <v>0</v>
      </c>
      <c r="BA51" s="237">
        <f t="shared" si="13"/>
        <v>0</v>
      </c>
      <c r="BB51" s="31">
        <f t="shared" si="14"/>
        <v>0</v>
      </c>
      <c r="BC51" s="237">
        <f t="shared" si="15"/>
        <v>0</v>
      </c>
      <c r="BD51" s="31">
        <f t="shared" si="16"/>
        <v>0</v>
      </c>
      <c r="BE51" s="237">
        <f t="shared" si="17"/>
        <v>0</v>
      </c>
      <c r="BF51" s="31">
        <f t="shared" si="18"/>
        <v>0</v>
      </c>
      <c r="BG51" s="237">
        <f t="shared" si="19"/>
        <v>0</v>
      </c>
      <c r="BH51" s="31">
        <f t="shared" si="20"/>
        <v>0</v>
      </c>
      <c r="BI51" s="237">
        <f t="shared" si="21"/>
        <v>0</v>
      </c>
      <c r="BJ51" s="31">
        <f t="shared" si="22"/>
        <v>0</v>
      </c>
      <c r="BK51" s="31">
        <f t="shared" si="23"/>
        <v>0</v>
      </c>
      <c r="BL51" s="237">
        <f t="shared" si="24"/>
        <v>0</v>
      </c>
      <c r="BM51" s="31">
        <f t="shared" si="25"/>
        <v>0</v>
      </c>
      <c r="BN51" s="237">
        <f t="shared" si="26"/>
        <v>0</v>
      </c>
    </row>
    <row r="52" spans="1:66" x14ac:dyDescent="0.25">
      <c r="A52" s="31" t="s">
        <v>1021</v>
      </c>
      <c r="B52" s="182" t="str">
        <f>VLOOKUP(A52,kurspris!$A$1:$B$894,2,FALSE)</f>
        <v>Läraryrkets dimensioner (Estetiska ämnen)</v>
      </c>
      <c r="D52" s="31" t="s">
        <v>482</v>
      </c>
      <c r="E52" s="59"/>
      <c r="F52" s="59">
        <v>2019</v>
      </c>
      <c r="Q52" s="237">
        <v>0.375</v>
      </c>
      <c r="R52" s="40">
        <v>0.85</v>
      </c>
      <c r="S52" s="313">
        <f t="shared" si="0"/>
        <v>0.31874999999999998</v>
      </c>
      <c r="T52" s="31">
        <f>VLOOKUP(A52,'Ansvar kurs'!$A$1:$C$1027,2,FALSE)</f>
        <v>1650</v>
      </c>
      <c r="U52" s="31" t="str">
        <f>VLOOKUP(T52,Orgenheter!$A$1:$C$165,2,FALSE)</f>
        <v xml:space="preserve">Estetiska ämnen               </v>
      </c>
      <c r="V52" s="31" t="str">
        <f>VLOOKUP(T52,Orgenheter!$A$1:$C$165,3,FALSE)</f>
        <v>Hum</v>
      </c>
      <c r="W52" s="37" t="str">
        <f>VLOOKUP(D52,Program!$A$1:$B$34,2,FALSE)</f>
        <v>Ämneslärarprogrammet - åk 7-9</v>
      </c>
      <c r="X52" s="42">
        <f>VLOOKUP(A52,kurspris!$A$1:$Q$815,15,FALSE)</f>
        <v>21634</v>
      </c>
      <c r="Y52" s="42">
        <f>VLOOKUP(A52,kurspris!$A$1:$Q$815,16,FALSE)</f>
        <v>26986</v>
      </c>
      <c r="Z52" s="42">
        <f t="shared" si="1"/>
        <v>16714.537499999999</v>
      </c>
      <c r="AA52" s="42">
        <f>VLOOKUP(A52,kurspris!$A$1:$Q$815,17,FALSE)</f>
        <v>3400</v>
      </c>
      <c r="AB52" s="42">
        <f t="shared" si="2"/>
        <v>1275</v>
      </c>
      <c r="AC52" s="42">
        <f t="shared" si="3"/>
        <v>17989.537499999999</v>
      </c>
      <c r="AD52" s="31">
        <f>VLOOKUP($A52,kurspris!$A$1:$Q$852,3,FALSE)</f>
        <v>0</v>
      </c>
      <c r="AE52" s="31">
        <f>VLOOKUP($A52,kurspris!$A$1:$Q$852,4,FALSE)</f>
        <v>0</v>
      </c>
      <c r="AF52" s="31">
        <f>VLOOKUP($A52,kurspris!$A$1:$Q$852,5,FALSE)</f>
        <v>0</v>
      </c>
      <c r="AG52" s="31">
        <f>VLOOKUP($A52,kurspris!$A$1:$Q$852,6,FALSE)</f>
        <v>0</v>
      </c>
      <c r="AH52" s="31">
        <f>VLOOKUP($A52,kurspris!$A$1:$Q$852,7,FALSE)</f>
        <v>0</v>
      </c>
      <c r="AI52" s="31">
        <f>VLOOKUP($A52,kurspris!$A$1:$Q$852,8,FALSE)</f>
        <v>0</v>
      </c>
      <c r="AJ52" s="31">
        <f>VLOOKUP($A52,kurspris!$A$1:$Q$852,9,FALSE)</f>
        <v>0</v>
      </c>
      <c r="AK52" s="31">
        <f>VLOOKUP($A52,kurspris!$A$1:$Q$852,10,FALSE)</f>
        <v>0</v>
      </c>
      <c r="AL52" s="31">
        <f>VLOOKUP($A52,kurspris!$A$1:$Q$852,11,FALSE)</f>
        <v>1</v>
      </c>
      <c r="AM52" s="31">
        <f>VLOOKUP($A52,kurspris!$A$1:$Q$852,12,FALSE)</f>
        <v>0</v>
      </c>
      <c r="AN52" s="31">
        <f>VLOOKUP($A52,kurspris!$A$1:$Q$852,13,FALSE)</f>
        <v>0</v>
      </c>
      <c r="AO52" s="31">
        <f>VLOOKUP($A52,kurspris!$A$1:$Q$852,14,FALSE)</f>
        <v>0</v>
      </c>
      <c r="AP52" s="59" t="s">
        <v>2216</v>
      </c>
      <c r="AR52" s="31">
        <f t="shared" si="4"/>
        <v>0</v>
      </c>
      <c r="AS52" s="237">
        <f t="shared" si="5"/>
        <v>0</v>
      </c>
      <c r="AT52" s="31">
        <f t="shared" si="6"/>
        <v>0</v>
      </c>
      <c r="AU52" s="237">
        <f t="shared" si="7"/>
        <v>0</v>
      </c>
      <c r="AV52" s="31">
        <f t="shared" si="8"/>
        <v>0</v>
      </c>
      <c r="AW52" s="31">
        <f t="shared" si="9"/>
        <v>0</v>
      </c>
      <c r="AX52" s="31">
        <f t="shared" si="10"/>
        <v>0</v>
      </c>
      <c r="AY52" s="237">
        <f t="shared" si="11"/>
        <v>0</v>
      </c>
      <c r="AZ52" s="214">
        <f t="shared" si="12"/>
        <v>0</v>
      </c>
      <c r="BA52" s="237">
        <f t="shared" si="13"/>
        <v>0</v>
      </c>
      <c r="BB52" s="31">
        <f t="shared" si="14"/>
        <v>0</v>
      </c>
      <c r="BC52" s="237">
        <f t="shared" si="15"/>
        <v>0</v>
      </c>
      <c r="BD52" s="31">
        <f t="shared" si="16"/>
        <v>0</v>
      </c>
      <c r="BE52" s="237">
        <f t="shared" si="17"/>
        <v>0</v>
      </c>
      <c r="BF52" s="31">
        <f t="shared" si="18"/>
        <v>0</v>
      </c>
      <c r="BG52" s="237">
        <f t="shared" si="19"/>
        <v>0</v>
      </c>
      <c r="BH52" s="31">
        <f t="shared" si="20"/>
        <v>0.375</v>
      </c>
      <c r="BI52" s="237">
        <f t="shared" si="21"/>
        <v>0.31874999999999998</v>
      </c>
      <c r="BJ52" s="31">
        <f t="shared" si="22"/>
        <v>0</v>
      </c>
      <c r="BK52" s="31">
        <f t="shared" si="23"/>
        <v>0</v>
      </c>
      <c r="BL52" s="237">
        <f t="shared" si="24"/>
        <v>0</v>
      </c>
      <c r="BM52" s="31">
        <f t="shared" si="25"/>
        <v>0</v>
      </c>
      <c r="BN52" s="237">
        <f t="shared" si="26"/>
        <v>0</v>
      </c>
    </row>
    <row r="53" spans="1:66" x14ac:dyDescent="0.25">
      <c r="A53" s="31" t="s">
        <v>1021</v>
      </c>
      <c r="B53" s="182" t="str">
        <f>VLOOKUP(A53,kurspris!$A$1:$B$894,2,FALSE)</f>
        <v>Läraryrkets dimensioner (Estetiska ämnen)</v>
      </c>
      <c r="D53" s="31" t="s">
        <v>483</v>
      </c>
      <c r="F53" s="59">
        <v>2019</v>
      </c>
      <c r="Q53" s="237">
        <v>3</v>
      </c>
      <c r="R53" s="40">
        <v>0.85</v>
      </c>
      <c r="S53" s="313">
        <f t="shared" si="0"/>
        <v>2.5499999999999998</v>
      </c>
      <c r="T53" s="31">
        <f>VLOOKUP(A53,'Ansvar kurs'!$A$1:$C$1027,2,FALSE)</f>
        <v>1650</v>
      </c>
      <c r="U53" s="31" t="str">
        <f>VLOOKUP(T53,Orgenheter!$A$1:$C$165,2,FALSE)</f>
        <v xml:space="preserve">Estetiska ämnen               </v>
      </c>
      <c r="V53" s="31" t="str">
        <f>VLOOKUP(T53,Orgenheter!$A$1:$C$165,3,FALSE)</f>
        <v>Hum</v>
      </c>
      <c r="W53" s="37" t="str">
        <f>VLOOKUP(D53,Program!$A$1:$B$34,2,FALSE)</f>
        <v>Ämneslärarprogrammet - Gy</v>
      </c>
      <c r="X53" s="42">
        <f>VLOOKUP(A53,kurspris!$A$1:$Q$815,15,FALSE)</f>
        <v>21634</v>
      </c>
      <c r="Y53" s="42">
        <f>VLOOKUP(A53,kurspris!$A$1:$Q$815,16,FALSE)</f>
        <v>26986</v>
      </c>
      <c r="Z53" s="42">
        <f t="shared" si="1"/>
        <v>133716.29999999999</v>
      </c>
      <c r="AA53" s="42">
        <f>VLOOKUP(A53,kurspris!$A$1:$Q$815,17,FALSE)</f>
        <v>3400</v>
      </c>
      <c r="AB53" s="42">
        <f t="shared" si="2"/>
        <v>10200</v>
      </c>
      <c r="AC53" s="42">
        <f t="shared" si="3"/>
        <v>143916.29999999999</v>
      </c>
      <c r="AD53" s="31">
        <f>VLOOKUP($A53,kurspris!$A$1:$Q$852,3,FALSE)</f>
        <v>0</v>
      </c>
      <c r="AE53" s="31">
        <f>VLOOKUP($A53,kurspris!$A$1:$Q$852,4,FALSE)</f>
        <v>0</v>
      </c>
      <c r="AF53" s="31">
        <f>VLOOKUP($A53,kurspris!$A$1:$Q$852,5,FALSE)</f>
        <v>0</v>
      </c>
      <c r="AG53" s="31">
        <f>VLOOKUP($A53,kurspris!$A$1:$Q$852,6,FALSE)</f>
        <v>0</v>
      </c>
      <c r="AH53" s="31">
        <f>VLOOKUP($A53,kurspris!$A$1:$Q$852,7,FALSE)</f>
        <v>0</v>
      </c>
      <c r="AI53" s="31">
        <f>VLOOKUP($A53,kurspris!$A$1:$Q$852,8,FALSE)</f>
        <v>0</v>
      </c>
      <c r="AJ53" s="31">
        <f>VLOOKUP($A53,kurspris!$A$1:$Q$852,9,FALSE)</f>
        <v>0</v>
      </c>
      <c r="AK53" s="31">
        <f>VLOOKUP($A53,kurspris!$A$1:$Q$852,10,FALSE)</f>
        <v>0</v>
      </c>
      <c r="AL53" s="31">
        <f>VLOOKUP($A53,kurspris!$A$1:$Q$852,11,FALSE)</f>
        <v>1</v>
      </c>
      <c r="AM53" s="31">
        <f>VLOOKUP($A53,kurspris!$A$1:$Q$852,12,FALSE)</f>
        <v>0</v>
      </c>
      <c r="AN53" s="31">
        <f>VLOOKUP($A53,kurspris!$A$1:$Q$852,13,FALSE)</f>
        <v>0</v>
      </c>
      <c r="AO53" s="31">
        <f>VLOOKUP($A53,kurspris!$A$1:$Q$852,14,FALSE)</f>
        <v>0</v>
      </c>
      <c r="AP53" s="59" t="s">
        <v>2216</v>
      </c>
      <c r="AR53" s="31">
        <f t="shared" si="4"/>
        <v>0</v>
      </c>
      <c r="AS53" s="237">
        <f t="shared" si="5"/>
        <v>0</v>
      </c>
      <c r="AT53" s="31">
        <f t="shared" si="6"/>
        <v>0</v>
      </c>
      <c r="AU53" s="237">
        <f t="shared" si="7"/>
        <v>0</v>
      </c>
      <c r="AV53" s="31">
        <f t="shared" si="8"/>
        <v>0</v>
      </c>
      <c r="AW53" s="31">
        <f t="shared" si="9"/>
        <v>0</v>
      </c>
      <c r="AX53" s="31">
        <f t="shared" si="10"/>
        <v>0</v>
      </c>
      <c r="AY53" s="237">
        <f t="shared" si="11"/>
        <v>0</v>
      </c>
      <c r="AZ53" s="214">
        <f t="shared" si="12"/>
        <v>0</v>
      </c>
      <c r="BA53" s="237">
        <f t="shared" si="13"/>
        <v>0</v>
      </c>
      <c r="BB53" s="31">
        <f t="shared" si="14"/>
        <v>0</v>
      </c>
      <c r="BC53" s="237">
        <f t="shared" si="15"/>
        <v>0</v>
      </c>
      <c r="BD53" s="31">
        <f t="shared" si="16"/>
        <v>0</v>
      </c>
      <c r="BE53" s="237">
        <f t="shared" si="17"/>
        <v>0</v>
      </c>
      <c r="BF53" s="31">
        <f t="shared" si="18"/>
        <v>0</v>
      </c>
      <c r="BG53" s="237">
        <f t="shared" si="19"/>
        <v>0</v>
      </c>
      <c r="BH53" s="31">
        <f t="shared" si="20"/>
        <v>3</v>
      </c>
      <c r="BI53" s="237">
        <f t="shared" si="21"/>
        <v>2.5499999999999998</v>
      </c>
      <c r="BJ53" s="31">
        <f t="shared" si="22"/>
        <v>0</v>
      </c>
      <c r="BK53" s="31">
        <f t="shared" si="23"/>
        <v>0</v>
      </c>
      <c r="BL53" s="237">
        <f t="shared" si="24"/>
        <v>0</v>
      </c>
      <c r="BM53" s="31">
        <f t="shared" si="25"/>
        <v>0</v>
      </c>
      <c r="BN53" s="237">
        <f t="shared" si="26"/>
        <v>0</v>
      </c>
    </row>
    <row r="54" spans="1:66" x14ac:dyDescent="0.25">
      <c r="A54" s="159" t="s">
        <v>1022</v>
      </c>
      <c r="B54" s="182" t="str">
        <f>VLOOKUP(A54,kurspris!$A$1:$B$894,2,FALSE)</f>
        <v>Examensarbete - estetiska ämnen</v>
      </c>
      <c r="C54" s="37"/>
      <c r="D54" s="31" t="s">
        <v>482</v>
      </c>
      <c r="F54" s="59">
        <v>2019</v>
      </c>
      <c r="Q54" s="237">
        <v>0.125</v>
      </c>
      <c r="R54" s="40">
        <v>0.85</v>
      </c>
      <c r="S54" s="313">
        <f t="shared" si="0"/>
        <v>0.10625</v>
      </c>
      <c r="T54" s="31">
        <f>VLOOKUP(A54,'Ansvar kurs'!$A$1:$C$1027,2,FALSE)</f>
        <v>1650</v>
      </c>
      <c r="U54" s="31" t="str">
        <f>VLOOKUP(T54,Orgenheter!$A$1:$C$165,2,FALSE)</f>
        <v xml:space="preserve">Estetiska ämnen               </v>
      </c>
      <c r="V54" s="31" t="str">
        <f>VLOOKUP(T54,Orgenheter!$A$1:$C$165,3,FALSE)</f>
        <v>Hum</v>
      </c>
      <c r="W54" s="37" t="str">
        <f>VLOOKUP(D54,Program!$A$1:$B$34,2,FALSE)</f>
        <v>Ämneslärarprogrammet - åk 7-9</v>
      </c>
      <c r="X54" s="42">
        <f>VLOOKUP(A54,kurspris!$A$1:$Q$815,15,FALSE)</f>
        <v>18405</v>
      </c>
      <c r="Y54" s="42">
        <f>VLOOKUP(A54,kurspris!$A$1:$Q$815,16,FALSE)</f>
        <v>15773</v>
      </c>
      <c r="Z54" s="42">
        <f t="shared" si="1"/>
        <v>3976.5062499999999</v>
      </c>
      <c r="AA54" s="42">
        <f>VLOOKUP(A54,kurspris!$A$1:$Q$815,17,FALSE)</f>
        <v>5800</v>
      </c>
      <c r="AB54" s="42">
        <f t="shared" si="2"/>
        <v>725</v>
      </c>
      <c r="AC54" s="42">
        <f t="shared" si="3"/>
        <v>4701.5062500000004</v>
      </c>
      <c r="AD54" s="31">
        <f>VLOOKUP($A54,kurspris!$A$1:$Q$852,3,FALSE)</f>
        <v>0</v>
      </c>
      <c r="AE54" s="31">
        <f>VLOOKUP($A54,kurspris!$A$1:$Q$852,4,FALSE)</f>
        <v>1</v>
      </c>
      <c r="AF54" s="31">
        <f>VLOOKUP($A54,kurspris!$A$1:$Q$852,5,FALSE)</f>
        <v>0</v>
      </c>
      <c r="AG54" s="31">
        <f>VLOOKUP($A54,kurspris!$A$1:$Q$852,6,FALSE)</f>
        <v>0</v>
      </c>
      <c r="AH54" s="31">
        <f>VLOOKUP($A54,kurspris!$A$1:$Q$852,7,FALSE)</f>
        <v>0</v>
      </c>
      <c r="AI54" s="31">
        <f>VLOOKUP($A54,kurspris!$A$1:$Q$852,8,FALSE)</f>
        <v>0</v>
      </c>
      <c r="AJ54" s="31">
        <f>VLOOKUP($A54,kurspris!$A$1:$Q$852,9,FALSE)</f>
        <v>0</v>
      </c>
      <c r="AK54" s="31">
        <f>VLOOKUP($A54,kurspris!$A$1:$Q$852,10,FALSE)</f>
        <v>0</v>
      </c>
      <c r="AL54" s="31">
        <f>VLOOKUP($A54,kurspris!$A$1:$Q$852,11,FALSE)</f>
        <v>0</v>
      </c>
      <c r="AM54" s="31">
        <f>VLOOKUP($A54,kurspris!$A$1:$Q$852,12,FALSE)</f>
        <v>0</v>
      </c>
      <c r="AN54" s="31">
        <f>VLOOKUP($A54,kurspris!$A$1:$Q$852,13,FALSE)</f>
        <v>0</v>
      </c>
      <c r="AO54" s="31">
        <f>VLOOKUP($A54,kurspris!$A$1:$Q$852,14,FALSE)</f>
        <v>0</v>
      </c>
      <c r="AP54" s="59" t="s">
        <v>2216</v>
      </c>
      <c r="AR54" s="31">
        <f t="shared" si="4"/>
        <v>0</v>
      </c>
      <c r="AS54" s="237">
        <f t="shared" si="5"/>
        <v>0</v>
      </c>
      <c r="AT54" s="31">
        <f t="shared" si="6"/>
        <v>0.125</v>
      </c>
      <c r="AU54" s="237">
        <f t="shared" si="7"/>
        <v>0.10625</v>
      </c>
      <c r="AV54" s="31">
        <f t="shared" si="8"/>
        <v>0</v>
      </c>
      <c r="AW54" s="31">
        <f t="shared" si="9"/>
        <v>0</v>
      </c>
      <c r="AX54" s="31">
        <f t="shared" si="10"/>
        <v>0</v>
      </c>
      <c r="AY54" s="237">
        <f t="shared" si="11"/>
        <v>0</v>
      </c>
      <c r="AZ54" s="214">
        <f t="shared" si="12"/>
        <v>0</v>
      </c>
      <c r="BA54" s="237">
        <f t="shared" si="13"/>
        <v>0</v>
      </c>
      <c r="BB54" s="31">
        <f t="shared" si="14"/>
        <v>0</v>
      </c>
      <c r="BC54" s="237">
        <f t="shared" si="15"/>
        <v>0</v>
      </c>
      <c r="BD54" s="31">
        <f t="shared" si="16"/>
        <v>0</v>
      </c>
      <c r="BE54" s="237">
        <f t="shared" si="17"/>
        <v>0</v>
      </c>
      <c r="BF54" s="31">
        <f t="shared" si="18"/>
        <v>0</v>
      </c>
      <c r="BG54" s="237">
        <f t="shared" si="19"/>
        <v>0</v>
      </c>
      <c r="BH54" s="31">
        <f t="shared" si="20"/>
        <v>0</v>
      </c>
      <c r="BI54" s="237">
        <f t="shared" si="21"/>
        <v>0</v>
      </c>
      <c r="BJ54" s="31">
        <f t="shared" si="22"/>
        <v>0</v>
      </c>
      <c r="BK54" s="31">
        <f t="shared" si="23"/>
        <v>0</v>
      </c>
      <c r="BL54" s="237">
        <f t="shared" si="24"/>
        <v>0</v>
      </c>
      <c r="BM54" s="31">
        <f t="shared" si="25"/>
        <v>0</v>
      </c>
      <c r="BN54" s="237">
        <f t="shared" si="26"/>
        <v>0</v>
      </c>
    </row>
    <row r="55" spans="1:66" x14ac:dyDescent="0.25">
      <c r="A55" s="159" t="s">
        <v>1022</v>
      </c>
      <c r="B55" s="182" t="str">
        <f>VLOOKUP(A55,kurspris!$A$1:$B$894,2,FALSE)</f>
        <v>Examensarbete - estetiska ämnen</v>
      </c>
      <c r="C55" s="37"/>
      <c r="D55" s="31" t="s">
        <v>483</v>
      </c>
      <c r="F55" s="59">
        <v>2019</v>
      </c>
      <c r="Q55" s="237">
        <v>1.625</v>
      </c>
      <c r="R55" s="40">
        <v>0.85</v>
      </c>
      <c r="S55" s="313">
        <f t="shared" si="0"/>
        <v>1.3812499999999999</v>
      </c>
      <c r="T55" s="31">
        <f>VLOOKUP(A55,'Ansvar kurs'!$A$1:$C$1027,2,FALSE)</f>
        <v>1650</v>
      </c>
      <c r="U55" s="31" t="str">
        <f>VLOOKUP(T55,Orgenheter!$A$1:$C$165,2,FALSE)</f>
        <v xml:space="preserve">Estetiska ämnen               </v>
      </c>
      <c r="V55" s="31" t="str">
        <f>VLOOKUP(T55,Orgenheter!$A$1:$C$165,3,FALSE)</f>
        <v>Hum</v>
      </c>
      <c r="W55" s="37" t="str">
        <f>VLOOKUP(D55,Program!$A$1:$B$34,2,FALSE)</f>
        <v>Ämneslärarprogrammet - Gy</v>
      </c>
      <c r="X55" s="42">
        <f>VLOOKUP(A55,kurspris!$A$1:$Q$815,15,FALSE)</f>
        <v>18405</v>
      </c>
      <c r="Y55" s="42">
        <f>VLOOKUP(A55,kurspris!$A$1:$Q$815,16,FALSE)</f>
        <v>15773</v>
      </c>
      <c r="Z55" s="42">
        <f t="shared" si="1"/>
        <v>51694.581250000003</v>
      </c>
      <c r="AA55" s="42">
        <f>VLOOKUP(A55,kurspris!$A$1:$Q$815,17,FALSE)</f>
        <v>5800</v>
      </c>
      <c r="AB55" s="42">
        <f t="shared" si="2"/>
        <v>9425</v>
      </c>
      <c r="AC55" s="42">
        <f t="shared" si="3"/>
        <v>61119.581250000003</v>
      </c>
      <c r="AD55" s="31">
        <f>VLOOKUP($A55,kurspris!$A$1:$Q$852,3,FALSE)</f>
        <v>0</v>
      </c>
      <c r="AE55" s="31">
        <f>VLOOKUP($A55,kurspris!$A$1:$Q$852,4,FALSE)</f>
        <v>1</v>
      </c>
      <c r="AF55" s="31">
        <f>VLOOKUP($A55,kurspris!$A$1:$Q$852,5,FALSE)</f>
        <v>0</v>
      </c>
      <c r="AG55" s="31">
        <f>VLOOKUP($A55,kurspris!$A$1:$Q$852,6,FALSE)</f>
        <v>0</v>
      </c>
      <c r="AH55" s="31">
        <f>VLOOKUP($A55,kurspris!$A$1:$Q$852,7,FALSE)</f>
        <v>0</v>
      </c>
      <c r="AI55" s="31">
        <f>VLOOKUP($A55,kurspris!$A$1:$Q$852,8,FALSE)</f>
        <v>0</v>
      </c>
      <c r="AJ55" s="31">
        <f>VLOOKUP($A55,kurspris!$A$1:$Q$852,9,FALSE)</f>
        <v>0</v>
      </c>
      <c r="AK55" s="31">
        <f>VLOOKUP($A55,kurspris!$A$1:$Q$852,10,FALSE)</f>
        <v>0</v>
      </c>
      <c r="AL55" s="31">
        <f>VLOOKUP($A55,kurspris!$A$1:$Q$852,11,FALSE)</f>
        <v>0</v>
      </c>
      <c r="AM55" s="31">
        <f>VLOOKUP($A55,kurspris!$A$1:$Q$852,12,FALSE)</f>
        <v>0</v>
      </c>
      <c r="AN55" s="31">
        <f>VLOOKUP($A55,kurspris!$A$1:$Q$852,13,FALSE)</f>
        <v>0</v>
      </c>
      <c r="AO55" s="31">
        <f>VLOOKUP($A55,kurspris!$A$1:$Q$852,14,FALSE)</f>
        <v>0</v>
      </c>
      <c r="AP55" s="59" t="s">
        <v>2216</v>
      </c>
      <c r="AR55" s="31">
        <f t="shared" si="4"/>
        <v>0</v>
      </c>
      <c r="AS55" s="237">
        <f t="shared" si="5"/>
        <v>0</v>
      </c>
      <c r="AT55" s="31">
        <f t="shared" si="6"/>
        <v>1.625</v>
      </c>
      <c r="AU55" s="237">
        <f t="shared" si="7"/>
        <v>1.3812499999999999</v>
      </c>
      <c r="AV55" s="31">
        <f t="shared" si="8"/>
        <v>0</v>
      </c>
      <c r="AW55" s="31">
        <f t="shared" si="9"/>
        <v>0</v>
      </c>
      <c r="AX55" s="31">
        <f t="shared" si="10"/>
        <v>0</v>
      </c>
      <c r="AY55" s="237">
        <f t="shared" si="11"/>
        <v>0</v>
      </c>
      <c r="AZ55" s="214">
        <f t="shared" si="12"/>
        <v>0</v>
      </c>
      <c r="BA55" s="237">
        <f t="shared" si="13"/>
        <v>0</v>
      </c>
      <c r="BB55" s="31">
        <f t="shared" si="14"/>
        <v>0</v>
      </c>
      <c r="BC55" s="237">
        <f t="shared" si="15"/>
        <v>0</v>
      </c>
      <c r="BD55" s="31">
        <f t="shared" si="16"/>
        <v>0</v>
      </c>
      <c r="BE55" s="237">
        <f t="shared" si="17"/>
        <v>0</v>
      </c>
      <c r="BF55" s="31">
        <f t="shared" si="18"/>
        <v>0</v>
      </c>
      <c r="BG55" s="237">
        <f t="shared" si="19"/>
        <v>0</v>
      </c>
      <c r="BH55" s="31">
        <f t="shared" si="20"/>
        <v>0</v>
      </c>
      <c r="BI55" s="237">
        <f t="shared" si="21"/>
        <v>0</v>
      </c>
      <c r="BJ55" s="31">
        <f t="shared" si="22"/>
        <v>0</v>
      </c>
      <c r="BK55" s="31">
        <f t="shared" si="23"/>
        <v>0</v>
      </c>
      <c r="BL55" s="237">
        <f t="shared" si="24"/>
        <v>0</v>
      </c>
      <c r="BM55" s="31">
        <f t="shared" si="25"/>
        <v>0</v>
      </c>
      <c r="BN55" s="237">
        <f t="shared" si="26"/>
        <v>0</v>
      </c>
    </row>
    <row r="56" spans="1:66" x14ac:dyDescent="0.25">
      <c r="A56" s="159" t="s">
        <v>1022</v>
      </c>
      <c r="B56" s="182" t="str">
        <f>VLOOKUP(A56,kurspris!$A$1:$B$894,2,FALSE)</f>
        <v>Examensarbete - estetiska ämnen</v>
      </c>
      <c r="C56" s="37"/>
      <c r="D56" s="31" t="s">
        <v>117</v>
      </c>
      <c r="F56" s="59">
        <v>2019</v>
      </c>
      <c r="Q56" s="237">
        <v>0.375</v>
      </c>
      <c r="R56" s="40">
        <v>0.8</v>
      </c>
      <c r="S56" s="313">
        <f t="shared" si="0"/>
        <v>0.30000000000000004</v>
      </c>
      <c r="T56" s="31">
        <f>VLOOKUP(A56,'Ansvar kurs'!$A$1:$C$1027,2,FALSE)</f>
        <v>1650</v>
      </c>
      <c r="U56" s="31" t="str">
        <f>VLOOKUP(T56,Orgenheter!$A$1:$C$165,2,FALSE)</f>
        <v xml:space="preserve">Estetiska ämnen               </v>
      </c>
      <c r="V56" s="31" t="str">
        <f>VLOOKUP(T56,Orgenheter!$A$1:$C$165,3,FALSE)</f>
        <v>Hum</v>
      </c>
      <c r="W56" s="37" t="str">
        <f>VLOOKUP(D56,Program!$A$1:$B$34,2,FALSE)</f>
        <v>Fristående och övriga kurser</v>
      </c>
      <c r="X56" s="42">
        <f>VLOOKUP(A56,kurspris!$A$1:$Q$815,15,FALSE)</f>
        <v>18405</v>
      </c>
      <c r="Y56" s="42">
        <f>VLOOKUP(A56,kurspris!$A$1:$Q$815,16,FALSE)</f>
        <v>15773</v>
      </c>
      <c r="Z56" s="42">
        <f t="shared" si="1"/>
        <v>11633.775000000001</v>
      </c>
      <c r="AA56" s="42">
        <f>VLOOKUP(A56,kurspris!$A$1:$Q$815,17,FALSE)</f>
        <v>5800</v>
      </c>
      <c r="AB56" s="42">
        <f t="shared" si="2"/>
        <v>2175</v>
      </c>
      <c r="AC56" s="42">
        <f t="shared" si="3"/>
        <v>13808.775000000001</v>
      </c>
      <c r="AD56" s="31">
        <f>VLOOKUP($A56,kurspris!$A$1:$Q$852,3,FALSE)</f>
        <v>0</v>
      </c>
      <c r="AE56" s="31">
        <f>VLOOKUP($A56,kurspris!$A$1:$Q$852,4,FALSE)</f>
        <v>1</v>
      </c>
      <c r="AF56" s="31">
        <f>VLOOKUP($A56,kurspris!$A$1:$Q$852,5,FALSE)</f>
        <v>0</v>
      </c>
      <c r="AG56" s="31">
        <f>VLOOKUP($A56,kurspris!$A$1:$Q$852,6,FALSE)</f>
        <v>0</v>
      </c>
      <c r="AH56" s="31">
        <f>VLOOKUP($A56,kurspris!$A$1:$Q$852,7,FALSE)</f>
        <v>0</v>
      </c>
      <c r="AI56" s="31">
        <f>VLOOKUP($A56,kurspris!$A$1:$Q$852,8,FALSE)</f>
        <v>0</v>
      </c>
      <c r="AJ56" s="31">
        <f>VLOOKUP($A56,kurspris!$A$1:$Q$852,9,FALSE)</f>
        <v>0</v>
      </c>
      <c r="AK56" s="31">
        <f>VLOOKUP($A56,kurspris!$A$1:$Q$852,10,FALSE)</f>
        <v>0</v>
      </c>
      <c r="AL56" s="31">
        <f>VLOOKUP($A56,kurspris!$A$1:$Q$852,11,FALSE)</f>
        <v>0</v>
      </c>
      <c r="AM56" s="31">
        <f>VLOOKUP($A56,kurspris!$A$1:$Q$852,12,FALSE)</f>
        <v>0</v>
      </c>
      <c r="AN56" s="31">
        <f>VLOOKUP($A56,kurspris!$A$1:$Q$852,13,FALSE)</f>
        <v>0</v>
      </c>
      <c r="AO56" s="31">
        <f>VLOOKUP($A56,kurspris!$A$1:$Q$852,14,FALSE)</f>
        <v>0</v>
      </c>
      <c r="AP56" s="59" t="s">
        <v>2216</v>
      </c>
      <c r="AR56" s="31">
        <f t="shared" si="4"/>
        <v>0</v>
      </c>
      <c r="AS56" s="237">
        <f t="shared" si="5"/>
        <v>0</v>
      </c>
      <c r="AT56" s="31">
        <f t="shared" si="6"/>
        <v>0.375</v>
      </c>
      <c r="AU56" s="237">
        <f t="shared" si="7"/>
        <v>0.30000000000000004</v>
      </c>
      <c r="AV56" s="31">
        <f t="shared" si="8"/>
        <v>0</v>
      </c>
      <c r="AW56" s="31">
        <f t="shared" si="9"/>
        <v>0</v>
      </c>
      <c r="AX56" s="31">
        <f t="shared" si="10"/>
        <v>0</v>
      </c>
      <c r="AY56" s="237">
        <f t="shared" si="11"/>
        <v>0</v>
      </c>
      <c r="AZ56" s="214">
        <f t="shared" si="12"/>
        <v>0</v>
      </c>
      <c r="BA56" s="237">
        <f t="shared" si="13"/>
        <v>0</v>
      </c>
      <c r="BB56" s="31">
        <f t="shared" si="14"/>
        <v>0</v>
      </c>
      <c r="BC56" s="237">
        <f t="shared" si="15"/>
        <v>0</v>
      </c>
      <c r="BD56" s="31">
        <f t="shared" si="16"/>
        <v>0</v>
      </c>
      <c r="BE56" s="237">
        <f t="shared" si="17"/>
        <v>0</v>
      </c>
      <c r="BF56" s="31">
        <f t="shared" si="18"/>
        <v>0</v>
      </c>
      <c r="BG56" s="237">
        <f t="shared" si="19"/>
        <v>0</v>
      </c>
      <c r="BH56" s="31">
        <f t="shared" si="20"/>
        <v>0</v>
      </c>
      <c r="BI56" s="237">
        <f t="shared" si="21"/>
        <v>0</v>
      </c>
      <c r="BJ56" s="31">
        <f t="shared" si="22"/>
        <v>0</v>
      </c>
      <c r="BK56" s="31">
        <f t="shared" si="23"/>
        <v>0</v>
      </c>
      <c r="BL56" s="237">
        <f t="shared" si="24"/>
        <v>0</v>
      </c>
      <c r="BM56" s="31">
        <f t="shared" si="25"/>
        <v>0</v>
      </c>
      <c r="BN56" s="237">
        <f t="shared" si="26"/>
        <v>0</v>
      </c>
    </row>
    <row r="57" spans="1:66" x14ac:dyDescent="0.25">
      <c r="A57" s="159" t="s">
        <v>1370</v>
      </c>
      <c r="B57" s="182" t="str">
        <f>VLOOKUP(A57,kurspris!$A$1:$B$894,2,FALSE)</f>
        <v>Ämnesdidaktik i skolpraktiken, del 1</v>
      </c>
      <c r="C57" s="37"/>
      <c r="D57" s="31" t="s">
        <v>628</v>
      </c>
      <c r="F57" s="59">
        <v>2019</v>
      </c>
      <c r="Q57" s="237">
        <v>3.25</v>
      </c>
      <c r="R57" s="40">
        <v>0.85</v>
      </c>
      <c r="S57" s="313">
        <f t="shared" si="0"/>
        <v>2.7624999999999997</v>
      </c>
      <c r="T57" s="31">
        <f>VLOOKUP(A57,'Ansvar kurs'!$A$1:$C$1027,2,FALSE)</f>
        <v>1650</v>
      </c>
      <c r="U57" s="31" t="str">
        <f>VLOOKUP(T57,Orgenheter!$A$1:$C$165,2,FALSE)</f>
        <v xml:space="preserve">Estetiska ämnen               </v>
      </c>
      <c r="V57" s="31" t="str">
        <f>VLOOKUP(T57,Orgenheter!$A$1:$C$165,3,FALSE)</f>
        <v>Hum</v>
      </c>
      <c r="W57" s="37" t="str">
        <f>VLOOKUP(D57,Program!$A$1:$B$34,2,FALSE)</f>
        <v>KPU - åk 7-9</v>
      </c>
      <c r="X57" s="42">
        <f>VLOOKUP(A57,kurspris!$A$1:$Q$815,15,FALSE)</f>
        <v>21634</v>
      </c>
      <c r="Y57" s="42">
        <f>VLOOKUP(A57,kurspris!$A$1:$Q$815,16,FALSE)</f>
        <v>26986</v>
      </c>
      <c r="Z57" s="42">
        <f t="shared" si="1"/>
        <v>144859.32500000001</v>
      </c>
      <c r="AA57" s="42">
        <f>VLOOKUP(A57,kurspris!$A$1:$Q$815,17,FALSE)</f>
        <v>3400</v>
      </c>
      <c r="AB57" s="42">
        <f t="shared" si="2"/>
        <v>11050</v>
      </c>
      <c r="AC57" s="42">
        <f t="shared" si="3"/>
        <v>155909.32500000001</v>
      </c>
      <c r="AD57" s="31">
        <f>VLOOKUP($A57,kurspris!$A$1:$Q$852,3,FALSE)</f>
        <v>0</v>
      </c>
      <c r="AE57" s="31">
        <f>VLOOKUP($A57,kurspris!$A$1:$Q$852,4,FALSE)</f>
        <v>0</v>
      </c>
      <c r="AF57" s="31">
        <f>VLOOKUP($A57,kurspris!$A$1:$Q$852,5,FALSE)</f>
        <v>0</v>
      </c>
      <c r="AG57" s="31">
        <f>VLOOKUP($A57,kurspris!$A$1:$Q$852,6,FALSE)</f>
        <v>0</v>
      </c>
      <c r="AH57" s="31">
        <f>VLOOKUP($A57,kurspris!$A$1:$Q$852,7,FALSE)</f>
        <v>0</v>
      </c>
      <c r="AI57" s="31">
        <f>VLOOKUP($A57,kurspris!$A$1:$Q$852,8,FALSE)</f>
        <v>0</v>
      </c>
      <c r="AJ57" s="31">
        <f>VLOOKUP($A57,kurspris!$A$1:$Q$852,9,FALSE)</f>
        <v>0</v>
      </c>
      <c r="AK57" s="31">
        <f>VLOOKUP($A57,kurspris!$A$1:$Q$852,10,FALSE)</f>
        <v>0</v>
      </c>
      <c r="AL57" s="31">
        <f>VLOOKUP($A57,kurspris!$A$1:$Q$852,11,FALSE)</f>
        <v>1</v>
      </c>
      <c r="AM57" s="31">
        <f>VLOOKUP($A57,kurspris!$A$1:$Q$852,12,FALSE)</f>
        <v>0</v>
      </c>
      <c r="AN57" s="31">
        <f>VLOOKUP($A57,kurspris!$A$1:$Q$852,13,FALSE)</f>
        <v>0</v>
      </c>
      <c r="AO57" s="31">
        <f>VLOOKUP($A57,kurspris!$A$1:$Q$852,14,FALSE)</f>
        <v>0</v>
      </c>
      <c r="AP57" s="59" t="s">
        <v>2216</v>
      </c>
      <c r="AR57" s="31">
        <f t="shared" si="4"/>
        <v>0</v>
      </c>
      <c r="AS57" s="237">
        <f t="shared" si="5"/>
        <v>0</v>
      </c>
      <c r="AT57" s="31">
        <f t="shared" si="6"/>
        <v>0</v>
      </c>
      <c r="AU57" s="237">
        <f t="shared" si="7"/>
        <v>0</v>
      </c>
      <c r="AV57" s="31">
        <f t="shared" si="8"/>
        <v>0</v>
      </c>
      <c r="AW57" s="31">
        <f t="shared" si="9"/>
        <v>0</v>
      </c>
      <c r="AX57" s="31">
        <f t="shared" si="10"/>
        <v>0</v>
      </c>
      <c r="AY57" s="237">
        <f t="shared" si="11"/>
        <v>0</v>
      </c>
      <c r="AZ57" s="214">
        <f t="shared" si="12"/>
        <v>0</v>
      </c>
      <c r="BA57" s="237">
        <f t="shared" si="13"/>
        <v>0</v>
      </c>
      <c r="BB57" s="31">
        <f t="shared" si="14"/>
        <v>0</v>
      </c>
      <c r="BC57" s="237">
        <f t="shared" si="15"/>
        <v>0</v>
      </c>
      <c r="BD57" s="31">
        <f t="shared" si="16"/>
        <v>0</v>
      </c>
      <c r="BE57" s="237">
        <f t="shared" si="17"/>
        <v>0</v>
      </c>
      <c r="BF57" s="31">
        <f t="shared" si="18"/>
        <v>0</v>
      </c>
      <c r="BG57" s="237">
        <f t="shared" si="19"/>
        <v>0</v>
      </c>
      <c r="BH57" s="31">
        <f t="shared" si="20"/>
        <v>3.25</v>
      </c>
      <c r="BI57" s="237">
        <f t="shared" si="21"/>
        <v>2.7624999999999997</v>
      </c>
      <c r="BJ57" s="31">
        <f t="shared" si="22"/>
        <v>0</v>
      </c>
      <c r="BK57" s="31">
        <f t="shared" si="23"/>
        <v>0</v>
      </c>
      <c r="BL57" s="237">
        <f t="shared" si="24"/>
        <v>0</v>
      </c>
      <c r="BM57" s="31">
        <f t="shared" si="25"/>
        <v>0</v>
      </c>
      <c r="BN57" s="237">
        <f t="shared" si="26"/>
        <v>0</v>
      </c>
    </row>
    <row r="58" spans="1:66" x14ac:dyDescent="0.25">
      <c r="A58" s="159" t="s">
        <v>1370</v>
      </c>
      <c r="B58" s="182" t="str">
        <f>VLOOKUP(A58,kurspris!$A$1:$B$894,2,FALSE)</f>
        <v>Ämnesdidaktik i skolpraktiken, del 1</v>
      </c>
      <c r="C58" s="37"/>
      <c r="D58" s="31" t="s">
        <v>629</v>
      </c>
      <c r="F58" s="59">
        <v>2019</v>
      </c>
      <c r="Q58" s="237">
        <v>2.25</v>
      </c>
      <c r="R58" s="40">
        <v>0.85</v>
      </c>
      <c r="S58" s="313">
        <f t="shared" si="0"/>
        <v>1.9124999999999999</v>
      </c>
      <c r="T58" s="31">
        <f>VLOOKUP(A58,'Ansvar kurs'!$A$1:$C$1027,2,FALSE)</f>
        <v>1650</v>
      </c>
      <c r="U58" s="31" t="str">
        <f>VLOOKUP(T58,Orgenheter!$A$1:$C$165,2,FALSE)</f>
        <v xml:space="preserve">Estetiska ämnen               </v>
      </c>
      <c r="V58" s="31" t="str">
        <f>VLOOKUP(T58,Orgenheter!$A$1:$C$165,3,FALSE)</f>
        <v>Hum</v>
      </c>
      <c r="W58" s="37" t="str">
        <f>VLOOKUP(D58,Program!$A$1:$B$34,2,FALSE)</f>
        <v>KPU - Gy</v>
      </c>
      <c r="X58" s="42">
        <f>VLOOKUP(A58,kurspris!$A$1:$Q$815,15,FALSE)</f>
        <v>21634</v>
      </c>
      <c r="Y58" s="42">
        <f>VLOOKUP(A58,kurspris!$A$1:$Q$815,16,FALSE)</f>
        <v>26986</v>
      </c>
      <c r="Z58" s="42">
        <f t="shared" si="1"/>
        <v>100287.22500000001</v>
      </c>
      <c r="AA58" s="42">
        <f>VLOOKUP(A58,kurspris!$A$1:$Q$815,17,FALSE)</f>
        <v>3400</v>
      </c>
      <c r="AB58" s="42">
        <f t="shared" si="2"/>
        <v>7650</v>
      </c>
      <c r="AC58" s="42">
        <f t="shared" si="3"/>
        <v>107937.22500000001</v>
      </c>
      <c r="AD58" s="31">
        <f>VLOOKUP($A58,kurspris!$A$1:$Q$852,3,FALSE)</f>
        <v>0</v>
      </c>
      <c r="AE58" s="31">
        <f>VLOOKUP($A58,kurspris!$A$1:$Q$852,4,FALSE)</f>
        <v>0</v>
      </c>
      <c r="AF58" s="31">
        <f>VLOOKUP($A58,kurspris!$A$1:$Q$852,5,FALSE)</f>
        <v>0</v>
      </c>
      <c r="AG58" s="31">
        <f>VLOOKUP($A58,kurspris!$A$1:$Q$852,6,FALSE)</f>
        <v>0</v>
      </c>
      <c r="AH58" s="31">
        <f>VLOOKUP($A58,kurspris!$A$1:$Q$852,7,FALSE)</f>
        <v>0</v>
      </c>
      <c r="AI58" s="31">
        <f>VLOOKUP($A58,kurspris!$A$1:$Q$852,8,FALSE)</f>
        <v>0</v>
      </c>
      <c r="AJ58" s="31">
        <f>VLOOKUP($A58,kurspris!$A$1:$Q$852,9,FALSE)</f>
        <v>0</v>
      </c>
      <c r="AK58" s="31">
        <f>VLOOKUP($A58,kurspris!$A$1:$Q$852,10,FALSE)</f>
        <v>0</v>
      </c>
      <c r="AL58" s="31">
        <f>VLOOKUP($A58,kurspris!$A$1:$Q$852,11,FALSE)</f>
        <v>1</v>
      </c>
      <c r="AM58" s="31">
        <f>VLOOKUP($A58,kurspris!$A$1:$Q$852,12,FALSE)</f>
        <v>0</v>
      </c>
      <c r="AN58" s="31">
        <f>VLOOKUP($A58,kurspris!$A$1:$Q$852,13,FALSE)</f>
        <v>0</v>
      </c>
      <c r="AO58" s="31">
        <f>VLOOKUP($A58,kurspris!$A$1:$Q$852,14,FALSE)</f>
        <v>0</v>
      </c>
      <c r="AP58" s="59" t="s">
        <v>2216</v>
      </c>
      <c r="AR58" s="31">
        <f t="shared" si="4"/>
        <v>0</v>
      </c>
      <c r="AS58" s="237">
        <f t="shared" si="5"/>
        <v>0</v>
      </c>
      <c r="AT58" s="31">
        <f t="shared" si="6"/>
        <v>0</v>
      </c>
      <c r="AU58" s="237">
        <f t="shared" si="7"/>
        <v>0</v>
      </c>
      <c r="AV58" s="31">
        <f t="shared" si="8"/>
        <v>0</v>
      </c>
      <c r="AW58" s="31">
        <f t="shared" si="9"/>
        <v>0</v>
      </c>
      <c r="AX58" s="31">
        <f t="shared" si="10"/>
        <v>0</v>
      </c>
      <c r="AY58" s="237">
        <f t="shared" si="11"/>
        <v>0</v>
      </c>
      <c r="AZ58" s="214">
        <f t="shared" si="12"/>
        <v>0</v>
      </c>
      <c r="BA58" s="237">
        <f t="shared" si="13"/>
        <v>0</v>
      </c>
      <c r="BB58" s="31">
        <f t="shared" si="14"/>
        <v>0</v>
      </c>
      <c r="BC58" s="237">
        <f t="shared" si="15"/>
        <v>0</v>
      </c>
      <c r="BD58" s="31">
        <f t="shared" si="16"/>
        <v>0</v>
      </c>
      <c r="BE58" s="237">
        <f t="shared" si="17"/>
        <v>0</v>
      </c>
      <c r="BF58" s="31">
        <f t="shared" si="18"/>
        <v>0</v>
      </c>
      <c r="BG58" s="237">
        <f t="shared" si="19"/>
        <v>0</v>
      </c>
      <c r="BH58" s="31">
        <f t="shared" si="20"/>
        <v>2.25</v>
      </c>
      <c r="BI58" s="237">
        <f t="shared" si="21"/>
        <v>1.9124999999999999</v>
      </c>
      <c r="BJ58" s="31">
        <f t="shared" si="22"/>
        <v>0</v>
      </c>
      <c r="BK58" s="31">
        <f t="shared" si="23"/>
        <v>0</v>
      </c>
      <c r="BL58" s="237">
        <f t="shared" si="24"/>
        <v>0</v>
      </c>
      <c r="BM58" s="31">
        <f t="shared" si="25"/>
        <v>0</v>
      </c>
      <c r="BN58" s="237">
        <f t="shared" si="26"/>
        <v>0</v>
      </c>
    </row>
    <row r="59" spans="1:66" x14ac:dyDescent="0.25">
      <c r="A59" s="159" t="s">
        <v>1371</v>
      </c>
      <c r="B59" s="182" t="str">
        <f>VLOOKUP(A59,kurspris!$A$1:$B$894,2,FALSE)</f>
        <v>Ämnesdidaktik i skolpraktiken, del 2</v>
      </c>
      <c r="C59" s="37"/>
      <c r="D59" s="31" t="s">
        <v>628</v>
      </c>
      <c r="F59" s="59">
        <v>2019</v>
      </c>
      <c r="Q59" s="237">
        <v>3.5</v>
      </c>
      <c r="R59" s="40">
        <v>0.85</v>
      </c>
      <c r="S59" s="313">
        <f t="shared" si="0"/>
        <v>2.9750000000000001</v>
      </c>
      <c r="T59" s="31">
        <f>VLOOKUP(A59,'Ansvar kurs'!$A$1:$C$1027,2,FALSE)</f>
        <v>1650</v>
      </c>
      <c r="U59" s="31" t="str">
        <f>VLOOKUP(T59,Orgenheter!$A$1:$C$165,2,FALSE)</f>
        <v xml:space="preserve">Estetiska ämnen               </v>
      </c>
      <c r="V59" s="31" t="str">
        <f>VLOOKUP(T59,Orgenheter!$A$1:$C$165,3,FALSE)</f>
        <v>Hum</v>
      </c>
      <c r="W59" s="37" t="str">
        <f>VLOOKUP(D59,Program!$A$1:$B$34,2,FALSE)</f>
        <v>KPU - åk 7-9</v>
      </c>
      <c r="X59" s="42">
        <f>VLOOKUP(A59,kurspris!$A$1:$Q$815,15,FALSE)</f>
        <v>21634</v>
      </c>
      <c r="Y59" s="42">
        <f>VLOOKUP(A59,kurspris!$A$1:$Q$815,16,FALSE)</f>
        <v>26986</v>
      </c>
      <c r="Z59" s="42">
        <f t="shared" si="1"/>
        <v>156002.35</v>
      </c>
      <c r="AA59" s="42">
        <f>VLOOKUP(A59,kurspris!$A$1:$Q$815,17,FALSE)</f>
        <v>3400</v>
      </c>
      <c r="AB59" s="42">
        <f t="shared" si="2"/>
        <v>11900</v>
      </c>
      <c r="AC59" s="42">
        <f t="shared" si="3"/>
        <v>167902.35</v>
      </c>
      <c r="AD59" s="31">
        <f>VLOOKUP($A59,kurspris!$A$1:$Q$852,3,FALSE)</f>
        <v>0</v>
      </c>
      <c r="AE59" s="31">
        <f>VLOOKUP($A59,kurspris!$A$1:$Q$852,4,FALSE)</f>
        <v>0</v>
      </c>
      <c r="AF59" s="31">
        <f>VLOOKUP($A59,kurspris!$A$1:$Q$852,5,FALSE)</f>
        <v>0</v>
      </c>
      <c r="AG59" s="31">
        <f>VLOOKUP($A59,kurspris!$A$1:$Q$852,6,FALSE)</f>
        <v>0</v>
      </c>
      <c r="AH59" s="31">
        <f>VLOOKUP($A59,kurspris!$A$1:$Q$852,7,FALSE)</f>
        <v>0</v>
      </c>
      <c r="AI59" s="31">
        <f>VLOOKUP($A59,kurspris!$A$1:$Q$852,8,FALSE)</f>
        <v>0</v>
      </c>
      <c r="AJ59" s="31">
        <f>VLOOKUP($A59,kurspris!$A$1:$Q$852,9,FALSE)</f>
        <v>0</v>
      </c>
      <c r="AK59" s="31">
        <f>VLOOKUP($A59,kurspris!$A$1:$Q$852,10,FALSE)</f>
        <v>0</v>
      </c>
      <c r="AL59" s="31">
        <f>VLOOKUP($A59,kurspris!$A$1:$Q$852,11,FALSE)</f>
        <v>1</v>
      </c>
      <c r="AM59" s="31">
        <f>VLOOKUP($A59,kurspris!$A$1:$Q$852,12,FALSE)</f>
        <v>0</v>
      </c>
      <c r="AN59" s="31">
        <f>VLOOKUP($A59,kurspris!$A$1:$Q$852,13,FALSE)</f>
        <v>0</v>
      </c>
      <c r="AO59" s="31">
        <f>VLOOKUP($A59,kurspris!$A$1:$Q$852,14,FALSE)</f>
        <v>0</v>
      </c>
      <c r="AP59" s="59" t="s">
        <v>2216</v>
      </c>
      <c r="AR59" s="31">
        <f t="shared" si="4"/>
        <v>0</v>
      </c>
      <c r="AS59" s="237">
        <f t="shared" si="5"/>
        <v>0</v>
      </c>
      <c r="AT59" s="31">
        <f t="shared" si="6"/>
        <v>0</v>
      </c>
      <c r="AU59" s="237">
        <f t="shared" si="7"/>
        <v>0</v>
      </c>
      <c r="AV59" s="31">
        <f t="shared" si="8"/>
        <v>0</v>
      </c>
      <c r="AW59" s="31">
        <f t="shared" si="9"/>
        <v>0</v>
      </c>
      <c r="AX59" s="31">
        <f t="shared" si="10"/>
        <v>0</v>
      </c>
      <c r="AY59" s="237">
        <f t="shared" si="11"/>
        <v>0</v>
      </c>
      <c r="AZ59" s="214">
        <f t="shared" si="12"/>
        <v>0</v>
      </c>
      <c r="BA59" s="237">
        <f t="shared" si="13"/>
        <v>0</v>
      </c>
      <c r="BB59" s="31">
        <f t="shared" si="14"/>
        <v>0</v>
      </c>
      <c r="BC59" s="237">
        <f t="shared" si="15"/>
        <v>0</v>
      </c>
      <c r="BD59" s="31">
        <f t="shared" si="16"/>
        <v>0</v>
      </c>
      <c r="BE59" s="237">
        <f t="shared" si="17"/>
        <v>0</v>
      </c>
      <c r="BF59" s="31">
        <f t="shared" si="18"/>
        <v>0</v>
      </c>
      <c r="BG59" s="237">
        <f t="shared" si="19"/>
        <v>0</v>
      </c>
      <c r="BH59" s="31">
        <f t="shared" si="20"/>
        <v>3.5</v>
      </c>
      <c r="BI59" s="237">
        <f t="shared" si="21"/>
        <v>2.9750000000000001</v>
      </c>
      <c r="BJ59" s="31">
        <f t="shared" si="22"/>
        <v>0</v>
      </c>
      <c r="BK59" s="31">
        <f t="shared" si="23"/>
        <v>0</v>
      </c>
      <c r="BL59" s="237">
        <f t="shared" si="24"/>
        <v>0</v>
      </c>
      <c r="BM59" s="31">
        <f t="shared" si="25"/>
        <v>0</v>
      </c>
      <c r="BN59" s="237">
        <f t="shared" si="26"/>
        <v>0</v>
      </c>
    </row>
    <row r="60" spans="1:66" x14ac:dyDescent="0.25">
      <c r="A60" s="31" t="s">
        <v>1371</v>
      </c>
      <c r="B60" s="182" t="str">
        <f>VLOOKUP(A60,kurspris!$A$1:$B$894,2,FALSE)</f>
        <v>Ämnesdidaktik i skolpraktiken, del 2</v>
      </c>
      <c r="D60" s="31" t="s">
        <v>629</v>
      </c>
      <c r="F60" s="59">
        <v>2019</v>
      </c>
      <c r="Q60" s="237">
        <v>2.25</v>
      </c>
      <c r="R60" s="40">
        <v>0.85</v>
      </c>
      <c r="S60" s="313">
        <f t="shared" si="0"/>
        <v>1.9124999999999999</v>
      </c>
      <c r="T60" s="31">
        <f>VLOOKUP(A60,'Ansvar kurs'!$A$1:$C$1027,2,FALSE)</f>
        <v>1650</v>
      </c>
      <c r="U60" s="31" t="str">
        <f>VLOOKUP(T60,Orgenheter!$A$1:$C$165,2,FALSE)</f>
        <v xml:space="preserve">Estetiska ämnen               </v>
      </c>
      <c r="V60" s="31" t="str">
        <f>VLOOKUP(T60,Orgenheter!$A$1:$C$165,3,FALSE)</f>
        <v>Hum</v>
      </c>
      <c r="W60" s="37" t="str">
        <f>VLOOKUP(D60,Program!$A$1:$B$34,2,FALSE)</f>
        <v>KPU - Gy</v>
      </c>
      <c r="X60" s="42">
        <f>VLOOKUP(A60,kurspris!$A$1:$Q$815,15,FALSE)</f>
        <v>21634</v>
      </c>
      <c r="Y60" s="42">
        <f>VLOOKUP(A60,kurspris!$A$1:$Q$815,16,FALSE)</f>
        <v>26986</v>
      </c>
      <c r="Z60" s="42">
        <f t="shared" si="1"/>
        <v>100287.22500000001</v>
      </c>
      <c r="AA60" s="42">
        <f>VLOOKUP(A60,kurspris!$A$1:$Q$815,17,FALSE)</f>
        <v>3400</v>
      </c>
      <c r="AB60" s="42">
        <f t="shared" si="2"/>
        <v>7650</v>
      </c>
      <c r="AC60" s="42">
        <f t="shared" si="3"/>
        <v>107937.22500000001</v>
      </c>
      <c r="AD60" s="31">
        <f>VLOOKUP($A60,kurspris!$A$1:$Q$852,3,FALSE)</f>
        <v>0</v>
      </c>
      <c r="AE60" s="31">
        <f>VLOOKUP($A60,kurspris!$A$1:$Q$852,4,FALSE)</f>
        <v>0</v>
      </c>
      <c r="AF60" s="31">
        <f>VLOOKUP($A60,kurspris!$A$1:$Q$852,5,FALSE)</f>
        <v>0</v>
      </c>
      <c r="AG60" s="31">
        <f>VLOOKUP($A60,kurspris!$A$1:$Q$852,6,FALSE)</f>
        <v>0</v>
      </c>
      <c r="AH60" s="31">
        <f>VLOOKUP($A60,kurspris!$A$1:$Q$852,7,FALSE)</f>
        <v>0</v>
      </c>
      <c r="AI60" s="31">
        <f>VLOOKUP($A60,kurspris!$A$1:$Q$852,8,FALSE)</f>
        <v>0</v>
      </c>
      <c r="AJ60" s="31">
        <f>VLOOKUP($A60,kurspris!$A$1:$Q$852,9,FALSE)</f>
        <v>0</v>
      </c>
      <c r="AK60" s="31">
        <f>VLOOKUP($A60,kurspris!$A$1:$Q$852,10,FALSE)</f>
        <v>0</v>
      </c>
      <c r="AL60" s="31">
        <f>VLOOKUP($A60,kurspris!$A$1:$Q$852,11,FALSE)</f>
        <v>1</v>
      </c>
      <c r="AM60" s="31">
        <f>VLOOKUP($A60,kurspris!$A$1:$Q$852,12,FALSE)</f>
        <v>0</v>
      </c>
      <c r="AN60" s="31">
        <f>VLOOKUP($A60,kurspris!$A$1:$Q$852,13,FALSE)</f>
        <v>0</v>
      </c>
      <c r="AO60" s="31">
        <f>VLOOKUP($A60,kurspris!$A$1:$Q$852,14,FALSE)</f>
        <v>0</v>
      </c>
      <c r="AP60" s="59" t="s">
        <v>2216</v>
      </c>
      <c r="AR60" s="31">
        <f t="shared" si="4"/>
        <v>0</v>
      </c>
      <c r="AS60" s="237">
        <f t="shared" si="5"/>
        <v>0</v>
      </c>
      <c r="AT60" s="31">
        <f t="shared" si="6"/>
        <v>0</v>
      </c>
      <c r="AU60" s="237">
        <f t="shared" si="7"/>
        <v>0</v>
      </c>
      <c r="AV60" s="31">
        <f t="shared" si="8"/>
        <v>0</v>
      </c>
      <c r="AW60" s="31">
        <f t="shared" si="9"/>
        <v>0</v>
      </c>
      <c r="AX60" s="31">
        <f t="shared" si="10"/>
        <v>0</v>
      </c>
      <c r="AY60" s="237">
        <f t="shared" si="11"/>
        <v>0</v>
      </c>
      <c r="AZ60" s="214">
        <f t="shared" si="12"/>
        <v>0</v>
      </c>
      <c r="BA60" s="237">
        <f t="shared" si="13"/>
        <v>0</v>
      </c>
      <c r="BB60" s="31">
        <f t="shared" si="14"/>
        <v>0</v>
      </c>
      <c r="BC60" s="237">
        <f t="shared" si="15"/>
        <v>0</v>
      </c>
      <c r="BD60" s="31">
        <f t="shared" si="16"/>
        <v>0</v>
      </c>
      <c r="BE60" s="237">
        <f t="shared" si="17"/>
        <v>0</v>
      </c>
      <c r="BF60" s="31">
        <f t="shared" si="18"/>
        <v>0</v>
      </c>
      <c r="BG60" s="237">
        <f t="shared" si="19"/>
        <v>0</v>
      </c>
      <c r="BH60" s="31">
        <f t="shared" si="20"/>
        <v>2.25</v>
      </c>
      <c r="BI60" s="237">
        <f t="shared" si="21"/>
        <v>1.9124999999999999</v>
      </c>
      <c r="BJ60" s="31">
        <f t="shared" si="22"/>
        <v>0</v>
      </c>
      <c r="BK60" s="31">
        <f t="shared" si="23"/>
        <v>0</v>
      </c>
      <c r="BL60" s="237">
        <f t="shared" si="24"/>
        <v>0</v>
      </c>
      <c r="BM60" s="31">
        <f t="shared" si="25"/>
        <v>0</v>
      </c>
      <c r="BN60" s="237">
        <f t="shared" si="26"/>
        <v>0</v>
      </c>
    </row>
    <row r="61" spans="1:66" x14ac:dyDescent="0.25">
      <c r="A61" s="31" t="s">
        <v>1372</v>
      </c>
      <c r="B61" s="182" t="str">
        <f>VLOOKUP(A61,kurspris!$A$1:$B$894,2,FALSE)</f>
        <v>Examensarbete med ämnesdidaktisk inriktning</v>
      </c>
      <c r="D61" s="31" t="s">
        <v>628</v>
      </c>
      <c r="E61" s="59"/>
      <c r="F61" s="59">
        <v>2019</v>
      </c>
      <c r="Q61" s="237">
        <v>1.75</v>
      </c>
      <c r="R61" s="40">
        <v>0.85</v>
      </c>
      <c r="S61" s="313">
        <f t="shared" si="0"/>
        <v>1.4875</v>
      </c>
      <c r="T61" s="31">
        <f>VLOOKUP(A61,'Ansvar kurs'!$A$1:$C$1027,2,FALSE)</f>
        <v>1650</v>
      </c>
      <c r="U61" s="31" t="str">
        <f>VLOOKUP(T61,Orgenheter!$A$1:$C$165,2,FALSE)</f>
        <v xml:space="preserve">Estetiska ämnen               </v>
      </c>
      <c r="V61" s="31" t="str">
        <f>VLOOKUP(T61,Orgenheter!$A$1:$C$165,3,FALSE)</f>
        <v>Hum</v>
      </c>
      <c r="W61" s="37" t="str">
        <f>VLOOKUP(D61,Program!$A$1:$B$34,2,FALSE)</f>
        <v>KPU - åk 7-9</v>
      </c>
      <c r="X61" s="42">
        <f>VLOOKUP(A61,kurspris!$A$1:$Q$815,15,FALSE)</f>
        <v>23641</v>
      </c>
      <c r="Y61" s="42">
        <f>VLOOKUP(A61,kurspris!$A$1:$Q$815,16,FALSE)</f>
        <v>28786</v>
      </c>
      <c r="Z61" s="42">
        <f t="shared" si="1"/>
        <v>84190.925000000003</v>
      </c>
      <c r="AA61" s="42">
        <f>VLOOKUP(A61,kurspris!$A$1:$Q$815,17,FALSE)</f>
        <v>5800</v>
      </c>
      <c r="AB61" s="42">
        <f t="shared" si="2"/>
        <v>10150</v>
      </c>
      <c r="AC61" s="42">
        <f t="shared" si="3"/>
        <v>94340.925000000003</v>
      </c>
      <c r="AD61" s="31">
        <f>VLOOKUP($A61,kurspris!$A$1:$Q$852,3,FALSE)</f>
        <v>0</v>
      </c>
      <c r="AE61" s="31">
        <f>VLOOKUP($A61,kurspris!$A$1:$Q$852,4,FALSE)</f>
        <v>0</v>
      </c>
      <c r="AF61" s="31">
        <f>VLOOKUP($A61,kurspris!$A$1:$Q$852,5,FALSE)</f>
        <v>0</v>
      </c>
      <c r="AG61" s="31">
        <f>VLOOKUP($A61,kurspris!$A$1:$Q$852,6,FALSE)</f>
        <v>1</v>
      </c>
      <c r="AH61" s="31">
        <f>VLOOKUP($A61,kurspris!$A$1:$Q$852,7,FALSE)</f>
        <v>0</v>
      </c>
      <c r="AI61" s="31">
        <f>VLOOKUP($A61,kurspris!$A$1:$Q$852,8,FALSE)</f>
        <v>0</v>
      </c>
      <c r="AJ61" s="31">
        <f>VLOOKUP($A61,kurspris!$A$1:$Q$852,9,FALSE)</f>
        <v>0</v>
      </c>
      <c r="AK61" s="31">
        <f>VLOOKUP($A61,kurspris!$A$1:$Q$852,10,FALSE)</f>
        <v>0</v>
      </c>
      <c r="AL61" s="31">
        <f>VLOOKUP($A61,kurspris!$A$1:$Q$852,11,FALSE)</f>
        <v>0</v>
      </c>
      <c r="AM61" s="31">
        <f>VLOOKUP($A61,kurspris!$A$1:$Q$852,12,FALSE)</f>
        <v>0</v>
      </c>
      <c r="AN61" s="31">
        <f>VLOOKUP($A61,kurspris!$A$1:$Q$852,13,FALSE)</f>
        <v>0</v>
      </c>
      <c r="AO61" s="31">
        <f>VLOOKUP($A61,kurspris!$A$1:$Q$852,14,FALSE)</f>
        <v>0</v>
      </c>
      <c r="AP61" s="59" t="s">
        <v>2216</v>
      </c>
      <c r="AR61" s="31">
        <f t="shared" si="4"/>
        <v>0</v>
      </c>
      <c r="AS61" s="237">
        <f t="shared" si="5"/>
        <v>0</v>
      </c>
      <c r="AT61" s="31">
        <f t="shared" si="6"/>
        <v>0</v>
      </c>
      <c r="AU61" s="237">
        <f t="shared" si="7"/>
        <v>0</v>
      </c>
      <c r="AV61" s="31">
        <f t="shared" si="8"/>
        <v>0</v>
      </c>
      <c r="AW61" s="31">
        <f t="shared" si="9"/>
        <v>0</v>
      </c>
      <c r="AX61" s="31">
        <f t="shared" si="10"/>
        <v>1.75</v>
      </c>
      <c r="AY61" s="237">
        <f t="shared" si="11"/>
        <v>1.4875</v>
      </c>
      <c r="AZ61" s="214">
        <f t="shared" si="12"/>
        <v>0</v>
      </c>
      <c r="BA61" s="237">
        <f t="shared" si="13"/>
        <v>0</v>
      </c>
      <c r="BB61" s="31">
        <f t="shared" si="14"/>
        <v>0</v>
      </c>
      <c r="BC61" s="237">
        <f t="shared" si="15"/>
        <v>0</v>
      </c>
      <c r="BD61" s="31">
        <f t="shared" si="16"/>
        <v>0</v>
      </c>
      <c r="BE61" s="237">
        <f t="shared" si="17"/>
        <v>0</v>
      </c>
      <c r="BF61" s="31">
        <f t="shared" si="18"/>
        <v>0</v>
      </c>
      <c r="BG61" s="237">
        <f t="shared" si="19"/>
        <v>0</v>
      </c>
      <c r="BH61" s="31">
        <f t="shared" si="20"/>
        <v>0</v>
      </c>
      <c r="BI61" s="237">
        <f t="shared" si="21"/>
        <v>0</v>
      </c>
      <c r="BJ61" s="31">
        <f t="shared" si="22"/>
        <v>0</v>
      </c>
      <c r="BK61" s="31">
        <f t="shared" si="23"/>
        <v>0</v>
      </c>
      <c r="BL61" s="237">
        <f t="shared" si="24"/>
        <v>0</v>
      </c>
      <c r="BM61" s="31">
        <f t="shared" si="25"/>
        <v>0</v>
      </c>
      <c r="BN61" s="237">
        <f t="shared" si="26"/>
        <v>0</v>
      </c>
    </row>
    <row r="62" spans="1:66" x14ac:dyDescent="0.25">
      <c r="A62" s="31" t="s">
        <v>1372</v>
      </c>
      <c r="B62" s="182" t="str">
        <f>VLOOKUP(A62,kurspris!$A$1:$B$894,2,FALSE)</f>
        <v>Examensarbete med ämnesdidaktisk inriktning</v>
      </c>
      <c r="D62" s="31" t="s">
        <v>629</v>
      </c>
      <c r="F62" s="59">
        <v>2019</v>
      </c>
      <c r="Q62" s="237">
        <v>2.5</v>
      </c>
      <c r="R62" s="40">
        <v>0.85</v>
      </c>
      <c r="S62" s="313">
        <f t="shared" si="0"/>
        <v>2.125</v>
      </c>
      <c r="T62" s="31">
        <f>VLOOKUP(A62,'Ansvar kurs'!$A$1:$C$1027,2,FALSE)</f>
        <v>1650</v>
      </c>
      <c r="U62" s="31" t="str">
        <f>VLOOKUP(T62,Orgenheter!$A$1:$C$165,2,FALSE)</f>
        <v xml:space="preserve">Estetiska ämnen               </v>
      </c>
      <c r="V62" s="31" t="str">
        <f>VLOOKUP(T62,Orgenheter!$A$1:$C$165,3,FALSE)</f>
        <v>Hum</v>
      </c>
      <c r="W62" s="37" t="str">
        <f>VLOOKUP(D62,Program!$A$1:$B$34,2,FALSE)</f>
        <v>KPU - Gy</v>
      </c>
      <c r="X62" s="42">
        <f>VLOOKUP(A62,kurspris!$A$1:$Q$815,15,FALSE)</f>
        <v>23641</v>
      </c>
      <c r="Y62" s="42">
        <f>VLOOKUP(A62,kurspris!$A$1:$Q$815,16,FALSE)</f>
        <v>28786</v>
      </c>
      <c r="Z62" s="42">
        <f t="shared" si="1"/>
        <v>120272.75</v>
      </c>
      <c r="AA62" s="42">
        <f>VLOOKUP(A62,kurspris!$A$1:$Q$815,17,FALSE)</f>
        <v>5800</v>
      </c>
      <c r="AB62" s="42">
        <f t="shared" si="2"/>
        <v>14500</v>
      </c>
      <c r="AC62" s="42">
        <f t="shared" si="3"/>
        <v>134772.75</v>
      </c>
      <c r="AD62" s="31">
        <f>VLOOKUP($A62,kurspris!$A$1:$Q$852,3,FALSE)</f>
        <v>0</v>
      </c>
      <c r="AE62" s="31">
        <f>VLOOKUP($A62,kurspris!$A$1:$Q$852,4,FALSE)</f>
        <v>0</v>
      </c>
      <c r="AF62" s="31">
        <f>VLOOKUP($A62,kurspris!$A$1:$Q$852,5,FALSE)</f>
        <v>0</v>
      </c>
      <c r="AG62" s="31">
        <f>VLOOKUP($A62,kurspris!$A$1:$Q$852,6,FALSE)</f>
        <v>1</v>
      </c>
      <c r="AH62" s="31">
        <f>VLOOKUP($A62,kurspris!$A$1:$Q$852,7,FALSE)</f>
        <v>0</v>
      </c>
      <c r="AI62" s="31">
        <f>VLOOKUP($A62,kurspris!$A$1:$Q$852,8,FALSE)</f>
        <v>0</v>
      </c>
      <c r="AJ62" s="31">
        <f>VLOOKUP($A62,kurspris!$A$1:$Q$852,9,FALSE)</f>
        <v>0</v>
      </c>
      <c r="AK62" s="31">
        <f>VLOOKUP($A62,kurspris!$A$1:$Q$852,10,FALSE)</f>
        <v>0</v>
      </c>
      <c r="AL62" s="31">
        <f>VLOOKUP($A62,kurspris!$A$1:$Q$852,11,FALSE)</f>
        <v>0</v>
      </c>
      <c r="AM62" s="31">
        <f>VLOOKUP($A62,kurspris!$A$1:$Q$852,12,FALSE)</f>
        <v>0</v>
      </c>
      <c r="AN62" s="31">
        <f>VLOOKUP($A62,kurspris!$A$1:$Q$852,13,FALSE)</f>
        <v>0</v>
      </c>
      <c r="AO62" s="31">
        <f>VLOOKUP($A62,kurspris!$A$1:$Q$852,14,FALSE)</f>
        <v>0</v>
      </c>
      <c r="AP62" s="59" t="s">
        <v>2216</v>
      </c>
      <c r="AR62" s="31">
        <f t="shared" si="4"/>
        <v>0</v>
      </c>
      <c r="AS62" s="237">
        <f t="shared" si="5"/>
        <v>0</v>
      </c>
      <c r="AT62" s="31">
        <f t="shared" si="6"/>
        <v>0</v>
      </c>
      <c r="AU62" s="237">
        <f t="shared" si="7"/>
        <v>0</v>
      </c>
      <c r="AV62" s="31">
        <f t="shared" si="8"/>
        <v>0</v>
      </c>
      <c r="AW62" s="31">
        <f t="shared" si="9"/>
        <v>0</v>
      </c>
      <c r="AX62" s="31">
        <f t="shared" si="10"/>
        <v>2.5</v>
      </c>
      <c r="AY62" s="237">
        <f t="shared" si="11"/>
        <v>2.125</v>
      </c>
      <c r="AZ62" s="214">
        <f t="shared" si="12"/>
        <v>0</v>
      </c>
      <c r="BA62" s="237">
        <f t="shared" si="13"/>
        <v>0</v>
      </c>
      <c r="BB62" s="31">
        <f t="shared" si="14"/>
        <v>0</v>
      </c>
      <c r="BC62" s="237">
        <f t="shared" si="15"/>
        <v>0</v>
      </c>
      <c r="BD62" s="31">
        <f t="shared" si="16"/>
        <v>0</v>
      </c>
      <c r="BE62" s="237">
        <f t="shared" si="17"/>
        <v>0</v>
      </c>
      <c r="BF62" s="31">
        <f t="shared" si="18"/>
        <v>0</v>
      </c>
      <c r="BG62" s="237">
        <f t="shared" si="19"/>
        <v>0</v>
      </c>
      <c r="BH62" s="31">
        <f t="shared" si="20"/>
        <v>0</v>
      </c>
      <c r="BI62" s="237">
        <f t="shared" si="21"/>
        <v>0</v>
      </c>
      <c r="BJ62" s="31">
        <f t="shared" si="22"/>
        <v>0</v>
      </c>
      <c r="BK62" s="31">
        <f t="shared" si="23"/>
        <v>0</v>
      </c>
      <c r="BL62" s="237">
        <f t="shared" si="24"/>
        <v>0</v>
      </c>
      <c r="BM62" s="31">
        <f t="shared" si="25"/>
        <v>0</v>
      </c>
      <c r="BN62" s="237">
        <f t="shared" si="26"/>
        <v>0</v>
      </c>
    </row>
    <row r="63" spans="1:66" x14ac:dyDescent="0.25">
      <c r="A63" s="31" t="s">
        <v>1559</v>
      </c>
      <c r="B63" s="182" t="str">
        <f>VLOOKUP(A63,kurspris!$A$1:$B$894,2,FALSE)</f>
        <v>Skapande lek i förskolan 1</v>
      </c>
      <c r="D63" s="31" t="s">
        <v>484</v>
      </c>
      <c r="F63" s="59">
        <v>2019</v>
      </c>
      <c r="Q63" s="237">
        <v>10.125</v>
      </c>
      <c r="R63" s="40">
        <v>0.85</v>
      </c>
      <c r="S63" s="313">
        <f t="shared" si="0"/>
        <v>8.6062499999999993</v>
      </c>
      <c r="T63" s="31">
        <f>VLOOKUP(A63,'Ansvar kurs'!$A$1:$C$1027,2,FALSE)</f>
        <v>1650</v>
      </c>
      <c r="U63" s="31" t="str">
        <f>VLOOKUP(T63,Orgenheter!$A$1:$C$165,2,FALSE)</f>
        <v xml:space="preserve">Estetiska ämnen               </v>
      </c>
      <c r="V63" s="31" t="str">
        <f>VLOOKUP(T63,Orgenheter!$A$1:$C$165,3,FALSE)</f>
        <v>Hum</v>
      </c>
      <c r="W63" s="37" t="str">
        <f>VLOOKUP(D63,Program!$A$1:$B$34,2,FALSE)</f>
        <v>Förskollärarprogrammet</v>
      </c>
      <c r="X63" s="42">
        <f>VLOOKUP(A63,kurspris!$A$1:$Q$815,15,FALSE)</f>
        <v>15846</v>
      </c>
      <c r="Y63" s="42">
        <f>VLOOKUP(A63,kurspris!$A$1:$Q$815,16,FALSE)</f>
        <v>26926</v>
      </c>
      <c r="Z63" s="42">
        <f t="shared" si="1"/>
        <v>392172.63749999995</v>
      </c>
      <c r="AA63" s="42">
        <f>VLOOKUP(A63,kurspris!$A$1:$Q$815,17,FALSE)</f>
        <v>17300</v>
      </c>
      <c r="AB63" s="42">
        <f t="shared" si="2"/>
        <v>175162.5</v>
      </c>
      <c r="AC63" s="42">
        <f t="shared" si="3"/>
        <v>567335.13749999995</v>
      </c>
      <c r="AD63" s="31">
        <f>VLOOKUP($A63,kurspris!$A$1:$Q$852,3,FALSE)</f>
        <v>0</v>
      </c>
      <c r="AE63" s="31">
        <f>VLOOKUP($A63,kurspris!$A$1:$Q$852,4,FALSE)</f>
        <v>0</v>
      </c>
      <c r="AF63" s="31">
        <f>VLOOKUP($A63,kurspris!$A$1:$Q$852,5,FALSE)</f>
        <v>0</v>
      </c>
      <c r="AG63" s="31">
        <f>VLOOKUP($A63,kurspris!$A$1:$Q$852,6,FALSE)</f>
        <v>0</v>
      </c>
      <c r="AH63" s="31">
        <f>VLOOKUP($A63,kurspris!$A$1:$Q$852,7,FALSE)</f>
        <v>0</v>
      </c>
      <c r="AI63" s="31">
        <f>VLOOKUP($A63,kurspris!$A$1:$Q$852,8,FALSE)</f>
        <v>0</v>
      </c>
      <c r="AJ63" s="31">
        <f>VLOOKUP($A63,kurspris!$A$1:$Q$852,9,FALSE)</f>
        <v>0</v>
      </c>
      <c r="AK63" s="31">
        <f>VLOOKUP($A63,kurspris!$A$1:$Q$852,10,FALSE)</f>
        <v>0</v>
      </c>
      <c r="AL63" s="31">
        <f>VLOOKUP($A63,kurspris!$A$1:$Q$852,11,FALSE)</f>
        <v>0</v>
      </c>
      <c r="AM63" s="31">
        <f>VLOOKUP($A63,kurspris!$A$1:$Q$852,12,FALSE)</f>
        <v>0</v>
      </c>
      <c r="AN63" s="31">
        <f>VLOOKUP($A63,kurspris!$A$1:$Q$852,13,FALSE)</f>
        <v>1</v>
      </c>
      <c r="AO63" s="31">
        <f>VLOOKUP($A63,kurspris!$A$1:$Q$852,14,FALSE)</f>
        <v>0</v>
      </c>
      <c r="AP63" s="59" t="s">
        <v>2216</v>
      </c>
      <c r="AR63" s="31">
        <f t="shared" si="4"/>
        <v>0</v>
      </c>
      <c r="AS63" s="237">
        <f t="shared" si="5"/>
        <v>0</v>
      </c>
      <c r="AT63" s="31">
        <f t="shared" si="6"/>
        <v>0</v>
      </c>
      <c r="AU63" s="237">
        <f t="shared" si="7"/>
        <v>0</v>
      </c>
      <c r="AV63" s="31">
        <f t="shared" si="8"/>
        <v>0</v>
      </c>
      <c r="AW63" s="31">
        <f t="shared" si="9"/>
        <v>0</v>
      </c>
      <c r="AX63" s="31">
        <f t="shared" si="10"/>
        <v>0</v>
      </c>
      <c r="AY63" s="237">
        <f t="shared" si="11"/>
        <v>0</v>
      </c>
      <c r="AZ63" s="214">
        <f t="shared" si="12"/>
        <v>0</v>
      </c>
      <c r="BA63" s="237">
        <f t="shared" si="13"/>
        <v>0</v>
      </c>
      <c r="BB63" s="31">
        <f t="shared" si="14"/>
        <v>0</v>
      </c>
      <c r="BC63" s="237">
        <f t="shared" si="15"/>
        <v>0</v>
      </c>
      <c r="BD63" s="31">
        <f t="shared" si="16"/>
        <v>0</v>
      </c>
      <c r="BE63" s="237">
        <f t="shared" si="17"/>
        <v>0</v>
      </c>
      <c r="BF63" s="31">
        <f t="shared" si="18"/>
        <v>0</v>
      </c>
      <c r="BG63" s="237">
        <f t="shared" si="19"/>
        <v>0</v>
      </c>
      <c r="BH63" s="31">
        <f t="shared" si="20"/>
        <v>0</v>
      </c>
      <c r="BI63" s="237">
        <f t="shared" si="21"/>
        <v>0</v>
      </c>
      <c r="BJ63" s="31">
        <f t="shared" si="22"/>
        <v>0</v>
      </c>
      <c r="BK63" s="31">
        <f t="shared" si="23"/>
        <v>10.125</v>
      </c>
      <c r="BL63" s="237">
        <f t="shared" si="24"/>
        <v>8.6062499999999993</v>
      </c>
      <c r="BM63" s="31">
        <f t="shared" si="25"/>
        <v>0</v>
      </c>
      <c r="BN63" s="237">
        <f t="shared" si="26"/>
        <v>0</v>
      </c>
    </row>
    <row r="64" spans="1:66" x14ac:dyDescent="0.25">
      <c r="A64" s="31" t="s">
        <v>1461</v>
      </c>
      <c r="B64" s="182" t="str">
        <f>VLOOKUP(A64,kurspris!$A$1:$B$894,2,FALSE)</f>
        <v>Praktiskt estetiskt ämne - Bild 1</v>
      </c>
      <c r="D64" s="31" t="s">
        <v>485</v>
      </c>
      <c r="F64" s="59">
        <v>2019</v>
      </c>
      <c r="Q64" s="237">
        <v>1.75</v>
      </c>
      <c r="R64" s="40">
        <v>0.85</v>
      </c>
      <c r="S64" s="313">
        <f t="shared" si="0"/>
        <v>1.4875</v>
      </c>
      <c r="T64" s="31">
        <f>VLOOKUP(A64,'Ansvar kurs'!$A$1:$C$1027,2,FALSE)</f>
        <v>1650</v>
      </c>
      <c r="U64" s="31" t="str">
        <f>VLOOKUP(T64,Orgenheter!$A$1:$C$165,2,FALSE)</f>
        <v xml:space="preserve">Estetiska ämnen               </v>
      </c>
      <c r="V64" s="31" t="str">
        <f>VLOOKUP(T64,Orgenheter!$A$1:$C$165,3,FALSE)</f>
        <v>Hum</v>
      </c>
      <c r="W64" s="37" t="str">
        <f>VLOOKUP(D64,Program!$A$1:$B$34,2,FALSE)</f>
        <v>Grundlärarprogrammet - fritidshem</v>
      </c>
      <c r="X64" s="42">
        <f>VLOOKUP(A64,kurspris!$A$1:$Q$815,15,FALSE)</f>
        <v>15846</v>
      </c>
      <c r="Y64" s="42">
        <f>VLOOKUP(A64,kurspris!$A$1:$Q$815,16,FALSE)</f>
        <v>26926</v>
      </c>
      <c r="Z64" s="42">
        <f t="shared" si="1"/>
        <v>67782.925000000003</v>
      </c>
      <c r="AA64" s="42">
        <f>VLOOKUP(A64,kurspris!$A$1:$Q$815,17,FALSE)</f>
        <v>17300</v>
      </c>
      <c r="AB64" s="42">
        <f t="shared" si="2"/>
        <v>30275</v>
      </c>
      <c r="AC64" s="42">
        <f t="shared" si="3"/>
        <v>98057.925000000003</v>
      </c>
      <c r="AD64" s="31">
        <f>VLOOKUP($A64,kurspris!$A$1:$Q$852,3,FALSE)</f>
        <v>0</v>
      </c>
      <c r="AE64" s="31">
        <f>VLOOKUP($A64,kurspris!$A$1:$Q$852,4,FALSE)</f>
        <v>0</v>
      </c>
      <c r="AF64" s="31">
        <f>VLOOKUP($A64,kurspris!$A$1:$Q$852,5,FALSE)</f>
        <v>0</v>
      </c>
      <c r="AG64" s="31">
        <f>VLOOKUP($A64,kurspris!$A$1:$Q$852,6,FALSE)</f>
        <v>0</v>
      </c>
      <c r="AH64" s="31">
        <f>VLOOKUP($A64,kurspris!$A$1:$Q$852,7,FALSE)</f>
        <v>0</v>
      </c>
      <c r="AI64" s="31">
        <f>VLOOKUP($A64,kurspris!$A$1:$Q$852,8,FALSE)</f>
        <v>0</v>
      </c>
      <c r="AJ64" s="31">
        <f>VLOOKUP($A64,kurspris!$A$1:$Q$852,9,FALSE)</f>
        <v>0</v>
      </c>
      <c r="AK64" s="31">
        <f>VLOOKUP($A64,kurspris!$A$1:$Q$852,10,FALSE)</f>
        <v>0</v>
      </c>
      <c r="AL64" s="31">
        <f>VLOOKUP($A64,kurspris!$A$1:$Q$852,11,FALSE)</f>
        <v>0</v>
      </c>
      <c r="AM64" s="31">
        <f>VLOOKUP($A64,kurspris!$A$1:$Q$852,12,FALSE)</f>
        <v>0</v>
      </c>
      <c r="AN64" s="31">
        <f>VLOOKUP($A64,kurspris!$A$1:$Q$852,13,FALSE)</f>
        <v>1</v>
      </c>
      <c r="AO64" s="31">
        <f>VLOOKUP($A64,kurspris!$A$1:$Q$852,14,FALSE)</f>
        <v>0</v>
      </c>
      <c r="AP64" s="59" t="s">
        <v>2216</v>
      </c>
      <c r="AR64" s="31">
        <f t="shared" si="4"/>
        <v>0</v>
      </c>
      <c r="AS64" s="237">
        <f t="shared" si="5"/>
        <v>0</v>
      </c>
      <c r="AT64" s="31">
        <f t="shared" si="6"/>
        <v>0</v>
      </c>
      <c r="AU64" s="237">
        <f t="shared" si="7"/>
        <v>0</v>
      </c>
      <c r="AV64" s="31">
        <f t="shared" si="8"/>
        <v>0</v>
      </c>
      <c r="AW64" s="31">
        <f t="shared" si="9"/>
        <v>0</v>
      </c>
      <c r="AX64" s="31">
        <f t="shared" si="10"/>
        <v>0</v>
      </c>
      <c r="AY64" s="237">
        <f t="shared" si="11"/>
        <v>0</v>
      </c>
      <c r="AZ64" s="214">
        <f t="shared" si="12"/>
        <v>0</v>
      </c>
      <c r="BA64" s="237">
        <f t="shared" si="13"/>
        <v>0</v>
      </c>
      <c r="BB64" s="31">
        <f t="shared" si="14"/>
        <v>0</v>
      </c>
      <c r="BC64" s="237">
        <f t="shared" si="15"/>
        <v>0</v>
      </c>
      <c r="BD64" s="31">
        <f t="shared" si="16"/>
        <v>0</v>
      </c>
      <c r="BE64" s="237">
        <f t="shared" si="17"/>
        <v>0</v>
      </c>
      <c r="BF64" s="31">
        <f t="shared" si="18"/>
        <v>0</v>
      </c>
      <c r="BG64" s="237">
        <f t="shared" si="19"/>
        <v>0</v>
      </c>
      <c r="BH64" s="31">
        <f t="shared" si="20"/>
        <v>0</v>
      </c>
      <c r="BI64" s="237">
        <f t="shared" si="21"/>
        <v>0</v>
      </c>
      <c r="BJ64" s="31">
        <f t="shared" si="22"/>
        <v>0</v>
      </c>
      <c r="BK64" s="31">
        <f t="shared" si="23"/>
        <v>1.75</v>
      </c>
      <c r="BL64" s="237">
        <f t="shared" si="24"/>
        <v>1.4875</v>
      </c>
      <c r="BM64" s="31">
        <f t="shared" si="25"/>
        <v>0</v>
      </c>
      <c r="BN64" s="237">
        <f t="shared" si="26"/>
        <v>0</v>
      </c>
    </row>
    <row r="65" spans="1:66" x14ac:dyDescent="0.25">
      <c r="A65" s="59" t="s">
        <v>1703</v>
      </c>
      <c r="B65" s="182" t="str">
        <f>VLOOKUP(A65,kurspris!$A$1:$B$894,2,FALSE)</f>
        <v>Praktiskt estetiskt ämne - Bild 2</v>
      </c>
      <c r="D65" s="31" t="s">
        <v>485</v>
      </c>
      <c r="F65" s="59">
        <v>2019</v>
      </c>
      <c r="J65" s="59"/>
      <c r="Q65" s="237">
        <v>1.5</v>
      </c>
      <c r="R65" s="40">
        <v>0.85</v>
      </c>
      <c r="S65" s="313">
        <f t="shared" si="0"/>
        <v>1.2749999999999999</v>
      </c>
      <c r="T65" s="31">
        <f>VLOOKUP(A65,'Ansvar kurs'!$A$1:$C$1027,2,FALSE)</f>
        <v>1650</v>
      </c>
      <c r="U65" s="31" t="str">
        <f>VLOOKUP(T65,Orgenheter!$A$1:$C$165,2,FALSE)</f>
        <v xml:space="preserve">Estetiska ämnen               </v>
      </c>
      <c r="V65" s="31" t="str">
        <f>VLOOKUP(T65,Orgenheter!$A$1:$C$165,3,FALSE)</f>
        <v>Hum</v>
      </c>
      <c r="W65" s="37" t="str">
        <f>VLOOKUP(D65,Program!$A$1:$B$34,2,FALSE)</f>
        <v>Grundlärarprogrammet - fritidshem</v>
      </c>
      <c r="X65" s="42">
        <f>VLOOKUP(A65,kurspris!$A$1:$Q$815,15,FALSE)</f>
        <v>15846</v>
      </c>
      <c r="Y65" s="42">
        <f>VLOOKUP(A65,kurspris!$A$1:$Q$815,16,FALSE)</f>
        <v>26926</v>
      </c>
      <c r="Z65" s="42">
        <f t="shared" si="1"/>
        <v>58099.649999999994</v>
      </c>
      <c r="AA65" s="42">
        <f>VLOOKUP(A65,kurspris!$A$1:$Q$815,17,FALSE)</f>
        <v>17300</v>
      </c>
      <c r="AB65" s="42">
        <f t="shared" si="2"/>
        <v>25950</v>
      </c>
      <c r="AC65" s="42">
        <f t="shared" si="3"/>
        <v>84049.65</v>
      </c>
      <c r="AD65" s="31">
        <f>VLOOKUP($A65,kurspris!$A$1:$Q$852,3,FALSE)</f>
        <v>0</v>
      </c>
      <c r="AE65" s="31">
        <f>VLOOKUP($A65,kurspris!$A$1:$Q$852,4,FALSE)</f>
        <v>0</v>
      </c>
      <c r="AF65" s="31">
        <f>VLOOKUP($A65,kurspris!$A$1:$Q$852,5,FALSE)</f>
        <v>0</v>
      </c>
      <c r="AG65" s="31">
        <f>VLOOKUP($A65,kurspris!$A$1:$Q$852,6,FALSE)</f>
        <v>0</v>
      </c>
      <c r="AH65" s="31">
        <f>VLOOKUP($A65,kurspris!$A$1:$Q$852,7,FALSE)</f>
        <v>0</v>
      </c>
      <c r="AI65" s="31">
        <f>VLOOKUP($A65,kurspris!$A$1:$Q$852,8,FALSE)</f>
        <v>0</v>
      </c>
      <c r="AJ65" s="31">
        <f>VLOOKUP($A65,kurspris!$A$1:$Q$852,9,FALSE)</f>
        <v>0</v>
      </c>
      <c r="AK65" s="31">
        <f>VLOOKUP($A65,kurspris!$A$1:$Q$852,10,FALSE)</f>
        <v>0</v>
      </c>
      <c r="AL65" s="31">
        <f>VLOOKUP($A65,kurspris!$A$1:$Q$852,11,FALSE)</f>
        <v>0</v>
      </c>
      <c r="AM65" s="31">
        <f>VLOOKUP($A65,kurspris!$A$1:$Q$852,12,FALSE)</f>
        <v>0</v>
      </c>
      <c r="AN65" s="31">
        <f>VLOOKUP($A65,kurspris!$A$1:$Q$852,13,FALSE)</f>
        <v>1</v>
      </c>
      <c r="AO65" s="31">
        <f>VLOOKUP($A65,kurspris!$A$1:$Q$852,14,FALSE)</f>
        <v>0</v>
      </c>
      <c r="AP65" s="59" t="s">
        <v>2216</v>
      </c>
      <c r="AR65" s="31">
        <f t="shared" si="4"/>
        <v>0</v>
      </c>
      <c r="AS65" s="237">
        <f t="shared" si="5"/>
        <v>0</v>
      </c>
      <c r="AT65" s="31">
        <f t="shared" si="6"/>
        <v>0</v>
      </c>
      <c r="AU65" s="237">
        <f t="shared" si="7"/>
        <v>0</v>
      </c>
      <c r="AV65" s="31">
        <f t="shared" si="8"/>
        <v>0</v>
      </c>
      <c r="AW65" s="31">
        <f t="shared" si="9"/>
        <v>0</v>
      </c>
      <c r="AX65" s="31">
        <f t="shared" si="10"/>
        <v>0</v>
      </c>
      <c r="AY65" s="237">
        <f t="shared" si="11"/>
        <v>0</v>
      </c>
      <c r="AZ65" s="214">
        <f t="shared" si="12"/>
        <v>0</v>
      </c>
      <c r="BA65" s="237">
        <f t="shared" si="13"/>
        <v>0</v>
      </c>
      <c r="BB65" s="31">
        <f t="shared" si="14"/>
        <v>0</v>
      </c>
      <c r="BC65" s="237">
        <f t="shared" si="15"/>
        <v>0</v>
      </c>
      <c r="BD65" s="31">
        <f t="shared" si="16"/>
        <v>0</v>
      </c>
      <c r="BE65" s="237">
        <f t="shared" si="17"/>
        <v>0</v>
      </c>
      <c r="BF65" s="31">
        <f t="shared" si="18"/>
        <v>0</v>
      </c>
      <c r="BG65" s="237">
        <f t="shared" si="19"/>
        <v>0</v>
      </c>
      <c r="BH65" s="31">
        <f t="shared" si="20"/>
        <v>0</v>
      </c>
      <c r="BI65" s="237">
        <f t="shared" si="21"/>
        <v>0</v>
      </c>
      <c r="BJ65" s="31">
        <f t="shared" si="22"/>
        <v>0</v>
      </c>
      <c r="BK65" s="31">
        <f t="shared" si="23"/>
        <v>1.5</v>
      </c>
      <c r="BL65" s="237">
        <f t="shared" si="24"/>
        <v>1.2749999999999999</v>
      </c>
      <c r="BM65" s="31">
        <f t="shared" si="25"/>
        <v>0</v>
      </c>
      <c r="BN65" s="237">
        <f t="shared" si="26"/>
        <v>0</v>
      </c>
    </row>
    <row r="66" spans="1:66" x14ac:dyDescent="0.25">
      <c r="A66" s="59" t="s">
        <v>1709</v>
      </c>
      <c r="B66" s="182" t="str">
        <f>VLOOKUP(A66,kurspris!$A$1:$B$894,2,FALSE)</f>
        <v>Läraryrkets dimensioner för fritidshem 2 (VFU)</v>
      </c>
      <c r="D66" s="31" t="s">
        <v>485</v>
      </c>
      <c r="F66" s="59">
        <v>2019</v>
      </c>
      <c r="J66" s="59"/>
      <c r="Q66" s="237">
        <v>0.25</v>
      </c>
      <c r="R66" s="40">
        <v>0.85</v>
      </c>
      <c r="S66" s="313">
        <f t="shared" ref="S66:S129" si="27">Q66*R66</f>
        <v>0.21249999999999999</v>
      </c>
      <c r="T66" s="31">
        <f>VLOOKUP(A66,'Ansvar kurs'!$A$1:$C$1027,2,FALSE)</f>
        <v>1650</v>
      </c>
      <c r="U66" s="31" t="str">
        <f>VLOOKUP(T66,Orgenheter!$A$1:$C$165,2,FALSE)</f>
        <v xml:space="preserve">Estetiska ämnen               </v>
      </c>
      <c r="V66" s="31" t="str">
        <f>VLOOKUP(T66,Orgenheter!$A$1:$C$165,3,FALSE)</f>
        <v>Hum</v>
      </c>
      <c r="W66" s="37" t="str">
        <f>VLOOKUP(D66,Program!$A$1:$B$34,2,FALSE)</f>
        <v>Grundlärarprogrammet - fritidshem</v>
      </c>
      <c r="X66" s="42">
        <f>VLOOKUP(A66,kurspris!$A$1:$Q$815,15,FALSE)</f>
        <v>21634</v>
      </c>
      <c r="Y66" s="42">
        <f>VLOOKUP(A66,kurspris!$A$1:$Q$815,16,FALSE)</f>
        <v>26986</v>
      </c>
      <c r="Z66" s="42">
        <f t="shared" ref="Z66:Z129" si="28">X66*Q66+S66*Y66</f>
        <v>11143.025</v>
      </c>
      <c r="AA66" s="42">
        <f>VLOOKUP(A66,kurspris!$A$1:$Q$815,17,FALSE)</f>
        <v>3400</v>
      </c>
      <c r="AB66" s="42">
        <f t="shared" ref="AB66:AB129" si="29">AA66*Q66</f>
        <v>850</v>
      </c>
      <c r="AC66" s="42">
        <f t="shared" ref="AC66:AC129" si="30">Z66+AB66</f>
        <v>11993.025</v>
      </c>
      <c r="AD66" s="31">
        <f>VLOOKUP($A66,kurspris!$A$1:$Q$852,3,FALSE)</f>
        <v>0</v>
      </c>
      <c r="AE66" s="31">
        <f>VLOOKUP($A66,kurspris!$A$1:$Q$852,4,FALSE)</f>
        <v>0</v>
      </c>
      <c r="AF66" s="31">
        <f>VLOOKUP($A66,kurspris!$A$1:$Q$852,5,FALSE)</f>
        <v>0</v>
      </c>
      <c r="AG66" s="31">
        <f>VLOOKUP($A66,kurspris!$A$1:$Q$852,6,FALSE)</f>
        <v>0</v>
      </c>
      <c r="AH66" s="31">
        <f>VLOOKUP($A66,kurspris!$A$1:$Q$852,7,FALSE)</f>
        <v>0</v>
      </c>
      <c r="AI66" s="31">
        <f>VLOOKUP($A66,kurspris!$A$1:$Q$852,8,FALSE)</f>
        <v>0</v>
      </c>
      <c r="AJ66" s="31">
        <f>VLOOKUP($A66,kurspris!$A$1:$Q$852,9,FALSE)</f>
        <v>0</v>
      </c>
      <c r="AK66" s="31">
        <f>VLOOKUP($A66,kurspris!$A$1:$Q$852,10,FALSE)</f>
        <v>0</v>
      </c>
      <c r="AL66" s="31">
        <f>VLOOKUP($A66,kurspris!$A$1:$Q$852,11,FALSE)</f>
        <v>1</v>
      </c>
      <c r="AM66" s="31">
        <f>VLOOKUP($A66,kurspris!$A$1:$Q$852,12,FALSE)</f>
        <v>0</v>
      </c>
      <c r="AN66" s="31">
        <f>VLOOKUP($A66,kurspris!$A$1:$Q$852,13,FALSE)</f>
        <v>0</v>
      </c>
      <c r="AO66" s="31">
        <f>VLOOKUP($A66,kurspris!$A$1:$Q$852,14,FALSE)</f>
        <v>0</v>
      </c>
      <c r="AP66" s="59" t="s">
        <v>2216</v>
      </c>
      <c r="AR66" s="31">
        <f t="shared" ref="AR66:AR129" si="31">$Q66*AD66</f>
        <v>0</v>
      </c>
      <c r="AS66" s="237">
        <f t="shared" ref="AS66:AS129" si="32">$S66*AD66</f>
        <v>0</v>
      </c>
      <c r="AT66" s="31">
        <f t="shared" ref="AT66:AT129" si="33">$Q66*AE66</f>
        <v>0</v>
      </c>
      <c r="AU66" s="237">
        <f t="shared" ref="AU66:AU129" si="34">$S66*AE66</f>
        <v>0</v>
      </c>
      <c r="AV66" s="31">
        <f t="shared" ref="AV66:AV129" si="35">$Q66*AF66</f>
        <v>0</v>
      </c>
      <c r="AW66" s="31">
        <f t="shared" ref="AW66:AW129" si="36">$S66*AF66</f>
        <v>0</v>
      </c>
      <c r="AX66" s="31">
        <f t="shared" ref="AX66:AX129" si="37">$Q66*AG66</f>
        <v>0</v>
      </c>
      <c r="AY66" s="237">
        <f t="shared" ref="AY66:AY129" si="38">$S66*AG66</f>
        <v>0</v>
      </c>
      <c r="AZ66" s="214">
        <f t="shared" ref="AZ66:AZ129" si="39">$Q66*AH66</f>
        <v>0</v>
      </c>
      <c r="BA66" s="237">
        <f t="shared" ref="BA66:BA129" si="40">$S66*AH66</f>
        <v>0</v>
      </c>
      <c r="BB66" s="31">
        <f t="shared" ref="BB66:BB129" si="41">$Q66*AI66</f>
        <v>0</v>
      </c>
      <c r="BC66" s="237">
        <f t="shared" ref="BC66:BC129" si="42">$S66*AI66</f>
        <v>0</v>
      </c>
      <c r="BD66" s="31">
        <f t="shared" ref="BD66:BD129" si="43">$Q66*AJ66</f>
        <v>0</v>
      </c>
      <c r="BE66" s="237">
        <f t="shared" ref="BE66:BE129" si="44">$S66*AJ66</f>
        <v>0</v>
      </c>
      <c r="BF66" s="31">
        <f t="shared" ref="BF66:BF129" si="45">$Q66*AK66</f>
        <v>0</v>
      </c>
      <c r="BG66" s="237">
        <f t="shared" ref="BG66:BG129" si="46">$S66*AK66</f>
        <v>0</v>
      </c>
      <c r="BH66" s="31">
        <f t="shared" ref="BH66:BH129" si="47">$Q66*AL66</f>
        <v>0.25</v>
      </c>
      <c r="BI66" s="237">
        <f t="shared" ref="BI66:BI129" si="48">$S66*AL66</f>
        <v>0.21249999999999999</v>
      </c>
      <c r="BJ66" s="31">
        <f t="shared" ref="BJ66:BJ129" si="49">$Q66*AM66</f>
        <v>0</v>
      </c>
      <c r="BK66" s="31">
        <f t="shared" ref="BK66:BK129" si="50">$Q66*AN66</f>
        <v>0</v>
      </c>
      <c r="BL66" s="237">
        <f t="shared" ref="BL66:BL129" si="51">$S66*AN66</f>
        <v>0</v>
      </c>
      <c r="BM66" s="31">
        <f t="shared" ref="BM66:BM129" si="52">$Q66*AO66</f>
        <v>0</v>
      </c>
      <c r="BN66" s="237">
        <f t="shared" ref="BN66:BN129" si="53">$S66*AO66</f>
        <v>0</v>
      </c>
    </row>
    <row r="67" spans="1:66" x14ac:dyDescent="0.25">
      <c r="A67" s="159" t="s">
        <v>1820</v>
      </c>
      <c r="B67" s="182" t="str">
        <f>VLOOKUP(A67,kurspris!$A$1:$B$894,2,FALSE)</f>
        <v>Bild 1, distans</v>
      </c>
      <c r="C67" s="37"/>
      <c r="D67" s="31" t="s">
        <v>117</v>
      </c>
      <c r="F67" s="59">
        <v>2019</v>
      </c>
      <c r="Q67" s="237">
        <v>8.25</v>
      </c>
      <c r="R67" s="40">
        <v>0.8</v>
      </c>
      <c r="S67" s="313">
        <f t="shared" si="27"/>
        <v>6.6000000000000005</v>
      </c>
      <c r="T67" s="31">
        <f>VLOOKUP(A67,'Ansvar kurs'!$A$1:$C$1027,2,FALSE)</f>
        <v>1650</v>
      </c>
      <c r="U67" s="31" t="str">
        <f>VLOOKUP(T67,Orgenheter!$A$1:$C$165,2,FALSE)</f>
        <v xml:space="preserve">Estetiska ämnen               </v>
      </c>
      <c r="V67" s="31" t="str">
        <f>VLOOKUP(T67,Orgenheter!$A$1:$C$165,3,FALSE)</f>
        <v>Hum</v>
      </c>
      <c r="W67" s="37" t="str">
        <f>VLOOKUP(D67,Program!$A$1:$B$34,2,FALSE)</f>
        <v>Fristående och övriga kurser</v>
      </c>
      <c r="X67" s="42">
        <f>VLOOKUP(A67,kurspris!$A$1:$Q$815,15,FALSE)</f>
        <v>47957</v>
      </c>
      <c r="Y67" s="42">
        <f>VLOOKUP(A67,kurspris!$A$1:$Q$815,16,FALSE)</f>
        <v>57006</v>
      </c>
      <c r="Z67" s="42">
        <f t="shared" si="28"/>
        <v>771884.85000000009</v>
      </c>
      <c r="AA67" s="42">
        <f>VLOOKUP(A67,kurspris!$A$1:$Q$815,17,FALSE)</f>
        <v>69000</v>
      </c>
      <c r="AB67" s="42">
        <f t="shared" si="29"/>
        <v>569250</v>
      </c>
      <c r="AC67" s="42">
        <f t="shared" si="30"/>
        <v>1341134.8500000001</v>
      </c>
      <c r="AD67" s="31">
        <f>VLOOKUP($A67,kurspris!$A$1:$Q$852,3,FALSE)</f>
        <v>1</v>
      </c>
      <c r="AE67" s="31">
        <f>VLOOKUP($A67,kurspris!$A$1:$Q$852,4,FALSE)</f>
        <v>0</v>
      </c>
      <c r="AF67" s="31">
        <f>VLOOKUP($A67,kurspris!$A$1:$Q$852,5,FALSE)</f>
        <v>0</v>
      </c>
      <c r="AG67" s="31">
        <f>VLOOKUP($A67,kurspris!$A$1:$Q$852,6,FALSE)</f>
        <v>0</v>
      </c>
      <c r="AH67" s="31">
        <f>VLOOKUP($A67,kurspris!$A$1:$Q$852,7,FALSE)</f>
        <v>0</v>
      </c>
      <c r="AI67" s="31">
        <f>VLOOKUP($A67,kurspris!$A$1:$Q$852,8,FALSE)</f>
        <v>0</v>
      </c>
      <c r="AJ67" s="31">
        <f>VLOOKUP($A67,kurspris!$A$1:$Q$852,9,FALSE)</f>
        <v>0</v>
      </c>
      <c r="AK67" s="31">
        <f>VLOOKUP($A67,kurspris!$A$1:$Q$852,10,FALSE)</f>
        <v>0</v>
      </c>
      <c r="AL67" s="31">
        <f>VLOOKUP($A67,kurspris!$A$1:$Q$852,11,FALSE)</f>
        <v>0</v>
      </c>
      <c r="AM67" s="31">
        <f>VLOOKUP($A67,kurspris!$A$1:$Q$852,12,FALSE)</f>
        <v>0</v>
      </c>
      <c r="AN67" s="31">
        <f>VLOOKUP($A67,kurspris!$A$1:$Q$852,13,FALSE)</f>
        <v>0</v>
      </c>
      <c r="AO67" s="31">
        <f>VLOOKUP($A67,kurspris!$A$1:$Q$852,14,FALSE)</f>
        <v>0</v>
      </c>
      <c r="AP67" s="59" t="s">
        <v>2216</v>
      </c>
      <c r="AR67" s="31">
        <f t="shared" si="31"/>
        <v>8.25</v>
      </c>
      <c r="AS67" s="237">
        <f t="shared" si="32"/>
        <v>6.6000000000000005</v>
      </c>
      <c r="AT67" s="31">
        <f t="shared" si="33"/>
        <v>0</v>
      </c>
      <c r="AU67" s="237">
        <f t="shared" si="34"/>
        <v>0</v>
      </c>
      <c r="AV67" s="31">
        <f t="shared" si="35"/>
        <v>0</v>
      </c>
      <c r="AW67" s="31">
        <f t="shared" si="36"/>
        <v>0</v>
      </c>
      <c r="AX67" s="31">
        <f t="shared" si="37"/>
        <v>0</v>
      </c>
      <c r="AY67" s="237">
        <f t="shared" si="38"/>
        <v>0</v>
      </c>
      <c r="AZ67" s="214">
        <f t="shared" si="39"/>
        <v>0</v>
      </c>
      <c r="BA67" s="237">
        <f t="shared" si="40"/>
        <v>0</v>
      </c>
      <c r="BB67" s="31">
        <f t="shared" si="41"/>
        <v>0</v>
      </c>
      <c r="BC67" s="237">
        <f t="shared" si="42"/>
        <v>0</v>
      </c>
      <c r="BD67" s="31">
        <f t="shared" si="43"/>
        <v>0</v>
      </c>
      <c r="BE67" s="237">
        <f t="shared" si="44"/>
        <v>0</v>
      </c>
      <c r="BF67" s="31">
        <f t="shared" si="45"/>
        <v>0</v>
      </c>
      <c r="BG67" s="237">
        <f t="shared" si="46"/>
        <v>0</v>
      </c>
      <c r="BH67" s="31">
        <f t="shared" si="47"/>
        <v>0</v>
      </c>
      <c r="BI67" s="237">
        <f t="shared" si="48"/>
        <v>0</v>
      </c>
      <c r="BJ67" s="31">
        <f t="shared" si="49"/>
        <v>0</v>
      </c>
      <c r="BK67" s="31">
        <f t="shared" si="50"/>
        <v>0</v>
      </c>
      <c r="BL67" s="237">
        <f t="shared" si="51"/>
        <v>0</v>
      </c>
      <c r="BM67" s="31">
        <f t="shared" si="52"/>
        <v>0</v>
      </c>
      <c r="BN67" s="237">
        <f t="shared" si="53"/>
        <v>0</v>
      </c>
    </row>
    <row r="68" spans="1:66" x14ac:dyDescent="0.25">
      <c r="A68" s="31" t="s">
        <v>1881</v>
      </c>
      <c r="B68" s="182" t="str">
        <f>VLOOKUP(A68,kurspris!$A$1:$B$894,2,FALSE)</f>
        <v>Undervisning och lärande 2</v>
      </c>
      <c r="D68" s="31" t="s">
        <v>117</v>
      </c>
      <c r="F68" s="59">
        <v>2019</v>
      </c>
      <c r="Q68" s="237">
        <v>0.625</v>
      </c>
      <c r="R68" s="40">
        <v>0.8</v>
      </c>
      <c r="S68" s="313">
        <f t="shared" si="27"/>
        <v>0.5</v>
      </c>
      <c r="T68" s="31">
        <f>VLOOKUP(A68,'Ansvar kurs'!$A$1:$C$1027,2,FALSE)</f>
        <v>1650</v>
      </c>
      <c r="U68" s="31" t="str">
        <f>VLOOKUP(T68,Orgenheter!$A$1:$C$165,2,FALSE)</f>
        <v xml:space="preserve">Estetiska ämnen               </v>
      </c>
      <c r="V68" s="31" t="str">
        <f>VLOOKUP(T68,Orgenheter!$A$1:$C$165,3,FALSE)</f>
        <v>Hum</v>
      </c>
      <c r="W68" s="37" t="str">
        <f>VLOOKUP(D68,Program!$A$1:$B$34,2,FALSE)</f>
        <v>Fristående och övriga kurser</v>
      </c>
      <c r="X68" s="42">
        <f>VLOOKUP(A68,kurspris!$A$1:$Q$815,15,FALSE)</f>
        <v>18405</v>
      </c>
      <c r="Y68" s="42">
        <f>VLOOKUP(A68,kurspris!$A$1:$Q$815,16,FALSE)</f>
        <v>15773</v>
      </c>
      <c r="Z68" s="42">
        <f t="shared" si="28"/>
        <v>19389.625</v>
      </c>
      <c r="AA68" s="42">
        <f>VLOOKUP(A68,kurspris!$A$1:$Q$815,17,FALSE)</f>
        <v>5800</v>
      </c>
      <c r="AB68" s="42">
        <f t="shared" si="29"/>
        <v>3625</v>
      </c>
      <c r="AC68" s="42">
        <f t="shared" si="30"/>
        <v>23014.625</v>
      </c>
      <c r="AD68" s="31">
        <f>VLOOKUP($A68,kurspris!$A$1:$Q$852,3,FALSE)</f>
        <v>0</v>
      </c>
      <c r="AE68" s="31">
        <f>VLOOKUP($A68,kurspris!$A$1:$Q$852,4,FALSE)</f>
        <v>1</v>
      </c>
      <c r="AF68" s="31">
        <f>VLOOKUP($A68,kurspris!$A$1:$Q$852,5,FALSE)</f>
        <v>0</v>
      </c>
      <c r="AG68" s="31">
        <f>VLOOKUP($A68,kurspris!$A$1:$Q$852,6,FALSE)</f>
        <v>0</v>
      </c>
      <c r="AH68" s="31">
        <f>VLOOKUP($A68,kurspris!$A$1:$Q$852,7,FALSE)</f>
        <v>0</v>
      </c>
      <c r="AI68" s="31">
        <f>VLOOKUP($A68,kurspris!$A$1:$Q$852,8,FALSE)</f>
        <v>0</v>
      </c>
      <c r="AJ68" s="31">
        <f>VLOOKUP($A68,kurspris!$A$1:$Q$852,9,FALSE)</f>
        <v>0</v>
      </c>
      <c r="AK68" s="31">
        <f>VLOOKUP($A68,kurspris!$A$1:$Q$852,10,FALSE)</f>
        <v>0</v>
      </c>
      <c r="AL68" s="31">
        <f>VLOOKUP($A68,kurspris!$A$1:$Q$852,11,FALSE)</f>
        <v>0</v>
      </c>
      <c r="AM68" s="31">
        <f>VLOOKUP($A68,kurspris!$A$1:$Q$852,12,FALSE)</f>
        <v>0</v>
      </c>
      <c r="AN68" s="31">
        <f>VLOOKUP($A68,kurspris!$A$1:$Q$852,13,FALSE)</f>
        <v>0</v>
      </c>
      <c r="AO68" s="31">
        <f>VLOOKUP($A68,kurspris!$A$1:$Q$852,14,FALSE)</f>
        <v>0</v>
      </c>
      <c r="AP68" s="59" t="s">
        <v>2216</v>
      </c>
      <c r="AR68" s="31">
        <f t="shared" si="31"/>
        <v>0</v>
      </c>
      <c r="AS68" s="237">
        <f t="shared" si="32"/>
        <v>0</v>
      </c>
      <c r="AT68" s="31">
        <f t="shared" si="33"/>
        <v>0.625</v>
      </c>
      <c r="AU68" s="237">
        <f t="shared" si="34"/>
        <v>0.5</v>
      </c>
      <c r="AV68" s="31">
        <f t="shared" si="35"/>
        <v>0</v>
      </c>
      <c r="AW68" s="31">
        <f t="shared" si="36"/>
        <v>0</v>
      </c>
      <c r="AX68" s="31">
        <f t="shared" si="37"/>
        <v>0</v>
      </c>
      <c r="AY68" s="237">
        <f t="shared" si="38"/>
        <v>0</v>
      </c>
      <c r="AZ68" s="214">
        <f t="shared" si="39"/>
        <v>0</v>
      </c>
      <c r="BA68" s="237">
        <f t="shared" si="40"/>
        <v>0</v>
      </c>
      <c r="BB68" s="31">
        <f t="shared" si="41"/>
        <v>0</v>
      </c>
      <c r="BC68" s="237">
        <f t="shared" si="42"/>
        <v>0</v>
      </c>
      <c r="BD68" s="31">
        <f t="shared" si="43"/>
        <v>0</v>
      </c>
      <c r="BE68" s="237">
        <f t="shared" si="44"/>
        <v>0</v>
      </c>
      <c r="BF68" s="31">
        <f t="shared" si="45"/>
        <v>0</v>
      </c>
      <c r="BG68" s="237">
        <f t="shared" si="46"/>
        <v>0</v>
      </c>
      <c r="BH68" s="31">
        <f t="shared" si="47"/>
        <v>0</v>
      </c>
      <c r="BI68" s="237">
        <f t="shared" si="48"/>
        <v>0</v>
      </c>
      <c r="BJ68" s="31">
        <f t="shared" si="49"/>
        <v>0</v>
      </c>
      <c r="BK68" s="31">
        <f t="shared" si="50"/>
        <v>0</v>
      </c>
      <c r="BL68" s="237">
        <f t="shared" si="51"/>
        <v>0</v>
      </c>
      <c r="BM68" s="31">
        <f t="shared" si="52"/>
        <v>0</v>
      </c>
      <c r="BN68" s="237">
        <f t="shared" si="53"/>
        <v>0</v>
      </c>
    </row>
    <row r="69" spans="1:66" x14ac:dyDescent="0.25">
      <c r="A69" s="31" t="s">
        <v>1879</v>
      </c>
      <c r="B69" s="182" t="str">
        <f>VLOOKUP(A69,kurspris!$A$1:$B$894,2,FALSE)</f>
        <v>Bild 3, fristående</v>
      </c>
      <c r="D69" s="31" t="s">
        <v>117</v>
      </c>
      <c r="F69" s="59">
        <v>2019</v>
      </c>
      <c r="Q69" s="237">
        <v>0.5</v>
      </c>
      <c r="R69" s="40">
        <v>0.8</v>
      </c>
      <c r="S69" s="313">
        <f t="shared" si="27"/>
        <v>0.4</v>
      </c>
      <c r="T69" s="31">
        <f>VLOOKUP(A69,'Ansvar kurs'!$A$1:$C$1027,2,FALSE)</f>
        <v>1650</v>
      </c>
      <c r="U69" s="31" t="str">
        <f>VLOOKUP(T69,Orgenheter!$A$1:$C$165,2,FALSE)</f>
        <v xml:space="preserve">Estetiska ämnen               </v>
      </c>
      <c r="V69" s="31" t="str">
        <f>VLOOKUP(T69,Orgenheter!$A$1:$C$165,3,FALSE)</f>
        <v>Hum</v>
      </c>
      <c r="W69" s="37" t="str">
        <f>VLOOKUP(D69,Program!$A$1:$B$34,2,FALSE)</f>
        <v>Fristående och övriga kurser</v>
      </c>
      <c r="X69" s="42">
        <f>VLOOKUP(A69,kurspris!$A$1:$Q$815,15,FALSE)</f>
        <v>47957</v>
      </c>
      <c r="Y69" s="42">
        <f>VLOOKUP(A69,kurspris!$A$1:$Q$815,16,FALSE)</f>
        <v>57006</v>
      </c>
      <c r="Z69" s="42">
        <f t="shared" si="28"/>
        <v>46780.9</v>
      </c>
      <c r="AA69" s="42">
        <f>VLOOKUP(A69,kurspris!$A$1:$Q$815,17,FALSE)</f>
        <v>69000</v>
      </c>
      <c r="AB69" s="42">
        <f t="shared" si="29"/>
        <v>34500</v>
      </c>
      <c r="AC69" s="42">
        <f t="shared" si="30"/>
        <v>81280.899999999994</v>
      </c>
      <c r="AD69" s="31">
        <f>VLOOKUP($A69,kurspris!$A$1:$Q$852,3,FALSE)</f>
        <v>1</v>
      </c>
      <c r="AE69" s="31">
        <f>VLOOKUP($A69,kurspris!$A$1:$Q$852,4,FALSE)</f>
        <v>0</v>
      </c>
      <c r="AF69" s="31">
        <f>VLOOKUP($A69,kurspris!$A$1:$Q$852,5,FALSE)</f>
        <v>0</v>
      </c>
      <c r="AG69" s="31">
        <f>VLOOKUP($A69,kurspris!$A$1:$Q$852,6,FALSE)</f>
        <v>0</v>
      </c>
      <c r="AH69" s="31">
        <f>VLOOKUP($A69,kurspris!$A$1:$Q$852,7,FALSE)</f>
        <v>0</v>
      </c>
      <c r="AI69" s="31">
        <f>VLOOKUP($A69,kurspris!$A$1:$Q$852,8,FALSE)</f>
        <v>0</v>
      </c>
      <c r="AJ69" s="31">
        <f>VLOOKUP($A69,kurspris!$A$1:$Q$852,9,FALSE)</f>
        <v>0</v>
      </c>
      <c r="AK69" s="31">
        <f>VLOOKUP($A69,kurspris!$A$1:$Q$852,10,FALSE)</f>
        <v>0</v>
      </c>
      <c r="AL69" s="31">
        <f>VLOOKUP($A69,kurspris!$A$1:$Q$852,11,FALSE)</f>
        <v>0</v>
      </c>
      <c r="AM69" s="31">
        <f>VLOOKUP($A69,kurspris!$A$1:$Q$852,12,FALSE)</f>
        <v>0</v>
      </c>
      <c r="AN69" s="31">
        <f>VLOOKUP($A69,kurspris!$A$1:$Q$852,13,FALSE)</f>
        <v>0</v>
      </c>
      <c r="AO69" s="31">
        <f>VLOOKUP($A69,kurspris!$A$1:$Q$852,14,FALSE)</f>
        <v>0</v>
      </c>
      <c r="AP69" s="59" t="s">
        <v>2216</v>
      </c>
      <c r="AR69" s="31">
        <f t="shared" si="31"/>
        <v>0.5</v>
      </c>
      <c r="AS69" s="237">
        <f t="shared" si="32"/>
        <v>0.4</v>
      </c>
      <c r="AT69" s="31">
        <f t="shared" si="33"/>
        <v>0</v>
      </c>
      <c r="AU69" s="237">
        <f t="shared" si="34"/>
        <v>0</v>
      </c>
      <c r="AV69" s="31">
        <f t="shared" si="35"/>
        <v>0</v>
      </c>
      <c r="AW69" s="31">
        <f t="shared" si="36"/>
        <v>0</v>
      </c>
      <c r="AX69" s="31">
        <f t="shared" si="37"/>
        <v>0</v>
      </c>
      <c r="AY69" s="237">
        <f t="shared" si="38"/>
        <v>0</v>
      </c>
      <c r="AZ69" s="214">
        <f t="shared" si="39"/>
        <v>0</v>
      </c>
      <c r="BA69" s="237">
        <f t="shared" si="40"/>
        <v>0</v>
      </c>
      <c r="BB69" s="31">
        <f t="shared" si="41"/>
        <v>0</v>
      </c>
      <c r="BC69" s="237">
        <f t="shared" si="42"/>
        <v>0</v>
      </c>
      <c r="BD69" s="31">
        <f t="shared" si="43"/>
        <v>0</v>
      </c>
      <c r="BE69" s="237">
        <f t="shared" si="44"/>
        <v>0</v>
      </c>
      <c r="BF69" s="31">
        <f t="shared" si="45"/>
        <v>0</v>
      </c>
      <c r="BG69" s="237">
        <f t="shared" si="46"/>
        <v>0</v>
      </c>
      <c r="BH69" s="31">
        <f t="shared" si="47"/>
        <v>0</v>
      </c>
      <c r="BI69" s="237">
        <f t="shared" si="48"/>
        <v>0</v>
      </c>
      <c r="BJ69" s="31">
        <f t="shared" si="49"/>
        <v>0</v>
      </c>
      <c r="BK69" s="31">
        <f t="shared" si="50"/>
        <v>0</v>
      </c>
      <c r="BL69" s="237">
        <f t="shared" si="51"/>
        <v>0</v>
      </c>
      <c r="BM69" s="31">
        <f t="shared" si="52"/>
        <v>0</v>
      </c>
      <c r="BN69" s="237">
        <f t="shared" si="53"/>
        <v>0</v>
      </c>
    </row>
    <row r="70" spans="1:66" x14ac:dyDescent="0.25">
      <c r="A70" s="31" t="s">
        <v>2001</v>
      </c>
      <c r="B70" s="182" t="str">
        <f>VLOOKUP(A70,kurspris!$A$1:$B$894,2,FALSE)</f>
        <v>Vetenskaplig teori och metod 1</v>
      </c>
      <c r="D70" s="31" t="s">
        <v>117</v>
      </c>
      <c r="F70" s="59">
        <v>2019</v>
      </c>
      <c r="Q70" s="237">
        <v>0.625</v>
      </c>
      <c r="R70" s="40">
        <v>0.8</v>
      </c>
      <c r="S70" s="313">
        <f t="shared" si="27"/>
        <v>0.5</v>
      </c>
      <c r="T70" s="31">
        <f>VLOOKUP(A70,'Ansvar kurs'!$A$1:$C$1027,2,FALSE)</f>
        <v>1650</v>
      </c>
      <c r="U70" s="31" t="str">
        <f>VLOOKUP(T70,Orgenheter!$A$1:$C$165,2,FALSE)</f>
        <v xml:space="preserve">Estetiska ämnen               </v>
      </c>
      <c r="V70" s="31" t="str">
        <f>VLOOKUP(T70,Orgenheter!$A$1:$C$165,3,FALSE)</f>
        <v>Hum</v>
      </c>
      <c r="W70" s="37" t="str">
        <f>VLOOKUP(D70,Program!$A$1:$B$34,2,FALSE)</f>
        <v>Fristående och övriga kurser</v>
      </c>
      <c r="X70" s="42">
        <f>VLOOKUP(A70,kurspris!$A$1:$Q$815,15,FALSE)</f>
        <v>18405</v>
      </c>
      <c r="Y70" s="42">
        <f>VLOOKUP(A70,kurspris!$A$1:$Q$815,16,FALSE)</f>
        <v>15773</v>
      </c>
      <c r="Z70" s="42">
        <f t="shared" si="28"/>
        <v>19389.625</v>
      </c>
      <c r="AA70" s="42">
        <f>VLOOKUP(A70,kurspris!$A$1:$Q$815,17,FALSE)</f>
        <v>5800</v>
      </c>
      <c r="AB70" s="42">
        <f t="shared" si="29"/>
        <v>3625</v>
      </c>
      <c r="AC70" s="42">
        <f t="shared" si="30"/>
        <v>23014.625</v>
      </c>
      <c r="AD70" s="31">
        <f>VLOOKUP($A70,kurspris!$A$1:$Q$852,3,FALSE)</f>
        <v>0</v>
      </c>
      <c r="AE70" s="31">
        <f>VLOOKUP($A70,kurspris!$A$1:$Q$852,4,FALSE)</f>
        <v>1</v>
      </c>
      <c r="AF70" s="31">
        <f>VLOOKUP($A70,kurspris!$A$1:$Q$852,5,FALSE)</f>
        <v>0</v>
      </c>
      <c r="AG70" s="31">
        <f>VLOOKUP($A70,kurspris!$A$1:$Q$852,6,FALSE)</f>
        <v>0</v>
      </c>
      <c r="AH70" s="31">
        <f>VLOOKUP($A70,kurspris!$A$1:$Q$852,7,FALSE)</f>
        <v>0</v>
      </c>
      <c r="AI70" s="31">
        <f>VLOOKUP($A70,kurspris!$A$1:$Q$852,8,FALSE)</f>
        <v>0</v>
      </c>
      <c r="AJ70" s="31">
        <f>VLOOKUP($A70,kurspris!$A$1:$Q$852,9,FALSE)</f>
        <v>0</v>
      </c>
      <c r="AK70" s="31">
        <f>VLOOKUP($A70,kurspris!$A$1:$Q$852,10,FALSE)</f>
        <v>0</v>
      </c>
      <c r="AL70" s="31">
        <f>VLOOKUP($A70,kurspris!$A$1:$Q$852,11,FALSE)</f>
        <v>0</v>
      </c>
      <c r="AM70" s="31">
        <f>VLOOKUP($A70,kurspris!$A$1:$Q$852,12,FALSE)</f>
        <v>0</v>
      </c>
      <c r="AN70" s="31">
        <f>VLOOKUP($A70,kurspris!$A$1:$Q$852,13,FALSE)</f>
        <v>0</v>
      </c>
      <c r="AO70" s="31">
        <f>VLOOKUP($A70,kurspris!$A$1:$Q$852,14,FALSE)</f>
        <v>0</v>
      </c>
      <c r="AP70" s="59" t="s">
        <v>2216</v>
      </c>
      <c r="AQ70" s="59"/>
      <c r="AR70" s="31">
        <f t="shared" si="31"/>
        <v>0</v>
      </c>
      <c r="AS70" s="237">
        <f t="shared" si="32"/>
        <v>0</v>
      </c>
      <c r="AT70" s="31">
        <f t="shared" si="33"/>
        <v>0.625</v>
      </c>
      <c r="AU70" s="237">
        <f t="shared" si="34"/>
        <v>0.5</v>
      </c>
      <c r="AV70" s="31">
        <f t="shared" si="35"/>
        <v>0</v>
      </c>
      <c r="AW70" s="31">
        <f t="shared" si="36"/>
        <v>0</v>
      </c>
      <c r="AX70" s="31">
        <f t="shared" si="37"/>
        <v>0</v>
      </c>
      <c r="AY70" s="237">
        <f t="shared" si="38"/>
        <v>0</v>
      </c>
      <c r="AZ70" s="214">
        <f t="shared" si="39"/>
        <v>0</v>
      </c>
      <c r="BA70" s="237">
        <f t="shared" si="40"/>
        <v>0</v>
      </c>
      <c r="BB70" s="31">
        <f t="shared" si="41"/>
        <v>0</v>
      </c>
      <c r="BC70" s="237">
        <f t="shared" si="42"/>
        <v>0</v>
      </c>
      <c r="BD70" s="31">
        <f t="shared" si="43"/>
        <v>0</v>
      </c>
      <c r="BE70" s="237">
        <f t="shared" si="44"/>
        <v>0</v>
      </c>
      <c r="BF70" s="31">
        <f t="shared" si="45"/>
        <v>0</v>
      </c>
      <c r="BG70" s="237">
        <f t="shared" si="46"/>
        <v>0</v>
      </c>
      <c r="BH70" s="31">
        <f t="shared" si="47"/>
        <v>0</v>
      </c>
      <c r="BI70" s="237">
        <f t="shared" si="48"/>
        <v>0</v>
      </c>
      <c r="BJ70" s="31">
        <f t="shared" si="49"/>
        <v>0</v>
      </c>
      <c r="BK70" s="31">
        <f t="shared" si="50"/>
        <v>0</v>
      </c>
      <c r="BL70" s="237">
        <f t="shared" si="51"/>
        <v>0</v>
      </c>
      <c r="BM70" s="31">
        <f t="shared" si="52"/>
        <v>0</v>
      </c>
      <c r="BN70" s="237">
        <f t="shared" si="53"/>
        <v>0</v>
      </c>
    </row>
    <row r="71" spans="1:66" x14ac:dyDescent="0.25">
      <c r="A71" s="31" t="s">
        <v>2190</v>
      </c>
      <c r="B71" s="182" t="str">
        <f>VLOOKUP(A71,kurspris!$A$1:$B$894,2,FALSE)</f>
        <v>Bild 2a, distans</v>
      </c>
      <c r="D71" s="31" t="s">
        <v>117</v>
      </c>
      <c r="F71" s="59">
        <v>2019</v>
      </c>
      <c r="Q71" s="237">
        <v>2.5</v>
      </c>
      <c r="R71" s="40">
        <v>0.8</v>
      </c>
      <c r="S71" s="313">
        <f t="shared" si="27"/>
        <v>2</v>
      </c>
      <c r="T71" s="31">
        <f>VLOOKUP(A71,'Ansvar kurs'!$A$1:$C$1027,2,FALSE)</f>
        <v>1650</v>
      </c>
      <c r="U71" s="31" t="str">
        <f>VLOOKUP(T71,Orgenheter!$A$1:$C$165,2,FALSE)</f>
        <v xml:space="preserve">Estetiska ämnen               </v>
      </c>
      <c r="V71" s="31" t="str">
        <f>VLOOKUP(T71,Orgenheter!$A$1:$C$165,3,FALSE)</f>
        <v>Hum</v>
      </c>
      <c r="W71" s="37" t="str">
        <f>VLOOKUP(D71,Program!$A$1:$B$34,2,FALSE)</f>
        <v>Fristående och övriga kurser</v>
      </c>
      <c r="X71" s="42">
        <f>VLOOKUP(A71,kurspris!$A$1:$Q$815,15,FALSE)</f>
        <v>47957</v>
      </c>
      <c r="Y71" s="42">
        <f>VLOOKUP(A71,kurspris!$A$1:$Q$815,16,FALSE)</f>
        <v>57006</v>
      </c>
      <c r="Z71" s="42">
        <f t="shared" si="28"/>
        <v>233904.5</v>
      </c>
      <c r="AA71" s="42">
        <f>VLOOKUP(A71,kurspris!$A$1:$Q$815,17,FALSE)</f>
        <v>69000</v>
      </c>
      <c r="AB71" s="42">
        <f t="shared" si="29"/>
        <v>172500</v>
      </c>
      <c r="AC71" s="42">
        <f t="shared" si="30"/>
        <v>406404.5</v>
      </c>
      <c r="AD71" s="31">
        <f>VLOOKUP($A71,kurspris!$A$1:$Q$852,3,FALSE)</f>
        <v>1</v>
      </c>
      <c r="AE71" s="31">
        <f>VLOOKUP($A71,kurspris!$A$1:$Q$852,4,FALSE)</f>
        <v>0</v>
      </c>
      <c r="AF71" s="31">
        <f>VLOOKUP($A71,kurspris!$A$1:$Q$852,5,FALSE)</f>
        <v>0</v>
      </c>
      <c r="AG71" s="31">
        <f>VLOOKUP($A71,kurspris!$A$1:$Q$852,6,FALSE)</f>
        <v>0</v>
      </c>
      <c r="AH71" s="31">
        <f>VLOOKUP($A71,kurspris!$A$1:$Q$852,7,FALSE)</f>
        <v>0</v>
      </c>
      <c r="AI71" s="31">
        <f>VLOOKUP($A71,kurspris!$A$1:$Q$852,8,FALSE)</f>
        <v>0</v>
      </c>
      <c r="AJ71" s="31">
        <f>VLOOKUP($A71,kurspris!$A$1:$Q$852,9,FALSE)</f>
        <v>0</v>
      </c>
      <c r="AK71" s="31">
        <f>VLOOKUP($A71,kurspris!$A$1:$Q$852,10,FALSE)</f>
        <v>0</v>
      </c>
      <c r="AL71" s="31">
        <f>VLOOKUP($A71,kurspris!$A$1:$Q$852,11,FALSE)</f>
        <v>0</v>
      </c>
      <c r="AM71" s="31">
        <f>VLOOKUP($A71,kurspris!$A$1:$Q$852,12,FALSE)</f>
        <v>0</v>
      </c>
      <c r="AN71" s="31">
        <f>VLOOKUP($A71,kurspris!$A$1:$Q$852,13,FALSE)</f>
        <v>0</v>
      </c>
      <c r="AO71" s="31">
        <f>VLOOKUP($A71,kurspris!$A$1:$Q$852,14,FALSE)</f>
        <v>0</v>
      </c>
      <c r="AP71" s="59" t="s">
        <v>2216</v>
      </c>
      <c r="AQ71" s="59"/>
      <c r="AR71" s="31">
        <f t="shared" si="31"/>
        <v>2.5</v>
      </c>
      <c r="AS71" s="237">
        <f t="shared" si="32"/>
        <v>2</v>
      </c>
      <c r="AT71" s="31">
        <f t="shared" si="33"/>
        <v>0</v>
      </c>
      <c r="AU71" s="237">
        <f t="shared" si="34"/>
        <v>0</v>
      </c>
      <c r="AV71" s="31">
        <f t="shared" si="35"/>
        <v>0</v>
      </c>
      <c r="AW71" s="31">
        <f t="shared" si="36"/>
        <v>0</v>
      </c>
      <c r="AX71" s="31">
        <f t="shared" si="37"/>
        <v>0</v>
      </c>
      <c r="AY71" s="237">
        <f t="shared" si="38"/>
        <v>0</v>
      </c>
      <c r="AZ71" s="214">
        <f t="shared" si="39"/>
        <v>0</v>
      </c>
      <c r="BA71" s="237">
        <f t="shared" si="40"/>
        <v>0</v>
      </c>
      <c r="BB71" s="31">
        <f t="shared" si="41"/>
        <v>0</v>
      </c>
      <c r="BC71" s="237">
        <f t="shared" si="42"/>
        <v>0</v>
      </c>
      <c r="BD71" s="31">
        <f t="shared" si="43"/>
        <v>0</v>
      </c>
      <c r="BE71" s="237">
        <f t="shared" si="44"/>
        <v>0</v>
      </c>
      <c r="BF71" s="31">
        <f t="shared" si="45"/>
        <v>0</v>
      </c>
      <c r="BG71" s="237">
        <f t="shared" si="46"/>
        <v>0</v>
      </c>
      <c r="BH71" s="31">
        <f t="shared" si="47"/>
        <v>0</v>
      </c>
      <c r="BI71" s="237">
        <f t="shared" si="48"/>
        <v>0</v>
      </c>
      <c r="BJ71" s="31">
        <f t="shared" si="49"/>
        <v>0</v>
      </c>
      <c r="BK71" s="31">
        <f t="shared" si="50"/>
        <v>0</v>
      </c>
      <c r="BL71" s="237">
        <f t="shared" si="51"/>
        <v>0</v>
      </c>
      <c r="BM71" s="31">
        <f t="shared" si="52"/>
        <v>0</v>
      </c>
      <c r="BN71" s="237">
        <f t="shared" si="53"/>
        <v>0</v>
      </c>
    </row>
    <row r="72" spans="1:66" x14ac:dyDescent="0.25">
      <c r="A72" s="159" t="s">
        <v>2117</v>
      </c>
      <c r="B72" s="182" t="str">
        <f>VLOOKUP(A72,kurspris!$A$1:$B$894,2,FALSE)</f>
        <v>Bild 2b, distans</v>
      </c>
      <c r="C72" s="37"/>
      <c r="D72" s="31" t="s">
        <v>117</v>
      </c>
      <c r="F72" s="59">
        <v>2019</v>
      </c>
      <c r="Q72" s="237">
        <v>2</v>
      </c>
      <c r="R72" s="40">
        <v>0.8</v>
      </c>
      <c r="S72" s="313">
        <f t="shared" si="27"/>
        <v>1.6</v>
      </c>
      <c r="T72" s="31">
        <f>VLOOKUP(A72,'Ansvar kurs'!$A$1:$C$1027,2,FALSE)</f>
        <v>1650</v>
      </c>
      <c r="U72" s="31" t="str">
        <f>VLOOKUP(T72,Orgenheter!$A$1:$C$165,2,FALSE)</f>
        <v xml:space="preserve">Estetiska ämnen               </v>
      </c>
      <c r="V72" s="31" t="str">
        <f>VLOOKUP(T72,Orgenheter!$A$1:$C$165,3,FALSE)</f>
        <v>Hum</v>
      </c>
      <c r="W72" s="37" t="str">
        <f>VLOOKUP(D72,Program!$A$1:$B$34,2,FALSE)</f>
        <v>Fristående och övriga kurser</v>
      </c>
      <c r="X72" s="42">
        <f>VLOOKUP(A72,kurspris!$A$1:$Q$815,15,FALSE)</f>
        <v>47957</v>
      </c>
      <c r="Y72" s="42">
        <f>VLOOKUP(A72,kurspris!$A$1:$Q$815,16,FALSE)</f>
        <v>57006</v>
      </c>
      <c r="Z72" s="42">
        <f t="shared" si="28"/>
        <v>187123.6</v>
      </c>
      <c r="AA72" s="42">
        <f>VLOOKUP(A72,kurspris!$A$1:$Q$815,17,FALSE)</f>
        <v>69000</v>
      </c>
      <c r="AB72" s="42">
        <f t="shared" si="29"/>
        <v>138000</v>
      </c>
      <c r="AC72" s="42">
        <f t="shared" si="30"/>
        <v>325123.59999999998</v>
      </c>
      <c r="AD72" s="31">
        <f>VLOOKUP($A72,kurspris!$A$1:$Q$852,3,FALSE)</f>
        <v>1</v>
      </c>
      <c r="AE72" s="31">
        <f>VLOOKUP($A72,kurspris!$A$1:$Q$852,4,FALSE)</f>
        <v>0</v>
      </c>
      <c r="AF72" s="31">
        <f>VLOOKUP($A72,kurspris!$A$1:$Q$852,5,FALSE)</f>
        <v>0</v>
      </c>
      <c r="AG72" s="31">
        <f>VLOOKUP($A72,kurspris!$A$1:$Q$852,6,FALSE)</f>
        <v>0</v>
      </c>
      <c r="AH72" s="31">
        <f>VLOOKUP($A72,kurspris!$A$1:$Q$852,7,FALSE)</f>
        <v>0</v>
      </c>
      <c r="AI72" s="31">
        <f>VLOOKUP($A72,kurspris!$A$1:$Q$852,8,FALSE)</f>
        <v>0</v>
      </c>
      <c r="AJ72" s="31">
        <f>VLOOKUP($A72,kurspris!$A$1:$Q$852,9,FALSE)</f>
        <v>0</v>
      </c>
      <c r="AK72" s="31">
        <f>VLOOKUP($A72,kurspris!$A$1:$Q$852,10,FALSE)</f>
        <v>0</v>
      </c>
      <c r="AL72" s="31">
        <f>VLOOKUP($A72,kurspris!$A$1:$Q$852,11,FALSE)</f>
        <v>0</v>
      </c>
      <c r="AM72" s="31">
        <f>VLOOKUP($A72,kurspris!$A$1:$Q$852,12,FALSE)</f>
        <v>0</v>
      </c>
      <c r="AN72" s="31">
        <f>VLOOKUP($A72,kurspris!$A$1:$Q$852,13,FALSE)</f>
        <v>0</v>
      </c>
      <c r="AO72" s="31">
        <f>VLOOKUP($A72,kurspris!$A$1:$Q$852,14,FALSE)</f>
        <v>0</v>
      </c>
      <c r="AP72" s="59" t="s">
        <v>2216</v>
      </c>
      <c r="AR72" s="31">
        <f t="shared" si="31"/>
        <v>2</v>
      </c>
      <c r="AS72" s="237">
        <f t="shared" si="32"/>
        <v>1.6</v>
      </c>
      <c r="AT72" s="31">
        <f t="shared" si="33"/>
        <v>0</v>
      </c>
      <c r="AU72" s="237">
        <f t="shared" si="34"/>
        <v>0</v>
      </c>
      <c r="AV72" s="31">
        <f t="shared" si="35"/>
        <v>0</v>
      </c>
      <c r="AW72" s="31">
        <f t="shared" si="36"/>
        <v>0</v>
      </c>
      <c r="AX72" s="31">
        <f t="shared" si="37"/>
        <v>0</v>
      </c>
      <c r="AY72" s="237">
        <f t="shared" si="38"/>
        <v>0</v>
      </c>
      <c r="AZ72" s="214">
        <f t="shared" si="39"/>
        <v>0</v>
      </c>
      <c r="BA72" s="237">
        <f t="shared" si="40"/>
        <v>0</v>
      </c>
      <c r="BB72" s="31">
        <f t="shared" si="41"/>
        <v>0</v>
      </c>
      <c r="BC72" s="237">
        <f t="shared" si="42"/>
        <v>0</v>
      </c>
      <c r="BD72" s="31">
        <f t="shared" si="43"/>
        <v>0</v>
      </c>
      <c r="BE72" s="237">
        <f t="shared" si="44"/>
        <v>0</v>
      </c>
      <c r="BF72" s="31">
        <f t="shared" si="45"/>
        <v>0</v>
      </c>
      <c r="BG72" s="237">
        <f t="shared" si="46"/>
        <v>0</v>
      </c>
      <c r="BH72" s="31">
        <f t="shared" si="47"/>
        <v>0</v>
      </c>
      <c r="BI72" s="237">
        <f t="shared" si="48"/>
        <v>0</v>
      </c>
      <c r="BJ72" s="31">
        <f t="shared" si="49"/>
        <v>0</v>
      </c>
      <c r="BK72" s="31">
        <f t="shared" si="50"/>
        <v>0</v>
      </c>
      <c r="BL72" s="237">
        <f t="shared" si="51"/>
        <v>0</v>
      </c>
      <c r="BM72" s="31">
        <f t="shared" si="52"/>
        <v>0</v>
      </c>
      <c r="BN72" s="237">
        <f t="shared" si="53"/>
        <v>0</v>
      </c>
    </row>
    <row r="73" spans="1:66" x14ac:dyDescent="0.25">
      <c r="A73" s="159" t="s">
        <v>2064</v>
      </c>
      <c r="B73" s="182" t="str">
        <f>VLOOKUP(A73,kurspris!$A$1:$B$894,2,FALSE)</f>
        <v>Bild 2a</v>
      </c>
      <c r="C73" s="37"/>
      <c r="D73" s="31" t="s">
        <v>482</v>
      </c>
      <c r="F73" s="59">
        <v>2019</v>
      </c>
      <c r="Q73" s="237">
        <v>0.75</v>
      </c>
      <c r="R73" s="40">
        <v>0.85</v>
      </c>
      <c r="S73" s="313">
        <f t="shared" si="27"/>
        <v>0.63749999999999996</v>
      </c>
      <c r="T73" s="31">
        <f>VLOOKUP(A73,'Ansvar kurs'!$A$1:$C$1027,2,FALSE)</f>
        <v>1650</v>
      </c>
      <c r="U73" s="31" t="str">
        <f>VLOOKUP(T73,Orgenheter!$A$1:$C$165,2,FALSE)</f>
        <v xml:space="preserve">Estetiska ämnen               </v>
      </c>
      <c r="V73" s="31" t="str">
        <f>VLOOKUP(T73,Orgenheter!$A$1:$C$165,3,FALSE)</f>
        <v>Hum</v>
      </c>
      <c r="W73" s="37" t="str">
        <f>VLOOKUP(D73,Program!$A$1:$B$34,2,FALSE)</f>
        <v>Ämneslärarprogrammet - åk 7-9</v>
      </c>
      <c r="X73" s="42">
        <f>VLOOKUP(A73,kurspris!$A$1:$Q$815,15,FALSE)</f>
        <v>47957</v>
      </c>
      <c r="Y73" s="42">
        <f>VLOOKUP(A73,kurspris!$A$1:$Q$815,16,FALSE)</f>
        <v>57006</v>
      </c>
      <c r="Z73" s="42">
        <f t="shared" si="28"/>
        <v>72309.074999999997</v>
      </c>
      <c r="AA73" s="42">
        <f>VLOOKUP(A73,kurspris!$A$1:$Q$815,17,FALSE)</f>
        <v>69000</v>
      </c>
      <c r="AB73" s="42">
        <f t="shared" si="29"/>
        <v>51750</v>
      </c>
      <c r="AC73" s="42">
        <f t="shared" si="30"/>
        <v>124059.075</v>
      </c>
      <c r="AD73" s="31">
        <f>VLOOKUP($A73,kurspris!$A$1:$Q$852,3,FALSE)</f>
        <v>1</v>
      </c>
      <c r="AE73" s="31">
        <f>VLOOKUP($A73,kurspris!$A$1:$Q$852,4,FALSE)</f>
        <v>0</v>
      </c>
      <c r="AF73" s="31">
        <f>VLOOKUP($A73,kurspris!$A$1:$Q$852,5,FALSE)</f>
        <v>0</v>
      </c>
      <c r="AG73" s="31">
        <f>VLOOKUP($A73,kurspris!$A$1:$Q$852,6,FALSE)</f>
        <v>0</v>
      </c>
      <c r="AH73" s="31">
        <f>VLOOKUP($A73,kurspris!$A$1:$Q$852,7,FALSE)</f>
        <v>0</v>
      </c>
      <c r="AI73" s="31">
        <f>VLOOKUP($A73,kurspris!$A$1:$Q$852,8,FALSE)</f>
        <v>0</v>
      </c>
      <c r="AJ73" s="31">
        <f>VLOOKUP($A73,kurspris!$A$1:$Q$852,9,FALSE)</f>
        <v>0</v>
      </c>
      <c r="AK73" s="31">
        <f>VLOOKUP($A73,kurspris!$A$1:$Q$852,10,FALSE)</f>
        <v>0</v>
      </c>
      <c r="AL73" s="31">
        <f>VLOOKUP($A73,kurspris!$A$1:$Q$852,11,FALSE)</f>
        <v>0</v>
      </c>
      <c r="AM73" s="31">
        <f>VLOOKUP($A73,kurspris!$A$1:$Q$852,12,FALSE)</f>
        <v>0</v>
      </c>
      <c r="AN73" s="31">
        <f>VLOOKUP($A73,kurspris!$A$1:$Q$852,13,FALSE)</f>
        <v>0</v>
      </c>
      <c r="AO73" s="31">
        <f>VLOOKUP($A73,kurspris!$A$1:$Q$852,14,FALSE)</f>
        <v>0</v>
      </c>
      <c r="AP73" s="59" t="s">
        <v>2216</v>
      </c>
      <c r="AR73" s="31">
        <f t="shared" si="31"/>
        <v>0.75</v>
      </c>
      <c r="AS73" s="237">
        <f t="shared" si="32"/>
        <v>0.63749999999999996</v>
      </c>
      <c r="AT73" s="31">
        <f t="shared" si="33"/>
        <v>0</v>
      </c>
      <c r="AU73" s="237">
        <f t="shared" si="34"/>
        <v>0</v>
      </c>
      <c r="AV73" s="31">
        <f t="shared" si="35"/>
        <v>0</v>
      </c>
      <c r="AW73" s="31">
        <f t="shared" si="36"/>
        <v>0</v>
      </c>
      <c r="AX73" s="31">
        <f t="shared" si="37"/>
        <v>0</v>
      </c>
      <c r="AY73" s="237">
        <f t="shared" si="38"/>
        <v>0</v>
      </c>
      <c r="AZ73" s="214">
        <f t="shared" si="39"/>
        <v>0</v>
      </c>
      <c r="BA73" s="237">
        <f t="shared" si="40"/>
        <v>0</v>
      </c>
      <c r="BB73" s="31">
        <f t="shared" si="41"/>
        <v>0</v>
      </c>
      <c r="BC73" s="237">
        <f t="shared" si="42"/>
        <v>0</v>
      </c>
      <c r="BD73" s="31">
        <f t="shared" si="43"/>
        <v>0</v>
      </c>
      <c r="BE73" s="237">
        <f t="shared" si="44"/>
        <v>0</v>
      </c>
      <c r="BF73" s="31">
        <f t="shared" si="45"/>
        <v>0</v>
      </c>
      <c r="BG73" s="237">
        <f t="shared" si="46"/>
        <v>0</v>
      </c>
      <c r="BH73" s="31">
        <f t="shared" si="47"/>
        <v>0</v>
      </c>
      <c r="BI73" s="237">
        <f t="shared" si="48"/>
        <v>0</v>
      </c>
      <c r="BJ73" s="31">
        <f t="shared" si="49"/>
        <v>0</v>
      </c>
      <c r="BK73" s="31">
        <f t="shared" si="50"/>
        <v>0</v>
      </c>
      <c r="BL73" s="237">
        <f t="shared" si="51"/>
        <v>0</v>
      </c>
      <c r="BM73" s="31">
        <f t="shared" si="52"/>
        <v>0</v>
      </c>
      <c r="BN73" s="237">
        <f t="shared" si="53"/>
        <v>0</v>
      </c>
    </row>
    <row r="74" spans="1:66" x14ac:dyDescent="0.25">
      <c r="A74" s="159" t="s">
        <v>2064</v>
      </c>
      <c r="B74" s="182" t="str">
        <f>VLOOKUP(A74,kurspris!$A$1:$B$894,2,FALSE)</f>
        <v>Bild 2a</v>
      </c>
      <c r="C74" s="37"/>
      <c r="D74" s="31" t="s">
        <v>483</v>
      </c>
      <c r="F74" s="59">
        <v>2019</v>
      </c>
      <c r="Q74" s="237">
        <v>2.75</v>
      </c>
      <c r="R74" s="40">
        <v>0.85</v>
      </c>
      <c r="S74" s="313">
        <f t="shared" si="27"/>
        <v>2.3374999999999999</v>
      </c>
      <c r="T74" s="31">
        <f>VLOOKUP(A74,'Ansvar kurs'!$A$1:$C$1027,2,FALSE)</f>
        <v>1650</v>
      </c>
      <c r="U74" s="31" t="str">
        <f>VLOOKUP(T74,Orgenheter!$A$1:$C$165,2,FALSE)</f>
        <v xml:space="preserve">Estetiska ämnen               </v>
      </c>
      <c r="V74" s="31" t="str">
        <f>VLOOKUP(T74,Orgenheter!$A$1:$C$165,3,FALSE)</f>
        <v>Hum</v>
      </c>
      <c r="W74" s="37" t="str">
        <f>VLOOKUP(D74,Program!$A$1:$B$34,2,FALSE)</f>
        <v>Ämneslärarprogrammet - Gy</v>
      </c>
      <c r="X74" s="42">
        <f>VLOOKUP(A74,kurspris!$A$1:$Q$815,15,FALSE)</f>
        <v>47957</v>
      </c>
      <c r="Y74" s="42">
        <f>VLOOKUP(A74,kurspris!$A$1:$Q$815,16,FALSE)</f>
        <v>57006</v>
      </c>
      <c r="Z74" s="42">
        <f t="shared" si="28"/>
        <v>265133.27500000002</v>
      </c>
      <c r="AA74" s="42">
        <f>VLOOKUP(A74,kurspris!$A$1:$Q$815,17,FALSE)</f>
        <v>69000</v>
      </c>
      <c r="AB74" s="42">
        <f t="shared" si="29"/>
        <v>189750</v>
      </c>
      <c r="AC74" s="42">
        <f t="shared" si="30"/>
        <v>454883.27500000002</v>
      </c>
      <c r="AD74" s="31">
        <f>VLOOKUP($A74,kurspris!$A$1:$Q$852,3,FALSE)</f>
        <v>1</v>
      </c>
      <c r="AE74" s="31">
        <f>VLOOKUP($A74,kurspris!$A$1:$Q$852,4,FALSE)</f>
        <v>0</v>
      </c>
      <c r="AF74" s="31">
        <f>VLOOKUP($A74,kurspris!$A$1:$Q$852,5,FALSE)</f>
        <v>0</v>
      </c>
      <c r="AG74" s="31">
        <f>VLOOKUP($A74,kurspris!$A$1:$Q$852,6,FALSE)</f>
        <v>0</v>
      </c>
      <c r="AH74" s="31">
        <f>VLOOKUP($A74,kurspris!$A$1:$Q$852,7,FALSE)</f>
        <v>0</v>
      </c>
      <c r="AI74" s="31">
        <f>VLOOKUP($A74,kurspris!$A$1:$Q$852,8,FALSE)</f>
        <v>0</v>
      </c>
      <c r="AJ74" s="31">
        <f>VLOOKUP($A74,kurspris!$A$1:$Q$852,9,FALSE)</f>
        <v>0</v>
      </c>
      <c r="AK74" s="31">
        <f>VLOOKUP($A74,kurspris!$A$1:$Q$852,10,FALSE)</f>
        <v>0</v>
      </c>
      <c r="AL74" s="31">
        <f>VLOOKUP($A74,kurspris!$A$1:$Q$852,11,FALSE)</f>
        <v>0</v>
      </c>
      <c r="AM74" s="31">
        <f>VLOOKUP($A74,kurspris!$A$1:$Q$852,12,FALSE)</f>
        <v>0</v>
      </c>
      <c r="AN74" s="31">
        <f>VLOOKUP($A74,kurspris!$A$1:$Q$852,13,FALSE)</f>
        <v>0</v>
      </c>
      <c r="AO74" s="31">
        <f>VLOOKUP($A74,kurspris!$A$1:$Q$852,14,FALSE)</f>
        <v>0</v>
      </c>
      <c r="AP74" s="59" t="s">
        <v>2216</v>
      </c>
      <c r="AR74" s="31">
        <f t="shared" si="31"/>
        <v>2.75</v>
      </c>
      <c r="AS74" s="237">
        <f t="shared" si="32"/>
        <v>2.3374999999999999</v>
      </c>
      <c r="AT74" s="31">
        <f t="shared" si="33"/>
        <v>0</v>
      </c>
      <c r="AU74" s="237">
        <f t="shared" si="34"/>
        <v>0</v>
      </c>
      <c r="AV74" s="31">
        <f t="shared" si="35"/>
        <v>0</v>
      </c>
      <c r="AW74" s="31">
        <f t="shared" si="36"/>
        <v>0</v>
      </c>
      <c r="AX74" s="31">
        <f t="shared" si="37"/>
        <v>0</v>
      </c>
      <c r="AY74" s="237">
        <f t="shared" si="38"/>
        <v>0</v>
      </c>
      <c r="AZ74" s="214">
        <f t="shared" si="39"/>
        <v>0</v>
      </c>
      <c r="BA74" s="237">
        <f t="shared" si="40"/>
        <v>0</v>
      </c>
      <c r="BB74" s="31">
        <f t="shared" si="41"/>
        <v>0</v>
      </c>
      <c r="BC74" s="237">
        <f t="shared" si="42"/>
        <v>0</v>
      </c>
      <c r="BD74" s="31">
        <f t="shared" si="43"/>
        <v>0</v>
      </c>
      <c r="BE74" s="237">
        <f t="shared" si="44"/>
        <v>0</v>
      </c>
      <c r="BF74" s="31">
        <f t="shared" si="45"/>
        <v>0</v>
      </c>
      <c r="BG74" s="237">
        <f t="shared" si="46"/>
        <v>0</v>
      </c>
      <c r="BH74" s="31">
        <f t="shared" si="47"/>
        <v>0</v>
      </c>
      <c r="BI74" s="237">
        <f t="shared" si="48"/>
        <v>0</v>
      </c>
      <c r="BJ74" s="31">
        <f t="shared" si="49"/>
        <v>0</v>
      </c>
      <c r="BK74" s="31">
        <f t="shared" si="50"/>
        <v>0</v>
      </c>
      <c r="BL74" s="237">
        <f t="shared" si="51"/>
        <v>0</v>
      </c>
      <c r="BM74" s="31">
        <f t="shared" si="52"/>
        <v>0</v>
      </c>
      <c r="BN74" s="237">
        <f t="shared" si="53"/>
        <v>0</v>
      </c>
    </row>
    <row r="75" spans="1:66" x14ac:dyDescent="0.25">
      <c r="A75" s="159" t="s">
        <v>2065</v>
      </c>
      <c r="B75" s="182" t="str">
        <f>VLOOKUP(A75,kurspris!$A$1:$B$894,2,FALSE)</f>
        <v>Bild 2b</v>
      </c>
      <c r="C75" s="37"/>
      <c r="D75" s="31" t="s">
        <v>482</v>
      </c>
      <c r="F75" s="59">
        <v>2019</v>
      </c>
      <c r="Q75" s="237">
        <v>0.75</v>
      </c>
      <c r="R75" s="40">
        <v>0.85</v>
      </c>
      <c r="S75" s="313">
        <f t="shared" si="27"/>
        <v>0.63749999999999996</v>
      </c>
      <c r="T75" s="31">
        <f>VLOOKUP(A75,'Ansvar kurs'!$A$1:$C$1027,2,FALSE)</f>
        <v>1650</v>
      </c>
      <c r="U75" s="31" t="str">
        <f>VLOOKUP(T75,Orgenheter!$A$1:$C$165,2,FALSE)</f>
        <v xml:space="preserve">Estetiska ämnen               </v>
      </c>
      <c r="V75" s="31" t="str">
        <f>VLOOKUP(T75,Orgenheter!$A$1:$C$165,3,FALSE)</f>
        <v>Hum</v>
      </c>
      <c r="W75" s="37" t="str">
        <f>VLOOKUP(D75,Program!$A$1:$B$34,2,FALSE)</f>
        <v>Ämneslärarprogrammet - åk 7-9</v>
      </c>
      <c r="X75" s="42">
        <f>VLOOKUP(A75,kurspris!$A$1:$Q$815,15,FALSE)</f>
        <v>47957</v>
      </c>
      <c r="Y75" s="42">
        <f>VLOOKUP(A75,kurspris!$A$1:$Q$815,16,FALSE)</f>
        <v>57006</v>
      </c>
      <c r="Z75" s="42">
        <f t="shared" si="28"/>
        <v>72309.074999999997</v>
      </c>
      <c r="AA75" s="42">
        <f>VLOOKUP(A75,kurspris!$A$1:$Q$815,17,FALSE)</f>
        <v>69000</v>
      </c>
      <c r="AB75" s="42">
        <f t="shared" si="29"/>
        <v>51750</v>
      </c>
      <c r="AC75" s="42">
        <f t="shared" si="30"/>
        <v>124059.075</v>
      </c>
      <c r="AD75" s="31">
        <f>VLOOKUP($A75,kurspris!$A$1:$Q$852,3,FALSE)</f>
        <v>1</v>
      </c>
      <c r="AE75" s="31">
        <f>VLOOKUP($A75,kurspris!$A$1:$Q$852,4,FALSE)</f>
        <v>0</v>
      </c>
      <c r="AF75" s="31">
        <f>VLOOKUP($A75,kurspris!$A$1:$Q$852,5,FALSE)</f>
        <v>0</v>
      </c>
      <c r="AG75" s="31">
        <f>VLOOKUP($A75,kurspris!$A$1:$Q$852,6,FALSE)</f>
        <v>0</v>
      </c>
      <c r="AH75" s="31">
        <f>VLOOKUP($A75,kurspris!$A$1:$Q$852,7,FALSE)</f>
        <v>0</v>
      </c>
      <c r="AI75" s="31">
        <f>VLOOKUP($A75,kurspris!$A$1:$Q$852,8,FALSE)</f>
        <v>0</v>
      </c>
      <c r="AJ75" s="31">
        <f>VLOOKUP($A75,kurspris!$A$1:$Q$852,9,FALSE)</f>
        <v>0</v>
      </c>
      <c r="AK75" s="31">
        <f>VLOOKUP($A75,kurspris!$A$1:$Q$852,10,FALSE)</f>
        <v>0</v>
      </c>
      <c r="AL75" s="31">
        <f>VLOOKUP($A75,kurspris!$A$1:$Q$852,11,FALSE)</f>
        <v>0</v>
      </c>
      <c r="AM75" s="31">
        <f>VLOOKUP($A75,kurspris!$A$1:$Q$852,12,FALSE)</f>
        <v>0</v>
      </c>
      <c r="AN75" s="31">
        <f>VLOOKUP($A75,kurspris!$A$1:$Q$852,13,FALSE)</f>
        <v>0</v>
      </c>
      <c r="AO75" s="31">
        <f>VLOOKUP($A75,kurspris!$A$1:$Q$852,14,FALSE)</f>
        <v>0</v>
      </c>
      <c r="AP75" s="59" t="s">
        <v>2216</v>
      </c>
      <c r="AR75" s="31">
        <f t="shared" si="31"/>
        <v>0.75</v>
      </c>
      <c r="AS75" s="237">
        <f t="shared" si="32"/>
        <v>0.63749999999999996</v>
      </c>
      <c r="AT75" s="31">
        <f t="shared" si="33"/>
        <v>0</v>
      </c>
      <c r="AU75" s="237">
        <f t="shared" si="34"/>
        <v>0</v>
      </c>
      <c r="AV75" s="31">
        <f t="shared" si="35"/>
        <v>0</v>
      </c>
      <c r="AW75" s="31">
        <f t="shared" si="36"/>
        <v>0</v>
      </c>
      <c r="AX75" s="31">
        <f t="shared" si="37"/>
        <v>0</v>
      </c>
      <c r="AY75" s="237">
        <f t="shared" si="38"/>
        <v>0</v>
      </c>
      <c r="AZ75" s="214">
        <f t="shared" si="39"/>
        <v>0</v>
      </c>
      <c r="BA75" s="237">
        <f t="shared" si="40"/>
        <v>0</v>
      </c>
      <c r="BB75" s="31">
        <f t="shared" si="41"/>
        <v>0</v>
      </c>
      <c r="BC75" s="237">
        <f t="shared" si="42"/>
        <v>0</v>
      </c>
      <c r="BD75" s="31">
        <f t="shared" si="43"/>
        <v>0</v>
      </c>
      <c r="BE75" s="237">
        <f t="shared" si="44"/>
        <v>0</v>
      </c>
      <c r="BF75" s="31">
        <f t="shared" si="45"/>
        <v>0</v>
      </c>
      <c r="BG75" s="237">
        <f t="shared" si="46"/>
        <v>0</v>
      </c>
      <c r="BH75" s="31">
        <f t="shared" si="47"/>
        <v>0</v>
      </c>
      <c r="BI75" s="237">
        <f t="shared" si="48"/>
        <v>0</v>
      </c>
      <c r="BJ75" s="31">
        <f t="shared" si="49"/>
        <v>0</v>
      </c>
      <c r="BK75" s="31">
        <f t="shared" si="50"/>
        <v>0</v>
      </c>
      <c r="BL75" s="237">
        <f t="shared" si="51"/>
        <v>0</v>
      </c>
      <c r="BM75" s="31">
        <f t="shared" si="52"/>
        <v>0</v>
      </c>
      <c r="BN75" s="237">
        <f t="shared" si="53"/>
        <v>0</v>
      </c>
    </row>
    <row r="76" spans="1:66" x14ac:dyDescent="0.25">
      <c r="A76" s="159" t="s">
        <v>2065</v>
      </c>
      <c r="B76" s="182" t="str">
        <f>VLOOKUP(A76,kurspris!$A$1:$B$894,2,FALSE)</f>
        <v>Bild 2b</v>
      </c>
      <c r="C76" s="37"/>
      <c r="D76" s="31" t="s">
        <v>483</v>
      </c>
      <c r="F76" s="59">
        <v>2019</v>
      </c>
      <c r="Q76" s="237">
        <v>2.75</v>
      </c>
      <c r="R76" s="40">
        <v>0.85</v>
      </c>
      <c r="S76" s="313">
        <f t="shared" si="27"/>
        <v>2.3374999999999999</v>
      </c>
      <c r="T76" s="31">
        <f>VLOOKUP(A76,'Ansvar kurs'!$A$1:$C$1027,2,FALSE)</f>
        <v>1650</v>
      </c>
      <c r="U76" s="31" t="str">
        <f>VLOOKUP(T76,Orgenheter!$A$1:$C$165,2,FALSE)</f>
        <v xml:space="preserve">Estetiska ämnen               </v>
      </c>
      <c r="V76" s="31" t="str">
        <f>VLOOKUP(T76,Orgenheter!$A$1:$C$165,3,FALSE)</f>
        <v>Hum</v>
      </c>
      <c r="W76" s="37" t="str">
        <f>VLOOKUP(D76,Program!$A$1:$B$34,2,FALSE)</f>
        <v>Ämneslärarprogrammet - Gy</v>
      </c>
      <c r="X76" s="42">
        <f>VLOOKUP(A76,kurspris!$A$1:$Q$815,15,FALSE)</f>
        <v>47957</v>
      </c>
      <c r="Y76" s="42">
        <f>VLOOKUP(A76,kurspris!$A$1:$Q$815,16,FALSE)</f>
        <v>57006</v>
      </c>
      <c r="Z76" s="42">
        <f t="shared" si="28"/>
        <v>265133.27500000002</v>
      </c>
      <c r="AA76" s="42">
        <f>VLOOKUP(A76,kurspris!$A$1:$Q$815,17,FALSE)</f>
        <v>69000</v>
      </c>
      <c r="AB76" s="42">
        <f t="shared" si="29"/>
        <v>189750</v>
      </c>
      <c r="AC76" s="42">
        <f t="shared" si="30"/>
        <v>454883.27500000002</v>
      </c>
      <c r="AD76" s="31">
        <f>VLOOKUP($A76,kurspris!$A$1:$Q$852,3,FALSE)</f>
        <v>1</v>
      </c>
      <c r="AE76" s="31">
        <f>VLOOKUP($A76,kurspris!$A$1:$Q$852,4,FALSE)</f>
        <v>0</v>
      </c>
      <c r="AF76" s="31">
        <f>VLOOKUP($A76,kurspris!$A$1:$Q$852,5,FALSE)</f>
        <v>0</v>
      </c>
      <c r="AG76" s="31">
        <f>VLOOKUP($A76,kurspris!$A$1:$Q$852,6,FALSE)</f>
        <v>0</v>
      </c>
      <c r="AH76" s="31">
        <f>VLOOKUP($A76,kurspris!$A$1:$Q$852,7,FALSE)</f>
        <v>0</v>
      </c>
      <c r="AI76" s="31">
        <f>VLOOKUP($A76,kurspris!$A$1:$Q$852,8,FALSE)</f>
        <v>0</v>
      </c>
      <c r="AJ76" s="31">
        <f>VLOOKUP($A76,kurspris!$A$1:$Q$852,9,FALSE)</f>
        <v>0</v>
      </c>
      <c r="AK76" s="31">
        <f>VLOOKUP($A76,kurspris!$A$1:$Q$852,10,FALSE)</f>
        <v>0</v>
      </c>
      <c r="AL76" s="31">
        <f>VLOOKUP($A76,kurspris!$A$1:$Q$852,11,FALSE)</f>
        <v>0</v>
      </c>
      <c r="AM76" s="31">
        <f>VLOOKUP($A76,kurspris!$A$1:$Q$852,12,FALSE)</f>
        <v>0</v>
      </c>
      <c r="AN76" s="31">
        <f>VLOOKUP($A76,kurspris!$A$1:$Q$852,13,FALSE)</f>
        <v>0</v>
      </c>
      <c r="AO76" s="31">
        <f>VLOOKUP($A76,kurspris!$A$1:$Q$852,14,FALSE)</f>
        <v>0</v>
      </c>
      <c r="AP76" s="59" t="s">
        <v>2216</v>
      </c>
      <c r="AR76" s="31">
        <f t="shared" si="31"/>
        <v>2.75</v>
      </c>
      <c r="AS76" s="237">
        <f t="shared" si="32"/>
        <v>2.3374999999999999</v>
      </c>
      <c r="AT76" s="31">
        <f t="shared" si="33"/>
        <v>0</v>
      </c>
      <c r="AU76" s="237">
        <f t="shared" si="34"/>
        <v>0</v>
      </c>
      <c r="AV76" s="31">
        <f t="shared" si="35"/>
        <v>0</v>
      </c>
      <c r="AW76" s="31">
        <f t="shared" si="36"/>
        <v>0</v>
      </c>
      <c r="AX76" s="31">
        <f t="shared" si="37"/>
        <v>0</v>
      </c>
      <c r="AY76" s="237">
        <f t="shared" si="38"/>
        <v>0</v>
      </c>
      <c r="AZ76" s="214">
        <f t="shared" si="39"/>
        <v>0</v>
      </c>
      <c r="BA76" s="237">
        <f t="shared" si="40"/>
        <v>0</v>
      </c>
      <c r="BB76" s="31">
        <f t="shared" si="41"/>
        <v>0</v>
      </c>
      <c r="BC76" s="237">
        <f t="shared" si="42"/>
        <v>0</v>
      </c>
      <c r="BD76" s="31">
        <f t="shared" si="43"/>
        <v>0</v>
      </c>
      <c r="BE76" s="237">
        <f t="shared" si="44"/>
        <v>0</v>
      </c>
      <c r="BF76" s="31">
        <f t="shared" si="45"/>
        <v>0</v>
      </c>
      <c r="BG76" s="237">
        <f t="shared" si="46"/>
        <v>0</v>
      </c>
      <c r="BH76" s="31">
        <f t="shared" si="47"/>
        <v>0</v>
      </c>
      <c r="BI76" s="237">
        <f t="shared" si="48"/>
        <v>0</v>
      </c>
      <c r="BJ76" s="31">
        <f t="shared" si="49"/>
        <v>0</v>
      </c>
      <c r="BK76" s="31">
        <f t="shared" si="50"/>
        <v>0</v>
      </c>
      <c r="BL76" s="237">
        <f t="shared" si="51"/>
        <v>0</v>
      </c>
      <c r="BM76" s="31">
        <f t="shared" si="52"/>
        <v>0</v>
      </c>
      <c r="BN76" s="237">
        <f t="shared" si="53"/>
        <v>0</v>
      </c>
    </row>
    <row r="77" spans="1:66" x14ac:dyDescent="0.25">
      <c r="A77" s="159" t="s">
        <v>2054</v>
      </c>
      <c r="B77" s="182" t="str">
        <f>VLOOKUP(A77,kurspris!$A$1:$B$894,2,FALSE)</f>
        <v>Skapande och lek för förskolan 2</v>
      </c>
      <c r="C77" s="37"/>
      <c r="D77" s="31" t="s">
        <v>484</v>
      </c>
      <c r="F77" s="59">
        <v>2019</v>
      </c>
      <c r="Q77" s="237">
        <v>21</v>
      </c>
      <c r="R77" s="40">
        <v>0.85</v>
      </c>
      <c r="S77" s="313">
        <f t="shared" si="27"/>
        <v>17.849999999999998</v>
      </c>
      <c r="T77" s="31">
        <f>VLOOKUP(A77,'Ansvar kurs'!$A$1:$C$1027,2,FALSE)</f>
        <v>1650</v>
      </c>
      <c r="U77" s="31" t="str">
        <f>VLOOKUP(T77,Orgenheter!$A$1:$C$165,2,FALSE)</f>
        <v xml:space="preserve">Estetiska ämnen               </v>
      </c>
      <c r="V77" s="31" t="str">
        <f>VLOOKUP(T77,Orgenheter!$A$1:$C$165,3,FALSE)</f>
        <v>Hum</v>
      </c>
      <c r="W77" s="37" t="str">
        <f>VLOOKUP(D77,Program!$A$1:$B$34,2,FALSE)</f>
        <v>Förskollärarprogrammet</v>
      </c>
      <c r="X77" s="42">
        <f>VLOOKUP(A77,kurspris!$A$1:$Q$815,15,FALSE)</f>
        <v>15846</v>
      </c>
      <c r="Y77" s="42">
        <f>VLOOKUP(A77,kurspris!$A$1:$Q$815,16,FALSE)</f>
        <v>26926</v>
      </c>
      <c r="Z77" s="42">
        <f t="shared" si="28"/>
        <v>813395.09999999986</v>
      </c>
      <c r="AA77" s="42">
        <f>VLOOKUP(A77,kurspris!$A$1:$Q$815,17,FALSE)</f>
        <v>17300</v>
      </c>
      <c r="AB77" s="42">
        <f t="shared" si="29"/>
        <v>363300</v>
      </c>
      <c r="AC77" s="42">
        <f t="shared" si="30"/>
        <v>1176695.0999999999</v>
      </c>
      <c r="AD77" s="31">
        <f>VLOOKUP($A77,kurspris!$A$1:$Q$852,3,FALSE)</f>
        <v>0</v>
      </c>
      <c r="AE77" s="31">
        <f>VLOOKUP($A77,kurspris!$A$1:$Q$852,4,FALSE)</f>
        <v>0</v>
      </c>
      <c r="AF77" s="31">
        <f>VLOOKUP($A77,kurspris!$A$1:$Q$852,5,FALSE)</f>
        <v>0</v>
      </c>
      <c r="AG77" s="31">
        <f>VLOOKUP($A77,kurspris!$A$1:$Q$852,6,FALSE)</f>
        <v>0</v>
      </c>
      <c r="AH77" s="31">
        <f>VLOOKUP($A77,kurspris!$A$1:$Q$852,7,FALSE)</f>
        <v>0</v>
      </c>
      <c r="AI77" s="31">
        <f>VLOOKUP($A77,kurspris!$A$1:$Q$852,8,FALSE)</f>
        <v>0</v>
      </c>
      <c r="AJ77" s="31">
        <f>VLOOKUP($A77,kurspris!$A$1:$Q$852,9,FALSE)</f>
        <v>0</v>
      </c>
      <c r="AK77" s="31">
        <f>VLOOKUP($A77,kurspris!$A$1:$Q$852,10,FALSE)</f>
        <v>0</v>
      </c>
      <c r="AL77" s="31">
        <f>VLOOKUP($A77,kurspris!$A$1:$Q$852,11,FALSE)</f>
        <v>0</v>
      </c>
      <c r="AM77" s="31">
        <f>VLOOKUP($A77,kurspris!$A$1:$Q$852,12,FALSE)</f>
        <v>0</v>
      </c>
      <c r="AN77" s="31">
        <f>VLOOKUP($A77,kurspris!$A$1:$Q$852,13,FALSE)</f>
        <v>1</v>
      </c>
      <c r="AO77" s="31">
        <f>VLOOKUP($A77,kurspris!$A$1:$Q$852,14,FALSE)</f>
        <v>0</v>
      </c>
      <c r="AP77" s="59" t="s">
        <v>2216</v>
      </c>
      <c r="AR77" s="31">
        <f t="shared" si="31"/>
        <v>0</v>
      </c>
      <c r="AS77" s="237">
        <f t="shared" si="32"/>
        <v>0</v>
      </c>
      <c r="AT77" s="31">
        <f t="shared" si="33"/>
        <v>0</v>
      </c>
      <c r="AU77" s="237">
        <f t="shared" si="34"/>
        <v>0</v>
      </c>
      <c r="AV77" s="31">
        <f t="shared" si="35"/>
        <v>0</v>
      </c>
      <c r="AW77" s="31">
        <f t="shared" si="36"/>
        <v>0</v>
      </c>
      <c r="AX77" s="31">
        <f t="shared" si="37"/>
        <v>0</v>
      </c>
      <c r="AY77" s="237">
        <f t="shared" si="38"/>
        <v>0</v>
      </c>
      <c r="AZ77" s="214">
        <f t="shared" si="39"/>
        <v>0</v>
      </c>
      <c r="BA77" s="237">
        <f t="shared" si="40"/>
        <v>0</v>
      </c>
      <c r="BB77" s="31">
        <f t="shared" si="41"/>
        <v>0</v>
      </c>
      <c r="BC77" s="237">
        <f t="shared" si="42"/>
        <v>0</v>
      </c>
      <c r="BD77" s="31">
        <f t="shared" si="43"/>
        <v>0</v>
      </c>
      <c r="BE77" s="237">
        <f t="shared" si="44"/>
        <v>0</v>
      </c>
      <c r="BF77" s="31">
        <f t="shared" si="45"/>
        <v>0</v>
      </c>
      <c r="BG77" s="237">
        <f t="shared" si="46"/>
        <v>0</v>
      </c>
      <c r="BH77" s="31">
        <f t="shared" si="47"/>
        <v>0</v>
      </c>
      <c r="BI77" s="237">
        <f t="shared" si="48"/>
        <v>0</v>
      </c>
      <c r="BJ77" s="31">
        <f t="shared" si="49"/>
        <v>0</v>
      </c>
      <c r="BK77" s="31">
        <f t="shared" si="50"/>
        <v>21</v>
      </c>
      <c r="BL77" s="237">
        <f t="shared" si="51"/>
        <v>17.849999999999998</v>
      </c>
      <c r="BM77" s="31">
        <f t="shared" si="52"/>
        <v>0</v>
      </c>
      <c r="BN77" s="237">
        <f t="shared" si="53"/>
        <v>0</v>
      </c>
    </row>
    <row r="78" spans="1:66" x14ac:dyDescent="0.25">
      <c r="A78" s="159" t="s">
        <v>2066</v>
      </c>
      <c r="B78" s="182" t="str">
        <f>VLOOKUP(A78,kurspris!$A$1:$B$894,2,FALSE)</f>
        <v>Att undervisa i musik</v>
      </c>
      <c r="C78" s="37"/>
      <c r="D78" s="31" t="s">
        <v>483</v>
      </c>
      <c r="F78" s="59">
        <v>2019</v>
      </c>
      <c r="Q78" s="237">
        <v>0.2</v>
      </c>
      <c r="R78" s="40">
        <v>0.85</v>
      </c>
      <c r="S78" s="313">
        <f t="shared" si="27"/>
        <v>0.17</v>
      </c>
      <c r="T78" s="31">
        <f>VLOOKUP(A78,'Ansvar kurs'!$A$1:$C$1027,2,FALSE)</f>
        <v>1650</v>
      </c>
      <c r="U78" s="31" t="str">
        <f>VLOOKUP(T78,Orgenheter!$A$1:$C$165,2,FALSE)</f>
        <v xml:space="preserve">Estetiska ämnen               </v>
      </c>
      <c r="V78" s="31" t="str">
        <f>VLOOKUP(T78,Orgenheter!$A$1:$C$165,3,FALSE)</f>
        <v>Hum</v>
      </c>
      <c r="W78" s="37" t="str">
        <f>VLOOKUP(D78,Program!$A$1:$B$34,2,FALSE)</f>
        <v>Ämneslärarprogrammet - Gy</v>
      </c>
      <c r="X78" s="42">
        <f>VLOOKUP(A78,kurspris!$A$1:$Q$815,15,FALSE)</f>
        <v>21634</v>
      </c>
      <c r="Y78" s="42">
        <f>VLOOKUP(A78,kurspris!$A$1:$Q$815,16,FALSE)</f>
        <v>26986</v>
      </c>
      <c r="Z78" s="42">
        <f t="shared" si="28"/>
        <v>8914.42</v>
      </c>
      <c r="AA78" s="42">
        <f>VLOOKUP(A78,kurspris!$A$1:$Q$815,17,FALSE)</f>
        <v>3400</v>
      </c>
      <c r="AB78" s="42">
        <f t="shared" si="29"/>
        <v>680</v>
      </c>
      <c r="AC78" s="42">
        <f t="shared" si="30"/>
        <v>9594.42</v>
      </c>
      <c r="AD78" s="31">
        <f>VLOOKUP($A78,kurspris!$A$1:$Q$852,3,FALSE)</f>
        <v>0</v>
      </c>
      <c r="AE78" s="31">
        <f>VLOOKUP($A78,kurspris!$A$1:$Q$852,4,FALSE)</f>
        <v>0</v>
      </c>
      <c r="AF78" s="31">
        <f>VLOOKUP($A78,kurspris!$A$1:$Q$852,5,FALSE)</f>
        <v>0</v>
      </c>
      <c r="AG78" s="31">
        <f>VLOOKUP($A78,kurspris!$A$1:$Q$852,6,FALSE)</f>
        <v>0</v>
      </c>
      <c r="AH78" s="31">
        <f>VLOOKUP($A78,kurspris!$A$1:$Q$852,7,FALSE)</f>
        <v>0</v>
      </c>
      <c r="AI78" s="31">
        <f>VLOOKUP($A78,kurspris!$A$1:$Q$852,8,FALSE)</f>
        <v>0</v>
      </c>
      <c r="AJ78" s="31">
        <f>VLOOKUP($A78,kurspris!$A$1:$Q$852,9,FALSE)</f>
        <v>0</v>
      </c>
      <c r="AK78" s="31">
        <f>VLOOKUP($A78,kurspris!$A$1:$Q$852,10,FALSE)</f>
        <v>0</v>
      </c>
      <c r="AL78" s="31">
        <f>VLOOKUP($A78,kurspris!$A$1:$Q$852,11,FALSE)</f>
        <v>1</v>
      </c>
      <c r="AM78" s="31">
        <f>VLOOKUP($A78,kurspris!$A$1:$Q$852,12,FALSE)</f>
        <v>0</v>
      </c>
      <c r="AN78" s="31">
        <f>VLOOKUP($A78,kurspris!$A$1:$Q$852,13,FALSE)</f>
        <v>0</v>
      </c>
      <c r="AO78" s="31">
        <f>VLOOKUP($A78,kurspris!$A$1:$Q$852,14,FALSE)</f>
        <v>0</v>
      </c>
      <c r="AP78" s="59" t="s">
        <v>2216</v>
      </c>
      <c r="AR78" s="31">
        <f t="shared" si="31"/>
        <v>0</v>
      </c>
      <c r="AS78" s="237">
        <f t="shared" si="32"/>
        <v>0</v>
      </c>
      <c r="AT78" s="31">
        <f t="shared" si="33"/>
        <v>0</v>
      </c>
      <c r="AU78" s="237">
        <f t="shared" si="34"/>
        <v>0</v>
      </c>
      <c r="AV78" s="31">
        <f t="shared" si="35"/>
        <v>0</v>
      </c>
      <c r="AW78" s="31">
        <f t="shared" si="36"/>
        <v>0</v>
      </c>
      <c r="AX78" s="31">
        <f t="shared" si="37"/>
        <v>0</v>
      </c>
      <c r="AY78" s="237">
        <f t="shared" si="38"/>
        <v>0</v>
      </c>
      <c r="AZ78" s="214">
        <f t="shared" si="39"/>
        <v>0</v>
      </c>
      <c r="BA78" s="237">
        <f t="shared" si="40"/>
        <v>0</v>
      </c>
      <c r="BB78" s="31">
        <f t="shared" si="41"/>
        <v>0</v>
      </c>
      <c r="BC78" s="237">
        <f t="shared" si="42"/>
        <v>0</v>
      </c>
      <c r="BD78" s="31">
        <f t="shared" si="43"/>
        <v>0</v>
      </c>
      <c r="BE78" s="237">
        <f t="shared" si="44"/>
        <v>0</v>
      </c>
      <c r="BF78" s="31">
        <f t="shared" si="45"/>
        <v>0</v>
      </c>
      <c r="BG78" s="237">
        <f t="shared" si="46"/>
        <v>0</v>
      </c>
      <c r="BH78" s="31">
        <f t="shared" si="47"/>
        <v>0.2</v>
      </c>
      <c r="BI78" s="237">
        <f t="shared" si="48"/>
        <v>0.17</v>
      </c>
      <c r="BJ78" s="31">
        <f t="shared" si="49"/>
        <v>0</v>
      </c>
      <c r="BK78" s="31">
        <f t="shared" si="50"/>
        <v>0</v>
      </c>
      <c r="BL78" s="237">
        <f t="shared" si="51"/>
        <v>0</v>
      </c>
      <c r="BM78" s="31">
        <f t="shared" si="52"/>
        <v>0</v>
      </c>
      <c r="BN78" s="237">
        <f t="shared" si="53"/>
        <v>0</v>
      </c>
    </row>
    <row r="79" spans="1:66" x14ac:dyDescent="0.25">
      <c r="A79" s="159" t="s">
        <v>2067</v>
      </c>
      <c r="B79" s="182" t="str">
        <f>VLOOKUP(A79,kurspris!$A$1:$B$894,2,FALSE)</f>
        <v>Att undervisa i slöjd - textil</v>
      </c>
      <c r="C79" s="37"/>
      <c r="D79" s="31" t="s">
        <v>482</v>
      </c>
      <c r="F79" s="59">
        <v>2019</v>
      </c>
      <c r="Q79" s="237">
        <v>0.4</v>
      </c>
      <c r="R79" s="40">
        <v>0.85</v>
      </c>
      <c r="S79" s="313">
        <f t="shared" si="27"/>
        <v>0.34</v>
      </c>
      <c r="T79" s="31">
        <f>VLOOKUP(A79,'Ansvar kurs'!$A$1:$C$1027,2,FALSE)</f>
        <v>1650</v>
      </c>
      <c r="U79" s="31" t="str">
        <f>VLOOKUP(T79,Orgenheter!$A$1:$C$165,2,FALSE)</f>
        <v xml:space="preserve">Estetiska ämnen               </v>
      </c>
      <c r="V79" s="31" t="str">
        <f>VLOOKUP(T79,Orgenheter!$A$1:$C$165,3,FALSE)</f>
        <v>Hum</v>
      </c>
      <c r="W79" s="37" t="str">
        <f>VLOOKUP(D79,Program!$A$1:$B$34,2,FALSE)</f>
        <v>Ämneslärarprogrammet - åk 7-9</v>
      </c>
      <c r="X79" s="42">
        <f>VLOOKUP(A79,kurspris!$A$1:$Q$815,15,FALSE)</f>
        <v>21634</v>
      </c>
      <c r="Y79" s="42">
        <f>VLOOKUP(A79,kurspris!$A$1:$Q$815,16,FALSE)</f>
        <v>26986</v>
      </c>
      <c r="Z79" s="42">
        <f t="shared" si="28"/>
        <v>17828.84</v>
      </c>
      <c r="AA79" s="42">
        <f>VLOOKUP(A79,kurspris!$A$1:$Q$815,17,FALSE)</f>
        <v>3400</v>
      </c>
      <c r="AB79" s="42">
        <f t="shared" si="29"/>
        <v>1360</v>
      </c>
      <c r="AC79" s="42">
        <f t="shared" si="30"/>
        <v>19188.84</v>
      </c>
      <c r="AD79" s="31">
        <f>VLOOKUP($A79,kurspris!$A$1:$Q$852,3,FALSE)</f>
        <v>0</v>
      </c>
      <c r="AE79" s="31">
        <f>VLOOKUP($A79,kurspris!$A$1:$Q$852,4,FALSE)</f>
        <v>0</v>
      </c>
      <c r="AF79" s="31">
        <f>VLOOKUP($A79,kurspris!$A$1:$Q$852,5,FALSE)</f>
        <v>0</v>
      </c>
      <c r="AG79" s="31">
        <f>VLOOKUP($A79,kurspris!$A$1:$Q$852,6,FALSE)</f>
        <v>0</v>
      </c>
      <c r="AH79" s="31">
        <f>VLOOKUP($A79,kurspris!$A$1:$Q$852,7,FALSE)</f>
        <v>0</v>
      </c>
      <c r="AI79" s="31">
        <f>VLOOKUP($A79,kurspris!$A$1:$Q$852,8,FALSE)</f>
        <v>0</v>
      </c>
      <c r="AJ79" s="31">
        <f>VLOOKUP($A79,kurspris!$A$1:$Q$852,9,FALSE)</f>
        <v>0</v>
      </c>
      <c r="AK79" s="31">
        <f>VLOOKUP($A79,kurspris!$A$1:$Q$852,10,FALSE)</f>
        <v>0</v>
      </c>
      <c r="AL79" s="31">
        <f>VLOOKUP($A79,kurspris!$A$1:$Q$852,11,FALSE)</f>
        <v>1</v>
      </c>
      <c r="AM79" s="31">
        <f>VLOOKUP($A79,kurspris!$A$1:$Q$852,12,FALSE)</f>
        <v>0</v>
      </c>
      <c r="AN79" s="31">
        <f>VLOOKUP($A79,kurspris!$A$1:$Q$852,13,FALSE)</f>
        <v>0</v>
      </c>
      <c r="AO79" s="31">
        <f>VLOOKUP($A79,kurspris!$A$1:$Q$852,14,FALSE)</f>
        <v>0</v>
      </c>
      <c r="AP79" s="59" t="s">
        <v>2216</v>
      </c>
      <c r="AR79" s="31">
        <f t="shared" si="31"/>
        <v>0</v>
      </c>
      <c r="AS79" s="237">
        <f t="shared" si="32"/>
        <v>0</v>
      </c>
      <c r="AT79" s="31">
        <f t="shared" si="33"/>
        <v>0</v>
      </c>
      <c r="AU79" s="237">
        <f t="shared" si="34"/>
        <v>0</v>
      </c>
      <c r="AV79" s="31">
        <f t="shared" si="35"/>
        <v>0</v>
      </c>
      <c r="AW79" s="31">
        <f t="shared" si="36"/>
        <v>0</v>
      </c>
      <c r="AX79" s="31">
        <f t="shared" si="37"/>
        <v>0</v>
      </c>
      <c r="AY79" s="237">
        <f t="shared" si="38"/>
        <v>0</v>
      </c>
      <c r="AZ79" s="214">
        <f t="shared" si="39"/>
        <v>0</v>
      </c>
      <c r="BA79" s="237">
        <f t="shared" si="40"/>
        <v>0</v>
      </c>
      <c r="BB79" s="31">
        <f t="shared" si="41"/>
        <v>0</v>
      </c>
      <c r="BC79" s="237">
        <f t="shared" si="42"/>
        <v>0</v>
      </c>
      <c r="BD79" s="31">
        <f t="shared" si="43"/>
        <v>0</v>
      </c>
      <c r="BE79" s="237">
        <f t="shared" si="44"/>
        <v>0</v>
      </c>
      <c r="BF79" s="31">
        <f t="shared" si="45"/>
        <v>0</v>
      </c>
      <c r="BG79" s="237">
        <f t="shared" si="46"/>
        <v>0</v>
      </c>
      <c r="BH79" s="31">
        <f t="shared" si="47"/>
        <v>0.4</v>
      </c>
      <c r="BI79" s="237">
        <f t="shared" si="48"/>
        <v>0.34</v>
      </c>
      <c r="BJ79" s="31">
        <f t="shared" si="49"/>
        <v>0</v>
      </c>
      <c r="BK79" s="31">
        <f t="shared" si="50"/>
        <v>0</v>
      </c>
      <c r="BL79" s="237">
        <f t="shared" si="51"/>
        <v>0</v>
      </c>
      <c r="BM79" s="31">
        <f t="shared" si="52"/>
        <v>0</v>
      </c>
      <c r="BN79" s="237">
        <f t="shared" si="53"/>
        <v>0</v>
      </c>
    </row>
    <row r="80" spans="1:66" x14ac:dyDescent="0.25">
      <c r="A80" s="159" t="s">
        <v>2098</v>
      </c>
      <c r="B80" s="182" t="str">
        <f>VLOOKUP(A80,kurspris!$A$1:$B$894,2,FALSE)</f>
        <v>Magisteruppsats i pedagogisk yrkesverksamhet</v>
      </c>
      <c r="C80" s="37"/>
      <c r="D80" s="31" t="s">
        <v>117</v>
      </c>
      <c r="F80" s="59">
        <v>2019</v>
      </c>
      <c r="Q80" s="237">
        <v>1.875</v>
      </c>
      <c r="R80" s="40">
        <v>0.8</v>
      </c>
      <c r="S80" s="313">
        <f t="shared" si="27"/>
        <v>1.5</v>
      </c>
      <c r="T80" s="31">
        <f>VLOOKUP(A80,'Ansvar kurs'!$A$1:$C$1027,2,FALSE)</f>
        <v>1650</v>
      </c>
      <c r="U80" s="31" t="str">
        <f>VLOOKUP(T80,Orgenheter!$A$1:$C$165,2,FALSE)</f>
        <v xml:space="preserve">Estetiska ämnen               </v>
      </c>
      <c r="V80" s="31" t="str">
        <f>VLOOKUP(T80,Orgenheter!$A$1:$C$165,3,FALSE)</f>
        <v>Hum</v>
      </c>
      <c r="W80" s="37" t="str">
        <f>VLOOKUP(D80,Program!$A$1:$B$34,2,FALSE)</f>
        <v>Fristående och övriga kurser</v>
      </c>
      <c r="X80" s="42">
        <f>VLOOKUP(A80,kurspris!$A$1:$Q$815,15,FALSE)</f>
        <v>18405</v>
      </c>
      <c r="Y80" s="42">
        <f>VLOOKUP(A80,kurspris!$A$1:$Q$815,16,FALSE)</f>
        <v>15773</v>
      </c>
      <c r="Z80" s="42">
        <f t="shared" si="28"/>
        <v>58168.875</v>
      </c>
      <c r="AA80" s="42">
        <f>VLOOKUP(A80,kurspris!$A$1:$Q$815,17,FALSE)</f>
        <v>5800</v>
      </c>
      <c r="AB80" s="42">
        <f t="shared" si="29"/>
        <v>10875</v>
      </c>
      <c r="AC80" s="42">
        <f t="shared" si="30"/>
        <v>69043.875</v>
      </c>
      <c r="AD80" s="31">
        <f>VLOOKUP($A80,kurspris!$A$1:$Q$852,3,FALSE)</f>
        <v>0</v>
      </c>
      <c r="AE80" s="31">
        <f>VLOOKUP($A80,kurspris!$A$1:$Q$852,4,FALSE)</f>
        <v>1</v>
      </c>
      <c r="AF80" s="31">
        <f>VLOOKUP($A80,kurspris!$A$1:$Q$852,5,FALSE)</f>
        <v>0</v>
      </c>
      <c r="AG80" s="31">
        <f>VLOOKUP($A80,kurspris!$A$1:$Q$852,6,FALSE)</f>
        <v>0</v>
      </c>
      <c r="AH80" s="31">
        <f>VLOOKUP($A80,kurspris!$A$1:$Q$852,7,FALSE)</f>
        <v>0</v>
      </c>
      <c r="AI80" s="31">
        <f>VLOOKUP($A80,kurspris!$A$1:$Q$852,8,FALSE)</f>
        <v>0</v>
      </c>
      <c r="AJ80" s="31">
        <f>VLOOKUP($A80,kurspris!$A$1:$Q$852,9,FALSE)</f>
        <v>0</v>
      </c>
      <c r="AK80" s="31">
        <f>VLOOKUP($A80,kurspris!$A$1:$Q$852,10,FALSE)</f>
        <v>0</v>
      </c>
      <c r="AL80" s="31">
        <f>VLOOKUP($A80,kurspris!$A$1:$Q$852,11,FALSE)</f>
        <v>0</v>
      </c>
      <c r="AM80" s="31">
        <f>VLOOKUP($A80,kurspris!$A$1:$Q$852,12,FALSE)</f>
        <v>0</v>
      </c>
      <c r="AN80" s="31">
        <f>VLOOKUP($A80,kurspris!$A$1:$Q$852,13,FALSE)</f>
        <v>0</v>
      </c>
      <c r="AO80" s="31">
        <f>VLOOKUP($A80,kurspris!$A$1:$Q$852,14,FALSE)</f>
        <v>0</v>
      </c>
      <c r="AP80" s="59" t="s">
        <v>2216</v>
      </c>
      <c r="AR80" s="31">
        <f t="shared" si="31"/>
        <v>0</v>
      </c>
      <c r="AS80" s="237">
        <f t="shared" si="32"/>
        <v>0</v>
      </c>
      <c r="AT80" s="31">
        <f t="shared" si="33"/>
        <v>1.875</v>
      </c>
      <c r="AU80" s="237">
        <f t="shared" si="34"/>
        <v>1.5</v>
      </c>
      <c r="AV80" s="31">
        <f t="shared" si="35"/>
        <v>0</v>
      </c>
      <c r="AW80" s="31">
        <f t="shared" si="36"/>
        <v>0</v>
      </c>
      <c r="AX80" s="31">
        <f t="shared" si="37"/>
        <v>0</v>
      </c>
      <c r="AY80" s="237">
        <f t="shared" si="38"/>
        <v>0</v>
      </c>
      <c r="AZ80" s="214">
        <f t="shared" si="39"/>
        <v>0</v>
      </c>
      <c r="BA80" s="237">
        <f t="shared" si="40"/>
        <v>0</v>
      </c>
      <c r="BB80" s="31">
        <f t="shared" si="41"/>
        <v>0</v>
      </c>
      <c r="BC80" s="237">
        <f t="shared" si="42"/>
        <v>0</v>
      </c>
      <c r="BD80" s="31">
        <f t="shared" si="43"/>
        <v>0</v>
      </c>
      <c r="BE80" s="237">
        <f t="shared" si="44"/>
        <v>0</v>
      </c>
      <c r="BF80" s="31">
        <f t="shared" si="45"/>
        <v>0</v>
      </c>
      <c r="BG80" s="237">
        <f t="shared" si="46"/>
        <v>0</v>
      </c>
      <c r="BH80" s="31">
        <f t="shared" si="47"/>
        <v>0</v>
      </c>
      <c r="BI80" s="237">
        <f t="shared" si="48"/>
        <v>0</v>
      </c>
      <c r="BJ80" s="31">
        <f t="shared" si="49"/>
        <v>0</v>
      </c>
      <c r="BK80" s="31">
        <f t="shared" si="50"/>
        <v>0</v>
      </c>
      <c r="BL80" s="237">
        <f t="shared" si="51"/>
        <v>0</v>
      </c>
      <c r="BM80" s="31">
        <f t="shared" si="52"/>
        <v>0</v>
      </c>
      <c r="BN80" s="237">
        <f t="shared" si="53"/>
        <v>0</v>
      </c>
    </row>
    <row r="81" spans="1:66" x14ac:dyDescent="0.25">
      <c r="A81" s="159" t="s">
        <v>2093</v>
      </c>
      <c r="B81" s="182" t="str">
        <f>VLOOKUP(A81,kurspris!$A$1:$B$894,2,FALSE)</f>
        <v>Bild 1</v>
      </c>
      <c r="C81" s="37"/>
      <c r="D81" s="31" t="s">
        <v>482</v>
      </c>
      <c r="F81" s="59">
        <v>2019</v>
      </c>
      <c r="Q81" s="237">
        <v>1.5</v>
      </c>
      <c r="R81" s="40">
        <v>0.85</v>
      </c>
      <c r="S81" s="313">
        <f t="shared" si="27"/>
        <v>1.2749999999999999</v>
      </c>
      <c r="T81" s="31">
        <f>VLOOKUP(A81,'Ansvar kurs'!$A$1:$C$1027,2,FALSE)</f>
        <v>1650</v>
      </c>
      <c r="U81" s="31" t="str">
        <f>VLOOKUP(T81,Orgenheter!$A$1:$C$165,2,FALSE)</f>
        <v xml:space="preserve">Estetiska ämnen               </v>
      </c>
      <c r="V81" s="31" t="str">
        <f>VLOOKUP(T81,Orgenheter!$A$1:$C$165,3,FALSE)</f>
        <v>Hum</v>
      </c>
      <c r="W81" s="37" t="str">
        <f>VLOOKUP(D81,Program!$A$1:$B$34,2,FALSE)</f>
        <v>Ämneslärarprogrammet - åk 7-9</v>
      </c>
      <c r="X81" s="42">
        <f>VLOOKUP(A81,kurspris!$A$1:$Q$815,15,FALSE)</f>
        <v>47957</v>
      </c>
      <c r="Y81" s="42">
        <f>VLOOKUP(A81,kurspris!$A$1:$Q$815,16,FALSE)</f>
        <v>57006</v>
      </c>
      <c r="Z81" s="42">
        <f t="shared" si="28"/>
        <v>144618.15</v>
      </c>
      <c r="AA81" s="42">
        <f>VLOOKUP(A81,kurspris!$A$1:$Q$815,17,FALSE)</f>
        <v>69000</v>
      </c>
      <c r="AB81" s="42">
        <f t="shared" si="29"/>
        <v>103500</v>
      </c>
      <c r="AC81" s="42">
        <f t="shared" si="30"/>
        <v>248118.15</v>
      </c>
      <c r="AD81" s="31">
        <f>VLOOKUP($A81,kurspris!$A$1:$Q$852,3,FALSE)</f>
        <v>1</v>
      </c>
      <c r="AE81" s="31">
        <f>VLOOKUP($A81,kurspris!$A$1:$Q$852,4,FALSE)</f>
        <v>0</v>
      </c>
      <c r="AF81" s="31">
        <f>VLOOKUP($A81,kurspris!$A$1:$Q$852,5,FALSE)</f>
        <v>0</v>
      </c>
      <c r="AG81" s="31">
        <f>VLOOKUP($A81,kurspris!$A$1:$Q$852,6,FALSE)</f>
        <v>0</v>
      </c>
      <c r="AH81" s="31">
        <f>VLOOKUP($A81,kurspris!$A$1:$Q$852,7,FALSE)</f>
        <v>0</v>
      </c>
      <c r="AI81" s="31">
        <f>VLOOKUP($A81,kurspris!$A$1:$Q$852,8,FALSE)</f>
        <v>0</v>
      </c>
      <c r="AJ81" s="31">
        <f>VLOOKUP($A81,kurspris!$A$1:$Q$852,9,FALSE)</f>
        <v>0</v>
      </c>
      <c r="AK81" s="31">
        <f>VLOOKUP($A81,kurspris!$A$1:$Q$852,10,FALSE)</f>
        <v>0</v>
      </c>
      <c r="AL81" s="31">
        <f>VLOOKUP($A81,kurspris!$A$1:$Q$852,11,FALSE)</f>
        <v>0</v>
      </c>
      <c r="AM81" s="31">
        <f>VLOOKUP($A81,kurspris!$A$1:$Q$852,12,FALSE)</f>
        <v>0</v>
      </c>
      <c r="AN81" s="31">
        <f>VLOOKUP($A81,kurspris!$A$1:$Q$852,13,FALSE)</f>
        <v>0</v>
      </c>
      <c r="AO81" s="31">
        <f>VLOOKUP($A81,kurspris!$A$1:$Q$852,14,FALSE)</f>
        <v>0</v>
      </c>
      <c r="AP81" s="59" t="s">
        <v>2216</v>
      </c>
      <c r="AR81" s="31">
        <f t="shared" si="31"/>
        <v>1.5</v>
      </c>
      <c r="AS81" s="237">
        <f t="shared" si="32"/>
        <v>1.2749999999999999</v>
      </c>
      <c r="AT81" s="31">
        <f t="shared" si="33"/>
        <v>0</v>
      </c>
      <c r="AU81" s="237">
        <f t="shared" si="34"/>
        <v>0</v>
      </c>
      <c r="AV81" s="31">
        <f t="shared" si="35"/>
        <v>0</v>
      </c>
      <c r="AW81" s="31">
        <f t="shared" si="36"/>
        <v>0</v>
      </c>
      <c r="AX81" s="31">
        <f t="shared" si="37"/>
        <v>0</v>
      </c>
      <c r="AY81" s="237">
        <f t="shared" si="38"/>
        <v>0</v>
      </c>
      <c r="AZ81" s="214">
        <f t="shared" si="39"/>
        <v>0</v>
      </c>
      <c r="BA81" s="237">
        <f t="shared" si="40"/>
        <v>0</v>
      </c>
      <c r="BB81" s="31">
        <f t="shared" si="41"/>
        <v>0</v>
      </c>
      <c r="BC81" s="237">
        <f t="shared" si="42"/>
        <v>0</v>
      </c>
      <c r="BD81" s="31">
        <f t="shared" si="43"/>
        <v>0</v>
      </c>
      <c r="BE81" s="237">
        <f t="shared" si="44"/>
        <v>0</v>
      </c>
      <c r="BF81" s="31">
        <f t="shared" si="45"/>
        <v>0</v>
      </c>
      <c r="BG81" s="237">
        <f t="shared" si="46"/>
        <v>0</v>
      </c>
      <c r="BH81" s="31">
        <f t="shared" si="47"/>
        <v>0</v>
      </c>
      <c r="BI81" s="237">
        <f t="shared" si="48"/>
        <v>0</v>
      </c>
      <c r="BJ81" s="31">
        <f t="shared" si="49"/>
        <v>0</v>
      </c>
      <c r="BK81" s="31">
        <f t="shared" si="50"/>
        <v>0</v>
      </c>
      <c r="BL81" s="237">
        <f t="shared" si="51"/>
        <v>0</v>
      </c>
      <c r="BM81" s="31">
        <f t="shared" si="52"/>
        <v>0</v>
      </c>
      <c r="BN81" s="237">
        <f t="shared" si="53"/>
        <v>0</v>
      </c>
    </row>
    <row r="82" spans="1:66" x14ac:dyDescent="0.25">
      <c r="A82" s="159" t="s">
        <v>2093</v>
      </c>
      <c r="B82" s="182" t="str">
        <f>VLOOKUP(A82,kurspris!$A$1:$B$894,2,FALSE)</f>
        <v>Bild 1</v>
      </c>
      <c r="C82" s="37"/>
      <c r="D82" s="31" t="s">
        <v>483</v>
      </c>
      <c r="F82" s="59">
        <v>2019</v>
      </c>
      <c r="Q82" s="237">
        <v>6.5</v>
      </c>
      <c r="R82" s="40">
        <v>0.85</v>
      </c>
      <c r="S82" s="313">
        <f t="shared" si="27"/>
        <v>5.5249999999999995</v>
      </c>
      <c r="T82" s="31">
        <f>VLOOKUP(A82,'Ansvar kurs'!$A$1:$C$1027,2,FALSE)</f>
        <v>1650</v>
      </c>
      <c r="U82" s="31" t="str">
        <f>VLOOKUP(T82,Orgenheter!$A$1:$C$165,2,FALSE)</f>
        <v xml:space="preserve">Estetiska ämnen               </v>
      </c>
      <c r="V82" s="31" t="str">
        <f>VLOOKUP(T82,Orgenheter!$A$1:$C$165,3,FALSE)</f>
        <v>Hum</v>
      </c>
      <c r="W82" s="37" t="str">
        <f>VLOOKUP(D82,Program!$A$1:$B$34,2,FALSE)</f>
        <v>Ämneslärarprogrammet - Gy</v>
      </c>
      <c r="X82" s="42">
        <f>VLOOKUP(A82,kurspris!$A$1:$Q$815,15,FALSE)</f>
        <v>47957</v>
      </c>
      <c r="Y82" s="42">
        <f>VLOOKUP(A82,kurspris!$A$1:$Q$815,16,FALSE)</f>
        <v>57006</v>
      </c>
      <c r="Z82" s="42">
        <f t="shared" si="28"/>
        <v>626678.64999999991</v>
      </c>
      <c r="AA82" s="42">
        <f>VLOOKUP(A82,kurspris!$A$1:$Q$815,17,FALSE)</f>
        <v>69000</v>
      </c>
      <c r="AB82" s="42">
        <f t="shared" si="29"/>
        <v>448500</v>
      </c>
      <c r="AC82" s="42">
        <f t="shared" si="30"/>
        <v>1075178.6499999999</v>
      </c>
      <c r="AD82" s="31">
        <f>VLOOKUP($A82,kurspris!$A$1:$Q$852,3,FALSE)</f>
        <v>1</v>
      </c>
      <c r="AE82" s="31">
        <f>VLOOKUP($A82,kurspris!$A$1:$Q$852,4,FALSE)</f>
        <v>0</v>
      </c>
      <c r="AF82" s="31">
        <f>VLOOKUP($A82,kurspris!$A$1:$Q$852,5,FALSE)</f>
        <v>0</v>
      </c>
      <c r="AG82" s="31">
        <f>VLOOKUP($A82,kurspris!$A$1:$Q$852,6,FALSE)</f>
        <v>0</v>
      </c>
      <c r="AH82" s="31">
        <f>VLOOKUP($A82,kurspris!$A$1:$Q$852,7,FALSE)</f>
        <v>0</v>
      </c>
      <c r="AI82" s="31">
        <f>VLOOKUP($A82,kurspris!$A$1:$Q$852,8,FALSE)</f>
        <v>0</v>
      </c>
      <c r="AJ82" s="31">
        <f>VLOOKUP($A82,kurspris!$A$1:$Q$852,9,FALSE)</f>
        <v>0</v>
      </c>
      <c r="AK82" s="31">
        <f>VLOOKUP($A82,kurspris!$A$1:$Q$852,10,FALSE)</f>
        <v>0</v>
      </c>
      <c r="AL82" s="31">
        <f>VLOOKUP($A82,kurspris!$A$1:$Q$852,11,FALSE)</f>
        <v>0</v>
      </c>
      <c r="AM82" s="31">
        <f>VLOOKUP($A82,kurspris!$A$1:$Q$852,12,FALSE)</f>
        <v>0</v>
      </c>
      <c r="AN82" s="31">
        <f>VLOOKUP($A82,kurspris!$A$1:$Q$852,13,FALSE)</f>
        <v>0</v>
      </c>
      <c r="AO82" s="31">
        <f>VLOOKUP($A82,kurspris!$A$1:$Q$852,14,FALSE)</f>
        <v>0</v>
      </c>
      <c r="AP82" s="59" t="s">
        <v>2216</v>
      </c>
      <c r="AR82" s="31">
        <f t="shared" si="31"/>
        <v>6.5</v>
      </c>
      <c r="AS82" s="237">
        <f t="shared" si="32"/>
        <v>5.5249999999999995</v>
      </c>
      <c r="AT82" s="31">
        <f t="shared" si="33"/>
        <v>0</v>
      </c>
      <c r="AU82" s="237">
        <f t="shared" si="34"/>
        <v>0</v>
      </c>
      <c r="AV82" s="31">
        <f t="shared" si="35"/>
        <v>0</v>
      </c>
      <c r="AW82" s="31">
        <f t="shared" si="36"/>
        <v>0</v>
      </c>
      <c r="AX82" s="31">
        <f t="shared" si="37"/>
        <v>0</v>
      </c>
      <c r="AY82" s="237">
        <f t="shared" si="38"/>
        <v>0</v>
      </c>
      <c r="AZ82" s="214">
        <f t="shared" si="39"/>
        <v>0</v>
      </c>
      <c r="BA82" s="237">
        <f t="shared" si="40"/>
        <v>0</v>
      </c>
      <c r="BB82" s="31">
        <f t="shared" si="41"/>
        <v>0</v>
      </c>
      <c r="BC82" s="237">
        <f t="shared" si="42"/>
        <v>0</v>
      </c>
      <c r="BD82" s="31">
        <f t="shared" si="43"/>
        <v>0</v>
      </c>
      <c r="BE82" s="237">
        <f t="shared" si="44"/>
        <v>0</v>
      </c>
      <c r="BF82" s="31">
        <f t="shared" si="45"/>
        <v>0</v>
      </c>
      <c r="BG82" s="237">
        <f t="shared" si="46"/>
        <v>0</v>
      </c>
      <c r="BH82" s="31">
        <f t="shared" si="47"/>
        <v>0</v>
      </c>
      <c r="BI82" s="237">
        <f t="shared" si="48"/>
        <v>0</v>
      </c>
      <c r="BJ82" s="31">
        <f t="shared" si="49"/>
        <v>0</v>
      </c>
      <c r="BK82" s="31">
        <f t="shared" si="50"/>
        <v>0</v>
      </c>
      <c r="BL82" s="237">
        <f t="shared" si="51"/>
        <v>0</v>
      </c>
      <c r="BM82" s="31">
        <f t="shared" si="52"/>
        <v>0</v>
      </c>
      <c r="BN82" s="237">
        <f t="shared" si="53"/>
        <v>0</v>
      </c>
    </row>
    <row r="83" spans="1:66" x14ac:dyDescent="0.25">
      <c r="A83" s="159" t="s">
        <v>2118</v>
      </c>
      <c r="B83" s="182" t="str">
        <f>VLOOKUP(A83,kurspris!$A$1:$B$894,2,FALSE)</f>
        <v xml:space="preserve">Bild 1, fristående </v>
      </c>
      <c r="C83" s="37"/>
      <c r="D83" s="31" t="s">
        <v>117</v>
      </c>
      <c r="F83" s="59">
        <v>2019</v>
      </c>
      <c r="Q83" s="237">
        <v>0.5</v>
      </c>
      <c r="R83" s="40">
        <v>0.8</v>
      </c>
      <c r="S83" s="313">
        <f t="shared" si="27"/>
        <v>0.4</v>
      </c>
      <c r="T83" s="31">
        <f>VLOOKUP(A83,'Ansvar kurs'!$A$1:$C$1027,2,FALSE)</f>
        <v>1650</v>
      </c>
      <c r="U83" s="31" t="str">
        <f>VLOOKUP(T83,Orgenheter!$A$1:$C$165,2,FALSE)</f>
        <v xml:space="preserve">Estetiska ämnen               </v>
      </c>
      <c r="V83" s="31" t="str">
        <f>VLOOKUP(T83,Orgenheter!$A$1:$C$165,3,FALSE)</f>
        <v>Hum</v>
      </c>
      <c r="W83" s="37" t="str">
        <f>VLOOKUP(D83,Program!$A$1:$B$34,2,FALSE)</f>
        <v>Fristående och övriga kurser</v>
      </c>
      <c r="X83" s="42">
        <f>VLOOKUP(A83,kurspris!$A$1:$Q$815,15,FALSE)</f>
        <v>47957</v>
      </c>
      <c r="Y83" s="42">
        <f>VLOOKUP(A83,kurspris!$A$1:$Q$815,16,FALSE)</f>
        <v>57006</v>
      </c>
      <c r="Z83" s="42">
        <f t="shared" si="28"/>
        <v>46780.9</v>
      </c>
      <c r="AA83" s="42">
        <f>VLOOKUP(A83,kurspris!$A$1:$Q$815,17,FALSE)</f>
        <v>69000</v>
      </c>
      <c r="AB83" s="42">
        <f t="shared" si="29"/>
        <v>34500</v>
      </c>
      <c r="AC83" s="42">
        <f t="shared" si="30"/>
        <v>81280.899999999994</v>
      </c>
      <c r="AD83" s="31">
        <f>VLOOKUP($A83,kurspris!$A$1:$Q$852,3,FALSE)</f>
        <v>1</v>
      </c>
      <c r="AE83" s="31">
        <f>VLOOKUP($A83,kurspris!$A$1:$Q$852,4,FALSE)</f>
        <v>0</v>
      </c>
      <c r="AF83" s="31">
        <f>VLOOKUP($A83,kurspris!$A$1:$Q$852,5,FALSE)</f>
        <v>0</v>
      </c>
      <c r="AG83" s="31">
        <f>VLOOKUP($A83,kurspris!$A$1:$Q$852,6,FALSE)</f>
        <v>0</v>
      </c>
      <c r="AH83" s="31">
        <f>VLOOKUP($A83,kurspris!$A$1:$Q$852,7,FALSE)</f>
        <v>0</v>
      </c>
      <c r="AI83" s="31">
        <f>VLOOKUP($A83,kurspris!$A$1:$Q$852,8,FALSE)</f>
        <v>0</v>
      </c>
      <c r="AJ83" s="31">
        <f>VLOOKUP($A83,kurspris!$A$1:$Q$852,9,FALSE)</f>
        <v>0</v>
      </c>
      <c r="AK83" s="31">
        <f>VLOOKUP($A83,kurspris!$A$1:$Q$852,10,FALSE)</f>
        <v>0</v>
      </c>
      <c r="AL83" s="31">
        <f>VLOOKUP($A83,kurspris!$A$1:$Q$852,11,FALSE)</f>
        <v>0</v>
      </c>
      <c r="AM83" s="31">
        <f>VLOOKUP($A83,kurspris!$A$1:$Q$852,12,FALSE)</f>
        <v>0</v>
      </c>
      <c r="AN83" s="31">
        <f>VLOOKUP($A83,kurspris!$A$1:$Q$852,13,FALSE)</f>
        <v>0</v>
      </c>
      <c r="AO83" s="31">
        <f>VLOOKUP($A83,kurspris!$A$1:$Q$852,14,FALSE)</f>
        <v>0</v>
      </c>
      <c r="AP83" s="59" t="s">
        <v>2216</v>
      </c>
      <c r="AR83" s="31">
        <f t="shared" si="31"/>
        <v>0.5</v>
      </c>
      <c r="AS83" s="237">
        <f t="shared" si="32"/>
        <v>0.4</v>
      </c>
      <c r="AT83" s="31">
        <f t="shared" si="33"/>
        <v>0</v>
      </c>
      <c r="AU83" s="237">
        <f t="shared" si="34"/>
        <v>0</v>
      </c>
      <c r="AV83" s="31">
        <f t="shared" si="35"/>
        <v>0</v>
      </c>
      <c r="AW83" s="31">
        <f t="shared" si="36"/>
        <v>0</v>
      </c>
      <c r="AX83" s="31">
        <f t="shared" si="37"/>
        <v>0</v>
      </c>
      <c r="AY83" s="237">
        <f t="shared" si="38"/>
        <v>0</v>
      </c>
      <c r="AZ83" s="214">
        <f t="shared" si="39"/>
        <v>0</v>
      </c>
      <c r="BA83" s="237">
        <f t="shared" si="40"/>
        <v>0</v>
      </c>
      <c r="BB83" s="31">
        <f t="shared" si="41"/>
        <v>0</v>
      </c>
      <c r="BC83" s="237">
        <f t="shared" si="42"/>
        <v>0</v>
      </c>
      <c r="BD83" s="31">
        <f t="shared" si="43"/>
        <v>0</v>
      </c>
      <c r="BE83" s="237">
        <f t="shared" si="44"/>
        <v>0</v>
      </c>
      <c r="BF83" s="31">
        <f t="shared" si="45"/>
        <v>0</v>
      </c>
      <c r="BG83" s="237">
        <f t="shared" si="46"/>
        <v>0</v>
      </c>
      <c r="BH83" s="31">
        <f t="shared" si="47"/>
        <v>0</v>
      </c>
      <c r="BI83" s="237">
        <f t="shared" si="48"/>
        <v>0</v>
      </c>
      <c r="BJ83" s="31">
        <f t="shared" si="49"/>
        <v>0</v>
      </c>
      <c r="BK83" s="31">
        <f t="shared" si="50"/>
        <v>0</v>
      </c>
      <c r="BL83" s="237">
        <f t="shared" si="51"/>
        <v>0</v>
      </c>
      <c r="BM83" s="31">
        <f t="shared" si="52"/>
        <v>0</v>
      </c>
      <c r="BN83" s="237">
        <f t="shared" si="53"/>
        <v>0</v>
      </c>
    </row>
    <row r="84" spans="1:66" x14ac:dyDescent="0.25">
      <c r="A84" s="159" t="s">
        <v>2103</v>
      </c>
      <c r="B84" s="182" t="str">
        <f>VLOOKUP(A84,kurspris!$A$1:$B$894,2,FALSE)</f>
        <v>Vetenskaplig teori och metod 2</v>
      </c>
      <c r="C84" s="37"/>
      <c r="D84" s="31" t="s">
        <v>117</v>
      </c>
      <c r="F84" s="59">
        <v>2019</v>
      </c>
      <c r="Q84" s="237">
        <v>1.875</v>
      </c>
      <c r="R84" s="40">
        <v>0.8</v>
      </c>
      <c r="S84" s="313">
        <f t="shared" si="27"/>
        <v>1.5</v>
      </c>
      <c r="T84" s="31">
        <f>VLOOKUP(A84,'Ansvar kurs'!$A$1:$C$1027,2,FALSE)</f>
        <v>1650</v>
      </c>
      <c r="U84" s="31" t="str">
        <f>VLOOKUP(T84,Orgenheter!$A$1:$C$165,2,FALSE)</f>
        <v xml:space="preserve">Estetiska ämnen               </v>
      </c>
      <c r="V84" s="31" t="str">
        <f>VLOOKUP(T84,Orgenheter!$A$1:$C$165,3,FALSE)</f>
        <v>Hum</v>
      </c>
      <c r="W84" s="37" t="str">
        <f>VLOOKUP(D84,Program!$A$1:$B$34,2,FALSE)</f>
        <v>Fristående och övriga kurser</v>
      </c>
      <c r="X84" s="42">
        <f>VLOOKUP(A84,kurspris!$A$1:$Q$815,15,FALSE)</f>
        <v>18405</v>
      </c>
      <c r="Y84" s="42">
        <f>VLOOKUP(A84,kurspris!$A$1:$Q$815,16,FALSE)</f>
        <v>15773</v>
      </c>
      <c r="Z84" s="42">
        <f t="shared" si="28"/>
        <v>58168.875</v>
      </c>
      <c r="AA84" s="42">
        <f>VLOOKUP(A84,kurspris!$A$1:$Q$815,17,FALSE)</f>
        <v>5800</v>
      </c>
      <c r="AB84" s="42">
        <f t="shared" si="29"/>
        <v>10875</v>
      </c>
      <c r="AC84" s="42">
        <f t="shared" si="30"/>
        <v>69043.875</v>
      </c>
      <c r="AD84" s="31">
        <f>VLOOKUP($A84,kurspris!$A$1:$Q$852,3,FALSE)</f>
        <v>0</v>
      </c>
      <c r="AE84" s="31">
        <f>VLOOKUP($A84,kurspris!$A$1:$Q$852,4,FALSE)</f>
        <v>1</v>
      </c>
      <c r="AF84" s="31">
        <f>VLOOKUP($A84,kurspris!$A$1:$Q$852,5,FALSE)</f>
        <v>0</v>
      </c>
      <c r="AG84" s="31">
        <f>VLOOKUP($A84,kurspris!$A$1:$Q$852,6,FALSE)</f>
        <v>0</v>
      </c>
      <c r="AH84" s="31">
        <f>VLOOKUP($A84,kurspris!$A$1:$Q$852,7,FALSE)</f>
        <v>0</v>
      </c>
      <c r="AI84" s="31">
        <f>VLOOKUP($A84,kurspris!$A$1:$Q$852,8,FALSE)</f>
        <v>0</v>
      </c>
      <c r="AJ84" s="31">
        <f>VLOOKUP($A84,kurspris!$A$1:$Q$852,9,FALSE)</f>
        <v>0</v>
      </c>
      <c r="AK84" s="31">
        <f>VLOOKUP($A84,kurspris!$A$1:$Q$852,10,FALSE)</f>
        <v>0</v>
      </c>
      <c r="AL84" s="31">
        <f>VLOOKUP($A84,kurspris!$A$1:$Q$852,11,FALSE)</f>
        <v>0</v>
      </c>
      <c r="AM84" s="31">
        <f>VLOOKUP($A84,kurspris!$A$1:$Q$852,12,FALSE)</f>
        <v>0</v>
      </c>
      <c r="AN84" s="31">
        <f>VLOOKUP($A84,kurspris!$A$1:$Q$852,13,FALSE)</f>
        <v>0</v>
      </c>
      <c r="AO84" s="31">
        <f>VLOOKUP($A84,kurspris!$A$1:$Q$852,14,FALSE)</f>
        <v>0</v>
      </c>
      <c r="AP84" s="59" t="s">
        <v>2216</v>
      </c>
      <c r="AQ84" s="59"/>
      <c r="AR84" s="31">
        <f t="shared" si="31"/>
        <v>0</v>
      </c>
      <c r="AS84" s="237">
        <f t="shared" si="32"/>
        <v>0</v>
      </c>
      <c r="AT84" s="31">
        <f t="shared" si="33"/>
        <v>1.875</v>
      </c>
      <c r="AU84" s="237">
        <f t="shared" si="34"/>
        <v>1.5</v>
      </c>
      <c r="AV84" s="31">
        <f t="shared" si="35"/>
        <v>0</v>
      </c>
      <c r="AW84" s="31">
        <f t="shared" si="36"/>
        <v>0</v>
      </c>
      <c r="AX84" s="31">
        <f t="shared" si="37"/>
        <v>0</v>
      </c>
      <c r="AY84" s="237">
        <f t="shared" si="38"/>
        <v>0</v>
      </c>
      <c r="AZ84" s="214">
        <f t="shared" si="39"/>
        <v>0</v>
      </c>
      <c r="BA84" s="237">
        <f t="shared" si="40"/>
        <v>0</v>
      </c>
      <c r="BB84" s="31">
        <f t="shared" si="41"/>
        <v>0</v>
      </c>
      <c r="BC84" s="237">
        <f t="shared" si="42"/>
        <v>0</v>
      </c>
      <c r="BD84" s="31">
        <f t="shared" si="43"/>
        <v>0</v>
      </c>
      <c r="BE84" s="237">
        <f t="shared" si="44"/>
        <v>0</v>
      </c>
      <c r="BF84" s="31">
        <f t="shared" si="45"/>
        <v>0</v>
      </c>
      <c r="BG84" s="237">
        <f t="shared" si="46"/>
        <v>0</v>
      </c>
      <c r="BH84" s="31">
        <f t="shared" si="47"/>
        <v>0</v>
      </c>
      <c r="BI84" s="237">
        <f t="shared" si="48"/>
        <v>0</v>
      </c>
      <c r="BJ84" s="31">
        <f t="shared" si="49"/>
        <v>0</v>
      </c>
      <c r="BK84" s="31">
        <f t="shared" si="50"/>
        <v>0</v>
      </c>
      <c r="BL84" s="237">
        <f t="shared" si="51"/>
        <v>0</v>
      </c>
      <c r="BM84" s="31">
        <f t="shared" si="52"/>
        <v>0</v>
      </c>
      <c r="BN84" s="237">
        <f t="shared" si="53"/>
        <v>0</v>
      </c>
    </row>
    <row r="85" spans="1:66" x14ac:dyDescent="0.25">
      <c r="A85" s="159" t="s">
        <v>2052</v>
      </c>
      <c r="B85" s="182" t="str">
        <f>VLOOKUP(A85,kurspris!$A$1:$B$894,2,FALSE)</f>
        <v>Bild fördjupning 3</v>
      </c>
      <c r="C85" s="37"/>
      <c r="D85" s="31" t="s">
        <v>483</v>
      </c>
      <c r="F85" s="59">
        <v>2019</v>
      </c>
      <c r="Q85" s="237">
        <v>2.5</v>
      </c>
      <c r="R85" s="40">
        <v>0.85</v>
      </c>
      <c r="S85" s="313">
        <f t="shared" si="27"/>
        <v>2.125</v>
      </c>
      <c r="T85" s="31">
        <f>VLOOKUP(A85,'Ansvar kurs'!$A$1:$C$1027,2,FALSE)</f>
        <v>1650</v>
      </c>
      <c r="U85" s="31" t="str">
        <f>VLOOKUP(T85,Orgenheter!$A$1:$C$165,2,FALSE)</f>
        <v xml:space="preserve">Estetiska ämnen               </v>
      </c>
      <c r="V85" s="31" t="str">
        <f>VLOOKUP(T85,Orgenheter!$A$1:$C$165,3,FALSE)</f>
        <v>Hum</v>
      </c>
      <c r="W85" s="37" t="str">
        <f>VLOOKUP(D85,Program!$A$1:$B$34,2,FALSE)</f>
        <v>Ämneslärarprogrammet - Gy</v>
      </c>
      <c r="X85" s="42">
        <f>VLOOKUP(A85,kurspris!$A$1:$Q$815,15,FALSE)</f>
        <v>47957</v>
      </c>
      <c r="Y85" s="42">
        <f>VLOOKUP(A85,kurspris!$A$1:$Q$815,16,FALSE)</f>
        <v>57006</v>
      </c>
      <c r="Z85" s="42">
        <f t="shared" si="28"/>
        <v>241030.25</v>
      </c>
      <c r="AA85" s="42">
        <f>VLOOKUP(A85,kurspris!$A$1:$Q$815,17,FALSE)</f>
        <v>69000</v>
      </c>
      <c r="AB85" s="42">
        <f t="shared" si="29"/>
        <v>172500</v>
      </c>
      <c r="AC85" s="42">
        <f t="shared" si="30"/>
        <v>413530.25</v>
      </c>
      <c r="AD85" s="31">
        <f>VLOOKUP($A85,kurspris!$A$1:$Q$852,3,FALSE)</f>
        <v>1</v>
      </c>
      <c r="AE85" s="31">
        <f>VLOOKUP($A85,kurspris!$A$1:$Q$852,4,FALSE)</f>
        <v>0</v>
      </c>
      <c r="AF85" s="31">
        <f>VLOOKUP($A85,kurspris!$A$1:$Q$852,5,FALSE)</f>
        <v>0</v>
      </c>
      <c r="AG85" s="31">
        <f>VLOOKUP($A85,kurspris!$A$1:$Q$852,6,FALSE)</f>
        <v>0</v>
      </c>
      <c r="AH85" s="31">
        <f>VLOOKUP($A85,kurspris!$A$1:$Q$852,7,FALSE)</f>
        <v>0</v>
      </c>
      <c r="AI85" s="31">
        <f>VLOOKUP($A85,kurspris!$A$1:$Q$852,8,FALSE)</f>
        <v>0</v>
      </c>
      <c r="AJ85" s="31">
        <f>VLOOKUP($A85,kurspris!$A$1:$Q$852,9,FALSE)</f>
        <v>0</v>
      </c>
      <c r="AK85" s="31">
        <f>VLOOKUP($A85,kurspris!$A$1:$Q$852,10,FALSE)</f>
        <v>0</v>
      </c>
      <c r="AL85" s="31">
        <f>VLOOKUP($A85,kurspris!$A$1:$Q$852,11,FALSE)</f>
        <v>0</v>
      </c>
      <c r="AM85" s="31">
        <f>VLOOKUP($A85,kurspris!$A$1:$Q$852,12,FALSE)</f>
        <v>0</v>
      </c>
      <c r="AN85" s="31">
        <f>VLOOKUP($A85,kurspris!$A$1:$Q$852,13,FALSE)</f>
        <v>0</v>
      </c>
      <c r="AO85" s="31">
        <f>VLOOKUP($A85,kurspris!$A$1:$Q$852,14,FALSE)</f>
        <v>0</v>
      </c>
      <c r="AP85" s="59" t="s">
        <v>2216</v>
      </c>
      <c r="AQ85" s="59"/>
      <c r="AR85" s="31">
        <f t="shared" si="31"/>
        <v>2.5</v>
      </c>
      <c r="AS85" s="237">
        <f t="shared" si="32"/>
        <v>2.125</v>
      </c>
      <c r="AT85" s="31">
        <f t="shared" si="33"/>
        <v>0</v>
      </c>
      <c r="AU85" s="237">
        <f t="shared" si="34"/>
        <v>0</v>
      </c>
      <c r="AV85" s="31">
        <f t="shared" si="35"/>
        <v>0</v>
      </c>
      <c r="AW85" s="31">
        <f t="shared" si="36"/>
        <v>0</v>
      </c>
      <c r="AX85" s="31">
        <f t="shared" si="37"/>
        <v>0</v>
      </c>
      <c r="AY85" s="237">
        <f t="shared" si="38"/>
        <v>0</v>
      </c>
      <c r="AZ85" s="214">
        <f t="shared" si="39"/>
        <v>0</v>
      </c>
      <c r="BA85" s="237">
        <f t="shared" si="40"/>
        <v>0</v>
      </c>
      <c r="BB85" s="31">
        <f t="shared" si="41"/>
        <v>0</v>
      </c>
      <c r="BC85" s="237">
        <f t="shared" si="42"/>
        <v>0</v>
      </c>
      <c r="BD85" s="31">
        <f t="shared" si="43"/>
        <v>0</v>
      </c>
      <c r="BE85" s="237">
        <f t="shared" si="44"/>
        <v>0</v>
      </c>
      <c r="BF85" s="31">
        <f t="shared" si="45"/>
        <v>0</v>
      </c>
      <c r="BG85" s="237">
        <f t="shared" si="46"/>
        <v>0</v>
      </c>
      <c r="BH85" s="31">
        <f t="shared" si="47"/>
        <v>0</v>
      </c>
      <c r="BI85" s="237">
        <f t="shared" si="48"/>
        <v>0</v>
      </c>
      <c r="BJ85" s="31">
        <f t="shared" si="49"/>
        <v>0</v>
      </c>
      <c r="BK85" s="31">
        <f t="shared" si="50"/>
        <v>0</v>
      </c>
      <c r="BL85" s="237">
        <f t="shared" si="51"/>
        <v>0</v>
      </c>
      <c r="BM85" s="31">
        <f t="shared" si="52"/>
        <v>0</v>
      </c>
      <c r="BN85" s="237">
        <f t="shared" si="53"/>
        <v>0</v>
      </c>
    </row>
    <row r="86" spans="1:66" x14ac:dyDescent="0.25">
      <c r="A86" s="31" t="s">
        <v>2102</v>
      </c>
      <c r="B86" s="182" t="str">
        <f>VLOOKUP(A86,kurspris!$A$1:$B$894,2,FALSE)</f>
        <v>Bild fördjupning 3, fristående</v>
      </c>
      <c r="D86" s="31" t="s">
        <v>117</v>
      </c>
      <c r="F86" s="59">
        <v>2019</v>
      </c>
      <c r="Q86" s="237">
        <v>0.5</v>
      </c>
      <c r="R86" s="40">
        <v>0.8</v>
      </c>
      <c r="S86" s="313">
        <f t="shared" si="27"/>
        <v>0.4</v>
      </c>
      <c r="T86" s="31">
        <f>VLOOKUP(A86,'Ansvar kurs'!$A$1:$C$1027,2,FALSE)</f>
        <v>1650</v>
      </c>
      <c r="U86" s="31" t="str">
        <f>VLOOKUP(T86,Orgenheter!$A$1:$C$165,2,FALSE)</f>
        <v xml:space="preserve">Estetiska ämnen               </v>
      </c>
      <c r="V86" s="31" t="str">
        <f>VLOOKUP(T86,Orgenheter!$A$1:$C$165,3,FALSE)</f>
        <v>Hum</v>
      </c>
      <c r="W86" s="37" t="str">
        <f>VLOOKUP(D86,Program!$A$1:$B$34,2,FALSE)</f>
        <v>Fristående och övriga kurser</v>
      </c>
      <c r="X86" s="42">
        <f>VLOOKUP(A86,kurspris!$A$1:$Q$815,15,FALSE)</f>
        <v>47957</v>
      </c>
      <c r="Y86" s="42">
        <f>VLOOKUP(A86,kurspris!$A$1:$Q$815,16,FALSE)</f>
        <v>57006</v>
      </c>
      <c r="Z86" s="42">
        <f t="shared" si="28"/>
        <v>46780.9</v>
      </c>
      <c r="AA86" s="42">
        <f>VLOOKUP(A86,kurspris!$A$1:$Q$815,17,FALSE)</f>
        <v>69000</v>
      </c>
      <c r="AB86" s="42">
        <f t="shared" si="29"/>
        <v>34500</v>
      </c>
      <c r="AC86" s="42">
        <f t="shared" si="30"/>
        <v>81280.899999999994</v>
      </c>
      <c r="AD86" s="31">
        <f>VLOOKUP($A86,kurspris!$A$1:$Q$852,3,FALSE)</f>
        <v>1</v>
      </c>
      <c r="AE86" s="31">
        <f>VLOOKUP($A86,kurspris!$A$1:$Q$852,4,FALSE)</f>
        <v>0</v>
      </c>
      <c r="AF86" s="31">
        <f>VLOOKUP($A86,kurspris!$A$1:$Q$852,5,FALSE)</f>
        <v>0</v>
      </c>
      <c r="AG86" s="31">
        <f>VLOOKUP($A86,kurspris!$A$1:$Q$852,6,FALSE)</f>
        <v>0</v>
      </c>
      <c r="AH86" s="31">
        <f>VLOOKUP($A86,kurspris!$A$1:$Q$852,7,FALSE)</f>
        <v>0</v>
      </c>
      <c r="AI86" s="31">
        <f>VLOOKUP($A86,kurspris!$A$1:$Q$852,8,FALSE)</f>
        <v>0</v>
      </c>
      <c r="AJ86" s="31">
        <f>VLOOKUP($A86,kurspris!$A$1:$Q$852,9,FALSE)</f>
        <v>0</v>
      </c>
      <c r="AK86" s="31">
        <f>VLOOKUP($A86,kurspris!$A$1:$Q$852,10,FALSE)</f>
        <v>0</v>
      </c>
      <c r="AL86" s="31">
        <f>VLOOKUP($A86,kurspris!$A$1:$Q$852,11,FALSE)</f>
        <v>0</v>
      </c>
      <c r="AM86" s="31">
        <f>VLOOKUP($A86,kurspris!$A$1:$Q$852,12,FALSE)</f>
        <v>0</v>
      </c>
      <c r="AN86" s="31">
        <f>VLOOKUP($A86,kurspris!$A$1:$Q$852,13,FALSE)</f>
        <v>0</v>
      </c>
      <c r="AO86" s="31">
        <f>VLOOKUP($A86,kurspris!$A$1:$Q$852,14,FALSE)</f>
        <v>0</v>
      </c>
      <c r="AP86" s="59" t="s">
        <v>2216</v>
      </c>
      <c r="AR86" s="31">
        <f t="shared" si="31"/>
        <v>0.5</v>
      </c>
      <c r="AS86" s="237">
        <f t="shared" si="32"/>
        <v>0.4</v>
      </c>
      <c r="AT86" s="31">
        <f t="shared" si="33"/>
        <v>0</v>
      </c>
      <c r="AU86" s="237">
        <f t="shared" si="34"/>
        <v>0</v>
      </c>
      <c r="AV86" s="31">
        <f t="shared" si="35"/>
        <v>0</v>
      </c>
      <c r="AW86" s="31">
        <f t="shared" si="36"/>
        <v>0</v>
      </c>
      <c r="AX86" s="31">
        <f t="shared" si="37"/>
        <v>0</v>
      </c>
      <c r="AY86" s="237">
        <f t="shared" si="38"/>
        <v>0</v>
      </c>
      <c r="AZ86" s="214">
        <f t="shared" si="39"/>
        <v>0</v>
      </c>
      <c r="BA86" s="237">
        <f t="shared" si="40"/>
        <v>0</v>
      </c>
      <c r="BB86" s="31">
        <f t="shared" si="41"/>
        <v>0</v>
      </c>
      <c r="BC86" s="237">
        <f t="shared" si="42"/>
        <v>0</v>
      </c>
      <c r="BD86" s="31">
        <f t="shared" si="43"/>
        <v>0</v>
      </c>
      <c r="BE86" s="237">
        <f t="shared" si="44"/>
        <v>0</v>
      </c>
      <c r="BF86" s="31">
        <f t="shared" si="45"/>
        <v>0</v>
      </c>
      <c r="BG86" s="237">
        <f t="shared" si="46"/>
        <v>0</v>
      </c>
      <c r="BH86" s="31">
        <f t="shared" si="47"/>
        <v>0</v>
      </c>
      <c r="BI86" s="237">
        <f t="shared" si="48"/>
        <v>0</v>
      </c>
      <c r="BJ86" s="31">
        <f t="shared" si="49"/>
        <v>0</v>
      </c>
      <c r="BK86" s="31">
        <f t="shared" si="50"/>
        <v>0</v>
      </c>
      <c r="BL86" s="237">
        <f t="shared" si="51"/>
        <v>0</v>
      </c>
      <c r="BM86" s="31">
        <f t="shared" si="52"/>
        <v>0</v>
      </c>
      <c r="BN86" s="237">
        <f t="shared" si="53"/>
        <v>0</v>
      </c>
    </row>
    <row r="87" spans="1:66" x14ac:dyDescent="0.25">
      <c r="A87" s="31" t="s">
        <v>2116</v>
      </c>
      <c r="B87" s="182" t="str">
        <f>VLOOKUP(A87,kurspris!$A$1:$B$894,2,FALSE)</f>
        <v>Bild 3</v>
      </c>
      <c r="D87" s="31" t="s">
        <v>483</v>
      </c>
      <c r="F87" s="59">
        <v>2019</v>
      </c>
      <c r="Q87" s="237">
        <v>1</v>
      </c>
      <c r="R87" s="40">
        <v>0.85</v>
      </c>
      <c r="S87" s="313">
        <f t="shared" si="27"/>
        <v>0.85</v>
      </c>
      <c r="T87" s="31">
        <f>VLOOKUP(A87,'Ansvar kurs'!$A$1:$C$1027,2,FALSE)</f>
        <v>1650</v>
      </c>
      <c r="U87" s="31" t="str">
        <f>VLOOKUP(T87,Orgenheter!$A$1:$C$165,2,FALSE)</f>
        <v xml:space="preserve">Estetiska ämnen               </v>
      </c>
      <c r="V87" s="31" t="str">
        <f>VLOOKUP(T87,Orgenheter!$A$1:$C$165,3,FALSE)</f>
        <v>Hum</v>
      </c>
      <c r="W87" s="37" t="str">
        <f>VLOOKUP(D87,Program!$A$1:$B$34,2,FALSE)</f>
        <v>Ämneslärarprogrammet - Gy</v>
      </c>
      <c r="X87" s="42">
        <f>VLOOKUP(A87,kurspris!$A$1:$Q$815,15,FALSE)</f>
        <v>47957</v>
      </c>
      <c r="Y87" s="42">
        <f>VLOOKUP(A87,kurspris!$A$1:$Q$815,16,FALSE)</f>
        <v>57006</v>
      </c>
      <c r="Z87" s="42">
        <f t="shared" si="28"/>
        <v>96412.1</v>
      </c>
      <c r="AA87" s="42">
        <f>VLOOKUP(A87,kurspris!$A$1:$Q$815,17,FALSE)</f>
        <v>69000</v>
      </c>
      <c r="AB87" s="42">
        <f t="shared" si="29"/>
        <v>69000</v>
      </c>
      <c r="AC87" s="42">
        <f t="shared" si="30"/>
        <v>165412.1</v>
      </c>
      <c r="AD87" s="31">
        <f>VLOOKUP($A87,kurspris!$A$1:$Q$852,3,FALSE)</f>
        <v>1</v>
      </c>
      <c r="AE87" s="31">
        <f>VLOOKUP($A87,kurspris!$A$1:$Q$852,4,FALSE)</f>
        <v>0</v>
      </c>
      <c r="AF87" s="31">
        <f>VLOOKUP($A87,kurspris!$A$1:$Q$852,5,FALSE)</f>
        <v>0</v>
      </c>
      <c r="AG87" s="31">
        <f>VLOOKUP($A87,kurspris!$A$1:$Q$852,6,FALSE)</f>
        <v>0</v>
      </c>
      <c r="AH87" s="31">
        <f>VLOOKUP($A87,kurspris!$A$1:$Q$852,7,FALSE)</f>
        <v>0</v>
      </c>
      <c r="AI87" s="31">
        <f>VLOOKUP($A87,kurspris!$A$1:$Q$852,8,FALSE)</f>
        <v>0</v>
      </c>
      <c r="AJ87" s="31">
        <f>VLOOKUP($A87,kurspris!$A$1:$Q$852,9,FALSE)</f>
        <v>0</v>
      </c>
      <c r="AK87" s="31">
        <f>VLOOKUP($A87,kurspris!$A$1:$Q$852,10,FALSE)</f>
        <v>0</v>
      </c>
      <c r="AL87" s="31">
        <f>VLOOKUP($A87,kurspris!$A$1:$Q$852,11,FALSE)</f>
        <v>0</v>
      </c>
      <c r="AM87" s="31">
        <f>VLOOKUP($A87,kurspris!$A$1:$Q$852,12,FALSE)</f>
        <v>0</v>
      </c>
      <c r="AN87" s="31">
        <f>VLOOKUP($A87,kurspris!$A$1:$Q$852,13,FALSE)</f>
        <v>0</v>
      </c>
      <c r="AO87" s="31">
        <f>VLOOKUP($A87,kurspris!$A$1:$Q$852,14,FALSE)</f>
        <v>0</v>
      </c>
      <c r="AP87" s="59" t="s">
        <v>2216</v>
      </c>
      <c r="AR87" s="31">
        <f t="shared" si="31"/>
        <v>1</v>
      </c>
      <c r="AS87" s="237">
        <f t="shared" si="32"/>
        <v>0.85</v>
      </c>
      <c r="AT87" s="31">
        <f t="shared" si="33"/>
        <v>0</v>
      </c>
      <c r="AU87" s="237">
        <f t="shared" si="34"/>
        <v>0</v>
      </c>
      <c r="AV87" s="31">
        <f t="shared" si="35"/>
        <v>0</v>
      </c>
      <c r="AW87" s="31">
        <f t="shared" si="36"/>
        <v>0</v>
      </c>
      <c r="AX87" s="31">
        <f t="shared" si="37"/>
        <v>0</v>
      </c>
      <c r="AY87" s="237">
        <f t="shared" si="38"/>
        <v>0</v>
      </c>
      <c r="AZ87" s="214">
        <f t="shared" si="39"/>
        <v>0</v>
      </c>
      <c r="BA87" s="237">
        <f t="shared" si="40"/>
        <v>0</v>
      </c>
      <c r="BB87" s="31">
        <f t="shared" si="41"/>
        <v>0</v>
      </c>
      <c r="BC87" s="237">
        <f t="shared" si="42"/>
        <v>0</v>
      </c>
      <c r="BD87" s="31">
        <f t="shared" si="43"/>
        <v>0</v>
      </c>
      <c r="BE87" s="237">
        <f t="shared" si="44"/>
        <v>0</v>
      </c>
      <c r="BF87" s="31">
        <f t="shared" si="45"/>
        <v>0</v>
      </c>
      <c r="BG87" s="237">
        <f t="shared" si="46"/>
        <v>0</v>
      </c>
      <c r="BH87" s="31">
        <f t="shared" si="47"/>
        <v>0</v>
      </c>
      <c r="BI87" s="237">
        <f t="shared" si="48"/>
        <v>0</v>
      </c>
      <c r="BJ87" s="31">
        <f t="shared" si="49"/>
        <v>0</v>
      </c>
      <c r="BK87" s="31">
        <f t="shared" si="50"/>
        <v>0</v>
      </c>
      <c r="BL87" s="237">
        <f t="shared" si="51"/>
        <v>0</v>
      </c>
      <c r="BM87" s="31">
        <f t="shared" si="52"/>
        <v>0</v>
      </c>
      <c r="BN87" s="237">
        <f t="shared" si="53"/>
        <v>0</v>
      </c>
    </row>
    <row r="88" spans="1:66" x14ac:dyDescent="0.25">
      <c r="A88" s="31" t="s">
        <v>2191</v>
      </c>
      <c r="B88" s="182" t="str">
        <f>VLOOKUP(A88,kurspris!$A$1:$B$894,2,FALSE)</f>
        <v>Skapande bild, distans</v>
      </c>
      <c r="D88" s="31" t="s">
        <v>117</v>
      </c>
      <c r="F88" s="59">
        <v>2019</v>
      </c>
      <c r="Q88" s="237">
        <v>4</v>
      </c>
      <c r="R88" s="40">
        <v>0.8</v>
      </c>
      <c r="S88" s="313">
        <f t="shared" si="27"/>
        <v>3.2</v>
      </c>
      <c r="T88" s="31">
        <f>VLOOKUP(A88,'Ansvar kurs'!$A$1:$C$1027,2,FALSE)</f>
        <v>1650</v>
      </c>
      <c r="U88" s="31" t="str">
        <f>VLOOKUP(T88,Orgenheter!$A$1:$C$165,2,FALSE)</f>
        <v xml:space="preserve">Estetiska ämnen               </v>
      </c>
      <c r="V88" s="31" t="str">
        <f>VLOOKUP(T88,Orgenheter!$A$1:$C$165,3,FALSE)</f>
        <v>Hum</v>
      </c>
      <c r="W88" s="37" t="str">
        <f>VLOOKUP(D88,Program!$A$1:$B$34,2,FALSE)</f>
        <v>Fristående och övriga kurser</v>
      </c>
      <c r="X88" s="42">
        <f>VLOOKUP(A88,kurspris!$A$1:$Q$815,15,FALSE)</f>
        <v>40569</v>
      </c>
      <c r="Y88" s="42">
        <f>VLOOKUP(A88,kurspris!$A$1:$Q$815,16,FALSE)</f>
        <v>46697.75</v>
      </c>
      <c r="Z88" s="42">
        <f t="shared" si="28"/>
        <v>311708.80000000005</v>
      </c>
      <c r="AA88" s="42">
        <f>VLOOKUP(A88,kurspris!$A$1:$Q$815,17,FALSE)</f>
        <v>53200</v>
      </c>
      <c r="AB88" s="42">
        <f t="shared" si="29"/>
        <v>212800</v>
      </c>
      <c r="AC88" s="42">
        <f t="shared" si="30"/>
        <v>524508.80000000005</v>
      </c>
      <c r="AD88" s="31">
        <f>VLOOKUP($A88,kurspris!$A$1:$Q$852,3,FALSE)</f>
        <v>0.75</v>
      </c>
      <c r="AE88" s="31">
        <f>VLOOKUP($A88,kurspris!$A$1:$Q$852,4,FALSE)</f>
        <v>0.25</v>
      </c>
      <c r="AF88" s="31">
        <f>VLOOKUP($A88,kurspris!$A$1:$Q$852,5,FALSE)</f>
        <v>0</v>
      </c>
      <c r="AG88" s="31">
        <f>VLOOKUP($A88,kurspris!$A$1:$Q$852,6,FALSE)</f>
        <v>0</v>
      </c>
      <c r="AH88" s="31">
        <f>VLOOKUP($A88,kurspris!$A$1:$Q$852,7,FALSE)</f>
        <v>0</v>
      </c>
      <c r="AI88" s="31">
        <f>VLOOKUP($A88,kurspris!$A$1:$Q$852,8,FALSE)</f>
        <v>0</v>
      </c>
      <c r="AJ88" s="31">
        <f>VLOOKUP($A88,kurspris!$A$1:$Q$852,9,FALSE)</f>
        <v>0</v>
      </c>
      <c r="AK88" s="31">
        <f>VLOOKUP($A88,kurspris!$A$1:$Q$852,10,FALSE)</f>
        <v>0</v>
      </c>
      <c r="AL88" s="31">
        <f>VLOOKUP($A88,kurspris!$A$1:$Q$852,11,FALSE)</f>
        <v>0</v>
      </c>
      <c r="AM88" s="31">
        <f>VLOOKUP($A88,kurspris!$A$1:$Q$852,12,FALSE)</f>
        <v>0</v>
      </c>
      <c r="AN88" s="31">
        <f>VLOOKUP($A88,kurspris!$A$1:$Q$852,13,FALSE)</f>
        <v>0</v>
      </c>
      <c r="AO88" s="31">
        <f>VLOOKUP($A88,kurspris!$A$1:$Q$852,14,FALSE)</f>
        <v>0</v>
      </c>
      <c r="AP88" s="59" t="s">
        <v>2216</v>
      </c>
      <c r="AR88" s="31">
        <f t="shared" si="31"/>
        <v>3</v>
      </c>
      <c r="AS88" s="237">
        <f t="shared" si="32"/>
        <v>2.4000000000000004</v>
      </c>
      <c r="AT88" s="31">
        <f t="shared" si="33"/>
        <v>1</v>
      </c>
      <c r="AU88" s="237">
        <f t="shared" si="34"/>
        <v>0.8</v>
      </c>
      <c r="AV88" s="31">
        <f t="shared" si="35"/>
        <v>0</v>
      </c>
      <c r="AW88" s="31">
        <f t="shared" si="36"/>
        <v>0</v>
      </c>
      <c r="AX88" s="31">
        <f t="shared" si="37"/>
        <v>0</v>
      </c>
      <c r="AY88" s="237">
        <f t="shared" si="38"/>
        <v>0</v>
      </c>
      <c r="AZ88" s="214">
        <f t="shared" si="39"/>
        <v>0</v>
      </c>
      <c r="BA88" s="237">
        <f t="shared" si="40"/>
        <v>0</v>
      </c>
      <c r="BB88" s="31">
        <f t="shared" si="41"/>
        <v>0</v>
      </c>
      <c r="BC88" s="237">
        <f t="shared" si="42"/>
        <v>0</v>
      </c>
      <c r="BD88" s="31">
        <f t="shared" si="43"/>
        <v>0</v>
      </c>
      <c r="BE88" s="237">
        <f t="shared" si="44"/>
        <v>0</v>
      </c>
      <c r="BF88" s="31">
        <f t="shared" si="45"/>
        <v>0</v>
      </c>
      <c r="BG88" s="237">
        <f t="shared" si="46"/>
        <v>0</v>
      </c>
      <c r="BH88" s="31">
        <f t="shared" si="47"/>
        <v>0</v>
      </c>
      <c r="BI88" s="237">
        <f t="shared" si="48"/>
        <v>0</v>
      </c>
      <c r="BJ88" s="31">
        <f t="shared" si="49"/>
        <v>0</v>
      </c>
      <c r="BK88" s="31">
        <f t="shared" si="50"/>
        <v>0</v>
      </c>
      <c r="BL88" s="237">
        <f t="shared" si="51"/>
        <v>0</v>
      </c>
      <c r="BM88" s="31">
        <f t="shared" si="52"/>
        <v>0</v>
      </c>
      <c r="BN88" s="237">
        <f t="shared" si="53"/>
        <v>0</v>
      </c>
    </row>
    <row r="89" spans="1:66" x14ac:dyDescent="0.25">
      <c r="A89" s="31" t="s">
        <v>2119</v>
      </c>
      <c r="B89" s="182" t="str">
        <f>VLOOKUP(A89,kurspris!$A$1:$B$894,2,FALSE)</f>
        <v>Franska för ämneslärare, kurs 1</v>
      </c>
      <c r="D89" s="31" t="s">
        <v>117</v>
      </c>
      <c r="F89" s="59">
        <v>2019</v>
      </c>
      <c r="Q89" s="237">
        <v>1</v>
      </c>
      <c r="R89" s="40">
        <v>0.8</v>
      </c>
      <c r="S89" s="313">
        <f t="shared" si="27"/>
        <v>0.8</v>
      </c>
      <c r="T89" s="31">
        <f>VLOOKUP(A89,'Ansvar kurs'!$A$1:$C$1027,2,FALSE)</f>
        <v>1620</v>
      </c>
      <c r="U89" s="31" t="str">
        <f>VLOOKUP(T89,Orgenheter!$A$1:$C$165,2,FALSE)</f>
        <v>Inst för språkstudier</v>
      </c>
      <c r="V89" s="31" t="str">
        <f>VLOOKUP(T89,Orgenheter!$A$1:$C$165,3,FALSE)</f>
        <v>Hum</v>
      </c>
      <c r="W89" s="37" t="str">
        <f>VLOOKUP(D89,Program!$A$1:$B$34,2,FALSE)</f>
        <v>Fristående och övriga kurser</v>
      </c>
      <c r="X89" s="42">
        <f>VLOOKUP(A89,kurspris!$A$1:$Q$815,15,FALSE)</f>
        <v>18405</v>
      </c>
      <c r="Y89" s="42">
        <f>VLOOKUP(A89,kurspris!$A$1:$Q$815,16,FALSE)</f>
        <v>15773</v>
      </c>
      <c r="Z89" s="42">
        <f t="shared" si="28"/>
        <v>31023.4</v>
      </c>
      <c r="AA89" s="42">
        <f>VLOOKUP(A89,kurspris!$A$1:$Q$815,17,FALSE)</f>
        <v>5800</v>
      </c>
      <c r="AB89" s="42">
        <f t="shared" si="29"/>
        <v>5800</v>
      </c>
      <c r="AC89" s="42">
        <f t="shared" si="30"/>
        <v>36823.4</v>
      </c>
      <c r="AD89" s="31">
        <f>VLOOKUP($A89,kurspris!$A$1:$Q$852,3,FALSE)</f>
        <v>0</v>
      </c>
      <c r="AE89" s="31">
        <f>VLOOKUP($A89,kurspris!$A$1:$Q$852,4,FALSE)</f>
        <v>1</v>
      </c>
      <c r="AF89" s="31">
        <f>VLOOKUP($A89,kurspris!$A$1:$Q$852,5,FALSE)</f>
        <v>0</v>
      </c>
      <c r="AG89" s="31">
        <f>VLOOKUP($A89,kurspris!$A$1:$Q$852,6,FALSE)</f>
        <v>0</v>
      </c>
      <c r="AH89" s="31">
        <f>VLOOKUP($A89,kurspris!$A$1:$Q$852,7,FALSE)</f>
        <v>0</v>
      </c>
      <c r="AI89" s="31">
        <f>VLOOKUP($A89,kurspris!$A$1:$Q$852,8,FALSE)</f>
        <v>0</v>
      </c>
      <c r="AJ89" s="31">
        <f>VLOOKUP($A89,kurspris!$A$1:$Q$852,9,FALSE)</f>
        <v>0</v>
      </c>
      <c r="AK89" s="31">
        <f>VLOOKUP($A89,kurspris!$A$1:$Q$852,10,FALSE)</f>
        <v>0</v>
      </c>
      <c r="AL89" s="31">
        <f>VLOOKUP($A89,kurspris!$A$1:$Q$852,11,FALSE)</f>
        <v>0</v>
      </c>
      <c r="AM89" s="31">
        <f>VLOOKUP($A89,kurspris!$A$1:$Q$852,12,FALSE)</f>
        <v>0</v>
      </c>
      <c r="AN89" s="31">
        <f>VLOOKUP($A89,kurspris!$A$1:$Q$852,13,FALSE)</f>
        <v>0</v>
      </c>
      <c r="AO89" s="31">
        <f>VLOOKUP($A89,kurspris!$A$1:$Q$852,14,FALSE)</f>
        <v>0</v>
      </c>
      <c r="AP89" s="59" t="s">
        <v>2216</v>
      </c>
      <c r="AR89" s="31">
        <f t="shared" si="31"/>
        <v>0</v>
      </c>
      <c r="AS89" s="237">
        <f t="shared" si="32"/>
        <v>0</v>
      </c>
      <c r="AT89" s="31">
        <f t="shared" si="33"/>
        <v>1</v>
      </c>
      <c r="AU89" s="237">
        <f t="shared" si="34"/>
        <v>0.8</v>
      </c>
      <c r="AV89" s="31">
        <f t="shared" si="35"/>
        <v>0</v>
      </c>
      <c r="AW89" s="31">
        <f t="shared" si="36"/>
        <v>0</v>
      </c>
      <c r="AX89" s="31">
        <f t="shared" si="37"/>
        <v>0</v>
      </c>
      <c r="AY89" s="237">
        <f t="shared" si="38"/>
        <v>0</v>
      </c>
      <c r="AZ89" s="214">
        <f t="shared" si="39"/>
        <v>0</v>
      </c>
      <c r="BA89" s="237">
        <f t="shared" si="40"/>
        <v>0</v>
      </c>
      <c r="BB89" s="31">
        <f t="shared" si="41"/>
        <v>0</v>
      </c>
      <c r="BC89" s="237">
        <f t="shared" si="42"/>
        <v>0</v>
      </c>
      <c r="BD89" s="31">
        <f t="shared" si="43"/>
        <v>0</v>
      </c>
      <c r="BE89" s="237">
        <f t="shared" si="44"/>
        <v>0</v>
      </c>
      <c r="BF89" s="31">
        <f t="shared" si="45"/>
        <v>0</v>
      </c>
      <c r="BG89" s="237">
        <f t="shared" si="46"/>
        <v>0</v>
      </c>
      <c r="BH89" s="31">
        <f t="shared" si="47"/>
        <v>0</v>
      </c>
      <c r="BI89" s="237">
        <f t="shared" si="48"/>
        <v>0</v>
      </c>
      <c r="BJ89" s="31">
        <f t="shared" si="49"/>
        <v>0</v>
      </c>
      <c r="BK89" s="31">
        <f t="shared" si="50"/>
        <v>0</v>
      </c>
      <c r="BL89" s="237">
        <f t="shared" si="51"/>
        <v>0</v>
      </c>
      <c r="BM89" s="31">
        <f t="shared" si="52"/>
        <v>0</v>
      </c>
      <c r="BN89" s="237">
        <f t="shared" si="53"/>
        <v>0</v>
      </c>
    </row>
    <row r="90" spans="1:66" x14ac:dyDescent="0.25">
      <c r="A90" s="31" t="s">
        <v>2192</v>
      </c>
      <c r="B90" s="182" t="str">
        <f>VLOOKUP(A90,kurspris!$A$1:$B$894,2,FALSE)</f>
        <v>Franska för ämneslärare, kurs 2</v>
      </c>
      <c r="D90" s="31" t="s">
        <v>117</v>
      </c>
      <c r="F90" s="59">
        <v>2019</v>
      </c>
      <c r="Q90" s="237">
        <v>1</v>
      </c>
      <c r="R90" s="40">
        <v>0.8</v>
      </c>
      <c r="S90" s="313">
        <f t="shared" si="27"/>
        <v>0.8</v>
      </c>
      <c r="T90" s="31">
        <f>VLOOKUP(A90,'Ansvar kurs'!$A$1:$C$1027,2,FALSE)</f>
        <v>1620</v>
      </c>
      <c r="U90" s="31" t="str">
        <f>VLOOKUP(T90,Orgenheter!$A$1:$C$165,2,FALSE)</f>
        <v>Inst för språkstudier</v>
      </c>
      <c r="V90" s="31" t="str">
        <f>VLOOKUP(T90,Orgenheter!$A$1:$C$165,3,FALSE)</f>
        <v>Hum</v>
      </c>
      <c r="W90" s="37" t="str">
        <f>VLOOKUP(D90,Program!$A$1:$B$34,2,FALSE)</f>
        <v>Fristående och övriga kurser</v>
      </c>
      <c r="X90" s="42">
        <f>VLOOKUP(A90,kurspris!$A$1:$Q$815,15,FALSE)</f>
        <v>18405</v>
      </c>
      <c r="Y90" s="42">
        <f>VLOOKUP(A90,kurspris!$A$1:$Q$815,16,FALSE)</f>
        <v>15773</v>
      </c>
      <c r="Z90" s="42">
        <f t="shared" si="28"/>
        <v>31023.4</v>
      </c>
      <c r="AA90" s="42">
        <f>VLOOKUP(A90,kurspris!$A$1:$Q$815,17,FALSE)</f>
        <v>5800</v>
      </c>
      <c r="AB90" s="42">
        <f t="shared" si="29"/>
        <v>5800</v>
      </c>
      <c r="AC90" s="42">
        <f t="shared" si="30"/>
        <v>36823.4</v>
      </c>
      <c r="AD90" s="31">
        <f>VLOOKUP($A90,kurspris!$A$1:$Q$852,3,FALSE)</f>
        <v>0</v>
      </c>
      <c r="AE90" s="31">
        <f>VLOOKUP($A90,kurspris!$A$1:$Q$852,4,FALSE)</f>
        <v>1</v>
      </c>
      <c r="AF90" s="31">
        <f>VLOOKUP($A90,kurspris!$A$1:$Q$852,5,FALSE)</f>
        <v>0</v>
      </c>
      <c r="AG90" s="31">
        <f>VLOOKUP($A90,kurspris!$A$1:$Q$852,6,FALSE)</f>
        <v>0</v>
      </c>
      <c r="AH90" s="31">
        <f>VLOOKUP($A90,kurspris!$A$1:$Q$852,7,FALSE)</f>
        <v>0</v>
      </c>
      <c r="AI90" s="31">
        <f>VLOOKUP($A90,kurspris!$A$1:$Q$852,8,FALSE)</f>
        <v>0</v>
      </c>
      <c r="AJ90" s="31">
        <f>VLOOKUP($A90,kurspris!$A$1:$Q$852,9,FALSE)</f>
        <v>0</v>
      </c>
      <c r="AK90" s="31">
        <f>VLOOKUP($A90,kurspris!$A$1:$Q$852,10,FALSE)</f>
        <v>0</v>
      </c>
      <c r="AL90" s="31">
        <f>VLOOKUP($A90,kurspris!$A$1:$Q$852,11,FALSE)</f>
        <v>0</v>
      </c>
      <c r="AM90" s="31">
        <f>VLOOKUP($A90,kurspris!$A$1:$Q$852,12,FALSE)</f>
        <v>0</v>
      </c>
      <c r="AN90" s="31">
        <f>VLOOKUP($A90,kurspris!$A$1:$Q$852,13,FALSE)</f>
        <v>0</v>
      </c>
      <c r="AO90" s="31">
        <f>VLOOKUP($A90,kurspris!$A$1:$Q$852,14,FALSE)</f>
        <v>0</v>
      </c>
      <c r="AP90" s="59" t="s">
        <v>2216</v>
      </c>
      <c r="AR90" s="31">
        <f t="shared" si="31"/>
        <v>0</v>
      </c>
      <c r="AS90" s="237">
        <f t="shared" si="32"/>
        <v>0</v>
      </c>
      <c r="AT90" s="31">
        <f t="shared" si="33"/>
        <v>1</v>
      </c>
      <c r="AU90" s="237">
        <f t="shared" si="34"/>
        <v>0.8</v>
      </c>
      <c r="AV90" s="31">
        <f t="shared" si="35"/>
        <v>0</v>
      </c>
      <c r="AW90" s="31">
        <f t="shared" si="36"/>
        <v>0</v>
      </c>
      <c r="AX90" s="31">
        <f t="shared" si="37"/>
        <v>0</v>
      </c>
      <c r="AY90" s="237">
        <f t="shared" si="38"/>
        <v>0</v>
      </c>
      <c r="AZ90" s="214">
        <f t="shared" si="39"/>
        <v>0</v>
      </c>
      <c r="BA90" s="237">
        <f t="shared" si="40"/>
        <v>0</v>
      </c>
      <c r="BB90" s="31">
        <f t="shared" si="41"/>
        <v>0</v>
      </c>
      <c r="BC90" s="237">
        <f t="shared" si="42"/>
        <v>0</v>
      </c>
      <c r="BD90" s="31">
        <f t="shared" si="43"/>
        <v>0</v>
      </c>
      <c r="BE90" s="237">
        <f t="shared" si="44"/>
        <v>0</v>
      </c>
      <c r="BF90" s="31">
        <f t="shared" si="45"/>
        <v>0</v>
      </c>
      <c r="BG90" s="237">
        <f t="shared" si="46"/>
        <v>0</v>
      </c>
      <c r="BH90" s="31">
        <f t="shared" si="47"/>
        <v>0</v>
      </c>
      <c r="BI90" s="237">
        <f t="shared" si="48"/>
        <v>0</v>
      </c>
      <c r="BJ90" s="31">
        <f t="shared" si="49"/>
        <v>0</v>
      </c>
      <c r="BK90" s="31">
        <f t="shared" si="50"/>
        <v>0</v>
      </c>
      <c r="BL90" s="237">
        <f t="shared" si="51"/>
        <v>0</v>
      </c>
      <c r="BM90" s="31">
        <f t="shared" si="52"/>
        <v>0</v>
      </c>
      <c r="BN90" s="237">
        <f t="shared" si="53"/>
        <v>0</v>
      </c>
    </row>
    <row r="91" spans="1:66" x14ac:dyDescent="0.25">
      <c r="A91" s="31" t="s">
        <v>1481</v>
      </c>
      <c r="B91" s="182" t="str">
        <f>VLOOKUP(A91,kurspris!$A$1:$B$894,2,FALSE)</f>
        <v>Examensarbete för ämneslärarexamen - Fysik</v>
      </c>
      <c r="D91" s="31" t="s">
        <v>483</v>
      </c>
      <c r="F91" s="59">
        <v>2019</v>
      </c>
      <c r="Q91" s="237">
        <v>0.375</v>
      </c>
      <c r="R91" s="40">
        <v>0.85</v>
      </c>
      <c r="S91" s="313">
        <f t="shared" si="27"/>
        <v>0.31874999999999998</v>
      </c>
      <c r="T91" s="31">
        <f>VLOOKUP(A91,'Ansvar kurs'!$A$1:$C$1027,2,FALSE)</f>
        <v>5740</v>
      </c>
      <c r="U91" s="31" t="str">
        <f>VLOOKUP(T91,Orgenheter!$A$1:$C$165,2,FALSE)</f>
        <v>NMD</v>
      </c>
      <c r="V91" s="31" t="str">
        <f>VLOOKUP(T91,Orgenheter!$A$1:$C$165,3,FALSE)</f>
        <v>TekNat</v>
      </c>
      <c r="W91" s="37" t="str">
        <f>VLOOKUP(D91,Program!$A$1:$B$34,2,FALSE)</f>
        <v>Ämneslärarprogrammet - Gy</v>
      </c>
      <c r="X91" s="42">
        <f>VLOOKUP(A91,kurspris!$A$1:$Q$815,15,FALSE)</f>
        <v>19473</v>
      </c>
      <c r="Y91" s="42">
        <f>VLOOKUP(A91,kurspris!$A$1:$Q$815,16,FALSE)</f>
        <v>34806</v>
      </c>
      <c r="Z91" s="42">
        <f t="shared" si="28"/>
        <v>18396.787499999999</v>
      </c>
      <c r="AA91" s="42">
        <f>VLOOKUP(A91,kurspris!$A$1:$Q$815,17,FALSE)</f>
        <v>21800</v>
      </c>
      <c r="AB91" s="42">
        <f t="shared" si="29"/>
        <v>8175</v>
      </c>
      <c r="AC91" s="42">
        <f t="shared" si="30"/>
        <v>26571.787499999999</v>
      </c>
      <c r="AD91" s="31">
        <f>VLOOKUP($A91,kurspris!$A$1:$Q$852,3,FALSE)</f>
        <v>0</v>
      </c>
      <c r="AE91" s="31">
        <f>VLOOKUP($A91,kurspris!$A$1:$Q$852,4,FALSE)</f>
        <v>0</v>
      </c>
      <c r="AF91" s="31">
        <f>VLOOKUP($A91,kurspris!$A$1:$Q$852,5,FALSE)</f>
        <v>0</v>
      </c>
      <c r="AG91" s="31">
        <f>VLOOKUP($A91,kurspris!$A$1:$Q$852,6,FALSE)</f>
        <v>0</v>
      </c>
      <c r="AH91" s="31">
        <f>VLOOKUP($A91,kurspris!$A$1:$Q$852,7,FALSE)</f>
        <v>0</v>
      </c>
      <c r="AI91" s="31">
        <f>VLOOKUP($A91,kurspris!$A$1:$Q$852,8,FALSE)</f>
        <v>1</v>
      </c>
      <c r="AJ91" s="31">
        <f>VLOOKUP($A91,kurspris!$A$1:$Q$852,9,FALSE)</f>
        <v>0</v>
      </c>
      <c r="AK91" s="31">
        <f>VLOOKUP($A91,kurspris!$A$1:$Q$852,10,FALSE)</f>
        <v>0</v>
      </c>
      <c r="AL91" s="31">
        <f>VLOOKUP($A91,kurspris!$A$1:$Q$852,11,FALSE)</f>
        <v>0</v>
      </c>
      <c r="AM91" s="31">
        <f>VLOOKUP($A91,kurspris!$A$1:$Q$852,12,FALSE)</f>
        <v>0</v>
      </c>
      <c r="AN91" s="31">
        <f>VLOOKUP($A91,kurspris!$A$1:$Q$852,13,FALSE)</f>
        <v>0</v>
      </c>
      <c r="AO91" s="31">
        <f>VLOOKUP($A91,kurspris!$A$1:$Q$852,14,FALSE)</f>
        <v>0</v>
      </c>
      <c r="AP91" s="59" t="s">
        <v>2216</v>
      </c>
      <c r="AR91" s="31">
        <f t="shared" si="31"/>
        <v>0</v>
      </c>
      <c r="AS91" s="237">
        <f t="shared" si="32"/>
        <v>0</v>
      </c>
      <c r="AT91" s="31">
        <f t="shared" si="33"/>
        <v>0</v>
      </c>
      <c r="AU91" s="237">
        <f t="shared" si="34"/>
        <v>0</v>
      </c>
      <c r="AV91" s="31">
        <f t="shared" si="35"/>
        <v>0</v>
      </c>
      <c r="AW91" s="31">
        <f t="shared" si="36"/>
        <v>0</v>
      </c>
      <c r="AX91" s="31">
        <f t="shared" si="37"/>
        <v>0</v>
      </c>
      <c r="AY91" s="237">
        <f t="shared" si="38"/>
        <v>0</v>
      </c>
      <c r="AZ91" s="214">
        <f t="shared" si="39"/>
        <v>0</v>
      </c>
      <c r="BA91" s="237">
        <f t="shared" si="40"/>
        <v>0</v>
      </c>
      <c r="BB91" s="31">
        <f t="shared" si="41"/>
        <v>0.375</v>
      </c>
      <c r="BC91" s="237">
        <f t="shared" si="42"/>
        <v>0.31874999999999998</v>
      </c>
      <c r="BD91" s="31">
        <f t="shared" si="43"/>
        <v>0</v>
      </c>
      <c r="BE91" s="237">
        <f t="shared" si="44"/>
        <v>0</v>
      </c>
      <c r="BF91" s="31">
        <f t="shared" si="45"/>
        <v>0</v>
      </c>
      <c r="BG91" s="237">
        <f t="shared" si="46"/>
        <v>0</v>
      </c>
      <c r="BH91" s="31">
        <f t="shared" si="47"/>
        <v>0</v>
      </c>
      <c r="BI91" s="237">
        <f t="shared" si="48"/>
        <v>0</v>
      </c>
      <c r="BJ91" s="31">
        <f t="shared" si="49"/>
        <v>0</v>
      </c>
      <c r="BK91" s="31">
        <f t="shared" si="50"/>
        <v>0</v>
      </c>
      <c r="BL91" s="237">
        <f t="shared" si="51"/>
        <v>0</v>
      </c>
      <c r="BM91" s="31">
        <f t="shared" si="52"/>
        <v>0</v>
      </c>
      <c r="BN91" s="237">
        <f t="shared" si="53"/>
        <v>0</v>
      </c>
    </row>
    <row r="92" spans="1:66" x14ac:dyDescent="0.25">
      <c r="A92" s="159" t="s">
        <v>1727</v>
      </c>
      <c r="B92" s="182" t="str">
        <f>VLOOKUP(A92,kurspris!$A$1:$B$894,2,FALSE)</f>
        <v>Astronomi och meteorologi</v>
      </c>
      <c r="C92" s="37"/>
      <c r="D92" s="31" t="s">
        <v>483</v>
      </c>
      <c r="F92" s="59">
        <v>2019</v>
      </c>
      <c r="Q92" s="237">
        <v>1.625</v>
      </c>
      <c r="R92" s="40">
        <v>0.85</v>
      </c>
      <c r="S92" s="313">
        <f t="shared" si="27"/>
        <v>1.3812499999999999</v>
      </c>
      <c r="T92" s="31">
        <f>VLOOKUP(A92,'Ansvar kurs'!$A$1:$C$1027,2,FALSE)</f>
        <v>5400</v>
      </c>
      <c r="U92" s="31" t="str">
        <f>VLOOKUP(T92,Orgenheter!$A$1:$C$165,2,FALSE)</f>
        <v xml:space="preserve">Inst för Fysik                </v>
      </c>
      <c r="V92" s="31" t="str">
        <f>VLOOKUP(T92,Orgenheter!$A$1:$C$165,3,FALSE)</f>
        <v>TekNat</v>
      </c>
      <c r="W92" s="37" t="str">
        <f>VLOOKUP(D92,Program!$A$1:$B$34,2,FALSE)</f>
        <v>Ämneslärarprogrammet - Gy</v>
      </c>
      <c r="X92" s="42">
        <f>VLOOKUP(A92,kurspris!$A$1:$Q$815,15,FALSE)</f>
        <v>19473</v>
      </c>
      <c r="Y92" s="42">
        <f>VLOOKUP(A92,kurspris!$A$1:$Q$815,16,FALSE)</f>
        <v>34806</v>
      </c>
      <c r="Z92" s="42">
        <f t="shared" si="28"/>
        <v>79719.412500000006</v>
      </c>
      <c r="AA92" s="42">
        <f>VLOOKUP(A92,kurspris!$A$1:$Q$815,17,FALSE)</f>
        <v>21800</v>
      </c>
      <c r="AB92" s="42">
        <f t="shared" si="29"/>
        <v>35425</v>
      </c>
      <c r="AC92" s="42">
        <f t="shared" si="30"/>
        <v>115144.41250000001</v>
      </c>
      <c r="AD92" s="31">
        <f>VLOOKUP($A92,kurspris!$A$1:$Q$852,3,FALSE)</f>
        <v>0</v>
      </c>
      <c r="AE92" s="31">
        <f>VLOOKUP($A92,kurspris!$A$1:$Q$852,4,FALSE)</f>
        <v>0</v>
      </c>
      <c r="AF92" s="31">
        <f>VLOOKUP($A92,kurspris!$A$1:$Q$852,5,FALSE)</f>
        <v>0</v>
      </c>
      <c r="AG92" s="31">
        <f>VLOOKUP($A92,kurspris!$A$1:$Q$852,6,FALSE)</f>
        <v>0</v>
      </c>
      <c r="AH92" s="31">
        <f>VLOOKUP($A92,kurspris!$A$1:$Q$852,7,FALSE)</f>
        <v>0</v>
      </c>
      <c r="AI92" s="31">
        <f>VLOOKUP($A92,kurspris!$A$1:$Q$852,8,FALSE)</f>
        <v>0.5</v>
      </c>
      <c r="AJ92" s="31">
        <f>VLOOKUP($A92,kurspris!$A$1:$Q$852,9,FALSE)</f>
        <v>0</v>
      </c>
      <c r="AK92" s="31">
        <f>VLOOKUP($A92,kurspris!$A$1:$Q$852,10,FALSE)</f>
        <v>0.5</v>
      </c>
      <c r="AL92" s="31">
        <f>VLOOKUP($A92,kurspris!$A$1:$Q$852,11,FALSE)</f>
        <v>0</v>
      </c>
      <c r="AM92" s="31">
        <f>VLOOKUP($A92,kurspris!$A$1:$Q$852,12,FALSE)</f>
        <v>0</v>
      </c>
      <c r="AN92" s="31">
        <f>VLOOKUP($A92,kurspris!$A$1:$Q$852,13,FALSE)</f>
        <v>0</v>
      </c>
      <c r="AO92" s="31">
        <f>VLOOKUP($A92,kurspris!$A$1:$Q$852,14,FALSE)</f>
        <v>0</v>
      </c>
      <c r="AP92" s="59" t="s">
        <v>2216</v>
      </c>
      <c r="AQ92" s="59"/>
      <c r="AR92" s="31">
        <f t="shared" si="31"/>
        <v>0</v>
      </c>
      <c r="AS92" s="237">
        <f t="shared" si="32"/>
        <v>0</v>
      </c>
      <c r="AT92" s="31">
        <f t="shared" si="33"/>
        <v>0</v>
      </c>
      <c r="AU92" s="237">
        <f t="shared" si="34"/>
        <v>0</v>
      </c>
      <c r="AV92" s="31">
        <f t="shared" si="35"/>
        <v>0</v>
      </c>
      <c r="AW92" s="31">
        <f t="shared" si="36"/>
        <v>0</v>
      </c>
      <c r="AX92" s="31">
        <f t="shared" si="37"/>
        <v>0</v>
      </c>
      <c r="AY92" s="237">
        <f t="shared" si="38"/>
        <v>0</v>
      </c>
      <c r="AZ92" s="214">
        <f t="shared" si="39"/>
        <v>0</v>
      </c>
      <c r="BA92" s="237">
        <f t="shared" si="40"/>
        <v>0</v>
      </c>
      <c r="BB92" s="31">
        <f t="shared" si="41"/>
        <v>0.8125</v>
      </c>
      <c r="BC92" s="237">
        <f t="shared" si="42"/>
        <v>0.69062499999999993</v>
      </c>
      <c r="BD92" s="31">
        <f t="shared" si="43"/>
        <v>0</v>
      </c>
      <c r="BE92" s="237">
        <f t="shared" si="44"/>
        <v>0</v>
      </c>
      <c r="BF92" s="31">
        <f t="shared" si="45"/>
        <v>0.8125</v>
      </c>
      <c r="BG92" s="237">
        <f t="shared" si="46"/>
        <v>0.69062499999999993</v>
      </c>
      <c r="BH92" s="31">
        <f t="shared" si="47"/>
        <v>0</v>
      </c>
      <c r="BI92" s="237">
        <f t="shared" si="48"/>
        <v>0</v>
      </c>
      <c r="BJ92" s="31">
        <f t="shared" si="49"/>
        <v>0</v>
      </c>
      <c r="BK92" s="31">
        <f t="shared" si="50"/>
        <v>0</v>
      </c>
      <c r="BL92" s="237">
        <f t="shared" si="51"/>
        <v>0</v>
      </c>
      <c r="BM92" s="31">
        <f t="shared" si="52"/>
        <v>0</v>
      </c>
      <c r="BN92" s="237">
        <f t="shared" si="53"/>
        <v>0</v>
      </c>
    </row>
    <row r="93" spans="1:66" x14ac:dyDescent="0.25">
      <c r="A93" s="31" t="s">
        <v>1727</v>
      </c>
      <c r="B93" s="182" t="str">
        <f>VLOOKUP(A93,kurspris!$A$1:$B$894,2,FALSE)</f>
        <v>Astronomi och meteorologi</v>
      </c>
      <c r="D93" s="31" t="s">
        <v>117</v>
      </c>
      <c r="F93" s="59">
        <v>2019</v>
      </c>
      <c r="Q93" s="237">
        <v>2.75</v>
      </c>
      <c r="R93" s="40">
        <v>0.8</v>
      </c>
      <c r="S93" s="313">
        <f t="shared" si="27"/>
        <v>2.2000000000000002</v>
      </c>
      <c r="T93" s="31">
        <f>VLOOKUP(A93,'Ansvar kurs'!$A$1:$C$1027,2,FALSE)</f>
        <v>5400</v>
      </c>
      <c r="U93" s="31" t="str">
        <f>VLOOKUP(T93,Orgenheter!$A$1:$C$165,2,FALSE)</f>
        <v xml:space="preserve">Inst för Fysik                </v>
      </c>
      <c r="V93" s="31" t="str">
        <f>VLOOKUP(T93,Orgenheter!$A$1:$C$165,3,FALSE)</f>
        <v>TekNat</v>
      </c>
      <c r="W93" s="37" t="str">
        <f>VLOOKUP(D93,Program!$A$1:$B$34,2,FALSE)</f>
        <v>Fristående och övriga kurser</v>
      </c>
      <c r="X93" s="42">
        <f>VLOOKUP(A93,kurspris!$A$1:$Q$815,15,FALSE)</f>
        <v>19473</v>
      </c>
      <c r="Y93" s="42">
        <f>VLOOKUP(A93,kurspris!$A$1:$Q$815,16,FALSE)</f>
        <v>34806</v>
      </c>
      <c r="Z93" s="42">
        <f t="shared" si="28"/>
        <v>130123.95000000001</v>
      </c>
      <c r="AA93" s="42">
        <f>VLOOKUP(A93,kurspris!$A$1:$Q$815,17,FALSE)</f>
        <v>21800</v>
      </c>
      <c r="AB93" s="42">
        <f t="shared" si="29"/>
        <v>59950</v>
      </c>
      <c r="AC93" s="42">
        <f t="shared" si="30"/>
        <v>190073.95</v>
      </c>
      <c r="AD93" s="31">
        <f>VLOOKUP($A93,kurspris!$A$1:$Q$852,3,FALSE)</f>
        <v>0</v>
      </c>
      <c r="AE93" s="31">
        <f>VLOOKUP($A93,kurspris!$A$1:$Q$852,4,FALSE)</f>
        <v>0</v>
      </c>
      <c r="AF93" s="31">
        <f>VLOOKUP($A93,kurspris!$A$1:$Q$852,5,FALSE)</f>
        <v>0</v>
      </c>
      <c r="AG93" s="31">
        <f>VLOOKUP($A93,kurspris!$A$1:$Q$852,6,FALSE)</f>
        <v>0</v>
      </c>
      <c r="AH93" s="31">
        <f>VLOOKUP($A93,kurspris!$A$1:$Q$852,7,FALSE)</f>
        <v>0</v>
      </c>
      <c r="AI93" s="31">
        <f>VLOOKUP($A93,kurspris!$A$1:$Q$852,8,FALSE)</f>
        <v>0.5</v>
      </c>
      <c r="AJ93" s="31">
        <f>VLOOKUP($A93,kurspris!$A$1:$Q$852,9,FALSE)</f>
        <v>0</v>
      </c>
      <c r="AK93" s="31">
        <f>VLOOKUP($A93,kurspris!$A$1:$Q$852,10,FALSE)</f>
        <v>0.5</v>
      </c>
      <c r="AL93" s="31">
        <f>VLOOKUP($A93,kurspris!$A$1:$Q$852,11,FALSE)</f>
        <v>0</v>
      </c>
      <c r="AM93" s="31">
        <f>VLOOKUP($A93,kurspris!$A$1:$Q$852,12,FALSE)</f>
        <v>0</v>
      </c>
      <c r="AN93" s="31">
        <f>VLOOKUP($A93,kurspris!$A$1:$Q$852,13,FALSE)</f>
        <v>0</v>
      </c>
      <c r="AO93" s="31">
        <f>VLOOKUP($A93,kurspris!$A$1:$Q$852,14,FALSE)</f>
        <v>0</v>
      </c>
      <c r="AP93" s="59" t="s">
        <v>2216</v>
      </c>
      <c r="AR93" s="31">
        <f t="shared" si="31"/>
        <v>0</v>
      </c>
      <c r="AS93" s="237">
        <f t="shared" si="32"/>
        <v>0</v>
      </c>
      <c r="AT93" s="31">
        <f t="shared" si="33"/>
        <v>0</v>
      </c>
      <c r="AU93" s="237">
        <f t="shared" si="34"/>
        <v>0</v>
      </c>
      <c r="AV93" s="31">
        <f t="shared" si="35"/>
        <v>0</v>
      </c>
      <c r="AW93" s="31">
        <f t="shared" si="36"/>
        <v>0</v>
      </c>
      <c r="AX93" s="31">
        <f t="shared" si="37"/>
        <v>0</v>
      </c>
      <c r="AY93" s="237">
        <f t="shared" si="38"/>
        <v>0</v>
      </c>
      <c r="AZ93" s="214">
        <f t="shared" si="39"/>
        <v>0</v>
      </c>
      <c r="BA93" s="237">
        <f t="shared" si="40"/>
        <v>0</v>
      </c>
      <c r="BB93" s="31">
        <f t="shared" si="41"/>
        <v>1.375</v>
      </c>
      <c r="BC93" s="237">
        <f t="shared" si="42"/>
        <v>1.1000000000000001</v>
      </c>
      <c r="BD93" s="31">
        <f t="shared" si="43"/>
        <v>0</v>
      </c>
      <c r="BE93" s="237">
        <f t="shared" si="44"/>
        <v>0</v>
      </c>
      <c r="BF93" s="31">
        <f t="shared" si="45"/>
        <v>1.375</v>
      </c>
      <c r="BG93" s="237">
        <f t="shared" si="46"/>
        <v>1.1000000000000001</v>
      </c>
      <c r="BH93" s="31">
        <f t="shared" si="47"/>
        <v>0</v>
      </c>
      <c r="BI93" s="237">
        <f t="shared" si="48"/>
        <v>0</v>
      </c>
      <c r="BJ93" s="31">
        <f t="shared" si="49"/>
        <v>0</v>
      </c>
      <c r="BK93" s="31">
        <f t="shared" si="50"/>
        <v>0</v>
      </c>
      <c r="BL93" s="237">
        <f t="shared" si="51"/>
        <v>0</v>
      </c>
      <c r="BM93" s="31">
        <f t="shared" si="52"/>
        <v>0</v>
      </c>
      <c r="BN93" s="237">
        <f t="shared" si="53"/>
        <v>0</v>
      </c>
    </row>
    <row r="94" spans="1:66" x14ac:dyDescent="0.25">
      <c r="A94" s="31" t="s">
        <v>1855</v>
      </c>
      <c r="B94" s="182" t="str">
        <f>VLOOKUP(A94,kurspris!$A$1:$B$894,2,FALSE)</f>
        <v>Matematiska metoder i fysik</v>
      </c>
      <c r="D94" s="31" t="s">
        <v>483</v>
      </c>
      <c r="F94" s="59">
        <v>2019</v>
      </c>
      <c r="Q94" s="237">
        <v>0.25</v>
      </c>
      <c r="R94" s="40">
        <v>0.85</v>
      </c>
      <c r="S94" s="313">
        <f t="shared" si="27"/>
        <v>0.21249999999999999</v>
      </c>
      <c r="T94" s="31">
        <f>VLOOKUP(A94,'Ansvar kurs'!$A$1:$C$1027,2,FALSE)</f>
        <v>5400</v>
      </c>
      <c r="U94" s="31" t="str">
        <f>VLOOKUP(T94,Orgenheter!$A$1:$C$165,2,FALSE)</f>
        <v xml:space="preserve">Inst för Fysik                </v>
      </c>
      <c r="V94" s="31" t="str">
        <f>VLOOKUP(T94,Orgenheter!$A$1:$C$165,3,FALSE)</f>
        <v>TekNat</v>
      </c>
      <c r="W94" s="37" t="str">
        <f>VLOOKUP(D94,Program!$A$1:$B$34,2,FALSE)</f>
        <v>Ämneslärarprogrammet - Gy</v>
      </c>
      <c r="X94" s="42">
        <f>VLOOKUP(A94,kurspris!$A$1:$Q$815,15,FALSE)</f>
        <v>19473</v>
      </c>
      <c r="Y94" s="42">
        <f>VLOOKUP(A94,kurspris!$A$1:$Q$815,16,FALSE)</f>
        <v>34806</v>
      </c>
      <c r="Z94" s="42">
        <f t="shared" si="28"/>
        <v>12264.525</v>
      </c>
      <c r="AA94" s="42">
        <f>VLOOKUP(A94,kurspris!$A$1:$Q$815,17,FALSE)</f>
        <v>21800</v>
      </c>
      <c r="AB94" s="42">
        <f t="shared" si="29"/>
        <v>5450</v>
      </c>
      <c r="AC94" s="42">
        <f t="shared" si="30"/>
        <v>17714.525000000001</v>
      </c>
      <c r="AD94" s="31">
        <f>VLOOKUP($A94,kurspris!$A$1:$Q$852,3,FALSE)</f>
        <v>0</v>
      </c>
      <c r="AE94" s="31">
        <f>VLOOKUP($A94,kurspris!$A$1:$Q$852,4,FALSE)</f>
        <v>0</v>
      </c>
      <c r="AF94" s="31">
        <f>VLOOKUP($A94,kurspris!$A$1:$Q$852,5,FALSE)</f>
        <v>0</v>
      </c>
      <c r="AG94" s="31">
        <f>VLOOKUP($A94,kurspris!$A$1:$Q$852,6,FALSE)</f>
        <v>0</v>
      </c>
      <c r="AH94" s="31">
        <f>VLOOKUP($A94,kurspris!$A$1:$Q$852,7,FALSE)</f>
        <v>0</v>
      </c>
      <c r="AI94" s="31">
        <f>VLOOKUP($A94,kurspris!$A$1:$Q$852,8,FALSE)</f>
        <v>0</v>
      </c>
      <c r="AJ94" s="31">
        <f>VLOOKUP($A94,kurspris!$A$1:$Q$852,9,FALSE)</f>
        <v>0</v>
      </c>
      <c r="AK94" s="31">
        <f>VLOOKUP($A94,kurspris!$A$1:$Q$852,10,FALSE)</f>
        <v>1</v>
      </c>
      <c r="AL94" s="31">
        <f>VLOOKUP($A94,kurspris!$A$1:$Q$852,11,FALSE)</f>
        <v>0</v>
      </c>
      <c r="AM94" s="31">
        <f>VLOOKUP($A94,kurspris!$A$1:$Q$852,12,FALSE)</f>
        <v>0</v>
      </c>
      <c r="AN94" s="31">
        <f>VLOOKUP($A94,kurspris!$A$1:$Q$852,13,FALSE)</f>
        <v>0</v>
      </c>
      <c r="AO94" s="31">
        <f>VLOOKUP($A94,kurspris!$A$1:$Q$852,14,FALSE)</f>
        <v>0</v>
      </c>
      <c r="AP94" s="59" t="s">
        <v>2216</v>
      </c>
      <c r="AR94" s="31">
        <f t="shared" si="31"/>
        <v>0</v>
      </c>
      <c r="AS94" s="237">
        <f t="shared" si="32"/>
        <v>0</v>
      </c>
      <c r="AT94" s="31">
        <f t="shared" si="33"/>
        <v>0</v>
      </c>
      <c r="AU94" s="237">
        <f t="shared" si="34"/>
        <v>0</v>
      </c>
      <c r="AV94" s="31">
        <f t="shared" si="35"/>
        <v>0</v>
      </c>
      <c r="AW94" s="31">
        <f t="shared" si="36"/>
        <v>0</v>
      </c>
      <c r="AX94" s="31">
        <f t="shared" si="37"/>
        <v>0</v>
      </c>
      <c r="AY94" s="237">
        <f t="shared" si="38"/>
        <v>0</v>
      </c>
      <c r="AZ94" s="214">
        <f t="shared" si="39"/>
        <v>0</v>
      </c>
      <c r="BA94" s="237">
        <f t="shared" si="40"/>
        <v>0</v>
      </c>
      <c r="BB94" s="31">
        <f t="shared" si="41"/>
        <v>0</v>
      </c>
      <c r="BC94" s="237">
        <f t="shared" si="42"/>
        <v>0</v>
      </c>
      <c r="BD94" s="31">
        <f t="shared" si="43"/>
        <v>0</v>
      </c>
      <c r="BE94" s="237">
        <f t="shared" si="44"/>
        <v>0</v>
      </c>
      <c r="BF94" s="31">
        <f t="shared" si="45"/>
        <v>0.25</v>
      </c>
      <c r="BG94" s="237">
        <f t="shared" si="46"/>
        <v>0.21249999999999999</v>
      </c>
      <c r="BH94" s="31">
        <f t="shared" si="47"/>
        <v>0</v>
      </c>
      <c r="BI94" s="237">
        <f t="shared" si="48"/>
        <v>0</v>
      </c>
      <c r="BJ94" s="31">
        <f t="shared" si="49"/>
        <v>0</v>
      </c>
      <c r="BK94" s="31">
        <f t="shared" si="50"/>
        <v>0</v>
      </c>
      <c r="BL94" s="237">
        <f t="shared" si="51"/>
        <v>0</v>
      </c>
      <c r="BM94" s="31">
        <f t="shared" si="52"/>
        <v>0</v>
      </c>
      <c r="BN94" s="237">
        <f t="shared" si="53"/>
        <v>0</v>
      </c>
    </row>
    <row r="95" spans="1:66" x14ac:dyDescent="0.25">
      <c r="A95" s="31" t="s">
        <v>1495</v>
      </c>
      <c r="B95" s="182" t="str">
        <f>VLOOKUP(A95,kurspris!$A$1:$B$894,2,FALSE)</f>
        <v>Fysikdidaktik 1 för ämneslärare för gymnasium</v>
      </c>
      <c r="D95" s="31" t="s">
        <v>483</v>
      </c>
      <c r="F95" s="59">
        <v>2019</v>
      </c>
      <c r="Q95" s="237">
        <v>0.5</v>
      </c>
      <c r="R95" s="40">
        <v>0.85</v>
      </c>
      <c r="S95" s="313">
        <f t="shared" si="27"/>
        <v>0.42499999999999999</v>
      </c>
      <c r="T95" s="31">
        <f>VLOOKUP(A95,'Ansvar kurs'!$A$1:$C$1027,2,FALSE)</f>
        <v>5740</v>
      </c>
      <c r="U95" s="31" t="str">
        <f>VLOOKUP(T95,Orgenheter!$A$1:$C$165,2,FALSE)</f>
        <v>NMD</v>
      </c>
      <c r="V95" s="31" t="str">
        <f>VLOOKUP(T95,Orgenheter!$A$1:$C$165,3,FALSE)</f>
        <v>TekNat</v>
      </c>
      <c r="W95" s="37" t="str">
        <f>VLOOKUP(D95,Program!$A$1:$B$34,2,FALSE)</f>
        <v>Ämneslärarprogrammet - Gy</v>
      </c>
      <c r="X95" s="42">
        <f>VLOOKUP(A95,kurspris!$A$1:$Q$815,15,FALSE)</f>
        <v>19473</v>
      </c>
      <c r="Y95" s="42">
        <f>VLOOKUP(A95,kurspris!$A$1:$Q$815,16,FALSE)</f>
        <v>34806</v>
      </c>
      <c r="Z95" s="42">
        <f t="shared" si="28"/>
        <v>24529.05</v>
      </c>
      <c r="AA95" s="42">
        <f>VLOOKUP(A95,kurspris!$A$1:$Q$815,17,FALSE)</f>
        <v>21800</v>
      </c>
      <c r="AB95" s="42">
        <f t="shared" si="29"/>
        <v>10900</v>
      </c>
      <c r="AC95" s="42">
        <f t="shared" si="30"/>
        <v>35429.050000000003</v>
      </c>
      <c r="AD95" s="31">
        <f>VLOOKUP($A95,kurspris!$A$1:$Q$852,3,FALSE)</f>
        <v>0</v>
      </c>
      <c r="AE95" s="31">
        <f>VLOOKUP($A95,kurspris!$A$1:$Q$852,4,FALSE)</f>
        <v>0</v>
      </c>
      <c r="AF95" s="31">
        <f>VLOOKUP($A95,kurspris!$A$1:$Q$852,5,FALSE)</f>
        <v>0</v>
      </c>
      <c r="AG95" s="31">
        <f>VLOOKUP($A95,kurspris!$A$1:$Q$852,6,FALSE)</f>
        <v>0</v>
      </c>
      <c r="AH95" s="31">
        <f>VLOOKUP($A95,kurspris!$A$1:$Q$852,7,FALSE)</f>
        <v>0</v>
      </c>
      <c r="AI95" s="31">
        <f>VLOOKUP($A95,kurspris!$A$1:$Q$852,8,FALSE)</f>
        <v>1</v>
      </c>
      <c r="AJ95" s="31">
        <f>VLOOKUP($A95,kurspris!$A$1:$Q$852,9,FALSE)</f>
        <v>0</v>
      </c>
      <c r="AK95" s="31">
        <f>VLOOKUP($A95,kurspris!$A$1:$Q$852,10,FALSE)</f>
        <v>0</v>
      </c>
      <c r="AL95" s="31">
        <f>VLOOKUP($A95,kurspris!$A$1:$Q$852,11,FALSE)</f>
        <v>0</v>
      </c>
      <c r="AM95" s="31">
        <f>VLOOKUP($A95,kurspris!$A$1:$Q$852,12,FALSE)</f>
        <v>0</v>
      </c>
      <c r="AN95" s="31">
        <f>VLOOKUP($A95,kurspris!$A$1:$Q$852,13,FALSE)</f>
        <v>0</v>
      </c>
      <c r="AO95" s="31">
        <f>VLOOKUP($A95,kurspris!$A$1:$Q$852,14,FALSE)</f>
        <v>0</v>
      </c>
      <c r="AP95" s="59" t="s">
        <v>2216</v>
      </c>
      <c r="AR95" s="31">
        <f t="shared" si="31"/>
        <v>0</v>
      </c>
      <c r="AS95" s="237">
        <f t="shared" si="32"/>
        <v>0</v>
      </c>
      <c r="AT95" s="31">
        <f t="shared" si="33"/>
        <v>0</v>
      </c>
      <c r="AU95" s="237">
        <f t="shared" si="34"/>
        <v>0</v>
      </c>
      <c r="AV95" s="31">
        <f t="shared" si="35"/>
        <v>0</v>
      </c>
      <c r="AW95" s="31">
        <f t="shared" si="36"/>
        <v>0</v>
      </c>
      <c r="AX95" s="31">
        <f t="shared" si="37"/>
        <v>0</v>
      </c>
      <c r="AY95" s="237">
        <f t="shared" si="38"/>
        <v>0</v>
      </c>
      <c r="AZ95" s="214">
        <f t="shared" si="39"/>
        <v>0</v>
      </c>
      <c r="BA95" s="237">
        <f t="shared" si="40"/>
        <v>0</v>
      </c>
      <c r="BB95" s="31">
        <f t="shared" si="41"/>
        <v>0.5</v>
      </c>
      <c r="BC95" s="237">
        <f t="shared" si="42"/>
        <v>0.42499999999999999</v>
      </c>
      <c r="BD95" s="31">
        <f t="shared" si="43"/>
        <v>0</v>
      </c>
      <c r="BE95" s="237">
        <f t="shared" si="44"/>
        <v>0</v>
      </c>
      <c r="BF95" s="31">
        <f t="shared" si="45"/>
        <v>0</v>
      </c>
      <c r="BG95" s="237">
        <f t="shared" si="46"/>
        <v>0</v>
      </c>
      <c r="BH95" s="31">
        <f t="shared" si="47"/>
        <v>0</v>
      </c>
      <c r="BI95" s="237">
        <f t="shared" si="48"/>
        <v>0</v>
      </c>
      <c r="BJ95" s="31">
        <f t="shared" si="49"/>
        <v>0</v>
      </c>
      <c r="BK95" s="31">
        <f t="shared" si="50"/>
        <v>0</v>
      </c>
      <c r="BL95" s="237">
        <f t="shared" si="51"/>
        <v>0</v>
      </c>
      <c r="BM95" s="31">
        <f t="shared" si="52"/>
        <v>0</v>
      </c>
      <c r="BN95" s="237">
        <f t="shared" si="53"/>
        <v>0</v>
      </c>
    </row>
    <row r="96" spans="1:66" x14ac:dyDescent="0.25">
      <c r="A96" s="31" t="s">
        <v>1495</v>
      </c>
      <c r="B96" s="182" t="str">
        <f>VLOOKUP(A96,kurspris!$A$1:$B$894,2,FALSE)</f>
        <v>Fysikdidaktik 1 för ämneslärare för gymnasium</v>
      </c>
      <c r="D96" s="31" t="s">
        <v>117</v>
      </c>
      <c r="F96" s="59">
        <v>2019</v>
      </c>
      <c r="Q96" s="237">
        <v>0.25</v>
      </c>
      <c r="R96" s="40">
        <v>0.8</v>
      </c>
      <c r="S96" s="313">
        <f t="shared" si="27"/>
        <v>0.2</v>
      </c>
      <c r="T96" s="31">
        <f>VLOOKUP(A96,'Ansvar kurs'!$A$1:$C$1027,2,FALSE)</f>
        <v>5740</v>
      </c>
      <c r="U96" s="31" t="str">
        <f>VLOOKUP(T96,Orgenheter!$A$1:$C$165,2,FALSE)</f>
        <v>NMD</v>
      </c>
      <c r="V96" s="31" t="str">
        <f>VLOOKUP(T96,Orgenheter!$A$1:$C$165,3,FALSE)</f>
        <v>TekNat</v>
      </c>
      <c r="W96" s="37" t="str">
        <f>VLOOKUP(D96,Program!$A$1:$B$34,2,FALSE)</f>
        <v>Fristående och övriga kurser</v>
      </c>
      <c r="X96" s="42">
        <f>VLOOKUP(A96,kurspris!$A$1:$Q$815,15,FALSE)</f>
        <v>19473</v>
      </c>
      <c r="Y96" s="42">
        <f>VLOOKUP(A96,kurspris!$A$1:$Q$815,16,FALSE)</f>
        <v>34806</v>
      </c>
      <c r="Z96" s="42">
        <f t="shared" si="28"/>
        <v>11829.45</v>
      </c>
      <c r="AA96" s="42">
        <f>VLOOKUP(A96,kurspris!$A$1:$Q$815,17,FALSE)</f>
        <v>21800</v>
      </c>
      <c r="AB96" s="42">
        <f t="shared" si="29"/>
        <v>5450</v>
      </c>
      <c r="AC96" s="42">
        <f t="shared" si="30"/>
        <v>17279.45</v>
      </c>
      <c r="AD96" s="31">
        <f>VLOOKUP($A96,kurspris!$A$1:$Q$852,3,FALSE)</f>
        <v>0</v>
      </c>
      <c r="AE96" s="31">
        <f>VLOOKUP($A96,kurspris!$A$1:$Q$852,4,FALSE)</f>
        <v>0</v>
      </c>
      <c r="AF96" s="31">
        <f>VLOOKUP($A96,kurspris!$A$1:$Q$852,5,FALSE)</f>
        <v>0</v>
      </c>
      <c r="AG96" s="31">
        <f>VLOOKUP($A96,kurspris!$A$1:$Q$852,6,FALSE)</f>
        <v>0</v>
      </c>
      <c r="AH96" s="31">
        <f>VLOOKUP($A96,kurspris!$A$1:$Q$852,7,FALSE)</f>
        <v>0</v>
      </c>
      <c r="AI96" s="31">
        <f>VLOOKUP($A96,kurspris!$A$1:$Q$852,8,FALSE)</f>
        <v>1</v>
      </c>
      <c r="AJ96" s="31">
        <f>VLOOKUP($A96,kurspris!$A$1:$Q$852,9,FALSE)</f>
        <v>0</v>
      </c>
      <c r="AK96" s="31">
        <f>VLOOKUP($A96,kurspris!$A$1:$Q$852,10,FALSE)</f>
        <v>0</v>
      </c>
      <c r="AL96" s="31">
        <f>VLOOKUP($A96,kurspris!$A$1:$Q$852,11,FALSE)</f>
        <v>0</v>
      </c>
      <c r="AM96" s="31">
        <f>VLOOKUP($A96,kurspris!$A$1:$Q$852,12,FALSE)</f>
        <v>0</v>
      </c>
      <c r="AN96" s="31">
        <f>VLOOKUP($A96,kurspris!$A$1:$Q$852,13,FALSE)</f>
        <v>0</v>
      </c>
      <c r="AO96" s="31">
        <f>VLOOKUP($A96,kurspris!$A$1:$Q$852,14,FALSE)</f>
        <v>0</v>
      </c>
      <c r="AP96" s="59" t="s">
        <v>2216</v>
      </c>
      <c r="AR96" s="31">
        <f t="shared" si="31"/>
        <v>0</v>
      </c>
      <c r="AS96" s="237">
        <f t="shared" si="32"/>
        <v>0</v>
      </c>
      <c r="AT96" s="31">
        <f t="shared" si="33"/>
        <v>0</v>
      </c>
      <c r="AU96" s="237">
        <f t="shared" si="34"/>
        <v>0</v>
      </c>
      <c r="AV96" s="31">
        <f t="shared" si="35"/>
        <v>0</v>
      </c>
      <c r="AW96" s="31">
        <f t="shared" si="36"/>
        <v>0</v>
      </c>
      <c r="AX96" s="31">
        <f t="shared" si="37"/>
        <v>0</v>
      </c>
      <c r="AY96" s="237">
        <f t="shared" si="38"/>
        <v>0</v>
      </c>
      <c r="AZ96" s="214">
        <f t="shared" si="39"/>
        <v>0</v>
      </c>
      <c r="BA96" s="237">
        <f t="shared" si="40"/>
        <v>0</v>
      </c>
      <c r="BB96" s="31">
        <f t="shared" si="41"/>
        <v>0.25</v>
      </c>
      <c r="BC96" s="237">
        <f t="shared" si="42"/>
        <v>0.2</v>
      </c>
      <c r="BD96" s="31">
        <f t="shared" si="43"/>
        <v>0</v>
      </c>
      <c r="BE96" s="237">
        <f t="shared" si="44"/>
        <v>0</v>
      </c>
      <c r="BF96" s="31">
        <f t="shared" si="45"/>
        <v>0</v>
      </c>
      <c r="BG96" s="237">
        <f t="shared" si="46"/>
        <v>0</v>
      </c>
      <c r="BH96" s="31">
        <f t="shared" si="47"/>
        <v>0</v>
      </c>
      <c r="BI96" s="237">
        <f t="shared" si="48"/>
        <v>0</v>
      </c>
      <c r="BJ96" s="31">
        <f t="shared" si="49"/>
        <v>0</v>
      </c>
      <c r="BK96" s="31">
        <f t="shared" si="50"/>
        <v>0</v>
      </c>
      <c r="BL96" s="237">
        <f t="shared" si="51"/>
        <v>0</v>
      </c>
      <c r="BM96" s="31">
        <f t="shared" si="52"/>
        <v>0</v>
      </c>
      <c r="BN96" s="237">
        <f t="shared" si="53"/>
        <v>0</v>
      </c>
    </row>
    <row r="97" spans="1:66" x14ac:dyDescent="0.25">
      <c r="A97" s="31" t="s">
        <v>1496</v>
      </c>
      <c r="B97" s="182" t="str">
        <f>VLOOKUP(A97,kurspris!$A$1:$B$894,2,FALSE)</f>
        <v>Fysikdidaktik 2 för ämneslärare för gymnasium</v>
      </c>
      <c r="D97" s="31" t="s">
        <v>483</v>
      </c>
      <c r="F97" s="59">
        <v>2019</v>
      </c>
      <c r="Q97" s="237">
        <v>0.5</v>
      </c>
      <c r="R97" s="40">
        <v>0.85</v>
      </c>
      <c r="S97" s="313">
        <f t="shared" si="27"/>
        <v>0.42499999999999999</v>
      </c>
      <c r="T97" s="31">
        <f>VLOOKUP(A97,'Ansvar kurs'!$A$1:$C$1027,2,FALSE)</f>
        <v>5740</v>
      </c>
      <c r="U97" s="31" t="str">
        <f>VLOOKUP(T97,Orgenheter!$A$1:$C$165,2,FALSE)</f>
        <v>NMD</v>
      </c>
      <c r="V97" s="31" t="str">
        <f>VLOOKUP(T97,Orgenheter!$A$1:$C$165,3,FALSE)</f>
        <v>TekNat</v>
      </c>
      <c r="W97" s="37" t="str">
        <f>VLOOKUP(D97,Program!$A$1:$B$34,2,FALSE)</f>
        <v>Ämneslärarprogrammet - Gy</v>
      </c>
      <c r="X97" s="42">
        <f>VLOOKUP(A97,kurspris!$A$1:$Q$815,15,FALSE)</f>
        <v>19473</v>
      </c>
      <c r="Y97" s="42">
        <f>VLOOKUP(A97,kurspris!$A$1:$Q$815,16,FALSE)</f>
        <v>34806</v>
      </c>
      <c r="Z97" s="42">
        <f t="shared" si="28"/>
        <v>24529.05</v>
      </c>
      <c r="AA97" s="42">
        <f>VLOOKUP(A97,kurspris!$A$1:$Q$815,17,FALSE)</f>
        <v>21800</v>
      </c>
      <c r="AB97" s="42">
        <f t="shared" si="29"/>
        <v>10900</v>
      </c>
      <c r="AC97" s="42">
        <f t="shared" si="30"/>
        <v>35429.050000000003</v>
      </c>
      <c r="AD97" s="31">
        <f>VLOOKUP($A97,kurspris!$A$1:$Q$852,3,FALSE)</f>
        <v>0</v>
      </c>
      <c r="AE97" s="31">
        <f>VLOOKUP($A97,kurspris!$A$1:$Q$852,4,FALSE)</f>
        <v>0</v>
      </c>
      <c r="AF97" s="31">
        <f>VLOOKUP($A97,kurspris!$A$1:$Q$852,5,FALSE)</f>
        <v>0</v>
      </c>
      <c r="AG97" s="31">
        <f>VLOOKUP($A97,kurspris!$A$1:$Q$852,6,FALSE)</f>
        <v>0</v>
      </c>
      <c r="AH97" s="31">
        <f>VLOOKUP($A97,kurspris!$A$1:$Q$852,7,FALSE)</f>
        <v>0</v>
      </c>
      <c r="AI97" s="31">
        <f>VLOOKUP($A97,kurspris!$A$1:$Q$852,8,FALSE)</f>
        <v>1</v>
      </c>
      <c r="AJ97" s="31">
        <f>VLOOKUP($A97,kurspris!$A$1:$Q$852,9,FALSE)</f>
        <v>0</v>
      </c>
      <c r="AK97" s="31">
        <f>VLOOKUP($A97,kurspris!$A$1:$Q$852,10,FALSE)</f>
        <v>0</v>
      </c>
      <c r="AL97" s="31">
        <f>VLOOKUP($A97,kurspris!$A$1:$Q$852,11,FALSE)</f>
        <v>0</v>
      </c>
      <c r="AM97" s="31">
        <f>VLOOKUP($A97,kurspris!$A$1:$Q$852,12,FALSE)</f>
        <v>0</v>
      </c>
      <c r="AN97" s="31">
        <f>VLOOKUP($A97,kurspris!$A$1:$Q$852,13,FALSE)</f>
        <v>0</v>
      </c>
      <c r="AO97" s="31">
        <f>VLOOKUP($A97,kurspris!$A$1:$Q$852,14,FALSE)</f>
        <v>0</v>
      </c>
      <c r="AP97" s="59" t="s">
        <v>2216</v>
      </c>
      <c r="AR97" s="31">
        <f t="shared" si="31"/>
        <v>0</v>
      </c>
      <c r="AS97" s="237">
        <f t="shared" si="32"/>
        <v>0</v>
      </c>
      <c r="AT97" s="31">
        <f t="shared" si="33"/>
        <v>0</v>
      </c>
      <c r="AU97" s="237">
        <f t="shared" si="34"/>
        <v>0</v>
      </c>
      <c r="AV97" s="31">
        <f t="shared" si="35"/>
        <v>0</v>
      </c>
      <c r="AW97" s="31">
        <f t="shared" si="36"/>
        <v>0</v>
      </c>
      <c r="AX97" s="31">
        <f t="shared" si="37"/>
        <v>0</v>
      </c>
      <c r="AY97" s="237">
        <f t="shared" si="38"/>
        <v>0</v>
      </c>
      <c r="AZ97" s="214">
        <f t="shared" si="39"/>
        <v>0</v>
      </c>
      <c r="BA97" s="237">
        <f t="shared" si="40"/>
        <v>0</v>
      </c>
      <c r="BB97" s="31">
        <f t="shared" si="41"/>
        <v>0.5</v>
      </c>
      <c r="BC97" s="237">
        <f t="shared" si="42"/>
        <v>0.42499999999999999</v>
      </c>
      <c r="BD97" s="31">
        <f t="shared" si="43"/>
        <v>0</v>
      </c>
      <c r="BE97" s="237">
        <f t="shared" si="44"/>
        <v>0</v>
      </c>
      <c r="BF97" s="31">
        <f t="shared" si="45"/>
        <v>0</v>
      </c>
      <c r="BG97" s="237">
        <f t="shared" si="46"/>
        <v>0</v>
      </c>
      <c r="BH97" s="31">
        <f t="shared" si="47"/>
        <v>0</v>
      </c>
      <c r="BI97" s="237">
        <f t="shared" si="48"/>
        <v>0</v>
      </c>
      <c r="BJ97" s="31">
        <f t="shared" si="49"/>
        <v>0</v>
      </c>
      <c r="BK97" s="31">
        <f t="shared" si="50"/>
        <v>0</v>
      </c>
      <c r="BL97" s="237">
        <f t="shared" si="51"/>
        <v>0</v>
      </c>
      <c r="BM97" s="31">
        <f t="shared" si="52"/>
        <v>0</v>
      </c>
      <c r="BN97" s="237">
        <f t="shared" si="53"/>
        <v>0</v>
      </c>
    </row>
    <row r="98" spans="1:66" x14ac:dyDescent="0.25">
      <c r="A98" s="31" t="s">
        <v>1496</v>
      </c>
      <c r="B98" s="182" t="str">
        <f>VLOOKUP(A98,kurspris!$A$1:$B$894,2,FALSE)</f>
        <v>Fysikdidaktik 2 för ämneslärare för gymnasium</v>
      </c>
      <c r="D98" s="31" t="s">
        <v>117</v>
      </c>
      <c r="F98" s="59">
        <v>2019</v>
      </c>
      <c r="Q98" s="237">
        <v>0.25</v>
      </c>
      <c r="R98" s="40">
        <v>0.8</v>
      </c>
      <c r="S98" s="313">
        <f t="shared" si="27"/>
        <v>0.2</v>
      </c>
      <c r="T98" s="31">
        <f>VLOOKUP(A98,'Ansvar kurs'!$A$1:$C$1027,2,FALSE)</f>
        <v>5740</v>
      </c>
      <c r="U98" s="31" t="str">
        <f>VLOOKUP(T98,Orgenheter!$A$1:$C$165,2,FALSE)</f>
        <v>NMD</v>
      </c>
      <c r="V98" s="31" t="str">
        <f>VLOOKUP(T98,Orgenheter!$A$1:$C$165,3,FALSE)</f>
        <v>TekNat</v>
      </c>
      <c r="W98" s="37" t="str">
        <f>VLOOKUP(D98,Program!$A$1:$B$34,2,FALSE)</f>
        <v>Fristående och övriga kurser</v>
      </c>
      <c r="X98" s="42">
        <f>VLOOKUP(A98,kurspris!$A$1:$Q$815,15,FALSE)</f>
        <v>19473</v>
      </c>
      <c r="Y98" s="42">
        <f>VLOOKUP(A98,kurspris!$A$1:$Q$815,16,FALSE)</f>
        <v>34806</v>
      </c>
      <c r="Z98" s="42">
        <f t="shared" si="28"/>
        <v>11829.45</v>
      </c>
      <c r="AA98" s="42">
        <f>VLOOKUP(A98,kurspris!$A$1:$Q$815,17,FALSE)</f>
        <v>21800</v>
      </c>
      <c r="AB98" s="42">
        <f t="shared" si="29"/>
        <v>5450</v>
      </c>
      <c r="AC98" s="42">
        <f t="shared" si="30"/>
        <v>17279.45</v>
      </c>
      <c r="AD98" s="31">
        <f>VLOOKUP($A98,kurspris!$A$1:$Q$852,3,FALSE)</f>
        <v>0</v>
      </c>
      <c r="AE98" s="31">
        <f>VLOOKUP($A98,kurspris!$A$1:$Q$852,4,FALSE)</f>
        <v>0</v>
      </c>
      <c r="AF98" s="31">
        <f>VLOOKUP($A98,kurspris!$A$1:$Q$852,5,FALSE)</f>
        <v>0</v>
      </c>
      <c r="AG98" s="31">
        <f>VLOOKUP($A98,kurspris!$A$1:$Q$852,6,FALSE)</f>
        <v>0</v>
      </c>
      <c r="AH98" s="31">
        <f>VLOOKUP($A98,kurspris!$A$1:$Q$852,7,FALSE)</f>
        <v>0</v>
      </c>
      <c r="AI98" s="31">
        <f>VLOOKUP($A98,kurspris!$A$1:$Q$852,8,FALSE)</f>
        <v>1</v>
      </c>
      <c r="AJ98" s="31">
        <f>VLOOKUP($A98,kurspris!$A$1:$Q$852,9,FALSE)</f>
        <v>0</v>
      </c>
      <c r="AK98" s="31">
        <f>VLOOKUP($A98,kurspris!$A$1:$Q$852,10,FALSE)</f>
        <v>0</v>
      </c>
      <c r="AL98" s="31">
        <f>VLOOKUP($A98,kurspris!$A$1:$Q$852,11,FALSE)</f>
        <v>0</v>
      </c>
      <c r="AM98" s="31">
        <f>VLOOKUP($A98,kurspris!$A$1:$Q$852,12,FALSE)</f>
        <v>0</v>
      </c>
      <c r="AN98" s="31">
        <f>VLOOKUP($A98,kurspris!$A$1:$Q$852,13,FALSE)</f>
        <v>0</v>
      </c>
      <c r="AO98" s="31">
        <f>VLOOKUP($A98,kurspris!$A$1:$Q$852,14,FALSE)</f>
        <v>0</v>
      </c>
      <c r="AP98" s="59" t="s">
        <v>2216</v>
      </c>
      <c r="AR98" s="31">
        <f t="shared" si="31"/>
        <v>0</v>
      </c>
      <c r="AS98" s="237">
        <f t="shared" si="32"/>
        <v>0</v>
      </c>
      <c r="AT98" s="31">
        <f t="shared" si="33"/>
        <v>0</v>
      </c>
      <c r="AU98" s="237">
        <f t="shared" si="34"/>
        <v>0</v>
      </c>
      <c r="AV98" s="31">
        <f t="shared" si="35"/>
        <v>0</v>
      </c>
      <c r="AW98" s="31">
        <f t="shared" si="36"/>
        <v>0</v>
      </c>
      <c r="AX98" s="31">
        <f t="shared" si="37"/>
        <v>0</v>
      </c>
      <c r="AY98" s="237">
        <f t="shared" si="38"/>
        <v>0</v>
      </c>
      <c r="AZ98" s="214">
        <f t="shared" si="39"/>
        <v>0</v>
      </c>
      <c r="BA98" s="237">
        <f t="shared" si="40"/>
        <v>0</v>
      </c>
      <c r="BB98" s="31">
        <f t="shared" si="41"/>
        <v>0.25</v>
      </c>
      <c r="BC98" s="237">
        <f t="shared" si="42"/>
        <v>0.2</v>
      </c>
      <c r="BD98" s="31">
        <f t="shared" si="43"/>
        <v>0</v>
      </c>
      <c r="BE98" s="237">
        <f t="shared" si="44"/>
        <v>0</v>
      </c>
      <c r="BF98" s="31">
        <f t="shared" si="45"/>
        <v>0</v>
      </c>
      <c r="BG98" s="237">
        <f t="shared" si="46"/>
        <v>0</v>
      </c>
      <c r="BH98" s="31">
        <f t="shared" si="47"/>
        <v>0</v>
      </c>
      <c r="BI98" s="237">
        <f t="shared" si="48"/>
        <v>0</v>
      </c>
      <c r="BJ98" s="31">
        <f t="shared" si="49"/>
        <v>0</v>
      </c>
      <c r="BK98" s="31">
        <f t="shared" si="50"/>
        <v>0</v>
      </c>
      <c r="BL98" s="237">
        <f t="shared" si="51"/>
        <v>0</v>
      </c>
      <c r="BM98" s="31">
        <f t="shared" si="52"/>
        <v>0</v>
      </c>
      <c r="BN98" s="237">
        <f t="shared" si="53"/>
        <v>0</v>
      </c>
    </row>
    <row r="99" spans="1:66" x14ac:dyDescent="0.25">
      <c r="A99" s="569" t="s">
        <v>1935</v>
      </c>
      <c r="B99" s="182" t="str">
        <f>VLOOKUP(A99,kurspris!$A$1:$B$894,2,FALSE)</f>
        <v>Naturens mångfald</v>
      </c>
      <c r="C99" s="37"/>
      <c r="D99" s="31" t="s">
        <v>483</v>
      </c>
      <c r="F99" s="59">
        <v>2019</v>
      </c>
      <c r="Q99" s="237">
        <v>0.75</v>
      </c>
      <c r="R99" s="40">
        <v>0.85</v>
      </c>
      <c r="S99" s="313">
        <f t="shared" si="27"/>
        <v>0.63749999999999996</v>
      </c>
      <c r="T99" s="31">
        <f>VLOOKUP(A99,'Ansvar kurs'!$A$1:$C$1027,2,FALSE)</f>
        <v>5100</v>
      </c>
      <c r="U99" s="31" t="str">
        <f>VLOOKUP(T99,Orgenheter!$A$1:$C$165,2,FALSE)</f>
        <v>EMG</v>
      </c>
      <c r="V99" s="31" t="str">
        <f>VLOOKUP(T99,Orgenheter!$A$1:$C$165,3,FALSE)</f>
        <v>TekNat</v>
      </c>
      <c r="W99" s="37" t="str">
        <f>VLOOKUP(D99,Program!$A$1:$B$34,2,FALSE)</f>
        <v>Ämneslärarprogrammet - Gy</v>
      </c>
      <c r="X99" s="42">
        <f>VLOOKUP(A99,kurspris!$A$1:$Q$815,15,FALSE)</f>
        <v>19473</v>
      </c>
      <c r="Y99" s="42">
        <f>VLOOKUP(A99,kurspris!$A$1:$Q$815,16,FALSE)</f>
        <v>34806</v>
      </c>
      <c r="Z99" s="42">
        <f t="shared" si="28"/>
        <v>36793.574999999997</v>
      </c>
      <c r="AA99" s="42">
        <f>VLOOKUP(A99,kurspris!$A$1:$Q$815,17,FALSE)</f>
        <v>21800</v>
      </c>
      <c r="AB99" s="42">
        <f t="shared" si="29"/>
        <v>16350</v>
      </c>
      <c r="AC99" s="42">
        <f t="shared" si="30"/>
        <v>53143.574999999997</v>
      </c>
      <c r="AD99" s="31">
        <f>VLOOKUP($A99,kurspris!$A$1:$Q$852,3,FALSE)</f>
        <v>0</v>
      </c>
      <c r="AE99" s="31">
        <f>VLOOKUP($A99,kurspris!$A$1:$Q$852,4,FALSE)</f>
        <v>0</v>
      </c>
      <c r="AF99" s="31">
        <f>VLOOKUP($A99,kurspris!$A$1:$Q$852,5,FALSE)</f>
        <v>0</v>
      </c>
      <c r="AG99" s="31">
        <f>VLOOKUP($A99,kurspris!$A$1:$Q$852,6,FALSE)</f>
        <v>0</v>
      </c>
      <c r="AH99" s="31">
        <f>VLOOKUP($A99,kurspris!$A$1:$Q$852,7,FALSE)</f>
        <v>0</v>
      </c>
      <c r="AI99" s="31">
        <f>VLOOKUP($A99,kurspris!$A$1:$Q$852,8,FALSE)</f>
        <v>1</v>
      </c>
      <c r="AJ99" s="31">
        <f>VLOOKUP($A99,kurspris!$A$1:$Q$852,9,FALSE)</f>
        <v>0</v>
      </c>
      <c r="AK99" s="31">
        <f>VLOOKUP($A99,kurspris!$A$1:$Q$852,10,FALSE)</f>
        <v>0</v>
      </c>
      <c r="AL99" s="31">
        <f>VLOOKUP($A99,kurspris!$A$1:$Q$852,11,FALSE)</f>
        <v>0</v>
      </c>
      <c r="AM99" s="31">
        <f>VLOOKUP($A99,kurspris!$A$1:$Q$852,12,FALSE)</f>
        <v>0</v>
      </c>
      <c r="AN99" s="31">
        <f>VLOOKUP($A99,kurspris!$A$1:$Q$852,13,FALSE)</f>
        <v>0</v>
      </c>
      <c r="AO99" s="31">
        <f>VLOOKUP($A99,kurspris!$A$1:$Q$852,14,FALSE)</f>
        <v>0</v>
      </c>
      <c r="AP99" s="59" t="s">
        <v>2216</v>
      </c>
      <c r="AR99" s="31">
        <f t="shared" si="31"/>
        <v>0</v>
      </c>
      <c r="AS99" s="237">
        <f t="shared" si="32"/>
        <v>0</v>
      </c>
      <c r="AT99" s="31">
        <f t="shared" si="33"/>
        <v>0</v>
      </c>
      <c r="AU99" s="237">
        <f t="shared" si="34"/>
        <v>0</v>
      </c>
      <c r="AV99" s="31">
        <f t="shared" si="35"/>
        <v>0</v>
      </c>
      <c r="AW99" s="31">
        <f t="shared" si="36"/>
        <v>0</v>
      </c>
      <c r="AX99" s="31">
        <f t="shared" si="37"/>
        <v>0</v>
      </c>
      <c r="AY99" s="237">
        <f t="shared" si="38"/>
        <v>0</v>
      </c>
      <c r="AZ99" s="214">
        <f t="shared" si="39"/>
        <v>0</v>
      </c>
      <c r="BA99" s="237">
        <f t="shared" si="40"/>
        <v>0</v>
      </c>
      <c r="BB99" s="31">
        <f t="shared" si="41"/>
        <v>0.75</v>
      </c>
      <c r="BC99" s="237">
        <f t="shared" si="42"/>
        <v>0.63749999999999996</v>
      </c>
      <c r="BD99" s="31">
        <f t="shared" si="43"/>
        <v>0</v>
      </c>
      <c r="BE99" s="237">
        <f t="shared" si="44"/>
        <v>0</v>
      </c>
      <c r="BF99" s="31">
        <f t="shared" si="45"/>
        <v>0</v>
      </c>
      <c r="BG99" s="237">
        <f t="shared" si="46"/>
        <v>0</v>
      </c>
      <c r="BH99" s="31">
        <f t="shared" si="47"/>
        <v>0</v>
      </c>
      <c r="BI99" s="237">
        <f t="shared" si="48"/>
        <v>0</v>
      </c>
      <c r="BJ99" s="31">
        <f t="shared" si="49"/>
        <v>0</v>
      </c>
      <c r="BK99" s="31">
        <f t="shared" si="50"/>
        <v>0</v>
      </c>
      <c r="BL99" s="237">
        <f t="shared" si="51"/>
        <v>0</v>
      </c>
      <c r="BM99" s="31">
        <f t="shared" si="52"/>
        <v>0</v>
      </c>
      <c r="BN99" s="237">
        <f t="shared" si="53"/>
        <v>0</v>
      </c>
    </row>
    <row r="100" spans="1:66" x14ac:dyDescent="0.25">
      <c r="A100" s="159" t="s">
        <v>1856</v>
      </c>
      <c r="B100" s="182" t="str">
        <f>VLOOKUP(A100,kurspris!$A$1:$B$894,2,FALSE)</f>
        <v>Processer i naturen</v>
      </c>
      <c r="C100" s="37"/>
      <c r="D100" s="31" t="s">
        <v>483</v>
      </c>
      <c r="F100" s="59">
        <v>2019</v>
      </c>
      <c r="Q100" s="237">
        <v>0.75</v>
      </c>
      <c r="R100" s="40">
        <v>0.85</v>
      </c>
      <c r="S100" s="313">
        <f t="shared" si="27"/>
        <v>0.63749999999999996</v>
      </c>
      <c r="T100" s="31">
        <f>VLOOKUP(A100,'Ansvar kurs'!$A$1:$C$1027,2,FALSE)</f>
        <v>5100</v>
      </c>
      <c r="U100" s="31" t="str">
        <f>VLOOKUP(T100,Orgenheter!$A$1:$C$165,2,FALSE)</f>
        <v>EMG</v>
      </c>
      <c r="V100" s="31" t="str">
        <f>VLOOKUP(T100,Orgenheter!$A$1:$C$165,3,FALSE)</f>
        <v>TekNat</v>
      </c>
      <c r="W100" s="37" t="str">
        <f>VLOOKUP(D100,Program!$A$1:$B$34,2,FALSE)</f>
        <v>Ämneslärarprogrammet - Gy</v>
      </c>
      <c r="X100" s="42">
        <f>VLOOKUP(A100,kurspris!$A$1:$Q$815,15,FALSE)</f>
        <v>19473</v>
      </c>
      <c r="Y100" s="42">
        <f>VLOOKUP(A100,kurspris!$A$1:$Q$815,16,FALSE)</f>
        <v>34806</v>
      </c>
      <c r="Z100" s="42">
        <f t="shared" si="28"/>
        <v>36793.574999999997</v>
      </c>
      <c r="AA100" s="42">
        <f>VLOOKUP(A100,kurspris!$A$1:$Q$815,17,FALSE)</f>
        <v>21800</v>
      </c>
      <c r="AB100" s="42">
        <f t="shared" si="29"/>
        <v>16350</v>
      </c>
      <c r="AC100" s="42">
        <f t="shared" si="30"/>
        <v>53143.574999999997</v>
      </c>
      <c r="AD100" s="31">
        <f>VLOOKUP($A100,kurspris!$A$1:$Q$852,3,FALSE)</f>
        <v>0</v>
      </c>
      <c r="AE100" s="31">
        <f>VLOOKUP($A100,kurspris!$A$1:$Q$852,4,FALSE)</f>
        <v>0</v>
      </c>
      <c r="AF100" s="31">
        <f>VLOOKUP($A100,kurspris!$A$1:$Q$852,5,FALSE)</f>
        <v>0</v>
      </c>
      <c r="AG100" s="31">
        <f>VLOOKUP($A100,kurspris!$A$1:$Q$852,6,FALSE)</f>
        <v>0</v>
      </c>
      <c r="AH100" s="31">
        <f>VLOOKUP($A100,kurspris!$A$1:$Q$852,7,FALSE)</f>
        <v>0</v>
      </c>
      <c r="AI100" s="31">
        <f>VLOOKUP($A100,kurspris!$A$1:$Q$852,8,FALSE)</f>
        <v>1</v>
      </c>
      <c r="AJ100" s="31">
        <f>VLOOKUP($A100,kurspris!$A$1:$Q$852,9,FALSE)</f>
        <v>0</v>
      </c>
      <c r="AK100" s="31">
        <f>VLOOKUP($A100,kurspris!$A$1:$Q$852,10,FALSE)</f>
        <v>0</v>
      </c>
      <c r="AL100" s="31">
        <f>VLOOKUP($A100,kurspris!$A$1:$Q$852,11,FALSE)</f>
        <v>0</v>
      </c>
      <c r="AM100" s="31">
        <f>VLOOKUP($A100,kurspris!$A$1:$Q$852,12,FALSE)</f>
        <v>0</v>
      </c>
      <c r="AN100" s="31">
        <f>VLOOKUP($A100,kurspris!$A$1:$Q$852,13,FALSE)</f>
        <v>0</v>
      </c>
      <c r="AO100" s="31">
        <f>VLOOKUP($A100,kurspris!$A$1:$Q$852,14,FALSE)</f>
        <v>0</v>
      </c>
      <c r="AP100" s="59" t="s">
        <v>2216</v>
      </c>
      <c r="AQ100" s="59"/>
      <c r="AR100" s="31">
        <f t="shared" si="31"/>
        <v>0</v>
      </c>
      <c r="AS100" s="237">
        <f t="shared" si="32"/>
        <v>0</v>
      </c>
      <c r="AT100" s="31">
        <f t="shared" si="33"/>
        <v>0</v>
      </c>
      <c r="AU100" s="237">
        <f t="shared" si="34"/>
        <v>0</v>
      </c>
      <c r="AV100" s="31">
        <f t="shared" si="35"/>
        <v>0</v>
      </c>
      <c r="AW100" s="31">
        <f t="shared" si="36"/>
        <v>0</v>
      </c>
      <c r="AX100" s="31">
        <f t="shared" si="37"/>
        <v>0</v>
      </c>
      <c r="AY100" s="237">
        <f t="shared" si="38"/>
        <v>0</v>
      </c>
      <c r="AZ100" s="214">
        <f t="shared" si="39"/>
        <v>0</v>
      </c>
      <c r="BA100" s="237">
        <f t="shared" si="40"/>
        <v>0</v>
      </c>
      <c r="BB100" s="31">
        <f t="shared" si="41"/>
        <v>0.75</v>
      </c>
      <c r="BC100" s="237">
        <f t="shared" si="42"/>
        <v>0.63749999999999996</v>
      </c>
      <c r="BD100" s="31">
        <f t="shared" si="43"/>
        <v>0</v>
      </c>
      <c r="BE100" s="237">
        <f t="shared" si="44"/>
        <v>0</v>
      </c>
      <c r="BF100" s="31">
        <f t="shared" si="45"/>
        <v>0</v>
      </c>
      <c r="BG100" s="237">
        <f t="shared" si="46"/>
        <v>0</v>
      </c>
      <c r="BH100" s="31">
        <f t="shared" si="47"/>
        <v>0</v>
      </c>
      <c r="BI100" s="237">
        <f t="shared" si="48"/>
        <v>0</v>
      </c>
      <c r="BJ100" s="31">
        <f t="shared" si="49"/>
        <v>0</v>
      </c>
      <c r="BK100" s="31">
        <f t="shared" si="50"/>
        <v>0</v>
      </c>
      <c r="BL100" s="237">
        <f t="shared" si="51"/>
        <v>0</v>
      </c>
      <c r="BM100" s="31">
        <f t="shared" si="52"/>
        <v>0</v>
      </c>
      <c r="BN100" s="237">
        <f t="shared" si="53"/>
        <v>0</v>
      </c>
    </row>
    <row r="101" spans="1:66" x14ac:dyDescent="0.25">
      <c r="A101" s="31" t="s">
        <v>1856</v>
      </c>
      <c r="B101" s="182" t="str">
        <f>VLOOKUP(A101,kurspris!$A$1:$B$894,2,FALSE)</f>
        <v>Processer i naturen</v>
      </c>
      <c r="D101" s="31" t="s">
        <v>117</v>
      </c>
      <c r="F101" s="59">
        <v>2019</v>
      </c>
      <c r="Q101" s="237">
        <v>0.125</v>
      </c>
      <c r="R101" s="40">
        <v>0.8</v>
      </c>
      <c r="S101" s="313">
        <f t="shared" si="27"/>
        <v>0.1</v>
      </c>
      <c r="T101" s="31">
        <f>VLOOKUP(A101,'Ansvar kurs'!$A$1:$C$1027,2,FALSE)</f>
        <v>5100</v>
      </c>
      <c r="U101" s="31" t="str">
        <f>VLOOKUP(T101,Orgenheter!$A$1:$C$165,2,FALSE)</f>
        <v>EMG</v>
      </c>
      <c r="V101" s="31" t="str">
        <f>VLOOKUP(T101,Orgenheter!$A$1:$C$165,3,FALSE)</f>
        <v>TekNat</v>
      </c>
      <c r="W101" s="37" t="str">
        <f>VLOOKUP(D101,Program!$A$1:$B$34,2,FALSE)</f>
        <v>Fristående och övriga kurser</v>
      </c>
      <c r="X101" s="42">
        <f>VLOOKUP(A101,kurspris!$A$1:$Q$815,15,FALSE)</f>
        <v>19473</v>
      </c>
      <c r="Y101" s="42">
        <f>VLOOKUP(A101,kurspris!$A$1:$Q$815,16,FALSE)</f>
        <v>34806</v>
      </c>
      <c r="Z101" s="42">
        <f t="shared" si="28"/>
        <v>5914.7250000000004</v>
      </c>
      <c r="AA101" s="42">
        <f>VLOOKUP(A101,kurspris!$A$1:$Q$815,17,FALSE)</f>
        <v>21800</v>
      </c>
      <c r="AB101" s="42">
        <f t="shared" si="29"/>
        <v>2725</v>
      </c>
      <c r="AC101" s="42">
        <f t="shared" si="30"/>
        <v>8639.7250000000004</v>
      </c>
      <c r="AD101" s="31">
        <f>VLOOKUP($A101,kurspris!$A$1:$Q$852,3,FALSE)</f>
        <v>0</v>
      </c>
      <c r="AE101" s="31">
        <f>VLOOKUP($A101,kurspris!$A$1:$Q$852,4,FALSE)</f>
        <v>0</v>
      </c>
      <c r="AF101" s="31">
        <f>VLOOKUP($A101,kurspris!$A$1:$Q$852,5,FALSE)</f>
        <v>0</v>
      </c>
      <c r="AG101" s="31">
        <f>VLOOKUP($A101,kurspris!$A$1:$Q$852,6,FALSE)</f>
        <v>0</v>
      </c>
      <c r="AH101" s="31">
        <f>VLOOKUP($A101,kurspris!$A$1:$Q$852,7,FALSE)</f>
        <v>0</v>
      </c>
      <c r="AI101" s="31">
        <f>VLOOKUP($A101,kurspris!$A$1:$Q$852,8,FALSE)</f>
        <v>1</v>
      </c>
      <c r="AJ101" s="31">
        <f>VLOOKUP($A101,kurspris!$A$1:$Q$852,9,FALSE)</f>
        <v>0</v>
      </c>
      <c r="AK101" s="31">
        <f>VLOOKUP($A101,kurspris!$A$1:$Q$852,10,FALSE)</f>
        <v>0</v>
      </c>
      <c r="AL101" s="31">
        <f>VLOOKUP($A101,kurspris!$A$1:$Q$852,11,FALSE)</f>
        <v>0</v>
      </c>
      <c r="AM101" s="31">
        <f>VLOOKUP($A101,kurspris!$A$1:$Q$852,12,FALSE)</f>
        <v>0</v>
      </c>
      <c r="AN101" s="31">
        <f>VLOOKUP($A101,kurspris!$A$1:$Q$852,13,FALSE)</f>
        <v>0</v>
      </c>
      <c r="AO101" s="31">
        <f>VLOOKUP($A101,kurspris!$A$1:$Q$852,14,FALSE)</f>
        <v>0</v>
      </c>
      <c r="AP101" s="59" t="s">
        <v>2216</v>
      </c>
      <c r="AR101" s="31">
        <f t="shared" si="31"/>
        <v>0</v>
      </c>
      <c r="AS101" s="237">
        <f t="shared" si="32"/>
        <v>0</v>
      </c>
      <c r="AT101" s="31">
        <f t="shared" si="33"/>
        <v>0</v>
      </c>
      <c r="AU101" s="237">
        <f t="shared" si="34"/>
        <v>0</v>
      </c>
      <c r="AV101" s="31">
        <f t="shared" si="35"/>
        <v>0</v>
      </c>
      <c r="AW101" s="31">
        <f t="shared" si="36"/>
        <v>0</v>
      </c>
      <c r="AX101" s="31">
        <f t="shared" si="37"/>
        <v>0</v>
      </c>
      <c r="AY101" s="237">
        <f t="shared" si="38"/>
        <v>0</v>
      </c>
      <c r="AZ101" s="214">
        <f t="shared" si="39"/>
        <v>0</v>
      </c>
      <c r="BA101" s="237">
        <f t="shared" si="40"/>
        <v>0</v>
      </c>
      <c r="BB101" s="31">
        <f t="shared" si="41"/>
        <v>0.125</v>
      </c>
      <c r="BC101" s="237">
        <f t="shared" si="42"/>
        <v>0.1</v>
      </c>
      <c r="BD101" s="31">
        <f t="shared" si="43"/>
        <v>0</v>
      </c>
      <c r="BE101" s="237">
        <f t="shared" si="44"/>
        <v>0</v>
      </c>
      <c r="BF101" s="31">
        <f t="shared" si="45"/>
        <v>0</v>
      </c>
      <c r="BG101" s="237">
        <f t="shared" si="46"/>
        <v>0</v>
      </c>
      <c r="BH101" s="31">
        <f t="shared" si="47"/>
        <v>0</v>
      </c>
      <c r="BI101" s="237">
        <f t="shared" si="48"/>
        <v>0</v>
      </c>
      <c r="BJ101" s="31">
        <f t="shared" si="49"/>
        <v>0</v>
      </c>
      <c r="BK101" s="31">
        <f t="shared" si="50"/>
        <v>0</v>
      </c>
      <c r="BL101" s="237">
        <f t="shared" si="51"/>
        <v>0</v>
      </c>
      <c r="BM101" s="31">
        <f t="shared" si="52"/>
        <v>0</v>
      </c>
      <c r="BN101" s="237">
        <f t="shared" si="53"/>
        <v>0</v>
      </c>
    </row>
    <row r="102" spans="1:66" x14ac:dyDescent="0.25">
      <c r="A102" s="31" t="s">
        <v>1936</v>
      </c>
      <c r="B102" s="182" t="str">
        <f>VLOOKUP(A102,kurspris!$A$1:$B$894,2,FALSE)</f>
        <v>Klimatförändringar</v>
      </c>
      <c r="D102" s="31" t="s">
        <v>483</v>
      </c>
      <c r="F102" s="59">
        <v>2019</v>
      </c>
      <c r="Q102" s="237">
        <v>0.75</v>
      </c>
      <c r="R102" s="40">
        <v>0.85</v>
      </c>
      <c r="S102" s="313">
        <f t="shared" si="27"/>
        <v>0.63749999999999996</v>
      </c>
      <c r="T102" s="31">
        <f>VLOOKUP(A102,'Ansvar kurs'!$A$1:$C$1027,2,FALSE)</f>
        <v>5100</v>
      </c>
      <c r="U102" s="31" t="str">
        <f>VLOOKUP(T102,Orgenheter!$A$1:$C$165,2,FALSE)</f>
        <v>EMG</v>
      </c>
      <c r="V102" s="31" t="str">
        <f>VLOOKUP(T102,Orgenheter!$A$1:$C$165,3,FALSE)</f>
        <v>TekNat</v>
      </c>
      <c r="W102" s="37" t="str">
        <f>VLOOKUP(D102,Program!$A$1:$B$34,2,FALSE)</f>
        <v>Ämneslärarprogrammet - Gy</v>
      </c>
      <c r="X102" s="42">
        <f>VLOOKUP(A102,kurspris!$A$1:$Q$815,15,FALSE)</f>
        <v>19473</v>
      </c>
      <c r="Y102" s="42">
        <f>VLOOKUP(A102,kurspris!$A$1:$Q$815,16,FALSE)</f>
        <v>34806</v>
      </c>
      <c r="Z102" s="42">
        <f t="shared" si="28"/>
        <v>36793.574999999997</v>
      </c>
      <c r="AA102" s="42">
        <f>VLOOKUP(A102,kurspris!$A$1:$Q$815,17,FALSE)</f>
        <v>21800</v>
      </c>
      <c r="AB102" s="42">
        <f t="shared" si="29"/>
        <v>16350</v>
      </c>
      <c r="AC102" s="42">
        <f t="shared" si="30"/>
        <v>53143.574999999997</v>
      </c>
      <c r="AD102" s="31">
        <f>VLOOKUP($A102,kurspris!$A$1:$Q$852,3,FALSE)</f>
        <v>0</v>
      </c>
      <c r="AE102" s="31">
        <f>VLOOKUP($A102,kurspris!$A$1:$Q$852,4,FALSE)</f>
        <v>0</v>
      </c>
      <c r="AF102" s="31">
        <f>VLOOKUP($A102,kurspris!$A$1:$Q$852,5,FALSE)</f>
        <v>0</v>
      </c>
      <c r="AG102" s="31">
        <f>VLOOKUP($A102,kurspris!$A$1:$Q$852,6,FALSE)</f>
        <v>0</v>
      </c>
      <c r="AH102" s="31">
        <f>VLOOKUP($A102,kurspris!$A$1:$Q$852,7,FALSE)</f>
        <v>0</v>
      </c>
      <c r="AI102" s="31">
        <f>VLOOKUP($A102,kurspris!$A$1:$Q$852,8,FALSE)</f>
        <v>1</v>
      </c>
      <c r="AJ102" s="31">
        <f>VLOOKUP($A102,kurspris!$A$1:$Q$852,9,FALSE)</f>
        <v>0</v>
      </c>
      <c r="AK102" s="31">
        <f>VLOOKUP($A102,kurspris!$A$1:$Q$852,10,FALSE)</f>
        <v>0</v>
      </c>
      <c r="AL102" s="31">
        <f>VLOOKUP($A102,kurspris!$A$1:$Q$852,11,FALSE)</f>
        <v>0</v>
      </c>
      <c r="AM102" s="31">
        <f>VLOOKUP($A102,kurspris!$A$1:$Q$852,12,FALSE)</f>
        <v>0</v>
      </c>
      <c r="AN102" s="31">
        <f>VLOOKUP($A102,kurspris!$A$1:$Q$852,13,FALSE)</f>
        <v>0</v>
      </c>
      <c r="AO102" s="31">
        <f>VLOOKUP($A102,kurspris!$A$1:$Q$852,14,FALSE)</f>
        <v>0</v>
      </c>
      <c r="AP102" s="59" t="s">
        <v>2216</v>
      </c>
      <c r="AR102" s="31">
        <f t="shared" si="31"/>
        <v>0</v>
      </c>
      <c r="AS102" s="237">
        <f t="shared" si="32"/>
        <v>0</v>
      </c>
      <c r="AT102" s="31">
        <f t="shared" si="33"/>
        <v>0</v>
      </c>
      <c r="AU102" s="237">
        <f t="shared" si="34"/>
        <v>0</v>
      </c>
      <c r="AV102" s="31">
        <f t="shared" si="35"/>
        <v>0</v>
      </c>
      <c r="AW102" s="31">
        <f t="shared" si="36"/>
        <v>0</v>
      </c>
      <c r="AX102" s="31">
        <f t="shared" si="37"/>
        <v>0</v>
      </c>
      <c r="AY102" s="237">
        <f t="shared" si="38"/>
        <v>0</v>
      </c>
      <c r="AZ102" s="214">
        <f t="shared" si="39"/>
        <v>0</v>
      </c>
      <c r="BA102" s="237">
        <f t="shared" si="40"/>
        <v>0</v>
      </c>
      <c r="BB102" s="31">
        <f t="shared" si="41"/>
        <v>0.75</v>
      </c>
      <c r="BC102" s="237">
        <f t="shared" si="42"/>
        <v>0.63749999999999996</v>
      </c>
      <c r="BD102" s="31">
        <f t="shared" si="43"/>
        <v>0</v>
      </c>
      <c r="BE102" s="237">
        <f t="shared" si="44"/>
        <v>0</v>
      </c>
      <c r="BF102" s="31">
        <f t="shared" si="45"/>
        <v>0</v>
      </c>
      <c r="BG102" s="237">
        <f t="shared" si="46"/>
        <v>0</v>
      </c>
      <c r="BH102" s="31">
        <f t="shared" si="47"/>
        <v>0</v>
      </c>
      <c r="BI102" s="237">
        <f t="shared" si="48"/>
        <v>0</v>
      </c>
      <c r="BJ102" s="31">
        <f t="shared" si="49"/>
        <v>0</v>
      </c>
      <c r="BK102" s="31">
        <f t="shared" si="50"/>
        <v>0</v>
      </c>
      <c r="BL102" s="237">
        <f t="shared" si="51"/>
        <v>0</v>
      </c>
      <c r="BM102" s="31">
        <f t="shared" si="52"/>
        <v>0</v>
      </c>
      <c r="BN102" s="237">
        <f t="shared" si="53"/>
        <v>0</v>
      </c>
    </row>
    <row r="103" spans="1:66" x14ac:dyDescent="0.25">
      <c r="A103" s="31" t="s">
        <v>2055</v>
      </c>
      <c r="B103" s="182" t="str">
        <f>VLOOKUP(A103,kurspris!$A$1:$B$894,2,FALSE)</f>
        <v>Vetenskapliga metoder i geografi</v>
      </c>
      <c r="D103" s="31" t="s">
        <v>483</v>
      </c>
      <c r="F103" s="59">
        <v>2019</v>
      </c>
      <c r="Q103" s="237">
        <v>0.625</v>
      </c>
      <c r="R103" s="40">
        <v>0.85</v>
      </c>
      <c r="S103" s="313">
        <f t="shared" si="27"/>
        <v>0.53125</v>
      </c>
      <c r="T103" s="31">
        <f>VLOOKUP(A103,'Ansvar kurs'!$A$1:$C$1027,2,FALSE)</f>
        <v>5100</v>
      </c>
      <c r="U103" s="31" t="str">
        <f>VLOOKUP(T103,Orgenheter!$A$1:$C$165,2,FALSE)</f>
        <v>EMG</v>
      </c>
      <c r="V103" s="31" t="str">
        <f>VLOOKUP(T103,Orgenheter!$A$1:$C$165,3,FALSE)</f>
        <v>TekNat</v>
      </c>
      <c r="W103" s="37" t="str">
        <f>VLOOKUP(D103,Program!$A$1:$B$34,2,FALSE)</f>
        <v>Ämneslärarprogrammet - Gy</v>
      </c>
      <c r="X103" s="42">
        <f>VLOOKUP(A103,kurspris!$A$1:$Q$815,15,FALSE)</f>
        <v>19473</v>
      </c>
      <c r="Y103" s="42">
        <f>VLOOKUP(A103,kurspris!$A$1:$Q$815,16,FALSE)</f>
        <v>34806</v>
      </c>
      <c r="Z103" s="42">
        <f t="shared" si="28"/>
        <v>30661.3125</v>
      </c>
      <c r="AA103" s="42">
        <f>VLOOKUP(A103,kurspris!$A$1:$Q$815,17,FALSE)</f>
        <v>21800</v>
      </c>
      <c r="AB103" s="42">
        <f t="shared" si="29"/>
        <v>13625</v>
      </c>
      <c r="AC103" s="42">
        <f t="shared" si="30"/>
        <v>44286.3125</v>
      </c>
      <c r="AD103" s="31">
        <f>VLOOKUP($A103,kurspris!$A$1:$Q$852,3,FALSE)</f>
        <v>0</v>
      </c>
      <c r="AE103" s="31">
        <f>VLOOKUP($A103,kurspris!$A$1:$Q$852,4,FALSE)</f>
        <v>0</v>
      </c>
      <c r="AF103" s="31">
        <f>VLOOKUP($A103,kurspris!$A$1:$Q$852,5,FALSE)</f>
        <v>0</v>
      </c>
      <c r="AG103" s="31">
        <f>VLOOKUP($A103,kurspris!$A$1:$Q$852,6,FALSE)</f>
        <v>0</v>
      </c>
      <c r="AH103" s="31">
        <f>VLOOKUP($A103,kurspris!$A$1:$Q$852,7,FALSE)</f>
        <v>0</v>
      </c>
      <c r="AI103" s="31">
        <f>VLOOKUP($A103,kurspris!$A$1:$Q$852,8,FALSE)</f>
        <v>1</v>
      </c>
      <c r="AJ103" s="31">
        <f>VLOOKUP($A103,kurspris!$A$1:$Q$852,9,FALSE)</f>
        <v>0</v>
      </c>
      <c r="AK103" s="31">
        <f>VLOOKUP($A103,kurspris!$A$1:$Q$852,10,FALSE)</f>
        <v>0</v>
      </c>
      <c r="AL103" s="31">
        <f>VLOOKUP($A103,kurspris!$A$1:$Q$852,11,FALSE)</f>
        <v>0</v>
      </c>
      <c r="AM103" s="31">
        <f>VLOOKUP($A103,kurspris!$A$1:$Q$852,12,FALSE)</f>
        <v>0</v>
      </c>
      <c r="AN103" s="31">
        <f>VLOOKUP($A103,kurspris!$A$1:$Q$852,13,FALSE)</f>
        <v>0</v>
      </c>
      <c r="AO103" s="31">
        <f>VLOOKUP($A103,kurspris!$A$1:$Q$852,14,FALSE)</f>
        <v>0</v>
      </c>
      <c r="AP103" s="59" t="s">
        <v>2216</v>
      </c>
      <c r="AR103" s="31">
        <f t="shared" si="31"/>
        <v>0</v>
      </c>
      <c r="AS103" s="237">
        <f t="shared" si="32"/>
        <v>0</v>
      </c>
      <c r="AT103" s="31">
        <f t="shared" si="33"/>
        <v>0</v>
      </c>
      <c r="AU103" s="237">
        <f t="shared" si="34"/>
        <v>0</v>
      </c>
      <c r="AV103" s="31">
        <f t="shared" si="35"/>
        <v>0</v>
      </c>
      <c r="AW103" s="31">
        <f t="shared" si="36"/>
        <v>0</v>
      </c>
      <c r="AX103" s="31">
        <f t="shared" si="37"/>
        <v>0</v>
      </c>
      <c r="AY103" s="237">
        <f t="shared" si="38"/>
        <v>0</v>
      </c>
      <c r="AZ103" s="214">
        <f t="shared" si="39"/>
        <v>0</v>
      </c>
      <c r="BA103" s="237">
        <f t="shared" si="40"/>
        <v>0</v>
      </c>
      <c r="BB103" s="31">
        <f t="shared" si="41"/>
        <v>0.625</v>
      </c>
      <c r="BC103" s="237">
        <f t="shared" si="42"/>
        <v>0.53125</v>
      </c>
      <c r="BD103" s="31">
        <f t="shared" si="43"/>
        <v>0</v>
      </c>
      <c r="BE103" s="237">
        <f t="shared" si="44"/>
        <v>0</v>
      </c>
      <c r="BF103" s="31">
        <f t="shared" si="45"/>
        <v>0</v>
      </c>
      <c r="BG103" s="237">
        <f t="shared" si="46"/>
        <v>0</v>
      </c>
      <c r="BH103" s="31">
        <f t="shared" si="47"/>
        <v>0</v>
      </c>
      <c r="BI103" s="237">
        <f t="shared" si="48"/>
        <v>0</v>
      </c>
      <c r="BJ103" s="31">
        <f t="shared" si="49"/>
        <v>0</v>
      </c>
      <c r="BK103" s="31">
        <f t="shared" si="50"/>
        <v>0</v>
      </c>
      <c r="BL103" s="237">
        <f t="shared" si="51"/>
        <v>0</v>
      </c>
      <c r="BM103" s="31">
        <f t="shared" si="52"/>
        <v>0</v>
      </c>
      <c r="BN103" s="237">
        <f t="shared" si="53"/>
        <v>0</v>
      </c>
    </row>
    <row r="104" spans="1:66" x14ac:dyDescent="0.25">
      <c r="A104" s="31" t="s">
        <v>1468</v>
      </c>
      <c r="B104" s="182" t="str">
        <f>VLOOKUP(A104,kurspris!$A$1:$B$894,2,FALSE)</f>
        <v>Examensarbete för ämneslärarexamen - historia</v>
      </c>
      <c r="D104" s="31" t="s">
        <v>483</v>
      </c>
      <c r="F104" s="59">
        <v>2019</v>
      </c>
      <c r="Q104" s="237">
        <v>2</v>
      </c>
      <c r="R104" s="40">
        <v>0.85</v>
      </c>
      <c r="S104" s="313">
        <f t="shared" si="27"/>
        <v>1.7</v>
      </c>
      <c r="T104" s="31">
        <f>VLOOKUP(A104,'Ansvar kurs'!$A$1:$C$1027,2,FALSE)</f>
        <v>1630</v>
      </c>
      <c r="U104" s="31" t="str">
        <f>VLOOKUP(T104,Orgenheter!$A$1:$C$165,2,FALSE)</f>
        <v>Inst för ide- o samhällsstudier</v>
      </c>
      <c r="V104" s="31" t="str">
        <f>VLOOKUP(T104,Orgenheter!$A$1:$C$165,3,FALSE)</f>
        <v>Hum</v>
      </c>
      <c r="W104" s="37" t="str">
        <f>VLOOKUP(D104,Program!$A$1:$B$34,2,FALSE)</f>
        <v>Ämneslärarprogrammet - Gy</v>
      </c>
      <c r="X104" s="42">
        <f>VLOOKUP(A104,kurspris!$A$1:$Q$815,15,FALSE)</f>
        <v>18405</v>
      </c>
      <c r="Y104" s="42">
        <f>VLOOKUP(A104,kurspris!$A$1:$Q$815,16,FALSE)</f>
        <v>15773</v>
      </c>
      <c r="Z104" s="42">
        <f t="shared" si="28"/>
        <v>63624.1</v>
      </c>
      <c r="AA104" s="42">
        <f>VLOOKUP(A104,kurspris!$A$1:$Q$815,17,FALSE)</f>
        <v>5800</v>
      </c>
      <c r="AB104" s="42">
        <f t="shared" si="29"/>
        <v>11600</v>
      </c>
      <c r="AC104" s="42">
        <f t="shared" si="30"/>
        <v>75224.100000000006</v>
      </c>
      <c r="AD104" s="31">
        <f>VLOOKUP($A104,kurspris!$A$1:$Q$852,3,FALSE)</f>
        <v>0</v>
      </c>
      <c r="AE104" s="31">
        <f>VLOOKUP($A104,kurspris!$A$1:$Q$852,4,FALSE)</f>
        <v>1</v>
      </c>
      <c r="AF104" s="31">
        <f>VLOOKUP($A104,kurspris!$A$1:$Q$852,5,FALSE)</f>
        <v>0</v>
      </c>
      <c r="AG104" s="31">
        <f>VLOOKUP($A104,kurspris!$A$1:$Q$852,6,FALSE)</f>
        <v>0</v>
      </c>
      <c r="AH104" s="31">
        <f>VLOOKUP($A104,kurspris!$A$1:$Q$852,7,FALSE)</f>
        <v>0</v>
      </c>
      <c r="AI104" s="31">
        <f>VLOOKUP($A104,kurspris!$A$1:$Q$852,8,FALSE)</f>
        <v>0</v>
      </c>
      <c r="AJ104" s="31">
        <f>VLOOKUP($A104,kurspris!$A$1:$Q$852,9,FALSE)</f>
        <v>0</v>
      </c>
      <c r="AK104" s="31">
        <f>VLOOKUP($A104,kurspris!$A$1:$Q$852,10,FALSE)</f>
        <v>0</v>
      </c>
      <c r="AL104" s="31">
        <f>VLOOKUP($A104,kurspris!$A$1:$Q$852,11,FALSE)</f>
        <v>0</v>
      </c>
      <c r="AM104" s="31">
        <f>VLOOKUP($A104,kurspris!$A$1:$Q$852,12,FALSE)</f>
        <v>0</v>
      </c>
      <c r="AN104" s="31">
        <f>VLOOKUP($A104,kurspris!$A$1:$Q$852,13,FALSE)</f>
        <v>0</v>
      </c>
      <c r="AO104" s="31">
        <f>VLOOKUP($A104,kurspris!$A$1:$Q$852,14,FALSE)</f>
        <v>0</v>
      </c>
      <c r="AP104" s="59" t="s">
        <v>2216</v>
      </c>
      <c r="AR104" s="31">
        <f t="shared" si="31"/>
        <v>0</v>
      </c>
      <c r="AS104" s="237">
        <f t="shared" si="32"/>
        <v>0</v>
      </c>
      <c r="AT104" s="31">
        <f t="shared" si="33"/>
        <v>2</v>
      </c>
      <c r="AU104" s="237">
        <f t="shared" si="34"/>
        <v>1.7</v>
      </c>
      <c r="AV104" s="31">
        <f t="shared" si="35"/>
        <v>0</v>
      </c>
      <c r="AW104" s="31">
        <f t="shared" si="36"/>
        <v>0</v>
      </c>
      <c r="AX104" s="31">
        <f t="shared" si="37"/>
        <v>0</v>
      </c>
      <c r="AY104" s="237">
        <f t="shared" si="38"/>
        <v>0</v>
      </c>
      <c r="AZ104" s="214">
        <f t="shared" si="39"/>
        <v>0</v>
      </c>
      <c r="BA104" s="237">
        <f t="shared" si="40"/>
        <v>0</v>
      </c>
      <c r="BB104" s="31">
        <f t="shared" si="41"/>
        <v>0</v>
      </c>
      <c r="BC104" s="237">
        <f t="shared" si="42"/>
        <v>0</v>
      </c>
      <c r="BD104" s="31">
        <f t="shared" si="43"/>
        <v>0</v>
      </c>
      <c r="BE104" s="237">
        <f t="shared" si="44"/>
        <v>0</v>
      </c>
      <c r="BF104" s="31">
        <f t="shared" si="45"/>
        <v>0</v>
      </c>
      <c r="BG104" s="237">
        <f t="shared" si="46"/>
        <v>0</v>
      </c>
      <c r="BH104" s="31">
        <f t="shared" si="47"/>
        <v>0</v>
      </c>
      <c r="BI104" s="237">
        <f t="shared" si="48"/>
        <v>0</v>
      </c>
      <c r="BJ104" s="31">
        <f t="shared" si="49"/>
        <v>0</v>
      </c>
      <c r="BK104" s="31">
        <f t="shared" si="50"/>
        <v>0</v>
      </c>
      <c r="BL104" s="237">
        <f t="shared" si="51"/>
        <v>0</v>
      </c>
      <c r="BM104" s="31">
        <f t="shared" si="52"/>
        <v>0</v>
      </c>
      <c r="BN104" s="237">
        <f t="shared" si="53"/>
        <v>0</v>
      </c>
    </row>
    <row r="105" spans="1:66" x14ac:dyDescent="0.25">
      <c r="A105" s="31" t="s">
        <v>1519</v>
      </c>
      <c r="B105" s="182" t="str">
        <f>VLOOKUP(A105,kurspris!$A$1:$B$894,2,FALSE)</f>
        <v>Läraryrkets dimensioner</v>
      </c>
      <c r="D105" s="31" t="s">
        <v>483</v>
      </c>
      <c r="F105" s="59">
        <v>2019</v>
      </c>
      <c r="Q105" s="237">
        <v>4.125</v>
      </c>
      <c r="R105" s="40">
        <v>0.85</v>
      </c>
      <c r="S105" s="313">
        <f t="shared" si="27"/>
        <v>3.5062500000000001</v>
      </c>
      <c r="T105" s="31">
        <f>VLOOKUP(A105,'Ansvar kurs'!$A$1:$C$1027,2,FALSE)</f>
        <v>1630</v>
      </c>
      <c r="U105" s="31" t="str">
        <f>VLOOKUP(T105,Orgenheter!$A$1:$C$165,2,FALSE)</f>
        <v>Inst för ide- o samhällsstudier</v>
      </c>
      <c r="V105" s="31" t="str">
        <f>VLOOKUP(T105,Orgenheter!$A$1:$C$165,3,FALSE)</f>
        <v>Hum</v>
      </c>
      <c r="W105" s="37" t="str">
        <f>VLOOKUP(D105,Program!$A$1:$B$34,2,FALSE)</f>
        <v>Ämneslärarprogrammet - Gy</v>
      </c>
      <c r="X105" s="42">
        <f>VLOOKUP(A105,kurspris!$A$1:$Q$815,15,FALSE)</f>
        <v>21634</v>
      </c>
      <c r="Y105" s="42">
        <f>VLOOKUP(A105,kurspris!$A$1:$Q$815,16,FALSE)</f>
        <v>26986</v>
      </c>
      <c r="Z105" s="42">
        <f t="shared" si="28"/>
        <v>183859.91250000001</v>
      </c>
      <c r="AA105" s="42">
        <f>VLOOKUP(A105,kurspris!$A$1:$Q$815,17,FALSE)</f>
        <v>3400</v>
      </c>
      <c r="AB105" s="42">
        <f t="shared" si="29"/>
        <v>14025</v>
      </c>
      <c r="AC105" s="42">
        <f t="shared" si="30"/>
        <v>197884.91250000001</v>
      </c>
      <c r="AD105" s="31">
        <f>VLOOKUP($A105,kurspris!$A$1:$Q$852,3,FALSE)</f>
        <v>0</v>
      </c>
      <c r="AE105" s="31">
        <f>VLOOKUP($A105,kurspris!$A$1:$Q$852,4,FALSE)</f>
        <v>0</v>
      </c>
      <c r="AF105" s="31">
        <f>VLOOKUP($A105,kurspris!$A$1:$Q$852,5,FALSE)</f>
        <v>0</v>
      </c>
      <c r="AG105" s="31">
        <f>VLOOKUP($A105,kurspris!$A$1:$Q$852,6,FALSE)</f>
        <v>0</v>
      </c>
      <c r="AH105" s="31">
        <f>VLOOKUP($A105,kurspris!$A$1:$Q$852,7,FALSE)</f>
        <v>0</v>
      </c>
      <c r="AI105" s="31">
        <f>VLOOKUP($A105,kurspris!$A$1:$Q$852,8,FALSE)</f>
        <v>0</v>
      </c>
      <c r="AJ105" s="31">
        <f>VLOOKUP($A105,kurspris!$A$1:$Q$852,9,FALSE)</f>
        <v>0</v>
      </c>
      <c r="AK105" s="31">
        <f>VLOOKUP($A105,kurspris!$A$1:$Q$852,10,FALSE)</f>
        <v>0</v>
      </c>
      <c r="AL105" s="31">
        <f>VLOOKUP($A105,kurspris!$A$1:$Q$852,11,FALSE)</f>
        <v>1</v>
      </c>
      <c r="AM105" s="31">
        <f>VLOOKUP($A105,kurspris!$A$1:$Q$852,12,FALSE)</f>
        <v>0</v>
      </c>
      <c r="AN105" s="31">
        <f>VLOOKUP($A105,kurspris!$A$1:$Q$852,13,FALSE)</f>
        <v>0</v>
      </c>
      <c r="AO105" s="31">
        <f>VLOOKUP($A105,kurspris!$A$1:$Q$852,14,FALSE)</f>
        <v>0</v>
      </c>
      <c r="AP105" s="59" t="s">
        <v>2216</v>
      </c>
      <c r="AR105" s="31">
        <f t="shared" si="31"/>
        <v>0</v>
      </c>
      <c r="AS105" s="237">
        <f t="shared" si="32"/>
        <v>0</v>
      </c>
      <c r="AT105" s="31">
        <f t="shared" si="33"/>
        <v>0</v>
      </c>
      <c r="AU105" s="237">
        <f t="shared" si="34"/>
        <v>0</v>
      </c>
      <c r="AV105" s="31">
        <f t="shared" si="35"/>
        <v>0</v>
      </c>
      <c r="AW105" s="31">
        <f t="shared" si="36"/>
        <v>0</v>
      </c>
      <c r="AX105" s="31">
        <f t="shared" si="37"/>
        <v>0</v>
      </c>
      <c r="AY105" s="237">
        <f t="shared" si="38"/>
        <v>0</v>
      </c>
      <c r="AZ105" s="214">
        <f t="shared" si="39"/>
        <v>0</v>
      </c>
      <c r="BA105" s="237">
        <f t="shared" si="40"/>
        <v>0</v>
      </c>
      <c r="BB105" s="31">
        <f t="shared" si="41"/>
        <v>0</v>
      </c>
      <c r="BC105" s="237">
        <f t="shared" si="42"/>
        <v>0</v>
      </c>
      <c r="BD105" s="31">
        <f t="shared" si="43"/>
        <v>0</v>
      </c>
      <c r="BE105" s="237">
        <f t="shared" si="44"/>
        <v>0</v>
      </c>
      <c r="BF105" s="31">
        <f t="shared" si="45"/>
        <v>0</v>
      </c>
      <c r="BG105" s="237">
        <f t="shared" si="46"/>
        <v>0</v>
      </c>
      <c r="BH105" s="31">
        <f t="shared" si="47"/>
        <v>4.125</v>
      </c>
      <c r="BI105" s="237">
        <f t="shared" si="48"/>
        <v>3.5062500000000001</v>
      </c>
      <c r="BJ105" s="31">
        <f t="shared" si="49"/>
        <v>0</v>
      </c>
      <c r="BK105" s="31">
        <f t="shared" si="50"/>
        <v>0</v>
      </c>
      <c r="BL105" s="237">
        <f t="shared" si="51"/>
        <v>0</v>
      </c>
      <c r="BM105" s="31">
        <f t="shared" si="52"/>
        <v>0</v>
      </c>
      <c r="BN105" s="237">
        <f t="shared" si="53"/>
        <v>0</v>
      </c>
    </row>
    <row r="106" spans="1:66" x14ac:dyDescent="0.25">
      <c r="A106" s="31" t="s">
        <v>1955</v>
      </c>
      <c r="B106" s="182" t="str">
        <f>VLOOKUP(A106,kurspris!$A$1:$B$894,2,FALSE)</f>
        <v>Att undervisa i historia (VFU)</v>
      </c>
      <c r="D106" s="31" t="s">
        <v>483</v>
      </c>
      <c r="F106" s="59">
        <v>2019</v>
      </c>
      <c r="Q106" s="237">
        <v>1.5</v>
      </c>
      <c r="R106" s="40">
        <v>0.85</v>
      </c>
      <c r="S106" s="313">
        <f t="shared" si="27"/>
        <v>1.2749999999999999</v>
      </c>
      <c r="T106" s="31">
        <f>VLOOKUP(A106,'Ansvar kurs'!$A$1:$C$1027,2,FALSE)</f>
        <v>1630</v>
      </c>
      <c r="U106" s="31" t="str">
        <f>VLOOKUP(T106,Orgenheter!$A$1:$C$165,2,FALSE)</f>
        <v>Inst för ide- o samhällsstudier</v>
      </c>
      <c r="V106" s="31" t="str">
        <f>VLOOKUP(T106,Orgenheter!$A$1:$C$165,3,FALSE)</f>
        <v>Hum</v>
      </c>
      <c r="W106" s="37" t="str">
        <f>VLOOKUP(D106,Program!$A$1:$B$34,2,FALSE)</f>
        <v>Ämneslärarprogrammet - Gy</v>
      </c>
      <c r="X106" s="42">
        <f>VLOOKUP(A106,kurspris!$A$1:$Q$815,15,FALSE)</f>
        <v>21634</v>
      </c>
      <c r="Y106" s="42">
        <f>VLOOKUP(A106,kurspris!$A$1:$Q$815,16,FALSE)</f>
        <v>26986</v>
      </c>
      <c r="Z106" s="42">
        <f t="shared" si="28"/>
        <v>66858.149999999994</v>
      </c>
      <c r="AA106" s="42">
        <f>VLOOKUP(A106,kurspris!$A$1:$Q$815,17,FALSE)</f>
        <v>3400</v>
      </c>
      <c r="AB106" s="42">
        <f t="shared" si="29"/>
        <v>5100</v>
      </c>
      <c r="AC106" s="42">
        <f t="shared" si="30"/>
        <v>71958.149999999994</v>
      </c>
      <c r="AD106" s="31">
        <f>VLOOKUP($A106,kurspris!$A$1:$Q$852,3,FALSE)</f>
        <v>0</v>
      </c>
      <c r="AE106" s="31">
        <f>VLOOKUP($A106,kurspris!$A$1:$Q$852,4,FALSE)</f>
        <v>0</v>
      </c>
      <c r="AF106" s="31">
        <f>VLOOKUP($A106,kurspris!$A$1:$Q$852,5,FALSE)</f>
        <v>0</v>
      </c>
      <c r="AG106" s="31">
        <f>VLOOKUP($A106,kurspris!$A$1:$Q$852,6,FALSE)</f>
        <v>0</v>
      </c>
      <c r="AH106" s="31">
        <f>VLOOKUP($A106,kurspris!$A$1:$Q$852,7,FALSE)</f>
        <v>0</v>
      </c>
      <c r="AI106" s="31">
        <f>VLOOKUP($A106,kurspris!$A$1:$Q$852,8,FALSE)</f>
        <v>0</v>
      </c>
      <c r="AJ106" s="31">
        <f>VLOOKUP($A106,kurspris!$A$1:$Q$852,9,FALSE)</f>
        <v>0</v>
      </c>
      <c r="AK106" s="31">
        <f>VLOOKUP($A106,kurspris!$A$1:$Q$852,10,FALSE)</f>
        <v>0</v>
      </c>
      <c r="AL106" s="31">
        <f>VLOOKUP($A106,kurspris!$A$1:$Q$852,11,FALSE)</f>
        <v>1</v>
      </c>
      <c r="AM106" s="31">
        <f>VLOOKUP($A106,kurspris!$A$1:$Q$852,12,FALSE)</f>
        <v>0</v>
      </c>
      <c r="AN106" s="31">
        <f>VLOOKUP($A106,kurspris!$A$1:$Q$852,13,FALSE)</f>
        <v>0</v>
      </c>
      <c r="AO106" s="31">
        <f>VLOOKUP($A106,kurspris!$A$1:$Q$852,14,FALSE)</f>
        <v>0</v>
      </c>
      <c r="AP106" s="59" t="s">
        <v>2216</v>
      </c>
      <c r="AR106" s="31">
        <f t="shared" si="31"/>
        <v>0</v>
      </c>
      <c r="AS106" s="237">
        <f t="shared" si="32"/>
        <v>0</v>
      </c>
      <c r="AT106" s="31">
        <f t="shared" si="33"/>
        <v>0</v>
      </c>
      <c r="AU106" s="237">
        <f t="shared" si="34"/>
        <v>0</v>
      </c>
      <c r="AV106" s="31">
        <f t="shared" si="35"/>
        <v>0</v>
      </c>
      <c r="AW106" s="31">
        <f t="shared" si="36"/>
        <v>0</v>
      </c>
      <c r="AX106" s="31">
        <f t="shared" si="37"/>
        <v>0</v>
      </c>
      <c r="AY106" s="237">
        <f t="shared" si="38"/>
        <v>0</v>
      </c>
      <c r="AZ106" s="214">
        <f t="shared" si="39"/>
        <v>0</v>
      </c>
      <c r="BA106" s="237">
        <f t="shared" si="40"/>
        <v>0</v>
      </c>
      <c r="BB106" s="31">
        <f t="shared" si="41"/>
        <v>0</v>
      </c>
      <c r="BC106" s="237">
        <f t="shared" si="42"/>
        <v>0</v>
      </c>
      <c r="BD106" s="31">
        <f t="shared" si="43"/>
        <v>0</v>
      </c>
      <c r="BE106" s="237">
        <f t="shared" si="44"/>
        <v>0</v>
      </c>
      <c r="BF106" s="31">
        <f t="shared" si="45"/>
        <v>0</v>
      </c>
      <c r="BG106" s="237">
        <f t="shared" si="46"/>
        <v>0</v>
      </c>
      <c r="BH106" s="31">
        <f t="shared" si="47"/>
        <v>1.5</v>
      </c>
      <c r="BI106" s="237">
        <f t="shared" si="48"/>
        <v>1.2749999999999999</v>
      </c>
      <c r="BJ106" s="31">
        <f t="shared" si="49"/>
        <v>0</v>
      </c>
      <c r="BK106" s="31">
        <f t="shared" si="50"/>
        <v>0</v>
      </c>
      <c r="BL106" s="237">
        <f t="shared" si="51"/>
        <v>0</v>
      </c>
      <c r="BM106" s="31">
        <f t="shared" si="52"/>
        <v>0</v>
      </c>
      <c r="BN106" s="237">
        <f t="shared" si="53"/>
        <v>0</v>
      </c>
    </row>
    <row r="107" spans="1:66" x14ac:dyDescent="0.25">
      <c r="A107" s="31" t="s">
        <v>1938</v>
      </c>
      <c r="B107" s="182" t="str">
        <f>VLOOKUP(A107,kurspris!$A$1:$B$894,2,FALSE)</f>
        <v>Historia 2</v>
      </c>
      <c r="D107" s="31" t="s">
        <v>483</v>
      </c>
      <c r="F107" s="59">
        <v>2019</v>
      </c>
      <c r="Q107" s="237">
        <v>12</v>
      </c>
      <c r="R107" s="40">
        <v>0.85</v>
      </c>
      <c r="S107" s="313">
        <f t="shared" si="27"/>
        <v>10.199999999999999</v>
      </c>
      <c r="T107" s="31">
        <f>VLOOKUP(A107,'Ansvar kurs'!$A$1:$C$1027,2,FALSE)</f>
        <v>1630</v>
      </c>
      <c r="U107" s="31" t="str">
        <f>VLOOKUP(T107,Orgenheter!$A$1:$C$165,2,FALSE)</f>
        <v>Inst för ide- o samhällsstudier</v>
      </c>
      <c r="V107" s="31" t="str">
        <f>VLOOKUP(T107,Orgenheter!$A$1:$C$165,3,FALSE)</f>
        <v>Hum</v>
      </c>
      <c r="W107" s="37" t="str">
        <f>VLOOKUP(D107,Program!$A$1:$B$34,2,FALSE)</f>
        <v>Ämneslärarprogrammet - Gy</v>
      </c>
      <c r="X107" s="42">
        <f>VLOOKUP(A107,kurspris!$A$1:$Q$815,15,FALSE)</f>
        <v>18405</v>
      </c>
      <c r="Y107" s="42">
        <f>VLOOKUP(A107,kurspris!$A$1:$Q$815,16,FALSE)</f>
        <v>15773</v>
      </c>
      <c r="Z107" s="42">
        <f t="shared" si="28"/>
        <v>381744.6</v>
      </c>
      <c r="AA107" s="42">
        <f>VLOOKUP(A107,kurspris!$A$1:$Q$815,17,FALSE)</f>
        <v>5800</v>
      </c>
      <c r="AB107" s="42">
        <f t="shared" si="29"/>
        <v>69600</v>
      </c>
      <c r="AC107" s="42">
        <f t="shared" si="30"/>
        <v>451344.6</v>
      </c>
      <c r="AD107" s="31">
        <f>VLOOKUP($A107,kurspris!$A$1:$Q$852,3,FALSE)</f>
        <v>0</v>
      </c>
      <c r="AE107" s="31">
        <f>VLOOKUP($A107,kurspris!$A$1:$Q$852,4,FALSE)</f>
        <v>1</v>
      </c>
      <c r="AF107" s="31">
        <f>VLOOKUP($A107,kurspris!$A$1:$Q$852,5,FALSE)</f>
        <v>0</v>
      </c>
      <c r="AG107" s="31">
        <f>VLOOKUP($A107,kurspris!$A$1:$Q$852,6,FALSE)</f>
        <v>0</v>
      </c>
      <c r="AH107" s="31">
        <f>VLOOKUP($A107,kurspris!$A$1:$Q$852,7,FALSE)</f>
        <v>0</v>
      </c>
      <c r="AI107" s="31">
        <f>VLOOKUP($A107,kurspris!$A$1:$Q$852,8,FALSE)</f>
        <v>0</v>
      </c>
      <c r="AJ107" s="31">
        <f>VLOOKUP($A107,kurspris!$A$1:$Q$852,9,FALSE)</f>
        <v>0</v>
      </c>
      <c r="AK107" s="31">
        <f>VLOOKUP($A107,kurspris!$A$1:$Q$852,10,FALSE)</f>
        <v>0</v>
      </c>
      <c r="AL107" s="31">
        <f>VLOOKUP($A107,kurspris!$A$1:$Q$852,11,FALSE)</f>
        <v>0</v>
      </c>
      <c r="AM107" s="31">
        <f>VLOOKUP($A107,kurspris!$A$1:$Q$852,12,FALSE)</f>
        <v>0</v>
      </c>
      <c r="AN107" s="31">
        <f>VLOOKUP($A107,kurspris!$A$1:$Q$852,13,FALSE)</f>
        <v>0</v>
      </c>
      <c r="AO107" s="31">
        <f>VLOOKUP($A107,kurspris!$A$1:$Q$852,14,FALSE)</f>
        <v>0</v>
      </c>
      <c r="AP107" s="59" t="s">
        <v>2216</v>
      </c>
      <c r="AR107" s="31">
        <f t="shared" si="31"/>
        <v>0</v>
      </c>
      <c r="AS107" s="237">
        <f t="shared" si="32"/>
        <v>0</v>
      </c>
      <c r="AT107" s="31">
        <f t="shared" si="33"/>
        <v>12</v>
      </c>
      <c r="AU107" s="237">
        <f t="shared" si="34"/>
        <v>10.199999999999999</v>
      </c>
      <c r="AV107" s="31">
        <f t="shared" si="35"/>
        <v>0</v>
      </c>
      <c r="AW107" s="31">
        <f t="shared" si="36"/>
        <v>0</v>
      </c>
      <c r="AX107" s="31">
        <f t="shared" si="37"/>
        <v>0</v>
      </c>
      <c r="AY107" s="237">
        <f t="shared" si="38"/>
        <v>0</v>
      </c>
      <c r="AZ107" s="214">
        <f t="shared" si="39"/>
        <v>0</v>
      </c>
      <c r="BA107" s="237">
        <f t="shared" si="40"/>
        <v>0</v>
      </c>
      <c r="BB107" s="31">
        <f t="shared" si="41"/>
        <v>0</v>
      </c>
      <c r="BC107" s="237">
        <f t="shared" si="42"/>
        <v>0</v>
      </c>
      <c r="BD107" s="31">
        <f t="shared" si="43"/>
        <v>0</v>
      </c>
      <c r="BE107" s="237">
        <f t="shared" si="44"/>
        <v>0</v>
      </c>
      <c r="BF107" s="31">
        <f t="shared" si="45"/>
        <v>0</v>
      </c>
      <c r="BG107" s="237">
        <f t="shared" si="46"/>
        <v>0</v>
      </c>
      <c r="BH107" s="31">
        <f t="shared" si="47"/>
        <v>0</v>
      </c>
      <c r="BI107" s="237">
        <f t="shared" si="48"/>
        <v>0</v>
      </c>
      <c r="BJ107" s="31">
        <f t="shared" si="49"/>
        <v>0</v>
      </c>
      <c r="BK107" s="31">
        <f t="shared" si="50"/>
        <v>0</v>
      </c>
      <c r="BL107" s="237">
        <f t="shared" si="51"/>
        <v>0</v>
      </c>
      <c r="BM107" s="31">
        <f t="shared" si="52"/>
        <v>0</v>
      </c>
      <c r="BN107" s="237">
        <f t="shared" si="53"/>
        <v>0</v>
      </c>
    </row>
    <row r="108" spans="1:66" x14ac:dyDescent="0.25">
      <c r="A108" s="31" t="s">
        <v>2056</v>
      </c>
      <c r="B108" s="182" t="str">
        <f>VLOOKUP(A108,kurspris!$A$1:$B$894,2,FALSE)</f>
        <v>Historia 1</v>
      </c>
      <c r="D108" s="31" t="s">
        <v>483</v>
      </c>
      <c r="F108" s="59">
        <v>2019</v>
      </c>
      <c r="Q108" s="237">
        <v>12.5</v>
      </c>
      <c r="R108" s="40">
        <v>0.85</v>
      </c>
      <c r="S108" s="313">
        <f t="shared" si="27"/>
        <v>10.625</v>
      </c>
      <c r="T108" s="31">
        <f>VLOOKUP(A108,'Ansvar kurs'!$A$1:$C$1027,2,FALSE)</f>
        <v>1630</v>
      </c>
      <c r="U108" s="31" t="str">
        <f>VLOOKUP(T108,Orgenheter!$A$1:$C$165,2,FALSE)</f>
        <v>Inst för ide- o samhällsstudier</v>
      </c>
      <c r="V108" s="31" t="str">
        <f>VLOOKUP(T108,Orgenheter!$A$1:$C$165,3,FALSE)</f>
        <v>Hum</v>
      </c>
      <c r="W108" s="37" t="str">
        <f>VLOOKUP(D108,Program!$A$1:$B$34,2,FALSE)</f>
        <v>Ämneslärarprogrammet - Gy</v>
      </c>
      <c r="X108" s="42">
        <f>VLOOKUP(A108,kurspris!$A$1:$Q$815,15,FALSE)</f>
        <v>18405</v>
      </c>
      <c r="Y108" s="42">
        <f>VLOOKUP(A108,kurspris!$A$1:$Q$815,16,FALSE)</f>
        <v>15773</v>
      </c>
      <c r="Z108" s="42">
        <f t="shared" si="28"/>
        <v>397650.625</v>
      </c>
      <c r="AA108" s="42">
        <f>VLOOKUP(A108,kurspris!$A$1:$Q$815,17,FALSE)</f>
        <v>5800</v>
      </c>
      <c r="AB108" s="42">
        <f t="shared" si="29"/>
        <v>72500</v>
      </c>
      <c r="AC108" s="42">
        <f t="shared" si="30"/>
        <v>470150.625</v>
      </c>
      <c r="AD108" s="31">
        <f>VLOOKUP($A108,kurspris!$A$1:$Q$852,3,FALSE)</f>
        <v>0</v>
      </c>
      <c r="AE108" s="31">
        <f>VLOOKUP($A108,kurspris!$A$1:$Q$852,4,FALSE)</f>
        <v>1</v>
      </c>
      <c r="AF108" s="31">
        <f>VLOOKUP($A108,kurspris!$A$1:$Q$852,5,FALSE)</f>
        <v>0</v>
      </c>
      <c r="AG108" s="31">
        <f>VLOOKUP($A108,kurspris!$A$1:$Q$852,6,FALSE)</f>
        <v>0</v>
      </c>
      <c r="AH108" s="31">
        <f>VLOOKUP($A108,kurspris!$A$1:$Q$852,7,FALSE)</f>
        <v>0</v>
      </c>
      <c r="AI108" s="31">
        <f>VLOOKUP($A108,kurspris!$A$1:$Q$852,8,FALSE)</f>
        <v>0</v>
      </c>
      <c r="AJ108" s="31">
        <f>VLOOKUP($A108,kurspris!$A$1:$Q$852,9,FALSE)</f>
        <v>0</v>
      </c>
      <c r="AK108" s="31">
        <f>VLOOKUP($A108,kurspris!$A$1:$Q$852,10,FALSE)</f>
        <v>0</v>
      </c>
      <c r="AL108" s="31">
        <f>VLOOKUP($A108,kurspris!$A$1:$Q$852,11,FALSE)</f>
        <v>0</v>
      </c>
      <c r="AM108" s="31">
        <f>VLOOKUP($A108,kurspris!$A$1:$Q$852,12,FALSE)</f>
        <v>0</v>
      </c>
      <c r="AN108" s="31">
        <f>VLOOKUP($A108,kurspris!$A$1:$Q$852,13,FALSE)</f>
        <v>0</v>
      </c>
      <c r="AO108" s="31">
        <f>VLOOKUP($A108,kurspris!$A$1:$Q$852,14,FALSE)</f>
        <v>0</v>
      </c>
      <c r="AP108" s="59" t="s">
        <v>2216</v>
      </c>
      <c r="AR108" s="31">
        <f t="shared" si="31"/>
        <v>0</v>
      </c>
      <c r="AS108" s="237">
        <f t="shared" si="32"/>
        <v>0</v>
      </c>
      <c r="AT108" s="31">
        <f t="shared" si="33"/>
        <v>12.5</v>
      </c>
      <c r="AU108" s="237">
        <f t="shared" si="34"/>
        <v>10.625</v>
      </c>
      <c r="AV108" s="31">
        <f t="shared" si="35"/>
        <v>0</v>
      </c>
      <c r="AW108" s="31">
        <f t="shared" si="36"/>
        <v>0</v>
      </c>
      <c r="AX108" s="31">
        <f t="shared" si="37"/>
        <v>0</v>
      </c>
      <c r="AY108" s="237">
        <f t="shared" si="38"/>
        <v>0</v>
      </c>
      <c r="AZ108" s="214">
        <f t="shared" si="39"/>
        <v>0</v>
      </c>
      <c r="BA108" s="237">
        <f t="shared" si="40"/>
        <v>0</v>
      </c>
      <c r="BB108" s="31">
        <f t="shared" si="41"/>
        <v>0</v>
      </c>
      <c r="BC108" s="237">
        <f t="shared" si="42"/>
        <v>0</v>
      </c>
      <c r="BD108" s="31">
        <f t="shared" si="43"/>
        <v>0</v>
      </c>
      <c r="BE108" s="237">
        <f t="shared" si="44"/>
        <v>0</v>
      </c>
      <c r="BF108" s="31">
        <f t="shared" si="45"/>
        <v>0</v>
      </c>
      <c r="BG108" s="237">
        <f t="shared" si="46"/>
        <v>0</v>
      </c>
      <c r="BH108" s="31">
        <f t="shared" si="47"/>
        <v>0</v>
      </c>
      <c r="BI108" s="237">
        <f t="shared" si="48"/>
        <v>0</v>
      </c>
      <c r="BJ108" s="31">
        <f t="shared" si="49"/>
        <v>0</v>
      </c>
      <c r="BK108" s="31">
        <f t="shared" si="50"/>
        <v>0</v>
      </c>
      <c r="BL108" s="237">
        <f t="shared" si="51"/>
        <v>0</v>
      </c>
      <c r="BM108" s="31">
        <f t="shared" si="52"/>
        <v>0</v>
      </c>
      <c r="BN108" s="237">
        <f t="shared" si="53"/>
        <v>0</v>
      </c>
    </row>
    <row r="109" spans="1:66" x14ac:dyDescent="0.25">
      <c r="A109" s="31" t="s">
        <v>2057</v>
      </c>
      <c r="B109" s="182" t="str">
        <f>VLOOKUP(A109,kurspris!$A$1:$B$894,2,FALSE)</f>
        <v>Historia 3</v>
      </c>
      <c r="D109" s="31" t="s">
        <v>483</v>
      </c>
      <c r="F109" s="59">
        <v>2019</v>
      </c>
      <c r="Q109" s="237">
        <v>12</v>
      </c>
      <c r="R109" s="40">
        <v>0.85</v>
      </c>
      <c r="S109" s="313">
        <f t="shared" si="27"/>
        <v>10.199999999999999</v>
      </c>
      <c r="T109" s="31">
        <f>VLOOKUP(A109,'Ansvar kurs'!$A$1:$C$1027,2,FALSE)</f>
        <v>1630</v>
      </c>
      <c r="U109" s="31" t="str">
        <f>VLOOKUP(T109,Orgenheter!$A$1:$C$165,2,FALSE)</f>
        <v>Inst för ide- o samhällsstudier</v>
      </c>
      <c r="V109" s="31" t="str">
        <f>VLOOKUP(T109,Orgenheter!$A$1:$C$165,3,FALSE)</f>
        <v>Hum</v>
      </c>
      <c r="W109" s="37" t="str">
        <f>VLOOKUP(D109,Program!$A$1:$B$34,2,FALSE)</f>
        <v>Ämneslärarprogrammet - Gy</v>
      </c>
      <c r="X109" s="42">
        <f>VLOOKUP(A109,kurspris!$A$1:$Q$815,15,FALSE)</f>
        <v>18405</v>
      </c>
      <c r="Y109" s="42">
        <f>VLOOKUP(A109,kurspris!$A$1:$Q$815,16,FALSE)</f>
        <v>15773</v>
      </c>
      <c r="Z109" s="42">
        <f t="shared" si="28"/>
        <v>381744.6</v>
      </c>
      <c r="AA109" s="42">
        <f>VLOOKUP(A109,kurspris!$A$1:$Q$815,17,FALSE)</f>
        <v>5800</v>
      </c>
      <c r="AB109" s="42">
        <f t="shared" si="29"/>
        <v>69600</v>
      </c>
      <c r="AC109" s="42">
        <f t="shared" si="30"/>
        <v>451344.6</v>
      </c>
      <c r="AD109" s="31">
        <f>VLOOKUP($A109,kurspris!$A$1:$Q$852,3,FALSE)</f>
        <v>0</v>
      </c>
      <c r="AE109" s="31">
        <f>VLOOKUP($A109,kurspris!$A$1:$Q$852,4,FALSE)</f>
        <v>1</v>
      </c>
      <c r="AF109" s="31">
        <f>VLOOKUP($A109,kurspris!$A$1:$Q$852,5,FALSE)</f>
        <v>0</v>
      </c>
      <c r="AG109" s="31">
        <f>VLOOKUP($A109,kurspris!$A$1:$Q$852,6,FALSE)</f>
        <v>0</v>
      </c>
      <c r="AH109" s="31">
        <f>VLOOKUP($A109,kurspris!$A$1:$Q$852,7,FALSE)</f>
        <v>0</v>
      </c>
      <c r="AI109" s="31">
        <f>VLOOKUP($A109,kurspris!$A$1:$Q$852,8,FALSE)</f>
        <v>0</v>
      </c>
      <c r="AJ109" s="31">
        <f>VLOOKUP($A109,kurspris!$A$1:$Q$852,9,FALSE)</f>
        <v>0</v>
      </c>
      <c r="AK109" s="31">
        <f>VLOOKUP($A109,kurspris!$A$1:$Q$852,10,FALSE)</f>
        <v>0</v>
      </c>
      <c r="AL109" s="31">
        <f>VLOOKUP($A109,kurspris!$A$1:$Q$852,11,FALSE)</f>
        <v>0</v>
      </c>
      <c r="AM109" s="31">
        <f>VLOOKUP($A109,kurspris!$A$1:$Q$852,12,FALSE)</f>
        <v>0</v>
      </c>
      <c r="AN109" s="31">
        <f>VLOOKUP($A109,kurspris!$A$1:$Q$852,13,FALSE)</f>
        <v>0</v>
      </c>
      <c r="AO109" s="31">
        <f>VLOOKUP($A109,kurspris!$A$1:$Q$852,14,FALSE)</f>
        <v>0</v>
      </c>
      <c r="AP109" s="59" t="s">
        <v>2216</v>
      </c>
      <c r="AR109" s="31">
        <f t="shared" si="31"/>
        <v>0</v>
      </c>
      <c r="AS109" s="237">
        <f t="shared" si="32"/>
        <v>0</v>
      </c>
      <c r="AT109" s="31">
        <f t="shared" si="33"/>
        <v>12</v>
      </c>
      <c r="AU109" s="237">
        <f t="shared" si="34"/>
        <v>10.199999999999999</v>
      </c>
      <c r="AV109" s="31">
        <f t="shared" si="35"/>
        <v>0</v>
      </c>
      <c r="AW109" s="31">
        <f t="shared" si="36"/>
        <v>0</v>
      </c>
      <c r="AX109" s="31">
        <f t="shared" si="37"/>
        <v>0</v>
      </c>
      <c r="AY109" s="237">
        <f t="shared" si="38"/>
        <v>0</v>
      </c>
      <c r="AZ109" s="214">
        <f t="shared" si="39"/>
        <v>0</v>
      </c>
      <c r="BA109" s="237">
        <f t="shared" si="40"/>
        <v>0</v>
      </c>
      <c r="BB109" s="31">
        <f t="shared" si="41"/>
        <v>0</v>
      </c>
      <c r="BC109" s="237">
        <f t="shared" si="42"/>
        <v>0</v>
      </c>
      <c r="BD109" s="31">
        <f t="shared" si="43"/>
        <v>0</v>
      </c>
      <c r="BE109" s="237">
        <f t="shared" si="44"/>
        <v>0</v>
      </c>
      <c r="BF109" s="31">
        <f t="shared" si="45"/>
        <v>0</v>
      </c>
      <c r="BG109" s="237">
        <f t="shared" si="46"/>
        <v>0</v>
      </c>
      <c r="BH109" s="31">
        <f t="shared" si="47"/>
        <v>0</v>
      </c>
      <c r="BI109" s="237">
        <f t="shared" si="48"/>
        <v>0</v>
      </c>
      <c r="BJ109" s="31">
        <f t="shared" si="49"/>
        <v>0</v>
      </c>
      <c r="BK109" s="31">
        <f t="shared" si="50"/>
        <v>0</v>
      </c>
      <c r="BL109" s="237">
        <f t="shared" si="51"/>
        <v>0</v>
      </c>
      <c r="BM109" s="31">
        <f t="shared" si="52"/>
        <v>0</v>
      </c>
      <c r="BN109" s="237">
        <f t="shared" si="53"/>
        <v>0</v>
      </c>
    </row>
    <row r="110" spans="1:66" x14ac:dyDescent="0.25">
      <c r="A110" s="159" t="s">
        <v>1548</v>
      </c>
      <c r="B110" s="182" t="str">
        <f>VLOOKUP(A110,kurspris!$A$1:$B$894,2,FALSE)</f>
        <v>Examensarbete i Idrott och hälsa för ämneslärarexamen</v>
      </c>
      <c r="C110" s="37"/>
      <c r="D110" s="31" t="s">
        <v>482</v>
      </c>
      <c r="F110" s="59">
        <v>2019</v>
      </c>
      <c r="Q110" s="237">
        <v>1.25</v>
      </c>
      <c r="R110" s="40">
        <v>0.85</v>
      </c>
      <c r="S110" s="313">
        <f t="shared" si="27"/>
        <v>1.0625</v>
      </c>
      <c r="T110" s="31">
        <f>VLOOKUP(A110,'Ansvar kurs'!$A$1:$C$1027,2,FALSE)</f>
        <v>2180</v>
      </c>
      <c r="U110" s="31" t="str">
        <f>VLOOKUP(T110,Orgenheter!$A$1:$C$165,2,FALSE)</f>
        <v xml:space="preserve">Pedagogik                     </v>
      </c>
      <c r="V110" s="31" t="str">
        <f>VLOOKUP(T110,Orgenheter!$A$1:$C$165,3,FALSE)</f>
        <v>Sam</v>
      </c>
      <c r="W110" s="37" t="str">
        <f>VLOOKUP(D110,Program!$A$1:$B$34,2,FALSE)</f>
        <v>Ämneslärarprogrammet - åk 7-9</v>
      </c>
      <c r="X110" s="42">
        <f>VLOOKUP(A110,kurspris!$A$1:$Q$815,15,FALSE)</f>
        <v>18405</v>
      </c>
      <c r="Y110" s="42">
        <f>VLOOKUP(A110,kurspris!$A$1:$Q$815,16,FALSE)</f>
        <v>15773</v>
      </c>
      <c r="Z110" s="42">
        <f t="shared" si="28"/>
        <v>39765.0625</v>
      </c>
      <c r="AA110" s="42">
        <f>VLOOKUP(A110,kurspris!$A$1:$Q$815,17,FALSE)</f>
        <v>5800</v>
      </c>
      <c r="AB110" s="42">
        <f t="shared" si="29"/>
        <v>7250</v>
      </c>
      <c r="AC110" s="42">
        <f t="shared" si="30"/>
        <v>47015.0625</v>
      </c>
      <c r="AD110" s="31">
        <f>VLOOKUP($A110,kurspris!$A$1:$Q$852,3,FALSE)</f>
        <v>0</v>
      </c>
      <c r="AE110" s="31">
        <f>VLOOKUP($A110,kurspris!$A$1:$Q$852,4,FALSE)</f>
        <v>0</v>
      </c>
      <c r="AF110" s="31">
        <f>VLOOKUP($A110,kurspris!$A$1:$Q$852,5,FALSE)</f>
        <v>0</v>
      </c>
      <c r="AG110" s="31">
        <f>VLOOKUP($A110,kurspris!$A$1:$Q$852,6,FALSE)</f>
        <v>0</v>
      </c>
      <c r="AH110" s="31">
        <f>VLOOKUP($A110,kurspris!$A$1:$Q$852,7,FALSE)</f>
        <v>0</v>
      </c>
      <c r="AI110" s="31">
        <f>VLOOKUP($A110,kurspris!$A$1:$Q$852,8,FALSE)</f>
        <v>0</v>
      </c>
      <c r="AJ110" s="31">
        <f>VLOOKUP($A110,kurspris!$A$1:$Q$852,9,FALSE)</f>
        <v>1</v>
      </c>
      <c r="AK110" s="31">
        <f>VLOOKUP($A110,kurspris!$A$1:$Q$852,10,FALSE)</f>
        <v>0</v>
      </c>
      <c r="AL110" s="31">
        <f>VLOOKUP($A110,kurspris!$A$1:$Q$852,11,FALSE)</f>
        <v>0</v>
      </c>
      <c r="AM110" s="31">
        <f>VLOOKUP($A110,kurspris!$A$1:$Q$852,12,FALSE)</f>
        <v>0</v>
      </c>
      <c r="AN110" s="31">
        <f>VLOOKUP($A110,kurspris!$A$1:$Q$852,13,FALSE)</f>
        <v>0</v>
      </c>
      <c r="AO110" s="31">
        <f>VLOOKUP($A110,kurspris!$A$1:$Q$852,14,FALSE)</f>
        <v>0</v>
      </c>
      <c r="AP110" s="59" t="s">
        <v>2216</v>
      </c>
      <c r="AQ110" s="59"/>
      <c r="AR110" s="31">
        <f t="shared" si="31"/>
        <v>0</v>
      </c>
      <c r="AS110" s="237">
        <f t="shared" si="32"/>
        <v>0</v>
      </c>
      <c r="AT110" s="31">
        <f t="shared" si="33"/>
        <v>0</v>
      </c>
      <c r="AU110" s="237">
        <f t="shared" si="34"/>
        <v>0</v>
      </c>
      <c r="AV110" s="31">
        <f t="shared" si="35"/>
        <v>0</v>
      </c>
      <c r="AW110" s="31">
        <f t="shared" si="36"/>
        <v>0</v>
      </c>
      <c r="AX110" s="31">
        <f t="shared" si="37"/>
        <v>0</v>
      </c>
      <c r="AY110" s="237">
        <f t="shared" si="38"/>
        <v>0</v>
      </c>
      <c r="AZ110" s="214">
        <f t="shared" si="39"/>
        <v>0</v>
      </c>
      <c r="BA110" s="237">
        <f t="shared" si="40"/>
        <v>0</v>
      </c>
      <c r="BB110" s="31">
        <f t="shared" si="41"/>
        <v>0</v>
      </c>
      <c r="BC110" s="237">
        <f t="shared" si="42"/>
        <v>0</v>
      </c>
      <c r="BD110" s="31">
        <f t="shared" si="43"/>
        <v>1.25</v>
      </c>
      <c r="BE110" s="237">
        <f t="shared" si="44"/>
        <v>1.0625</v>
      </c>
      <c r="BF110" s="31">
        <f t="shared" si="45"/>
        <v>0</v>
      </c>
      <c r="BG110" s="237">
        <f t="shared" si="46"/>
        <v>0</v>
      </c>
      <c r="BH110" s="31">
        <f t="shared" si="47"/>
        <v>0</v>
      </c>
      <c r="BI110" s="237">
        <f t="shared" si="48"/>
        <v>0</v>
      </c>
      <c r="BJ110" s="31">
        <f t="shared" si="49"/>
        <v>0</v>
      </c>
      <c r="BK110" s="31">
        <f t="shared" si="50"/>
        <v>0</v>
      </c>
      <c r="BL110" s="237">
        <f t="shared" si="51"/>
        <v>0</v>
      </c>
      <c r="BM110" s="31">
        <f t="shared" si="52"/>
        <v>0</v>
      </c>
      <c r="BN110" s="237">
        <f t="shared" si="53"/>
        <v>0</v>
      </c>
    </row>
    <row r="111" spans="1:66" x14ac:dyDescent="0.25">
      <c r="A111" s="31" t="s">
        <v>1548</v>
      </c>
      <c r="B111" s="182" t="str">
        <f>VLOOKUP(A111,kurspris!$A$1:$B$894,2,FALSE)</f>
        <v>Examensarbete i Idrott och hälsa för ämneslärarexamen</v>
      </c>
      <c r="D111" s="31" t="s">
        <v>483</v>
      </c>
      <c r="F111" s="59">
        <v>2019</v>
      </c>
      <c r="Q111" s="237">
        <v>6.625</v>
      </c>
      <c r="R111" s="40">
        <v>0.85</v>
      </c>
      <c r="S111" s="313">
        <f t="shared" si="27"/>
        <v>5.6312499999999996</v>
      </c>
      <c r="T111" s="31">
        <f>VLOOKUP(A111,'Ansvar kurs'!$A$1:$C$1027,2,FALSE)</f>
        <v>2180</v>
      </c>
      <c r="U111" s="31" t="str">
        <f>VLOOKUP(T111,Orgenheter!$A$1:$C$165,2,FALSE)</f>
        <v xml:space="preserve">Pedagogik                     </v>
      </c>
      <c r="V111" s="31" t="str">
        <f>VLOOKUP(T111,Orgenheter!$A$1:$C$165,3,FALSE)</f>
        <v>Sam</v>
      </c>
      <c r="W111" s="37" t="str">
        <f>VLOOKUP(D111,Program!$A$1:$B$34,2,FALSE)</f>
        <v>Ämneslärarprogrammet - Gy</v>
      </c>
      <c r="X111" s="42">
        <f>VLOOKUP(A111,kurspris!$A$1:$Q$815,15,FALSE)</f>
        <v>18405</v>
      </c>
      <c r="Y111" s="42">
        <f>VLOOKUP(A111,kurspris!$A$1:$Q$815,16,FALSE)</f>
        <v>15773</v>
      </c>
      <c r="Z111" s="42">
        <f t="shared" si="28"/>
        <v>210754.83124999999</v>
      </c>
      <c r="AA111" s="42">
        <f>VLOOKUP(A111,kurspris!$A$1:$Q$815,17,FALSE)</f>
        <v>5800</v>
      </c>
      <c r="AB111" s="42">
        <f t="shared" si="29"/>
        <v>38425</v>
      </c>
      <c r="AC111" s="42">
        <f t="shared" si="30"/>
        <v>249179.83124999999</v>
      </c>
      <c r="AD111" s="31">
        <f>VLOOKUP($A111,kurspris!$A$1:$Q$852,3,FALSE)</f>
        <v>0</v>
      </c>
      <c r="AE111" s="31">
        <f>VLOOKUP($A111,kurspris!$A$1:$Q$852,4,FALSE)</f>
        <v>0</v>
      </c>
      <c r="AF111" s="31">
        <f>VLOOKUP($A111,kurspris!$A$1:$Q$852,5,FALSE)</f>
        <v>0</v>
      </c>
      <c r="AG111" s="31">
        <f>VLOOKUP($A111,kurspris!$A$1:$Q$852,6,FALSE)</f>
        <v>0</v>
      </c>
      <c r="AH111" s="31">
        <f>VLOOKUP($A111,kurspris!$A$1:$Q$852,7,FALSE)</f>
        <v>0</v>
      </c>
      <c r="AI111" s="31">
        <f>VLOOKUP($A111,kurspris!$A$1:$Q$852,8,FALSE)</f>
        <v>0</v>
      </c>
      <c r="AJ111" s="31">
        <f>VLOOKUP($A111,kurspris!$A$1:$Q$852,9,FALSE)</f>
        <v>1</v>
      </c>
      <c r="AK111" s="31">
        <f>VLOOKUP($A111,kurspris!$A$1:$Q$852,10,FALSE)</f>
        <v>0</v>
      </c>
      <c r="AL111" s="31">
        <f>VLOOKUP($A111,kurspris!$A$1:$Q$852,11,FALSE)</f>
        <v>0</v>
      </c>
      <c r="AM111" s="31">
        <f>VLOOKUP($A111,kurspris!$A$1:$Q$852,12,FALSE)</f>
        <v>0</v>
      </c>
      <c r="AN111" s="31">
        <f>VLOOKUP($A111,kurspris!$A$1:$Q$852,13,FALSE)</f>
        <v>0</v>
      </c>
      <c r="AO111" s="31">
        <f>VLOOKUP($A111,kurspris!$A$1:$Q$852,14,FALSE)</f>
        <v>0</v>
      </c>
      <c r="AP111" s="59" t="s">
        <v>2216</v>
      </c>
      <c r="AR111" s="31">
        <f t="shared" si="31"/>
        <v>0</v>
      </c>
      <c r="AS111" s="237">
        <f t="shared" si="32"/>
        <v>0</v>
      </c>
      <c r="AT111" s="31">
        <f t="shared" si="33"/>
        <v>0</v>
      </c>
      <c r="AU111" s="237">
        <f t="shared" si="34"/>
        <v>0</v>
      </c>
      <c r="AV111" s="31">
        <f t="shared" si="35"/>
        <v>0</v>
      </c>
      <c r="AW111" s="31">
        <f t="shared" si="36"/>
        <v>0</v>
      </c>
      <c r="AX111" s="31">
        <f t="shared" si="37"/>
        <v>0</v>
      </c>
      <c r="AY111" s="237">
        <f t="shared" si="38"/>
        <v>0</v>
      </c>
      <c r="AZ111" s="214">
        <f t="shared" si="39"/>
        <v>0</v>
      </c>
      <c r="BA111" s="237">
        <f t="shared" si="40"/>
        <v>0</v>
      </c>
      <c r="BB111" s="31">
        <f t="shared" si="41"/>
        <v>0</v>
      </c>
      <c r="BC111" s="237">
        <f t="shared" si="42"/>
        <v>0</v>
      </c>
      <c r="BD111" s="31">
        <f t="shared" si="43"/>
        <v>6.625</v>
      </c>
      <c r="BE111" s="237">
        <f t="shared" si="44"/>
        <v>5.6312499999999996</v>
      </c>
      <c r="BF111" s="31">
        <f t="shared" si="45"/>
        <v>0</v>
      </c>
      <c r="BG111" s="237">
        <f t="shared" si="46"/>
        <v>0</v>
      </c>
      <c r="BH111" s="31">
        <f t="shared" si="47"/>
        <v>0</v>
      </c>
      <c r="BI111" s="237">
        <f t="shared" si="48"/>
        <v>0</v>
      </c>
      <c r="BJ111" s="31">
        <f t="shared" si="49"/>
        <v>0</v>
      </c>
      <c r="BK111" s="31">
        <f t="shared" si="50"/>
        <v>0</v>
      </c>
      <c r="BL111" s="237">
        <f t="shared" si="51"/>
        <v>0</v>
      </c>
      <c r="BM111" s="31">
        <f t="shared" si="52"/>
        <v>0</v>
      </c>
      <c r="BN111" s="237">
        <f t="shared" si="53"/>
        <v>0</v>
      </c>
    </row>
    <row r="112" spans="1:66" x14ac:dyDescent="0.25">
      <c r="A112" s="31" t="s">
        <v>1474</v>
      </c>
      <c r="B112" s="182" t="str">
        <f>VLOOKUP(A112,kurspris!$A$1:$B$894,2,FALSE)</f>
        <v>Praktiskt estetiskt ämne - Idrott och hälsa 2</v>
      </c>
      <c r="D112" s="31" t="s">
        <v>485</v>
      </c>
      <c r="F112" s="59">
        <v>2019</v>
      </c>
      <c r="Q112" s="237">
        <v>2.25</v>
      </c>
      <c r="R112" s="40">
        <v>0.85</v>
      </c>
      <c r="S112" s="313">
        <f t="shared" si="27"/>
        <v>1.9124999999999999</v>
      </c>
      <c r="T112" s="31">
        <f>VLOOKUP(A112,'Ansvar kurs'!$A$1:$C$1027,2,FALSE)</f>
        <v>2180</v>
      </c>
      <c r="U112" s="31" t="str">
        <f>VLOOKUP(T112,Orgenheter!$A$1:$C$165,2,FALSE)</f>
        <v xml:space="preserve">Pedagogik                     </v>
      </c>
      <c r="V112" s="31" t="str">
        <f>VLOOKUP(T112,Orgenheter!$A$1:$C$165,3,FALSE)</f>
        <v>Sam</v>
      </c>
      <c r="W112" s="37" t="str">
        <f>VLOOKUP(D112,Program!$A$1:$B$34,2,FALSE)</f>
        <v>Grundlärarprogrammet - fritidshem</v>
      </c>
      <c r="X112" s="42">
        <f>VLOOKUP(A112,kurspris!$A$1:$Q$815,15,FALSE)</f>
        <v>15846</v>
      </c>
      <c r="Y112" s="42">
        <f>VLOOKUP(A112,kurspris!$A$1:$Q$815,16,FALSE)</f>
        <v>26926</v>
      </c>
      <c r="Z112" s="42">
        <f t="shared" si="28"/>
        <v>87149.475000000006</v>
      </c>
      <c r="AA112" s="42">
        <f>VLOOKUP(A112,kurspris!$A$1:$Q$815,17,FALSE)</f>
        <v>17300</v>
      </c>
      <c r="AB112" s="42">
        <f t="shared" si="29"/>
        <v>38925</v>
      </c>
      <c r="AC112" s="42">
        <f t="shared" si="30"/>
        <v>126074.47500000001</v>
      </c>
      <c r="AD112" s="31">
        <f>VLOOKUP($A112,kurspris!$A$1:$Q$852,3,FALSE)</f>
        <v>0</v>
      </c>
      <c r="AE112" s="31">
        <f>VLOOKUP($A112,kurspris!$A$1:$Q$852,4,FALSE)</f>
        <v>0</v>
      </c>
      <c r="AF112" s="31">
        <f>VLOOKUP($A112,kurspris!$A$1:$Q$852,5,FALSE)</f>
        <v>0</v>
      </c>
      <c r="AG112" s="31">
        <f>VLOOKUP($A112,kurspris!$A$1:$Q$852,6,FALSE)</f>
        <v>0</v>
      </c>
      <c r="AH112" s="31">
        <f>VLOOKUP($A112,kurspris!$A$1:$Q$852,7,FALSE)</f>
        <v>0</v>
      </c>
      <c r="AI112" s="31">
        <f>VLOOKUP($A112,kurspris!$A$1:$Q$852,8,FALSE)</f>
        <v>0</v>
      </c>
      <c r="AJ112" s="31">
        <f>VLOOKUP($A112,kurspris!$A$1:$Q$852,9,FALSE)</f>
        <v>0</v>
      </c>
      <c r="AK112" s="31">
        <f>VLOOKUP($A112,kurspris!$A$1:$Q$852,10,FALSE)</f>
        <v>0</v>
      </c>
      <c r="AL112" s="31">
        <f>VLOOKUP($A112,kurspris!$A$1:$Q$852,11,FALSE)</f>
        <v>0</v>
      </c>
      <c r="AM112" s="31">
        <f>VLOOKUP($A112,kurspris!$A$1:$Q$852,12,FALSE)</f>
        <v>0</v>
      </c>
      <c r="AN112" s="31">
        <f>VLOOKUP($A112,kurspris!$A$1:$Q$852,13,FALSE)</f>
        <v>1</v>
      </c>
      <c r="AO112" s="31">
        <f>VLOOKUP($A112,kurspris!$A$1:$Q$852,14,FALSE)</f>
        <v>0</v>
      </c>
      <c r="AP112" s="59" t="s">
        <v>2216</v>
      </c>
      <c r="AR112" s="31">
        <f t="shared" si="31"/>
        <v>0</v>
      </c>
      <c r="AS112" s="237">
        <f t="shared" si="32"/>
        <v>0</v>
      </c>
      <c r="AT112" s="31">
        <f t="shared" si="33"/>
        <v>0</v>
      </c>
      <c r="AU112" s="237">
        <f t="shared" si="34"/>
        <v>0</v>
      </c>
      <c r="AV112" s="31">
        <f t="shared" si="35"/>
        <v>0</v>
      </c>
      <c r="AW112" s="31">
        <f t="shared" si="36"/>
        <v>0</v>
      </c>
      <c r="AX112" s="31">
        <f t="shared" si="37"/>
        <v>0</v>
      </c>
      <c r="AY112" s="237">
        <f t="shared" si="38"/>
        <v>0</v>
      </c>
      <c r="AZ112" s="214">
        <f t="shared" si="39"/>
        <v>0</v>
      </c>
      <c r="BA112" s="237">
        <f t="shared" si="40"/>
        <v>0</v>
      </c>
      <c r="BB112" s="31">
        <f t="shared" si="41"/>
        <v>0</v>
      </c>
      <c r="BC112" s="237">
        <f t="shared" si="42"/>
        <v>0</v>
      </c>
      <c r="BD112" s="31">
        <f t="shared" si="43"/>
        <v>0</v>
      </c>
      <c r="BE112" s="237">
        <f t="shared" si="44"/>
        <v>0</v>
      </c>
      <c r="BF112" s="31">
        <f t="shared" si="45"/>
        <v>0</v>
      </c>
      <c r="BG112" s="237">
        <f t="shared" si="46"/>
        <v>0</v>
      </c>
      <c r="BH112" s="31">
        <f t="shared" si="47"/>
        <v>0</v>
      </c>
      <c r="BI112" s="237">
        <f t="shared" si="48"/>
        <v>0</v>
      </c>
      <c r="BJ112" s="31">
        <f t="shared" si="49"/>
        <v>0</v>
      </c>
      <c r="BK112" s="31">
        <f t="shared" si="50"/>
        <v>2.25</v>
      </c>
      <c r="BL112" s="237">
        <f t="shared" si="51"/>
        <v>1.9124999999999999</v>
      </c>
      <c r="BM112" s="31">
        <f t="shared" si="52"/>
        <v>0</v>
      </c>
      <c r="BN112" s="237">
        <f t="shared" si="53"/>
        <v>0</v>
      </c>
    </row>
    <row r="113" spans="1:66" x14ac:dyDescent="0.25">
      <c r="A113" s="31" t="s">
        <v>1474</v>
      </c>
      <c r="B113" s="182" t="str">
        <f>VLOOKUP(A113,kurspris!$A$1:$B$894,2,FALSE)</f>
        <v>Praktiskt estetiskt ämne - Idrott och hälsa 2</v>
      </c>
      <c r="D113" s="31" t="s">
        <v>117</v>
      </c>
      <c r="F113" s="59">
        <v>2019</v>
      </c>
      <c r="Q113" s="237">
        <v>0.25</v>
      </c>
      <c r="R113" s="40">
        <v>0.8</v>
      </c>
      <c r="S113" s="313">
        <f t="shared" si="27"/>
        <v>0.2</v>
      </c>
      <c r="T113" s="31">
        <f>VLOOKUP(A113,'Ansvar kurs'!$A$1:$C$1027,2,FALSE)</f>
        <v>2180</v>
      </c>
      <c r="U113" s="31" t="str">
        <f>VLOOKUP(T113,Orgenheter!$A$1:$C$165,2,FALSE)</f>
        <v xml:space="preserve">Pedagogik                     </v>
      </c>
      <c r="V113" s="31" t="str">
        <f>VLOOKUP(T113,Orgenheter!$A$1:$C$165,3,FALSE)</f>
        <v>Sam</v>
      </c>
      <c r="W113" s="37" t="str">
        <f>VLOOKUP(D113,Program!$A$1:$B$34,2,FALSE)</f>
        <v>Fristående och övriga kurser</v>
      </c>
      <c r="X113" s="42">
        <f>VLOOKUP(A113,kurspris!$A$1:$Q$815,15,FALSE)</f>
        <v>15846</v>
      </c>
      <c r="Y113" s="42">
        <f>VLOOKUP(A113,kurspris!$A$1:$Q$815,16,FALSE)</f>
        <v>26926</v>
      </c>
      <c r="Z113" s="42">
        <f t="shared" si="28"/>
        <v>9346.7000000000007</v>
      </c>
      <c r="AA113" s="42">
        <f>VLOOKUP(A113,kurspris!$A$1:$Q$815,17,FALSE)</f>
        <v>17300</v>
      </c>
      <c r="AB113" s="42">
        <f t="shared" si="29"/>
        <v>4325</v>
      </c>
      <c r="AC113" s="42">
        <f t="shared" si="30"/>
        <v>13671.7</v>
      </c>
      <c r="AD113" s="31">
        <f>VLOOKUP($A113,kurspris!$A$1:$Q$852,3,FALSE)</f>
        <v>0</v>
      </c>
      <c r="AE113" s="31">
        <f>VLOOKUP($A113,kurspris!$A$1:$Q$852,4,FALSE)</f>
        <v>0</v>
      </c>
      <c r="AF113" s="31">
        <f>VLOOKUP($A113,kurspris!$A$1:$Q$852,5,FALSE)</f>
        <v>0</v>
      </c>
      <c r="AG113" s="31">
        <f>VLOOKUP($A113,kurspris!$A$1:$Q$852,6,FALSE)</f>
        <v>0</v>
      </c>
      <c r="AH113" s="31">
        <f>VLOOKUP($A113,kurspris!$A$1:$Q$852,7,FALSE)</f>
        <v>0</v>
      </c>
      <c r="AI113" s="31">
        <f>VLOOKUP($A113,kurspris!$A$1:$Q$852,8,FALSE)</f>
        <v>0</v>
      </c>
      <c r="AJ113" s="31">
        <f>VLOOKUP($A113,kurspris!$A$1:$Q$852,9,FALSE)</f>
        <v>0</v>
      </c>
      <c r="AK113" s="31">
        <f>VLOOKUP($A113,kurspris!$A$1:$Q$852,10,FALSE)</f>
        <v>0</v>
      </c>
      <c r="AL113" s="31">
        <f>VLOOKUP($A113,kurspris!$A$1:$Q$852,11,FALSE)</f>
        <v>0</v>
      </c>
      <c r="AM113" s="31">
        <f>VLOOKUP($A113,kurspris!$A$1:$Q$852,12,FALSE)</f>
        <v>0</v>
      </c>
      <c r="AN113" s="31">
        <f>VLOOKUP($A113,kurspris!$A$1:$Q$852,13,FALSE)</f>
        <v>1</v>
      </c>
      <c r="AO113" s="31">
        <f>VLOOKUP($A113,kurspris!$A$1:$Q$852,14,FALSE)</f>
        <v>0</v>
      </c>
      <c r="AP113" s="59" t="s">
        <v>2216</v>
      </c>
      <c r="AR113" s="31">
        <f t="shared" si="31"/>
        <v>0</v>
      </c>
      <c r="AS113" s="237">
        <f t="shared" si="32"/>
        <v>0</v>
      </c>
      <c r="AT113" s="31">
        <f t="shared" si="33"/>
        <v>0</v>
      </c>
      <c r="AU113" s="237">
        <f t="shared" si="34"/>
        <v>0</v>
      </c>
      <c r="AV113" s="31">
        <f t="shared" si="35"/>
        <v>0</v>
      </c>
      <c r="AW113" s="31">
        <f t="shared" si="36"/>
        <v>0</v>
      </c>
      <c r="AX113" s="31">
        <f t="shared" si="37"/>
        <v>0</v>
      </c>
      <c r="AY113" s="237">
        <f t="shared" si="38"/>
        <v>0</v>
      </c>
      <c r="AZ113" s="214">
        <f t="shared" si="39"/>
        <v>0</v>
      </c>
      <c r="BA113" s="237">
        <f t="shared" si="40"/>
        <v>0</v>
      </c>
      <c r="BB113" s="31">
        <f t="shared" si="41"/>
        <v>0</v>
      </c>
      <c r="BC113" s="237">
        <f t="shared" si="42"/>
        <v>0</v>
      </c>
      <c r="BD113" s="31">
        <f t="shared" si="43"/>
        <v>0</v>
      </c>
      <c r="BE113" s="237">
        <f t="shared" si="44"/>
        <v>0</v>
      </c>
      <c r="BF113" s="31">
        <f t="shared" si="45"/>
        <v>0</v>
      </c>
      <c r="BG113" s="237">
        <f t="shared" si="46"/>
        <v>0</v>
      </c>
      <c r="BH113" s="31">
        <f t="shared" si="47"/>
        <v>0</v>
      </c>
      <c r="BI113" s="237">
        <f t="shared" si="48"/>
        <v>0</v>
      </c>
      <c r="BJ113" s="31">
        <f t="shared" si="49"/>
        <v>0</v>
      </c>
      <c r="BK113" s="31">
        <f t="shared" si="50"/>
        <v>0.25</v>
      </c>
      <c r="BL113" s="237">
        <f t="shared" si="51"/>
        <v>0.2</v>
      </c>
      <c r="BM113" s="31">
        <f t="shared" si="52"/>
        <v>0</v>
      </c>
      <c r="BN113" s="237">
        <f t="shared" si="53"/>
        <v>0</v>
      </c>
    </row>
    <row r="114" spans="1:66" x14ac:dyDescent="0.25">
      <c r="A114" s="31" t="s">
        <v>1464</v>
      </c>
      <c r="B114" s="182" t="str">
        <f>VLOOKUP(A114,kurspris!$A$1:$B$894,2,FALSE)</f>
        <v>Praktiskt estetiskt ämne - Idrott och hälsa 1</v>
      </c>
      <c r="D114" s="31" t="s">
        <v>485</v>
      </c>
      <c r="F114" s="59">
        <v>2019</v>
      </c>
      <c r="Q114" s="237">
        <v>4.25</v>
      </c>
      <c r="R114" s="40">
        <v>0.85</v>
      </c>
      <c r="S114" s="313">
        <f t="shared" si="27"/>
        <v>3.6124999999999998</v>
      </c>
      <c r="T114" s="31">
        <f>VLOOKUP(A114,'Ansvar kurs'!$A$1:$C$1027,2,FALSE)</f>
        <v>2180</v>
      </c>
      <c r="U114" s="31" t="str">
        <f>VLOOKUP(T114,Orgenheter!$A$1:$C$165,2,FALSE)</f>
        <v xml:space="preserve">Pedagogik                     </v>
      </c>
      <c r="V114" s="31" t="str">
        <f>VLOOKUP(T114,Orgenheter!$A$1:$C$165,3,FALSE)</f>
        <v>Sam</v>
      </c>
      <c r="W114" s="37" t="str">
        <f>VLOOKUP(D114,Program!$A$1:$B$34,2,FALSE)</f>
        <v>Grundlärarprogrammet - fritidshem</v>
      </c>
      <c r="X114" s="42">
        <f>VLOOKUP(A114,kurspris!$A$1:$Q$815,15,FALSE)</f>
        <v>15846</v>
      </c>
      <c r="Y114" s="42">
        <f>VLOOKUP(A114,kurspris!$A$1:$Q$815,16,FALSE)</f>
        <v>26926</v>
      </c>
      <c r="Z114" s="42">
        <f t="shared" si="28"/>
        <v>164615.67499999999</v>
      </c>
      <c r="AA114" s="42">
        <f>VLOOKUP(A114,kurspris!$A$1:$Q$815,17,FALSE)</f>
        <v>17300</v>
      </c>
      <c r="AB114" s="42">
        <f t="shared" si="29"/>
        <v>73525</v>
      </c>
      <c r="AC114" s="42">
        <f t="shared" si="30"/>
        <v>238140.67499999999</v>
      </c>
      <c r="AD114" s="31">
        <f>VLOOKUP($A114,kurspris!$A$1:$Q$852,3,FALSE)</f>
        <v>0</v>
      </c>
      <c r="AE114" s="31">
        <f>VLOOKUP($A114,kurspris!$A$1:$Q$852,4,FALSE)</f>
        <v>0</v>
      </c>
      <c r="AF114" s="31">
        <f>VLOOKUP($A114,kurspris!$A$1:$Q$852,5,FALSE)</f>
        <v>0</v>
      </c>
      <c r="AG114" s="31">
        <f>VLOOKUP($A114,kurspris!$A$1:$Q$852,6,FALSE)</f>
        <v>0</v>
      </c>
      <c r="AH114" s="31">
        <f>VLOOKUP($A114,kurspris!$A$1:$Q$852,7,FALSE)</f>
        <v>0</v>
      </c>
      <c r="AI114" s="31">
        <f>VLOOKUP($A114,kurspris!$A$1:$Q$852,8,FALSE)</f>
        <v>0</v>
      </c>
      <c r="AJ114" s="31">
        <f>VLOOKUP($A114,kurspris!$A$1:$Q$852,9,FALSE)</f>
        <v>0</v>
      </c>
      <c r="AK114" s="31">
        <f>VLOOKUP($A114,kurspris!$A$1:$Q$852,10,FALSE)</f>
        <v>0</v>
      </c>
      <c r="AL114" s="31">
        <f>VLOOKUP($A114,kurspris!$A$1:$Q$852,11,FALSE)</f>
        <v>0</v>
      </c>
      <c r="AM114" s="31">
        <f>VLOOKUP($A114,kurspris!$A$1:$Q$852,12,FALSE)</f>
        <v>0</v>
      </c>
      <c r="AN114" s="31">
        <f>VLOOKUP($A114,kurspris!$A$1:$Q$852,13,FALSE)</f>
        <v>1</v>
      </c>
      <c r="AO114" s="31">
        <f>VLOOKUP($A114,kurspris!$A$1:$Q$852,14,FALSE)</f>
        <v>0</v>
      </c>
      <c r="AP114" s="59" t="s">
        <v>2216</v>
      </c>
      <c r="AR114" s="31">
        <f t="shared" si="31"/>
        <v>0</v>
      </c>
      <c r="AS114" s="237">
        <f t="shared" si="32"/>
        <v>0</v>
      </c>
      <c r="AT114" s="31">
        <f t="shared" si="33"/>
        <v>0</v>
      </c>
      <c r="AU114" s="237">
        <f t="shared" si="34"/>
        <v>0</v>
      </c>
      <c r="AV114" s="31">
        <f t="shared" si="35"/>
        <v>0</v>
      </c>
      <c r="AW114" s="31">
        <f t="shared" si="36"/>
        <v>0</v>
      </c>
      <c r="AX114" s="31">
        <f t="shared" si="37"/>
        <v>0</v>
      </c>
      <c r="AY114" s="237">
        <f t="shared" si="38"/>
        <v>0</v>
      </c>
      <c r="AZ114" s="214">
        <f t="shared" si="39"/>
        <v>0</v>
      </c>
      <c r="BA114" s="237">
        <f t="shared" si="40"/>
        <v>0</v>
      </c>
      <c r="BB114" s="31">
        <f t="shared" si="41"/>
        <v>0</v>
      </c>
      <c r="BC114" s="237">
        <f t="shared" si="42"/>
        <v>0</v>
      </c>
      <c r="BD114" s="31">
        <f t="shared" si="43"/>
        <v>0</v>
      </c>
      <c r="BE114" s="237">
        <f t="shared" si="44"/>
        <v>0</v>
      </c>
      <c r="BF114" s="31">
        <f t="shared" si="45"/>
        <v>0</v>
      </c>
      <c r="BG114" s="237">
        <f t="shared" si="46"/>
        <v>0</v>
      </c>
      <c r="BH114" s="31">
        <f t="shared" si="47"/>
        <v>0</v>
      </c>
      <c r="BI114" s="237">
        <f t="shared" si="48"/>
        <v>0</v>
      </c>
      <c r="BJ114" s="31">
        <f t="shared" si="49"/>
        <v>0</v>
      </c>
      <c r="BK114" s="31">
        <f t="shared" si="50"/>
        <v>4.25</v>
      </c>
      <c r="BL114" s="237">
        <f t="shared" si="51"/>
        <v>3.6124999999999998</v>
      </c>
      <c r="BM114" s="31">
        <f t="shared" si="52"/>
        <v>0</v>
      </c>
      <c r="BN114" s="237">
        <f t="shared" si="53"/>
        <v>0</v>
      </c>
    </row>
    <row r="115" spans="1:66" x14ac:dyDescent="0.25">
      <c r="A115" s="31" t="s">
        <v>1464</v>
      </c>
      <c r="B115" s="182" t="str">
        <f>VLOOKUP(A115,kurspris!$A$1:$B$894,2,FALSE)</f>
        <v>Praktiskt estetiskt ämne - Idrott och hälsa 1</v>
      </c>
      <c r="D115" s="31" t="s">
        <v>117</v>
      </c>
      <c r="F115" s="59">
        <v>2019</v>
      </c>
      <c r="Q115" s="237">
        <v>0.5</v>
      </c>
      <c r="R115" s="40">
        <v>0.8</v>
      </c>
      <c r="S115" s="313">
        <f t="shared" si="27"/>
        <v>0.4</v>
      </c>
      <c r="T115" s="31">
        <f>VLOOKUP(A115,'Ansvar kurs'!$A$1:$C$1027,2,FALSE)</f>
        <v>2180</v>
      </c>
      <c r="U115" s="31" t="str">
        <f>VLOOKUP(T115,Orgenheter!$A$1:$C$165,2,FALSE)</f>
        <v xml:space="preserve">Pedagogik                     </v>
      </c>
      <c r="V115" s="31" t="str">
        <f>VLOOKUP(T115,Orgenheter!$A$1:$C$165,3,FALSE)</f>
        <v>Sam</v>
      </c>
      <c r="W115" s="37" t="str">
        <f>VLOOKUP(D115,Program!$A$1:$B$34,2,FALSE)</f>
        <v>Fristående och övriga kurser</v>
      </c>
      <c r="X115" s="42">
        <f>VLOOKUP(A115,kurspris!$A$1:$Q$815,15,FALSE)</f>
        <v>15846</v>
      </c>
      <c r="Y115" s="42">
        <f>VLOOKUP(A115,kurspris!$A$1:$Q$815,16,FALSE)</f>
        <v>26926</v>
      </c>
      <c r="Z115" s="42">
        <f t="shared" si="28"/>
        <v>18693.400000000001</v>
      </c>
      <c r="AA115" s="42">
        <f>VLOOKUP(A115,kurspris!$A$1:$Q$815,17,FALSE)</f>
        <v>17300</v>
      </c>
      <c r="AB115" s="42">
        <f t="shared" si="29"/>
        <v>8650</v>
      </c>
      <c r="AC115" s="42">
        <f t="shared" si="30"/>
        <v>27343.4</v>
      </c>
      <c r="AD115" s="31">
        <f>VLOOKUP($A115,kurspris!$A$1:$Q$852,3,FALSE)</f>
        <v>0</v>
      </c>
      <c r="AE115" s="31">
        <f>VLOOKUP($A115,kurspris!$A$1:$Q$852,4,FALSE)</f>
        <v>0</v>
      </c>
      <c r="AF115" s="31">
        <f>VLOOKUP($A115,kurspris!$A$1:$Q$852,5,FALSE)</f>
        <v>0</v>
      </c>
      <c r="AG115" s="31">
        <f>VLOOKUP($A115,kurspris!$A$1:$Q$852,6,FALSE)</f>
        <v>0</v>
      </c>
      <c r="AH115" s="31">
        <f>VLOOKUP($A115,kurspris!$A$1:$Q$852,7,FALSE)</f>
        <v>0</v>
      </c>
      <c r="AI115" s="31">
        <f>VLOOKUP($A115,kurspris!$A$1:$Q$852,8,FALSE)</f>
        <v>0</v>
      </c>
      <c r="AJ115" s="31">
        <f>VLOOKUP($A115,kurspris!$A$1:$Q$852,9,FALSE)</f>
        <v>0</v>
      </c>
      <c r="AK115" s="31">
        <f>VLOOKUP($A115,kurspris!$A$1:$Q$852,10,FALSE)</f>
        <v>0</v>
      </c>
      <c r="AL115" s="31">
        <f>VLOOKUP($A115,kurspris!$A$1:$Q$852,11,FALSE)</f>
        <v>0</v>
      </c>
      <c r="AM115" s="31">
        <f>VLOOKUP($A115,kurspris!$A$1:$Q$852,12,FALSE)</f>
        <v>0</v>
      </c>
      <c r="AN115" s="31">
        <f>VLOOKUP($A115,kurspris!$A$1:$Q$852,13,FALSE)</f>
        <v>1</v>
      </c>
      <c r="AO115" s="31">
        <f>VLOOKUP($A115,kurspris!$A$1:$Q$852,14,FALSE)</f>
        <v>0</v>
      </c>
      <c r="AP115" s="59" t="s">
        <v>2216</v>
      </c>
      <c r="AR115" s="31">
        <f t="shared" si="31"/>
        <v>0</v>
      </c>
      <c r="AS115" s="237">
        <f t="shared" si="32"/>
        <v>0</v>
      </c>
      <c r="AT115" s="31">
        <f t="shared" si="33"/>
        <v>0</v>
      </c>
      <c r="AU115" s="237">
        <f t="shared" si="34"/>
        <v>0</v>
      </c>
      <c r="AV115" s="31">
        <f t="shared" si="35"/>
        <v>0</v>
      </c>
      <c r="AW115" s="31">
        <f t="shared" si="36"/>
        <v>0</v>
      </c>
      <c r="AX115" s="31">
        <f t="shared" si="37"/>
        <v>0</v>
      </c>
      <c r="AY115" s="237">
        <f t="shared" si="38"/>
        <v>0</v>
      </c>
      <c r="AZ115" s="214">
        <f t="shared" si="39"/>
        <v>0</v>
      </c>
      <c r="BA115" s="237">
        <f t="shared" si="40"/>
        <v>0</v>
      </c>
      <c r="BB115" s="31">
        <f t="shared" si="41"/>
        <v>0</v>
      </c>
      <c r="BC115" s="237">
        <f t="shared" si="42"/>
        <v>0</v>
      </c>
      <c r="BD115" s="31">
        <f t="shared" si="43"/>
        <v>0</v>
      </c>
      <c r="BE115" s="237">
        <f t="shared" si="44"/>
        <v>0</v>
      </c>
      <c r="BF115" s="31">
        <f t="shared" si="45"/>
        <v>0</v>
      </c>
      <c r="BG115" s="237">
        <f t="shared" si="46"/>
        <v>0</v>
      </c>
      <c r="BH115" s="31">
        <f t="shared" si="47"/>
        <v>0</v>
      </c>
      <c r="BI115" s="237">
        <f t="shared" si="48"/>
        <v>0</v>
      </c>
      <c r="BJ115" s="31">
        <f t="shared" si="49"/>
        <v>0</v>
      </c>
      <c r="BK115" s="31">
        <f t="shared" si="50"/>
        <v>0.5</v>
      </c>
      <c r="BL115" s="237">
        <f t="shared" si="51"/>
        <v>0.4</v>
      </c>
      <c r="BM115" s="31">
        <f t="shared" si="52"/>
        <v>0</v>
      </c>
      <c r="BN115" s="237">
        <f t="shared" si="53"/>
        <v>0</v>
      </c>
    </row>
    <row r="116" spans="1:66" x14ac:dyDescent="0.25">
      <c r="A116" s="31" t="s">
        <v>1577</v>
      </c>
      <c r="B116" s="182" t="str">
        <f>VLOOKUP(A116,kurspris!$A$1:$B$894,2,FALSE)</f>
        <v>Idrott och hälsa 1</v>
      </c>
      <c r="D116" s="31" t="s">
        <v>483</v>
      </c>
      <c r="F116" s="59">
        <v>2019</v>
      </c>
      <c r="Q116" s="237">
        <v>12.5</v>
      </c>
      <c r="R116" s="40">
        <v>0.85</v>
      </c>
      <c r="S116" s="313">
        <f t="shared" si="27"/>
        <v>10.625</v>
      </c>
      <c r="T116" s="31">
        <f>VLOOKUP(A116,'Ansvar kurs'!$A$1:$C$1027,2,FALSE)</f>
        <v>2180</v>
      </c>
      <c r="U116" s="31" t="str">
        <f>VLOOKUP(T116,Orgenheter!$A$1:$C$165,2,FALSE)</f>
        <v xml:space="preserve">Pedagogik                     </v>
      </c>
      <c r="V116" s="31" t="str">
        <f>VLOOKUP(T116,Orgenheter!$A$1:$C$165,3,FALSE)</f>
        <v>Sam</v>
      </c>
      <c r="W116" s="37" t="str">
        <f>VLOOKUP(D116,Program!$A$1:$B$34,2,FALSE)</f>
        <v>Ämneslärarprogrammet - Gy</v>
      </c>
      <c r="X116" s="42">
        <f>VLOOKUP(A116,kurspris!$A$1:$Q$815,15,FALSE)</f>
        <v>45034</v>
      </c>
      <c r="Y116" s="42">
        <f>VLOOKUP(A116,kurspris!$A$1:$Q$815,16,FALSE)</f>
        <v>31547</v>
      </c>
      <c r="Z116" s="42">
        <f t="shared" si="28"/>
        <v>898111.875</v>
      </c>
      <c r="AA116" s="42">
        <f>VLOOKUP(A116,kurspris!$A$1:$Q$815,17,FALSE)</f>
        <v>34500</v>
      </c>
      <c r="AB116" s="42">
        <f t="shared" si="29"/>
        <v>431250</v>
      </c>
      <c r="AC116" s="42">
        <f t="shared" si="30"/>
        <v>1329361.875</v>
      </c>
      <c r="AD116" s="31">
        <f>VLOOKUP($A116,kurspris!$A$1:$Q$852,3,FALSE)</f>
        <v>0</v>
      </c>
      <c r="AE116" s="31">
        <f>VLOOKUP($A116,kurspris!$A$1:$Q$852,4,FALSE)</f>
        <v>0</v>
      </c>
      <c r="AF116" s="31">
        <f>VLOOKUP($A116,kurspris!$A$1:$Q$852,5,FALSE)</f>
        <v>1</v>
      </c>
      <c r="AG116" s="31">
        <f>VLOOKUP($A116,kurspris!$A$1:$Q$852,6,FALSE)</f>
        <v>0</v>
      </c>
      <c r="AH116" s="31">
        <f>VLOOKUP($A116,kurspris!$A$1:$Q$852,7,FALSE)</f>
        <v>0</v>
      </c>
      <c r="AI116" s="31">
        <f>VLOOKUP($A116,kurspris!$A$1:$Q$852,8,FALSE)</f>
        <v>0</v>
      </c>
      <c r="AJ116" s="31">
        <f>VLOOKUP($A116,kurspris!$A$1:$Q$852,9,FALSE)</f>
        <v>0</v>
      </c>
      <c r="AK116" s="31">
        <f>VLOOKUP($A116,kurspris!$A$1:$Q$852,10,FALSE)</f>
        <v>0</v>
      </c>
      <c r="AL116" s="31">
        <f>VLOOKUP($A116,kurspris!$A$1:$Q$852,11,FALSE)</f>
        <v>0</v>
      </c>
      <c r="AM116" s="31">
        <f>VLOOKUP($A116,kurspris!$A$1:$Q$852,12,FALSE)</f>
        <v>0</v>
      </c>
      <c r="AN116" s="31">
        <f>VLOOKUP($A116,kurspris!$A$1:$Q$852,13,FALSE)</f>
        <v>0</v>
      </c>
      <c r="AO116" s="31">
        <f>VLOOKUP($A116,kurspris!$A$1:$Q$852,14,FALSE)</f>
        <v>0</v>
      </c>
      <c r="AP116" s="59" t="s">
        <v>2216</v>
      </c>
      <c r="AR116" s="31">
        <f t="shared" si="31"/>
        <v>0</v>
      </c>
      <c r="AS116" s="237">
        <f t="shared" si="32"/>
        <v>0</v>
      </c>
      <c r="AT116" s="31">
        <f t="shared" si="33"/>
        <v>0</v>
      </c>
      <c r="AU116" s="237">
        <f t="shared" si="34"/>
        <v>0</v>
      </c>
      <c r="AV116" s="31">
        <f t="shared" si="35"/>
        <v>12.5</v>
      </c>
      <c r="AW116" s="31">
        <f t="shared" si="36"/>
        <v>10.625</v>
      </c>
      <c r="AX116" s="31">
        <f t="shared" si="37"/>
        <v>0</v>
      </c>
      <c r="AY116" s="237">
        <f t="shared" si="38"/>
        <v>0</v>
      </c>
      <c r="AZ116" s="214">
        <f t="shared" si="39"/>
        <v>0</v>
      </c>
      <c r="BA116" s="237">
        <f t="shared" si="40"/>
        <v>0</v>
      </c>
      <c r="BB116" s="31">
        <f t="shared" si="41"/>
        <v>0</v>
      </c>
      <c r="BC116" s="237">
        <f t="shared" si="42"/>
        <v>0</v>
      </c>
      <c r="BD116" s="31">
        <f t="shared" si="43"/>
        <v>0</v>
      </c>
      <c r="BE116" s="237">
        <f t="shared" si="44"/>
        <v>0</v>
      </c>
      <c r="BF116" s="31">
        <f t="shared" si="45"/>
        <v>0</v>
      </c>
      <c r="BG116" s="237">
        <f t="shared" si="46"/>
        <v>0</v>
      </c>
      <c r="BH116" s="31">
        <f t="shared" si="47"/>
        <v>0</v>
      </c>
      <c r="BI116" s="237">
        <f t="shared" si="48"/>
        <v>0</v>
      </c>
      <c r="BJ116" s="31">
        <f t="shared" si="49"/>
        <v>0</v>
      </c>
      <c r="BK116" s="31">
        <f t="shared" si="50"/>
        <v>0</v>
      </c>
      <c r="BL116" s="237">
        <f t="shared" si="51"/>
        <v>0</v>
      </c>
      <c r="BM116" s="31">
        <f t="shared" si="52"/>
        <v>0</v>
      </c>
      <c r="BN116" s="237">
        <f t="shared" si="53"/>
        <v>0</v>
      </c>
    </row>
    <row r="117" spans="1:66" x14ac:dyDescent="0.25">
      <c r="A117" s="31" t="s">
        <v>1577</v>
      </c>
      <c r="B117" s="182" t="str">
        <f>VLOOKUP(A117,kurspris!$A$1:$B$894,2,FALSE)</f>
        <v>Idrott och hälsa 1</v>
      </c>
      <c r="D117" s="31" t="s">
        <v>117</v>
      </c>
      <c r="F117" s="59">
        <v>2019</v>
      </c>
      <c r="Q117" s="237">
        <v>2</v>
      </c>
      <c r="R117" s="40">
        <v>0.8</v>
      </c>
      <c r="S117" s="313">
        <f t="shared" si="27"/>
        <v>1.6</v>
      </c>
      <c r="T117" s="31">
        <f>VLOOKUP(A117,'Ansvar kurs'!$A$1:$C$1027,2,FALSE)</f>
        <v>2180</v>
      </c>
      <c r="U117" s="31" t="str">
        <f>VLOOKUP(T117,Orgenheter!$A$1:$C$165,2,FALSE)</f>
        <v xml:space="preserve">Pedagogik                     </v>
      </c>
      <c r="V117" s="31" t="str">
        <f>VLOOKUP(T117,Orgenheter!$A$1:$C$165,3,FALSE)</f>
        <v>Sam</v>
      </c>
      <c r="W117" s="37" t="str">
        <f>VLOOKUP(D117,Program!$A$1:$B$34,2,FALSE)</f>
        <v>Fristående och övriga kurser</v>
      </c>
      <c r="X117" s="42">
        <f>VLOOKUP(A117,kurspris!$A$1:$Q$815,15,FALSE)</f>
        <v>45034</v>
      </c>
      <c r="Y117" s="42">
        <f>VLOOKUP(A117,kurspris!$A$1:$Q$815,16,FALSE)</f>
        <v>31547</v>
      </c>
      <c r="Z117" s="42">
        <f t="shared" si="28"/>
        <v>140543.20000000001</v>
      </c>
      <c r="AA117" s="42">
        <f>VLOOKUP(A117,kurspris!$A$1:$Q$815,17,FALSE)</f>
        <v>34500</v>
      </c>
      <c r="AB117" s="42">
        <f t="shared" si="29"/>
        <v>69000</v>
      </c>
      <c r="AC117" s="42">
        <f t="shared" si="30"/>
        <v>209543.2</v>
      </c>
      <c r="AD117" s="31">
        <f>VLOOKUP($A117,kurspris!$A$1:$Q$852,3,FALSE)</f>
        <v>0</v>
      </c>
      <c r="AE117" s="31">
        <f>VLOOKUP($A117,kurspris!$A$1:$Q$852,4,FALSE)</f>
        <v>0</v>
      </c>
      <c r="AF117" s="31">
        <f>VLOOKUP($A117,kurspris!$A$1:$Q$852,5,FALSE)</f>
        <v>1</v>
      </c>
      <c r="AG117" s="31">
        <f>VLOOKUP($A117,kurspris!$A$1:$Q$852,6,FALSE)</f>
        <v>0</v>
      </c>
      <c r="AH117" s="31">
        <f>VLOOKUP($A117,kurspris!$A$1:$Q$852,7,FALSE)</f>
        <v>0</v>
      </c>
      <c r="AI117" s="31">
        <f>VLOOKUP($A117,kurspris!$A$1:$Q$852,8,FALSE)</f>
        <v>0</v>
      </c>
      <c r="AJ117" s="31">
        <f>VLOOKUP($A117,kurspris!$A$1:$Q$852,9,FALSE)</f>
        <v>0</v>
      </c>
      <c r="AK117" s="31">
        <f>VLOOKUP($A117,kurspris!$A$1:$Q$852,10,FALSE)</f>
        <v>0</v>
      </c>
      <c r="AL117" s="31">
        <f>VLOOKUP($A117,kurspris!$A$1:$Q$852,11,FALSE)</f>
        <v>0</v>
      </c>
      <c r="AM117" s="31">
        <f>VLOOKUP($A117,kurspris!$A$1:$Q$852,12,FALSE)</f>
        <v>0</v>
      </c>
      <c r="AN117" s="31">
        <f>VLOOKUP($A117,kurspris!$A$1:$Q$852,13,FALSE)</f>
        <v>0</v>
      </c>
      <c r="AO117" s="31">
        <f>VLOOKUP($A117,kurspris!$A$1:$Q$852,14,FALSE)</f>
        <v>0</v>
      </c>
      <c r="AP117" s="59" t="s">
        <v>2216</v>
      </c>
      <c r="AR117" s="31">
        <f t="shared" si="31"/>
        <v>0</v>
      </c>
      <c r="AS117" s="237">
        <f t="shared" si="32"/>
        <v>0</v>
      </c>
      <c r="AT117" s="31">
        <f t="shared" si="33"/>
        <v>0</v>
      </c>
      <c r="AU117" s="237">
        <f t="shared" si="34"/>
        <v>0</v>
      </c>
      <c r="AV117" s="31">
        <f t="shared" si="35"/>
        <v>2</v>
      </c>
      <c r="AW117" s="31">
        <f t="shared" si="36"/>
        <v>1.6</v>
      </c>
      <c r="AX117" s="31">
        <f t="shared" si="37"/>
        <v>0</v>
      </c>
      <c r="AY117" s="237">
        <f t="shared" si="38"/>
        <v>0</v>
      </c>
      <c r="AZ117" s="214">
        <f t="shared" si="39"/>
        <v>0</v>
      </c>
      <c r="BA117" s="237">
        <f t="shared" si="40"/>
        <v>0</v>
      </c>
      <c r="BB117" s="31">
        <f t="shared" si="41"/>
        <v>0</v>
      </c>
      <c r="BC117" s="237">
        <f t="shared" si="42"/>
        <v>0</v>
      </c>
      <c r="BD117" s="31">
        <f t="shared" si="43"/>
        <v>0</v>
      </c>
      <c r="BE117" s="237">
        <f t="shared" si="44"/>
        <v>0</v>
      </c>
      <c r="BF117" s="31">
        <f t="shared" si="45"/>
        <v>0</v>
      </c>
      <c r="BG117" s="237">
        <f t="shared" si="46"/>
        <v>0</v>
      </c>
      <c r="BH117" s="31">
        <f t="shared" si="47"/>
        <v>0</v>
      </c>
      <c r="BI117" s="237">
        <f t="shared" si="48"/>
        <v>0</v>
      </c>
      <c r="BJ117" s="31">
        <f t="shared" si="49"/>
        <v>0</v>
      </c>
      <c r="BK117" s="31">
        <f t="shared" si="50"/>
        <v>0</v>
      </c>
      <c r="BL117" s="237">
        <f t="shared" si="51"/>
        <v>0</v>
      </c>
      <c r="BM117" s="31">
        <f t="shared" si="52"/>
        <v>0</v>
      </c>
      <c r="BN117" s="237">
        <f t="shared" si="53"/>
        <v>0</v>
      </c>
    </row>
    <row r="118" spans="1:66" x14ac:dyDescent="0.25">
      <c r="A118" s="159" t="s">
        <v>1821</v>
      </c>
      <c r="B118" s="182" t="str">
        <f>VLOOKUP(A118,kurspris!$A$1:$B$894,2,FALSE)</f>
        <v>Idrott och hälsa 3</v>
      </c>
      <c r="C118" s="37"/>
      <c r="D118" s="31" t="s">
        <v>483</v>
      </c>
      <c r="F118" s="59">
        <v>2019</v>
      </c>
      <c r="Q118" s="237">
        <v>9.5</v>
      </c>
      <c r="R118" s="40">
        <v>0.85</v>
      </c>
      <c r="S118" s="313">
        <f t="shared" si="27"/>
        <v>8.0749999999999993</v>
      </c>
      <c r="T118" s="31">
        <f>VLOOKUP(A118,'Ansvar kurs'!$A$1:$C$1027,2,FALSE)</f>
        <v>2180</v>
      </c>
      <c r="U118" s="31" t="str">
        <f>VLOOKUP(T118,Orgenheter!$A$1:$C$165,2,FALSE)</f>
        <v xml:space="preserve">Pedagogik                     </v>
      </c>
      <c r="V118" s="31" t="str">
        <f>VLOOKUP(T118,Orgenheter!$A$1:$C$165,3,FALSE)</f>
        <v>Sam</v>
      </c>
      <c r="W118" s="37" t="str">
        <f>VLOOKUP(D118,Program!$A$1:$B$34,2,FALSE)</f>
        <v>Ämneslärarprogrammet - Gy</v>
      </c>
      <c r="X118" s="42">
        <f>VLOOKUP(A118,kurspris!$A$1:$Q$815,15,FALSE)</f>
        <v>45034</v>
      </c>
      <c r="Y118" s="42">
        <f>VLOOKUP(A118,kurspris!$A$1:$Q$815,16,FALSE)</f>
        <v>31547</v>
      </c>
      <c r="Z118" s="42">
        <f t="shared" si="28"/>
        <v>682565.02499999991</v>
      </c>
      <c r="AA118" s="42">
        <f>VLOOKUP(A118,kurspris!$A$1:$Q$815,17,FALSE)</f>
        <v>34500</v>
      </c>
      <c r="AB118" s="42">
        <f t="shared" si="29"/>
        <v>327750</v>
      </c>
      <c r="AC118" s="42">
        <f t="shared" si="30"/>
        <v>1010315.0249999999</v>
      </c>
      <c r="AD118" s="31">
        <f>VLOOKUP($A118,kurspris!$A$1:$Q$852,3,FALSE)</f>
        <v>0</v>
      </c>
      <c r="AE118" s="31">
        <f>VLOOKUP($A118,kurspris!$A$1:$Q$852,4,FALSE)</f>
        <v>0</v>
      </c>
      <c r="AF118" s="31">
        <f>VLOOKUP($A118,kurspris!$A$1:$Q$852,5,FALSE)</f>
        <v>1</v>
      </c>
      <c r="AG118" s="31">
        <f>VLOOKUP($A118,kurspris!$A$1:$Q$852,6,FALSE)</f>
        <v>0</v>
      </c>
      <c r="AH118" s="31">
        <f>VLOOKUP($A118,kurspris!$A$1:$Q$852,7,FALSE)</f>
        <v>0</v>
      </c>
      <c r="AI118" s="31">
        <f>VLOOKUP($A118,kurspris!$A$1:$Q$852,8,FALSE)</f>
        <v>0</v>
      </c>
      <c r="AJ118" s="31">
        <f>VLOOKUP($A118,kurspris!$A$1:$Q$852,9,FALSE)</f>
        <v>0</v>
      </c>
      <c r="AK118" s="31">
        <f>VLOOKUP($A118,kurspris!$A$1:$Q$852,10,FALSE)</f>
        <v>0</v>
      </c>
      <c r="AL118" s="31">
        <f>VLOOKUP($A118,kurspris!$A$1:$Q$852,11,FALSE)</f>
        <v>0</v>
      </c>
      <c r="AM118" s="31">
        <f>VLOOKUP($A118,kurspris!$A$1:$Q$852,12,FALSE)</f>
        <v>0</v>
      </c>
      <c r="AN118" s="31">
        <f>VLOOKUP($A118,kurspris!$A$1:$Q$852,13,FALSE)</f>
        <v>0</v>
      </c>
      <c r="AO118" s="31">
        <f>VLOOKUP($A118,kurspris!$A$1:$Q$852,14,FALSE)</f>
        <v>0</v>
      </c>
      <c r="AP118" s="59" t="s">
        <v>2216</v>
      </c>
      <c r="AR118" s="31">
        <f t="shared" si="31"/>
        <v>0</v>
      </c>
      <c r="AS118" s="237">
        <f t="shared" si="32"/>
        <v>0</v>
      </c>
      <c r="AT118" s="31">
        <f t="shared" si="33"/>
        <v>0</v>
      </c>
      <c r="AU118" s="237">
        <f t="shared" si="34"/>
        <v>0</v>
      </c>
      <c r="AV118" s="31">
        <f t="shared" si="35"/>
        <v>9.5</v>
      </c>
      <c r="AW118" s="31">
        <f t="shared" si="36"/>
        <v>8.0749999999999993</v>
      </c>
      <c r="AX118" s="31">
        <f t="shared" si="37"/>
        <v>0</v>
      </c>
      <c r="AY118" s="237">
        <f t="shared" si="38"/>
        <v>0</v>
      </c>
      <c r="AZ118" s="214">
        <f t="shared" si="39"/>
        <v>0</v>
      </c>
      <c r="BA118" s="237">
        <f t="shared" si="40"/>
        <v>0</v>
      </c>
      <c r="BB118" s="31">
        <f t="shared" si="41"/>
        <v>0</v>
      </c>
      <c r="BC118" s="237">
        <f t="shared" si="42"/>
        <v>0</v>
      </c>
      <c r="BD118" s="31">
        <f t="shared" si="43"/>
        <v>0</v>
      </c>
      <c r="BE118" s="237">
        <f t="shared" si="44"/>
        <v>0</v>
      </c>
      <c r="BF118" s="31">
        <f t="shared" si="45"/>
        <v>0</v>
      </c>
      <c r="BG118" s="237">
        <f t="shared" si="46"/>
        <v>0</v>
      </c>
      <c r="BH118" s="31">
        <f t="shared" si="47"/>
        <v>0</v>
      </c>
      <c r="BI118" s="237">
        <f t="shared" si="48"/>
        <v>0</v>
      </c>
      <c r="BJ118" s="31">
        <f t="shared" si="49"/>
        <v>0</v>
      </c>
      <c r="BK118" s="31">
        <f t="shared" si="50"/>
        <v>0</v>
      </c>
      <c r="BL118" s="237">
        <f t="shared" si="51"/>
        <v>0</v>
      </c>
      <c r="BM118" s="31">
        <f t="shared" si="52"/>
        <v>0</v>
      </c>
      <c r="BN118" s="237">
        <f t="shared" si="53"/>
        <v>0</v>
      </c>
    </row>
    <row r="119" spans="1:66" x14ac:dyDescent="0.25">
      <c r="A119" s="159" t="s">
        <v>1821</v>
      </c>
      <c r="B119" s="182" t="str">
        <f>VLOOKUP(A119,kurspris!$A$1:$B$894,2,FALSE)</f>
        <v>Idrott och hälsa 3</v>
      </c>
      <c r="C119" s="37"/>
      <c r="D119" s="31" t="s">
        <v>117</v>
      </c>
      <c r="F119" s="59">
        <v>2019</v>
      </c>
      <c r="Q119" s="237">
        <v>2</v>
      </c>
      <c r="R119" s="40">
        <v>0.8</v>
      </c>
      <c r="S119" s="313">
        <f t="shared" si="27"/>
        <v>1.6</v>
      </c>
      <c r="T119" s="31">
        <f>VLOOKUP(A119,'Ansvar kurs'!$A$1:$C$1027,2,FALSE)</f>
        <v>2180</v>
      </c>
      <c r="U119" s="31" t="str">
        <f>VLOOKUP(T119,Orgenheter!$A$1:$C$165,2,FALSE)</f>
        <v xml:space="preserve">Pedagogik                     </v>
      </c>
      <c r="V119" s="31" t="str">
        <f>VLOOKUP(T119,Orgenheter!$A$1:$C$165,3,FALSE)</f>
        <v>Sam</v>
      </c>
      <c r="W119" s="37" t="str">
        <f>VLOOKUP(D119,Program!$A$1:$B$34,2,FALSE)</f>
        <v>Fristående och övriga kurser</v>
      </c>
      <c r="X119" s="42">
        <f>VLOOKUP(A119,kurspris!$A$1:$Q$815,15,FALSE)</f>
        <v>45034</v>
      </c>
      <c r="Y119" s="42">
        <f>VLOOKUP(A119,kurspris!$A$1:$Q$815,16,FALSE)</f>
        <v>31547</v>
      </c>
      <c r="Z119" s="42">
        <f t="shared" si="28"/>
        <v>140543.20000000001</v>
      </c>
      <c r="AA119" s="42">
        <f>VLOOKUP(A119,kurspris!$A$1:$Q$815,17,FALSE)</f>
        <v>34500</v>
      </c>
      <c r="AB119" s="42">
        <f t="shared" si="29"/>
        <v>69000</v>
      </c>
      <c r="AC119" s="42">
        <f t="shared" si="30"/>
        <v>209543.2</v>
      </c>
      <c r="AD119" s="31">
        <f>VLOOKUP($A119,kurspris!$A$1:$Q$852,3,FALSE)</f>
        <v>0</v>
      </c>
      <c r="AE119" s="31">
        <f>VLOOKUP($A119,kurspris!$A$1:$Q$852,4,FALSE)</f>
        <v>0</v>
      </c>
      <c r="AF119" s="31">
        <f>VLOOKUP($A119,kurspris!$A$1:$Q$852,5,FALSE)</f>
        <v>1</v>
      </c>
      <c r="AG119" s="31">
        <f>VLOOKUP($A119,kurspris!$A$1:$Q$852,6,FALSE)</f>
        <v>0</v>
      </c>
      <c r="AH119" s="31">
        <f>VLOOKUP($A119,kurspris!$A$1:$Q$852,7,FALSE)</f>
        <v>0</v>
      </c>
      <c r="AI119" s="31">
        <f>VLOOKUP($A119,kurspris!$A$1:$Q$852,8,FALSE)</f>
        <v>0</v>
      </c>
      <c r="AJ119" s="31">
        <f>VLOOKUP($A119,kurspris!$A$1:$Q$852,9,FALSE)</f>
        <v>0</v>
      </c>
      <c r="AK119" s="31">
        <f>VLOOKUP($A119,kurspris!$A$1:$Q$852,10,FALSE)</f>
        <v>0</v>
      </c>
      <c r="AL119" s="31">
        <f>VLOOKUP($A119,kurspris!$A$1:$Q$852,11,FALSE)</f>
        <v>0</v>
      </c>
      <c r="AM119" s="31">
        <f>VLOOKUP($A119,kurspris!$A$1:$Q$852,12,FALSE)</f>
        <v>0</v>
      </c>
      <c r="AN119" s="31">
        <f>VLOOKUP($A119,kurspris!$A$1:$Q$852,13,FALSE)</f>
        <v>0</v>
      </c>
      <c r="AO119" s="31">
        <f>VLOOKUP($A119,kurspris!$A$1:$Q$852,14,FALSE)</f>
        <v>0</v>
      </c>
      <c r="AP119" s="59" t="s">
        <v>2216</v>
      </c>
      <c r="AR119" s="31">
        <f t="shared" si="31"/>
        <v>0</v>
      </c>
      <c r="AS119" s="237">
        <f t="shared" si="32"/>
        <v>0</v>
      </c>
      <c r="AT119" s="31">
        <f t="shared" si="33"/>
        <v>0</v>
      </c>
      <c r="AU119" s="237">
        <f t="shared" si="34"/>
        <v>0</v>
      </c>
      <c r="AV119" s="31">
        <f t="shared" si="35"/>
        <v>2</v>
      </c>
      <c r="AW119" s="31">
        <f t="shared" si="36"/>
        <v>1.6</v>
      </c>
      <c r="AX119" s="31">
        <f t="shared" si="37"/>
        <v>0</v>
      </c>
      <c r="AY119" s="237">
        <f t="shared" si="38"/>
        <v>0</v>
      </c>
      <c r="AZ119" s="214">
        <f t="shared" si="39"/>
        <v>0</v>
      </c>
      <c r="BA119" s="237">
        <f t="shared" si="40"/>
        <v>0</v>
      </c>
      <c r="BB119" s="31">
        <f t="shared" si="41"/>
        <v>0</v>
      </c>
      <c r="BC119" s="237">
        <f t="shared" si="42"/>
        <v>0</v>
      </c>
      <c r="BD119" s="31">
        <f t="shared" si="43"/>
        <v>0</v>
      </c>
      <c r="BE119" s="237">
        <f t="shared" si="44"/>
        <v>0</v>
      </c>
      <c r="BF119" s="31">
        <f t="shared" si="45"/>
        <v>0</v>
      </c>
      <c r="BG119" s="237">
        <f t="shared" si="46"/>
        <v>0</v>
      </c>
      <c r="BH119" s="31">
        <f t="shared" si="47"/>
        <v>0</v>
      </c>
      <c r="BI119" s="237">
        <f t="shared" si="48"/>
        <v>0</v>
      </c>
      <c r="BJ119" s="31">
        <f t="shared" si="49"/>
        <v>0</v>
      </c>
      <c r="BK119" s="31">
        <f t="shared" si="50"/>
        <v>0</v>
      </c>
      <c r="BL119" s="237">
        <f t="shared" si="51"/>
        <v>0</v>
      </c>
      <c r="BM119" s="31">
        <f t="shared" si="52"/>
        <v>0</v>
      </c>
      <c r="BN119" s="237">
        <f t="shared" si="53"/>
        <v>0</v>
      </c>
    </row>
    <row r="120" spans="1:66" x14ac:dyDescent="0.25">
      <c r="A120" s="159" t="s">
        <v>2193</v>
      </c>
      <c r="B120" s="182" t="str">
        <f>VLOOKUP(A120,kurspris!$A$1:$B$894,2,FALSE)</f>
        <v>Idrott, fostran och socialisation</v>
      </c>
      <c r="C120" s="37"/>
      <c r="D120" s="31" t="s">
        <v>117</v>
      </c>
      <c r="F120" s="59">
        <v>2019</v>
      </c>
      <c r="Q120" s="237">
        <v>0.375</v>
      </c>
      <c r="R120" s="40">
        <v>0.8</v>
      </c>
      <c r="S120" s="313">
        <f t="shared" si="27"/>
        <v>0.30000000000000004</v>
      </c>
      <c r="T120" s="31">
        <f>VLOOKUP(A120,'Ansvar kurs'!$A$1:$C$1027,2,FALSE)</f>
        <v>2180</v>
      </c>
      <c r="U120" s="31" t="str">
        <f>VLOOKUP(T120,Orgenheter!$A$1:$C$165,2,FALSE)</f>
        <v xml:space="preserve">Pedagogik                     </v>
      </c>
      <c r="V120" s="31" t="str">
        <f>VLOOKUP(T120,Orgenheter!$A$1:$C$165,3,FALSE)</f>
        <v>Sam</v>
      </c>
      <c r="W120" s="37" t="str">
        <f>VLOOKUP(D120,Program!$A$1:$B$34,2,FALSE)</f>
        <v>Fristående och övriga kurser</v>
      </c>
      <c r="X120" s="42">
        <f>VLOOKUP(A120,kurspris!$A$1:$Q$815,15,FALSE)</f>
        <v>18405</v>
      </c>
      <c r="Y120" s="42">
        <f>VLOOKUP(A120,kurspris!$A$1:$Q$815,16,FALSE)</f>
        <v>15773</v>
      </c>
      <c r="Z120" s="42">
        <f t="shared" si="28"/>
        <v>11633.775000000001</v>
      </c>
      <c r="AA120" s="42">
        <f>VLOOKUP(A120,kurspris!$A$1:$Q$815,17,FALSE)</f>
        <v>5800</v>
      </c>
      <c r="AB120" s="42">
        <f t="shared" si="29"/>
        <v>2175</v>
      </c>
      <c r="AC120" s="42">
        <f t="shared" si="30"/>
        <v>13808.775000000001</v>
      </c>
      <c r="AD120" s="31">
        <f>VLOOKUP($A120,kurspris!$A$1:$Q$852,3,FALSE)</f>
        <v>0</v>
      </c>
      <c r="AE120" s="31">
        <f>VLOOKUP($A120,kurspris!$A$1:$Q$852,4,FALSE)</f>
        <v>0</v>
      </c>
      <c r="AF120" s="31">
        <f>VLOOKUP($A120,kurspris!$A$1:$Q$852,5,FALSE)</f>
        <v>0</v>
      </c>
      <c r="AG120" s="31">
        <f>VLOOKUP($A120,kurspris!$A$1:$Q$852,6,FALSE)</f>
        <v>0</v>
      </c>
      <c r="AH120" s="31">
        <f>VLOOKUP($A120,kurspris!$A$1:$Q$852,7,FALSE)</f>
        <v>0</v>
      </c>
      <c r="AI120" s="31">
        <f>VLOOKUP($A120,kurspris!$A$1:$Q$852,8,FALSE)</f>
        <v>0</v>
      </c>
      <c r="AJ120" s="31">
        <f>VLOOKUP($A120,kurspris!$A$1:$Q$852,9,FALSE)</f>
        <v>1</v>
      </c>
      <c r="AK120" s="31">
        <f>VLOOKUP($A120,kurspris!$A$1:$Q$852,10,FALSE)</f>
        <v>0</v>
      </c>
      <c r="AL120" s="31">
        <f>VLOOKUP($A120,kurspris!$A$1:$Q$852,11,FALSE)</f>
        <v>0</v>
      </c>
      <c r="AM120" s="31">
        <f>VLOOKUP($A120,kurspris!$A$1:$Q$852,12,FALSE)</f>
        <v>0</v>
      </c>
      <c r="AN120" s="31">
        <f>VLOOKUP($A120,kurspris!$A$1:$Q$852,13,FALSE)</f>
        <v>0</v>
      </c>
      <c r="AO120" s="31">
        <f>VLOOKUP($A120,kurspris!$A$1:$Q$852,14,FALSE)</f>
        <v>0</v>
      </c>
      <c r="AP120" s="59" t="s">
        <v>2216</v>
      </c>
      <c r="AR120" s="31">
        <f t="shared" si="31"/>
        <v>0</v>
      </c>
      <c r="AS120" s="237">
        <f t="shared" si="32"/>
        <v>0</v>
      </c>
      <c r="AT120" s="31">
        <f t="shared" si="33"/>
        <v>0</v>
      </c>
      <c r="AU120" s="237">
        <f t="shared" si="34"/>
        <v>0</v>
      </c>
      <c r="AV120" s="31">
        <f t="shared" si="35"/>
        <v>0</v>
      </c>
      <c r="AW120" s="31">
        <f t="shared" si="36"/>
        <v>0</v>
      </c>
      <c r="AX120" s="31">
        <f t="shared" si="37"/>
        <v>0</v>
      </c>
      <c r="AY120" s="237">
        <f t="shared" si="38"/>
        <v>0</v>
      </c>
      <c r="AZ120" s="214">
        <f t="shared" si="39"/>
        <v>0</v>
      </c>
      <c r="BA120" s="237">
        <f t="shared" si="40"/>
        <v>0</v>
      </c>
      <c r="BB120" s="31">
        <f t="shared" si="41"/>
        <v>0</v>
      </c>
      <c r="BC120" s="237">
        <f t="shared" si="42"/>
        <v>0</v>
      </c>
      <c r="BD120" s="31">
        <f t="shared" si="43"/>
        <v>0.375</v>
      </c>
      <c r="BE120" s="237">
        <f t="shared" si="44"/>
        <v>0.30000000000000004</v>
      </c>
      <c r="BF120" s="31">
        <f t="shared" si="45"/>
        <v>0</v>
      </c>
      <c r="BG120" s="237">
        <f t="shared" si="46"/>
        <v>0</v>
      </c>
      <c r="BH120" s="31">
        <f t="shared" si="47"/>
        <v>0</v>
      </c>
      <c r="BI120" s="237">
        <f t="shared" si="48"/>
        <v>0</v>
      </c>
      <c r="BJ120" s="31">
        <f t="shared" si="49"/>
        <v>0</v>
      </c>
      <c r="BK120" s="31">
        <f t="shared" si="50"/>
        <v>0</v>
      </c>
      <c r="BL120" s="237">
        <f t="shared" si="51"/>
        <v>0</v>
      </c>
      <c r="BM120" s="31">
        <f t="shared" si="52"/>
        <v>0</v>
      </c>
      <c r="BN120" s="237">
        <f t="shared" si="53"/>
        <v>0</v>
      </c>
    </row>
    <row r="121" spans="1:66" x14ac:dyDescent="0.25">
      <c r="A121" s="159" t="s">
        <v>586</v>
      </c>
      <c r="B121" s="182" t="str">
        <f>VLOOKUP(A121,kurspris!$A$1:$B$894,2,FALSE)</f>
        <v>Idrott och hälsa II för gymnasieskolan</v>
      </c>
      <c r="C121" s="37"/>
      <c r="D121" s="31" t="s">
        <v>483</v>
      </c>
      <c r="F121" s="59">
        <v>2019</v>
      </c>
      <c r="Q121" s="237">
        <v>12</v>
      </c>
      <c r="R121" s="40">
        <v>0.85</v>
      </c>
      <c r="S121" s="313">
        <f t="shared" si="27"/>
        <v>10.199999999999999</v>
      </c>
      <c r="T121" s="31">
        <f>VLOOKUP(A121,'Ansvar kurs'!$A$1:$C$1027,2,FALSE)</f>
        <v>2180</v>
      </c>
      <c r="U121" s="31" t="str">
        <f>VLOOKUP(T121,Orgenheter!$A$1:$C$165,2,FALSE)</f>
        <v xml:space="preserve">Pedagogik                     </v>
      </c>
      <c r="V121" s="31" t="str">
        <f>VLOOKUP(T121,Orgenheter!$A$1:$C$165,3,FALSE)</f>
        <v>Sam</v>
      </c>
      <c r="W121" s="37" t="str">
        <f>VLOOKUP(D121,Program!$A$1:$B$34,2,FALSE)</f>
        <v>Ämneslärarprogrammet - Gy</v>
      </c>
      <c r="X121" s="42">
        <f>VLOOKUP(A121,kurspris!$A$1:$Q$815,15,FALSE)</f>
        <v>45034</v>
      </c>
      <c r="Y121" s="42">
        <f>VLOOKUP(A121,kurspris!$A$1:$Q$815,16,FALSE)</f>
        <v>31547</v>
      </c>
      <c r="Z121" s="42">
        <f t="shared" si="28"/>
        <v>862187.39999999991</v>
      </c>
      <c r="AA121" s="42">
        <f>VLOOKUP(A121,kurspris!$A$1:$Q$815,17,FALSE)</f>
        <v>34500</v>
      </c>
      <c r="AB121" s="42">
        <f t="shared" si="29"/>
        <v>414000</v>
      </c>
      <c r="AC121" s="42">
        <f t="shared" si="30"/>
        <v>1276187.3999999999</v>
      </c>
      <c r="AD121" s="31">
        <f>VLOOKUP($A121,kurspris!$A$1:$Q$852,3,FALSE)</f>
        <v>0</v>
      </c>
      <c r="AE121" s="31">
        <f>VLOOKUP($A121,kurspris!$A$1:$Q$852,4,FALSE)</f>
        <v>0</v>
      </c>
      <c r="AF121" s="31">
        <f>VLOOKUP($A121,kurspris!$A$1:$Q$852,5,FALSE)</f>
        <v>1</v>
      </c>
      <c r="AG121" s="31">
        <f>VLOOKUP($A121,kurspris!$A$1:$Q$852,6,FALSE)</f>
        <v>0</v>
      </c>
      <c r="AH121" s="31">
        <f>VLOOKUP($A121,kurspris!$A$1:$Q$852,7,FALSE)</f>
        <v>0</v>
      </c>
      <c r="AI121" s="31">
        <f>VLOOKUP($A121,kurspris!$A$1:$Q$852,8,FALSE)</f>
        <v>0</v>
      </c>
      <c r="AJ121" s="31">
        <f>VLOOKUP($A121,kurspris!$A$1:$Q$852,9,FALSE)</f>
        <v>0</v>
      </c>
      <c r="AK121" s="31">
        <f>VLOOKUP($A121,kurspris!$A$1:$Q$852,10,FALSE)</f>
        <v>0</v>
      </c>
      <c r="AL121" s="31">
        <f>VLOOKUP($A121,kurspris!$A$1:$Q$852,11,FALSE)</f>
        <v>0</v>
      </c>
      <c r="AM121" s="31">
        <f>VLOOKUP($A121,kurspris!$A$1:$Q$852,12,FALSE)</f>
        <v>0</v>
      </c>
      <c r="AN121" s="31">
        <f>VLOOKUP($A121,kurspris!$A$1:$Q$852,13,FALSE)</f>
        <v>0</v>
      </c>
      <c r="AO121" s="31">
        <f>VLOOKUP($A121,kurspris!$A$1:$Q$852,14,FALSE)</f>
        <v>0</v>
      </c>
      <c r="AP121" s="59" t="s">
        <v>2216</v>
      </c>
      <c r="AR121" s="31">
        <f t="shared" si="31"/>
        <v>0</v>
      </c>
      <c r="AS121" s="237">
        <f t="shared" si="32"/>
        <v>0</v>
      </c>
      <c r="AT121" s="31">
        <f t="shared" si="33"/>
        <v>0</v>
      </c>
      <c r="AU121" s="237">
        <f t="shared" si="34"/>
        <v>0</v>
      </c>
      <c r="AV121" s="31">
        <f t="shared" si="35"/>
        <v>12</v>
      </c>
      <c r="AW121" s="31">
        <f t="shared" si="36"/>
        <v>10.199999999999999</v>
      </c>
      <c r="AX121" s="31">
        <f t="shared" si="37"/>
        <v>0</v>
      </c>
      <c r="AY121" s="237">
        <f t="shared" si="38"/>
        <v>0</v>
      </c>
      <c r="AZ121" s="214">
        <f t="shared" si="39"/>
        <v>0</v>
      </c>
      <c r="BA121" s="237">
        <f t="shared" si="40"/>
        <v>0</v>
      </c>
      <c r="BB121" s="31">
        <f t="shared" si="41"/>
        <v>0</v>
      </c>
      <c r="BC121" s="237">
        <f t="shared" si="42"/>
        <v>0</v>
      </c>
      <c r="BD121" s="31">
        <f t="shared" si="43"/>
        <v>0</v>
      </c>
      <c r="BE121" s="237">
        <f t="shared" si="44"/>
        <v>0</v>
      </c>
      <c r="BF121" s="31">
        <f t="shared" si="45"/>
        <v>0</v>
      </c>
      <c r="BG121" s="237">
        <f t="shared" si="46"/>
        <v>0</v>
      </c>
      <c r="BH121" s="31">
        <f t="shared" si="47"/>
        <v>0</v>
      </c>
      <c r="BI121" s="237">
        <f t="shared" si="48"/>
        <v>0</v>
      </c>
      <c r="BJ121" s="31">
        <f t="shared" si="49"/>
        <v>0</v>
      </c>
      <c r="BK121" s="31">
        <f t="shared" si="50"/>
        <v>0</v>
      </c>
      <c r="BL121" s="237">
        <f t="shared" si="51"/>
        <v>0</v>
      </c>
      <c r="BM121" s="31">
        <f t="shared" si="52"/>
        <v>0</v>
      </c>
      <c r="BN121" s="237">
        <f t="shared" si="53"/>
        <v>0</v>
      </c>
    </row>
    <row r="122" spans="1:66" x14ac:dyDescent="0.25">
      <c r="A122" s="159" t="s">
        <v>586</v>
      </c>
      <c r="B122" s="182" t="str">
        <f>VLOOKUP(A122,kurspris!$A$1:$B$894,2,FALSE)</f>
        <v>Idrott och hälsa II för gymnasieskolan</v>
      </c>
      <c r="C122" s="37"/>
      <c r="D122" s="31" t="s">
        <v>117</v>
      </c>
      <c r="F122" s="59">
        <v>2019</v>
      </c>
      <c r="Q122" s="237">
        <v>0.5</v>
      </c>
      <c r="R122" s="40">
        <v>0.8</v>
      </c>
      <c r="S122" s="313">
        <f t="shared" si="27"/>
        <v>0.4</v>
      </c>
      <c r="T122" s="31">
        <f>VLOOKUP(A122,'Ansvar kurs'!$A$1:$C$1027,2,FALSE)</f>
        <v>2180</v>
      </c>
      <c r="U122" s="31" t="str">
        <f>VLOOKUP(T122,Orgenheter!$A$1:$C$165,2,FALSE)</f>
        <v xml:space="preserve">Pedagogik                     </v>
      </c>
      <c r="V122" s="31" t="str">
        <f>VLOOKUP(T122,Orgenheter!$A$1:$C$165,3,FALSE)</f>
        <v>Sam</v>
      </c>
      <c r="W122" s="37" t="str">
        <f>VLOOKUP(D122,Program!$A$1:$B$34,2,FALSE)</f>
        <v>Fristående och övriga kurser</v>
      </c>
      <c r="X122" s="42">
        <f>VLOOKUP(A122,kurspris!$A$1:$Q$815,15,FALSE)</f>
        <v>45034</v>
      </c>
      <c r="Y122" s="42">
        <f>VLOOKUP(A122,kurspris!$A$1:$Q$815,16,FALSE)</f>
        <v>31547</v>
      </c>
      <c r="Z122" s="42">
        <f t="shared" si="28"/>
        <v>35135.800000000003</v>
      </c>
      <c r="AA122" s="42">
        <f>VLOOKUP(A122,kurspris!$A$1:$Q$815,17,FALSE)</f>
        <v>34500</v>
      </c>
      <c r="AB122" s="42">
        <f t="shared" si="29"/>
        <v>17250</v>
      </c>
      <c r="AC122" s="42">
        <f t="shared" si="30"/>
        <v>52385.8</v>
      </c>
      <c r="AD122" s="31">
        <f>VLOOKUP($A122,kurspris!$A$1:$Q$852,3,FALSE)</f>
        <v>0</v>
      </c>
      <c r="AE122" s="31">
        <f>VLOOKUP($A122,kurspris!$A$1:$Q$852,4,FALSE)</f>
        <v>0</v>
      </c>
      <c r="AF122" s="31">
        <f>VLOOKUP($A122,kurspris!$A$1:$Q$852,5,FALSE)</f>
        <v>1</v>
      </c>
      <c r="AG122" s="31">
        <f>VLOOKUP($A122,kurspris!$A$1:$Q$852,6,FALSE)</f>
        <v>0</v>
      </c>
      <c r="AH122" s="31">
        <f>VLOOKUP($A122,kurspris!$A$1:$Q$852,7,FALSE)</f>
        <v>0</v>
      </c>
      <c r="AI122" s="31">
        <f>VLOOKUP($A122,kurspris!$A$1:$Q$852,8,FALSE)</f>
        <v>0</v>
      </c>
      <c r="AJ122" s="31">
        <f>VLOOKUP($A122,kurspris!$A$1:$Q$852,9,FALSE)</f>
        <v>0</v>
      </c>
      <c r="AK122" s="31">
        <f>VLOOKUP($A122,kurspris!$A$1:$Q$852,10,FALSE)</f>
        <v>0</v>
      </c>
      <c r="AL122" s="31">
        <f>VLOOKUP($A122,kurspris!$A$1:$Q$852,11,FALSE)</f>
        <v>0</v>
      </c>
      <c r="AM122" s="31">
        <f>VLOOKUP($A122,kurspris!$A$1:$Q$852,12,FALSE)</f>
        <v>0</v>
      </c>
      <c r="AN122" s="31">
        <f>VLOOKUP($A122,kurspris!$A$1:$Q$852,13,FALSE)</f>
        <v>0</v>
      </c>
      <c r="AO122" s="31">
        <f>VLOOKUP($A122,kurspris!$A$1:$Q$852,14,FALSE)</f>
        <v>0</v>
      </c>
      <c r="AP122" s="59" t="s">
        <v>2216</v>
      </c>
      <c r="AR122" s="31">
        <f t="shared" si="31"/>
        <v>0</v>
      </c>
      <c r="AS122" s="237">
        <f t="shared" si="32"/>
        <v>0</v>
      </c>
      <c r="AT122" s="31">
        <f t="shared" si="33"/>
        <v>0</v>
      </c>
      <c r="AU122" s="237">
        <f t="shared" si="34"/>
        <v>0</v>
      </c>
      <c r="AV122" s="31">
        <f t="shared" si="35"/>
        <v>0.5</v>
      </c>
      <c r="AW122" s="31">
        <f t="shared" si="36"/>
        <v>0.4</v>
      </c>
      <c r="AX122" s="31">
        <f t="shared" si="37"/>
        <v>0</v>
      </c>
      <c r="AY122" s="237">
        <f t="shared" si="38"/>
        <v>0</v>
      </c>
      <c r="AZ122" s="214">
        <f t="shared" si="39"/>
        <v>0</v>
      </c>
      <c r="BA122" s="237">
        <f t="shared" si="40"/>
        <v>0</v>
      </c>
      <c r="BB122" s="31">
        <f t="shared" si="41"/>
        <v>0</v>
      </c>
      <c r="BC122" s="237">
        <f t="shared" si="42"/>
        <v>0</v>
      </c>
      <c r="BD122" s="31">
        <f t="shared" si="43"/>
        <v>0</v>
      </c>
      <c r="BE122" s="237">
        <f t="shared" si="44"/>
        <v>0</v>
      </c>
      <c r="BF122" s="31">
        <f t="shared" si="45"/>
        <v>0</v>
      </c>
      <c r="BG122" s="237">
        <f t="shared" si="46"/>
        <v>0</v>
      </c>
      <c r="BH122" s="31">
        <f t="shared" si="47"/>
        <v>0</v>
      </c>
      <c r="BI122" s="237">
        <f t="shared" si="48"/>
        <v>0</v>
      </c>
      <c r="BJ122" s="31">
        <f t="shared" si="49"/>
        <v>0</v>
      </c>
      <c r="BK122" s="31">
        <f t="shared" si="50"/>
        <v>0</v>
      </c>
      <c r="BL122" s="237">
        <f t="shared" si="51"/>
        <v>0</v>
      </c>
      <c r="BM122" s="31">
        <f t="shared" si="52"/>
        <v>0</v>
      </c>
      <c r="BN122" s="237">
        <f t="shared" si="53"/>
        <v>0</v>
      </c>
    </row>
    <row r="123" spans="1:66" x14ac:dyDescent="0.25">
      <c r="A123" s="159" t="s">
        <v>1695</v>
      </c>
      <c r="B123" s="182" t="str">
        <f>VLOOKUP(A123,kurspris!$A$1:$B$894,2,FALSE)</f>
        <v>Matematikundervisning med IT</v>
      </c>
      <c r="C123" s="37"/>
      <c r="D123" s="31" t="s">
        <v>117</v>
      </c>
      <c r="F123" s="59">
        <v>2019</v>
      </c>
      <c r="Q123" s="237">
        <v>2.375</v>
      </c>
      <c r="R123" s="40">
        <v>0.8</v>
      </c>
      <c r="S123" s="313">
        <f t="shared" si="27"/>
        <v>1.9000000000000001</v>
      </c>
      <c r="T123" s="31">
        <f>VLOOKUP(A123,'Ansvar kurs'!$A$1:$C$1027,2,FALSE)</f>
        <v>2193</v>
      </c>
      <c r="U123" s="31" t="str">
        <f>VLOOKUP(T123,Orgenheter!$A$1:$C$165,2,FALSE)</f>
        <v xml:space="preserve">TUV </v>
      </c>
      <c r="V123" s="31" t="str">
        <f>VLOOKUP(T123,Orgenheter!$A$1:$C$165,3,FALSE)</f>
        <v>Sam</v>
      </c>
      <c r="W123" s="37" t="str">
        <f>VLOOKUP(D123,Program!$A$1:$B$34,2,FALSE)</f>
        <v>Fristående och övriga kurser</v>
      </c>
      <c r="X123" s="42">
        <f>VLOOKUP(A123,kurspris!$A$1:$Q$815,15,FALSE)</f>
        <v>18405</v>
      </c>
      <c r="Y123" s="42">
        <f>VLOOKUP(A123,kurspris!$A$1:$Q$815,16,FALSE)</f>
        <v>15773</v>
      </c>
      <c r="Z123" s="42">
        <f t="shared" si="28"/>
        <v>73680.574999999997</v>
      </c>
      <c r="AA123" s="42">
        <f>VLOOKUP(A123,kurspris!$A$1:$Q$815,17,FALSE)</f>
        <v>5800</v>
      </c>
      <c r="AB123" s="42">
        <f t="shared" si="29"/>
        <v>13775</v>
      </c>
      <c r="AC123" s="42">
        <f t="shared" si="30"/>
        <v>87455.574999999997</v>
      </c>
      <c r="AD123" s="31">
        <f>VLOOKUP($A123,kurspris!$A$1:$Q$852,3,FALSE)</f>
        <v>0</v>
      </c>
      <c r="AE123" s="31">
        <f>VLOOKUP($A123,kurspris!$A$1:$Q$852,4,FALSE)</f>
        <v>0</v>
      </c>
      <c r="AF123" s="31">
        <f>VLOOKUP($A123,kurspris!$A$1:$Q$852,5,FALSE)</f>
        <v>0</v>
      </c>
      <c r="AG123" s="31">
        <f>VLOOKUP($A123,kurspris!$A$1:$Q$852,6,FALSE)</f>
        <v>0</v>
      </c>
      <c r="AH123" s="31">
        <f>VLOOKUP($A123,kurspris!$A$1:$Q$852,7,FALSE)</f>
        <v>0</v>
      </c>
      <c r="AI123" s="31">
        <f>VLOOKUP($A123,kurspris!$A$1:$Q$852,8,FALSE)</f>
        <v>0</v>
      </c>
      <c r="AJ123" s="31">
        <f>VLOOKUP($A123,kurspris!$A$1:$Q$852,9,FALSE)</f>
        <v>1</v>
      </c>
      <c r="AK123" s="31">
        <f>VLOOKUP($A123,kurspris!$A$1:$Q$852,10,FALSE)</f>
        <v>0</v>
      </c>
      <c r="AL123" s="31">
        <f>VLOOKUP($A123,kurspris!$A$1:$Q$852,11,FALSE)</f>
        <v>0</v>
      </c>
      <c r="AM123" s="31">
        <f>VLOOKUP($A123,kurspris!$A$1:$Q$852,12,FALSE)</f>
        <v>0</v>
      </c>
      <c r="AN123" s="31">
        <f>VLOOKUP($A123,kurspris!$A$1:$Q$852,13,FALSE)</f>
        <v>0</v>
      </c>
      <c r="AO123" s="31">
        <f>VLOOKUP($A123,kurspris!$A$1:$Q$852,14,FALSE)</f>
        <v>0</v>
      </c>
      <c r="AP123" s="59" t="s">
        <v>2216</v>
      </c>
      <c r="AR123" s="31">
        <f t="shared" si="31"/>
        <v>0</v>
      </c>
      <c r="AS123" s="237">
        <f t="shared" si="32"/>
        <v>0</v>
      </c>
      <c r="AT123" s="31">
        <f t="shared" si="33"/>
        <v>0</v>
      </c>
      <c r="AU123" s="237">
        <f t="shared" si="34"/>
        <v>0</v>
      </c>
      <c r="AV123" s="31">
        <f t="shared" si="35"/>
        <v>0</v>
      </c>
      <c r="AW123" s="31">
        <f t="shared" si="36"/>
        <v>0</v>
      </c>
      <c r="AX123" s="31">
        <f t="shared" si="37"/>
        <v>0</v>
      </c>
      <c r="AY123" s="237">
        <f t="shared" si="38"/>
        <v>0</v>
      </c>
      <c r="AZ123" s="214">
        <f t="shared" si="39"/>
        <v>0</v>
      </c>
      <c r="BA123" s="237">
        <f t="shared" si="40"/>
        <v>0</v>
      </c>
      <c r="BB123" s="31">
        <f t="shared" si="41"/>
        <v>0</v>
      </c>
      <c r="BC123" s="237">
        <f t="shared" si="42"/>
        <v>0</v>
      </c>
      <c r="BD123" s="31">
        <f t="shared" si="43"/>
        <v>2.375</v>
      </c>
      <c r="BE123" s="237">
        <f t="shared" si="44"/>
        <v>1.9000000000000001</v>
      </c>
      <c r="BF123" s="31">
        <f t="shared" si="45"/>
        <v>0</v>
      </c>
      <c r="BG123" s="237">
        <f t="shared" si="46"/>
        <v>0</v>
      </c>
      <c r="BH123" s="31">
        <f t="shared" si="47"/>
        <v>0</v>
      </c>
      <c r="BI123" s="237">
        <f t="shared" si="48"/>
        <v>0</v>
      </c>
      <c r="BJ123" s="31">
        <f t="shared" si="49"/>
        <v>0</v>
      </c>
      <c r="BK123" s="31">
        <f t="shared" si="50"/>
        <v>0</v>
      </c>
      <c r="BL123" s="237">
        <f t="shared" si="51"/>
        <v>0</v>
      </c>
      <c r="BM123" s="31">
        <f t="shared" si="52"/>
        <v>0</v>
      </c>
      <c r="BN123" s="237">
        <f t="shared" si="53"/>
        <v>0</v>
      </c>
    </row>
    <row r="124" spans="1:66" x14ac:dyDescent="0.25">
      <c r="A124" s="159" t="s">
        <v>1694</v>
      </c>
      <c r="B124" s="182" t="str">
        <f>VLOOKUP(A124,kurspris!$A$1:$B$894,2,FALSE)</f>
        <v>Design av digital didaktik</v>
      </c>
      <c r="C124" s="37"/>
      <c r="D124" s="31" t="s">
        <v>117</v>
      </c>
      <c r="F124" s="59">
        <v>2019</v>
      </c>
      <c r="Q124" s="237">
        <v>3.75</v>
      </c>
      <c r="R124" s="40">
        <v>0.8</v>
      </c>
      <c r="S124" s="313">
        <f t="shared" si="27"/>
        <v>3</v>
      </c>
      <c r="T124" s="31">
        <f>VLOOKUP(A124,'Ansvar kurs'!$A$1:$C$1027,2,FALSE)</f>
        <v>2193</v>
      </c>
      <c r="U124" s="31" t="str">
        <f>VLOOKUP(T124,Orgenheter!$A$1:$C$165,2,FALSE)</f>
        <v xml:space="preserve">TUV </v>
      </c>
      <c r="V124" s="31" t="str">
        <f>VLOOKUP(T124,Orgenheter!$A$1:$C$165,3,FALSE)</f>
        <v>Sam</v>
      </c>
      <c r="W124" s="37" t="str">
        <f>VLOOKUP(D124,Program!$A$1:$B$34,2,FALSE)</f>
        <v>Fristående och övriga kurser</v>
      </c>
      <c r="X124" s="42">
        <f>VLOOKUP(A124,kurspris!$A$1:$Q$815,15,FALSE)</f>
        <v>18405</v>
      </c>
      <c r="Y124" s="42">
        <f>VLOOKUP(A124,kurspris!$A$1:$Q$815,16,FALSE)</f>
        <v>15773</v>
      </c>
      <c r="Z124" s="42">
        <f t="shared" si="28"/>
        <v>116337.75</v>
      </c>
      <c r="AA124" s="42">
        <f>VLOOKUP(A124,kurspris!$A$1:$Q$815,17,FALSE)</f>
        <v>5800</v>
      </c>
      <c r="AB124" s="42">
        <f t="shared" si="29"/>
        <v>21750</v>
      </c>
      <c r="AC124" s="42">
        <f t="shared" si="30"/>
        <v>138087.75</v>
      </c>
      <c r="AD124" s="31">
        <f>VLOOKUP($A124,kurspris!$A$1:$Q$852,3,FALSE)</f>
        <v>0</v>
      </c>
      <c r="AE124" s="31">
        <f>VLOOKUP($A124,kurspris!$A$1:$Q$852,4,FALSE)</f>
        <v>0</v>
      </c>
      <c r="AF124" s="31">
        <f>VLOOKUP($A124,kurspris!$A$1:$Q$852,5,FALSE)</f>
        <v>0</v>
      </c>
      <c r="AG124" s="31">
        <f>VLOOKUP($A124,kurspris!$A$1:$Q$852,6,FALSE)</f>
        <v>0</v>
      </c>
      <c r="AH124" s="31">
        <f>VLOOKUP($A124,kurspris!$A$1:$Q$852,7,FALSE)</f>
        <v>0</v>
      </c>
      <c r="AI124" s="31">
        <f>VLOOKUP($A124,kurspris!$A$1:$Q$852,8,FALSE)</f>
        <v>0</v>
      </c>
      <c r="AJ124" s="31">
        <f>VLOOKUP($A124,kurspris!$A$1:$Q$852,9,FALSE)</f>
        <v>1</v>
      </c>
      <c r="AK124" s="31">
        <f>VLOOKUP($A124,kurspris!$A$1:$Q$852,10,FALSE)</f>
        <v>0</v>
      </c>
      <c r="AL124" s="31">
        <f>VLOOKUP($A124,kurspris!$A$1:$Q$852,11,FALSE)</f>
        <v>0</v>
      </c>
      <c r="AM124" s="31">
        <f>VLOOKUP($A124,kurspris!$A$1:$Q$852,12,FALSE)</f>
        <v>0</v>
      </c>
      <c r="AN124" s="31">
        <f>VLOOKUP($A124,kurspris!$A$1:$Q$852,13,FALSE)</f>
        <v>0</v>
      </c>
      <c r="AO124" s="31">
        <f>VLOOKUP($A124,kurspris!$A$1:$Q$852,14,FALSE)</f>
        <v>0</v>
      </c>
      <c r="AP124" s="59" t="s">
        <v>2216</v>
      </c>
      <c r="AR124" s="31">
        <f t="shared" si="31"/>
        <v>0</v>
      </c>
      <c r="AS124" s="237">
        <f t="shared" si="32"/>
        <v>0</v>
      </c>
      <c r="AT124" s="31">
        <f t="shared" si="33"/>
        <v>0</v>
      </c>
      <c r="AU124" s="237">
        <f t="shared" si="34"/>
        <v>0</v>
      </c>
      <c r="AV124" s="31">
        <f t="shared" si="35"/>
        <v>0</v>
      </c>
      <c r="AW124" s="31">
        <f t="shared" si="36"/>
        <v>0</v>
      </c>
      <c r="AX124" s="31">
        <f t="shared" si="37"/>
        <v>0</v>
      </c>
      <c r="AY124" s="237">
        <f t="shared" si="38"/>
        <v>0</v>
      </c>
      <c r="AZ124" s="214">
        <f t="shared" si="39"/>
        <v>0</v>
      </c>
      <c r="BA124" s="237">
        <f t="shared" si="40"/>
        <v>0</v>
      </c>
      <c r="BB124" s="31">
        <f t="shared" si="41"/>
        <v>0</v>
      </c>
      <c r="BC124" s="237">
        <f t="shared" si="42"/>
        <v>0</v>
      </c>
      <c r="BD124" s="31">
        <f t="shared" si="43"/>
        <v>3.75</v>
      </c>
      <c r="BE124" s="237">
        <f t="shared" si="44"/>
        <v>3</v>
      </c>
      <c r="BF124" s="31">
        <f t="shared" si="45"/>
        <v>0</v>
      </c>
      <c r="BG124" s="237">
        <f t="shared" si="46"/>
        <v>0</v>
      </c>
      <c r="BH124" s="31">
        <f t="shared" si="47"/>
        <v>0</v>
      </c>
      <c r="BI124" s="237">
        <f t="shared" si="48"/>
        <v>0</v>
      </c>
      <c r="BJ124" s="31">
        <f t="shared" si="49"/>
        <v>0</v>
      </c>
      <c r="BK124" s="31">
        <f t="shared" si="50"/>
        <v>0</v>
      </c>
      <c r="BL124" s="237">
        <f t="shared" si="51"/>
        <v>0</v>
      </c>
      <c r="BM124" s="31">
        <f t="shared" si="52"/>
        <v>0</v>
      </c>
      <c r="BN124" s="237">
        <f t="shared" si="53"/>
        <v>0</v>
      </c>
    </row>
    <row r="125" spans="1:66" x14ac:dyDescent="0.25">
      <c r="A125" s="159" t="s">
        <v>1492</v>
      </c>
      <c r="B125" s="182" t="str">
        <f>VLOOKUP(A125,kurspris!$A$1:$B$894,2,FALSE)</f>
        <v>Kemididaktik 1 för ämneslärare för gymnasium</v>
      </c>
      <c r="C125" s="37"/>
      <c r="D125" s="31" t="s">
        <v>483</v>
      </c>
      <c r="F125" s="59">
        <v>2019</v>
      </c>
      <c r="Q125" s="237">
        <v>0.375</v>
      </c>
      <c r="R125" s="40">
        <v>0.85</v>
      </c>
      <c r="S125" s="313">
        <f t="shared" si="27"/>
        <v>0.31874999999999998</v>
      </c>
      <c r="T125" s="31">
        <f>VLOOKUP(A125,'Ansvar kurs'!$A$1:$C$1027,2,FALSE)</f>
        <v>5740</v>
      </c>
      <c r="U125" s="31" t="str">
        <f>VLOOKUP(T125,Orgenheter!$A$1:$C$165,2,FALSE)</f>
        <v>NMD</v>
      </c>
      <c r="V125" s="31" t="str">
        <f>VLOOKUP(T125,Orgenheter!$A$1:$C$165,3,FALSE)</f>
        <v>TekNat</v>
      </c>
      <c r="W125" s="37" t="str">
        <f>VLOOKUP(D125,Program!$A$1:$B$34,2,FALSE)</f>
        <v>Ämneslärarprogrammet - Gy</v>
      </c>
      <c r="X125" s="42">
        <f>VLOOKUP(A125,kurspris!$A$1:$Q$815,15,FALSE)</f>
        <v>19473</v>
      </c>
      <c r="Y125" s="42">
        <f>VLOOKUP(A125,kurspris!$A$1:$Q$815,16,FALSE)</f>
        <v>34806</v>
      </c>
      <c r="Z125" s="42">
        <f t="shared" si="28"/>
        <v>18396.787499999999</v>
      </c>
      <c r="AA125" s="42">
        <f>VLOOKUP(A125,kurspris!$A$1:$Q$815,17,FALSE)</f>
        <v>21800</v>
      </c>
      <c r="AB125" s="42">
        <f t="shared" si="29"/>
        <v>8175</v>
      </c>
      <c r="AC125" s="42">
        <f t="shared" si="30"/>
        <v>26571.787499999999</v>
      </c>
      <c r="AD125" s="31">
        <f>VLOOKUP($A125,kurspris!$A$1:$Q$852,3,FALSE)</f>
        <v>0</v>
      </c>
      <c r="AE125" s="31">
        <f>VLOOKUP($A125,kurspris!$A$1:$Q$852,4,FALSE)</f>
        <v>0</v>
      </c>
      <c r="AF125" s="31">
        <f>VLOOKUP($A125,kurspris!$A$1:$Q$852,5,FALSE)</f>
        <v>0</v>
      </c>
      <c r="AG125" s="31">
        <f>VLOOKUP($A125,kurspris!$A$1:$Q$852,6,FALSE)</f>
        <v>0</v>
      </c>
      <c r="AH125" s="31">
        <f>VLOOKUP($A125,kurspris!$A$1:$Q$852,7,FALSE)</f>
        <v>0</v>
      </c>
      <c r="AI125" s="31">
        <f>VLOOKUP($A125,kurspris!$A$1:$Q$852,8,FALSE)</f>
        <v>1</v>
      </c>
      <c r="AJ125" s="31">
        <f>VLOOKUP($A125,kurspris!$A$1:$Q$852,9,FALSE)</f>
        <v>0</v>
      </c>
      <c r="AK125" s="31">
        <f>VLOOKUP($A125,kurspris!$A$1:$Q$852,10,FALSE)</f>
        <v>0</v>
      </c>
      <c r="AL125" s="31">
        <f>VLOOKUP($A125,kurspris!$A$1:$Q$852,11,FALSE)</f>
        <v>0</v>
      </c>
      <c r="AM125" s="31">
        <f>VLOOKUP($A125,kurspris!$A$1:$Q$852,12,FALSE)</f>
        <v>0</v>
      </c>
      <c r="AN125" s="31">
        <f>VLOOKUP($A125,kurspris!$A$1:$Q$852,13,FALSE)</f>
        <v>0</v>
      </c>
      <c r="AO125" s="31">
        <f>VLOOKUP($A125,kurspris!$A$1:$Q$852,14,FALSE)</f>
        <v>0</v>
      </c>
      <c r="AP125" s="59" t="s">
        <v>2216</v>
      </c>
      <c r="AR125" s="31">
        <f t="shared" si="31"/>
        <v>0</v>
      </c>
      <c r="AS125" s="237">
        <f t="shared" si="32"/>
        <v>0</v>
      </c>
      <c r="AT125" s="31">
        <f t="shared" si="33"/>
        <v>0</v>
      </c>
      <c r="AU125" s="237">
        <f t="shared" si="34"/>
        <v>0</v>
      </c>
      <c r="AV125" s="31">
        <f t="shared" si="35"/>
        <v>0</v>
      </c>
      <c r="AW125" s="31">
        <f t="shared" si="36"/>
        <v>0</v>
      </c>
      <c r="AX125" s="31">
        <f t="shared" si="37"/>
        <v>0</v>
      </c>
      <c r="AY125" s="237">
        <f t="shared" si="38"/>
        <v>0</v>
      </c>
      <c r="AZ125" s="214">
        <f t="shared" si="39"/>
        <v>0</v>
      </c>
      <c r="BA125" s="237">
        <f t="shared" si="40"/>
        <v>0</v>
      </c>
      <c r="BB125" s="31">
        <f t="shared" si="41"/>
        <v>0.375</v>
      </c>
      <c r="BC125" s="237">
        <f t="shared" si="42"/>
        <v>0.31874999999999998</v>
      </c>
      <c r="BD125" s="31">
        <f t="shared" si="43"/>
        <v>0</v>
      </c>
      <c r="BE125" s="237">
        <f t="shared" si="44"/>
        <v>0</v>
      </c>
      <c r="BF125" s="31">
        <f t="shared" si="45"/>
        <v>0</v>
      </c>
      <c r="BG125" s="237">
        <f t="shared" si="46"/>
        <v>0</v>
      </c>
      <c r="BH125" s="31">
        <f t="shared" si="47"/>
        <v>0</v>
      </c>
      <c r="BI125" s="237">
        <f t="shared" si="48"/>
        <v>0</v>
      </c>
      <c r="BJ125" s="31">
        <f t="shared" si="49"/>
        <v>0</v>
      </c>
      <c r="BK125" s="31">
        <f t="shared" si="50"/>
        <v>0</v>
      </c>
      <c r="BL125" s="237">
        <f t="shared" si="51"/>
        <v>0</v>
      </c>
      <c r="BM125" s="31">
        <f t="shared" si="52"/>
        <v>0</v>
      </c>
      <c r="BN125" s="237">
        <f t="shared" si="53"/>
        <v>0</v>
      </c>
    </row>
    <row r="126" spans="1:66" x14ac:dyDescent="0.25">
      <c r="A126" s="159" t="s">
        <v>1493</v>
      </c>
      <c r="B126" s="182" t="str">
        <f>VLOOKUP(A126,kurspris!$A$1:$B$894,2,FALSE)</f>
        <v>Kemididaktik 2 för ämneslärare för gymnasium</v>
      </c>
      <c r="C126" s="37"/>
      <c r="D126" s="31" t="s">
        <v>483</v>
      </c>
      <c r="F126" s="59">
        <v>2019</v>
      </c>
      <c r="Q126" s="237">
        <v>0.25</v>
      </c>
      <c r="R126" s="40">
        <v>0.85</v>
      </c>
      <c r="S126" s="313">
        <f t="shared" si="27"/>
        <v>0.21249999999999999</v>
      </c>
      <c r="T126" s="31">
        <f>VLOOKUP(A126,'Ansvar kurs'!$A$1:$C$1027,2,FALSE)</f>
        <v>5740</v>
      </c>
      <c r="U126" s="31" t="str">
        <f>VLOOKUP(T126,Orgenheter!$A$1:$C$165,2,FALSE)</f>
        <v>NMD</v>
      </c>
      <c r="V126" s="31" t="str">
        <f>VLOOKUP(T126,Orgenheter!$A$1:$C$165,3,FALSE)</f>
        <v>TekNat</v>
      </c>
      <c r="W126" s="37" t="str">
        <f>VLOOKUP(D126,Program!$A$1:$B$34,2,FALSE)</f>
        <v>Ämneslärarprogrammet - Gy</v>
      </c>
      <c r="X126" s="42">
        <f>VLOOKUP(A126,kurspris!$A$1:$Q$815,15,FALSE)</f>
        <v>19473</v>
      </c>
      <c r="Y126" s="42">
        <f>VLOOKUP(A126,kurspris!$A$1:$Q$815,16,FALSE)</f>
        <v>34806</v>
      </c>
      <c r="Z126" s="42">
        <f t="shared" si="28"/>
        <v>12264.525</v>
      </c>
      <c r="AA126" s="42">
        <f>VLOOKUP(A126,kurspris!$A$1:$Q$815,17,FALSE)</f>
        <v>21800</v>
      </c>
      <c r="AB126" s="42">
        <f t="shared" si="29"/>
        <v>5450</v>
      </c>
      <c r="AC126" s="42">
        <f t="shared" si="30"/>
        <v>17714.525000000001</v>
      </c>
      <c r="AD126" s="31">
        <f>VLOOKUP($A126,kurspris!$A$1:$Q$852,3,FALSE)</f>
        <v>0</v>
      </c>
      <c r="AE126" s="31">
        <f>VLOOKUP($A126,kurspris!$A$1:$Q$852,4,FALSE)</f>
        <v>0</v>
      </c>
      <c r="AF126" s="31">
        <f>VLOOKUP($A126,kurspris!$A$1:$Q$852,5,FALSE)</f>
        <v>0</v>
      </c>
      <c r="AG126" s="31">
        <f>VLOOKUP($A126,kurspris!$A$1:$Q$852,6,FALSE)</f>
        <v>0</v>
      </c>
      <c r="AH126" s="31">
        <f>VLOOKUP($A126,kurspris!$A$1:$Q$852,7,FALSE)</f>
        <v>0</v>
      </c>
      <c r="AI126" s="31">
        <f>VLOOKUP($A126,kurspris!$A$1:$Q$852,8,FALSE)</f>
        <v>1</v>
      </c>
      <c r="AJ126" s="31">
        <f>VLOOKUP($A126,kurspris!$A$1:$Q$852,9,FALSE)</f>
        <v>0</v>
      </c>
      <c r="AK126" s="31">
        <f>VLOOKUP($A126,kurspris!$A$1:$Q$852,10,FALSE)</f>
        <v>0</v>
      </c>
      <c r="AL126" s="31">
        <f>VLOOKUP($A126,kurspris!$A$1:$Q$852,11,FALSE)</f>
        <v>0</v>
      </c>
      <c r="AM126" s="31">
        <f>VLOOKUP($A126,kurspris!$A$1:$Q$852,12,FALSE)</f>
        <v>0</v>
      </c>
      <c r="AN126" s="31">
        <f>VLOOKUP($A126,kurspris!$A$1:$Q$852,13,FALSE)</f>
        <v>0</v>
      </c>
      <c r="AO126" s="31">
        <f>VLOOKUP($A126,kurspris!$A$1:$Q$852,14,FALSE)</f>
        <v>0</v>
      </c>
      <c r="AP126" s="59" t="s">
        <v>2216</v>
      </c>
      <c r="AR126" s="31">
        <f t="shared" si="31"/>
        <v>0</v>
      </c>
      <c r="AS126" s="237">
        <f t="shared" si="32"/>
        <v>0</v>
      </c>
      <c r="AT126" s="31">
        <f t="shared" si="33"/>
        <v>0</v>
      </c>
      <c r="AU126" s="237">
        <f t="shared" si="34"/>
        <v>0</v>
      </c>
      <c r="AV126" s="31">
        <f t="shared" si="35"/>
        <v>0</v>
      </c>
      <c r="AW126" s="31">
        <f t="shared" si="36"/>
        <v>0</v>
      </c>
      <c r="AX126" s="31">
        <f t="shared" si="37"/>
        <v>0</v>
      </c>
      <c r="AY126" s="237">
        <f t="shared" si="38"/>
        <v>0</v>
      </c>
      <c r="AZ126" s="214">
        <f t="shared" si="39"/>
        <v>0</v>
      </c>
      <c r="BA126" s="237">
        <f t="shared" si="40"/>
        <v>0</v>
      </c>
      <c r="BB126" s="31">
        <f t="shared" si="41"/>
        <v>0.25</v>
      </c>
      <c r="BC126" s="237">
        <f t="shared" si="42"/>
        <v>0.21249999999999999</v>
      </c>
      <c r="BD126" s="31">
        <f t="shared" si="43"/>
        <v>0</v>
      </c>
      <c r="BE126" s="237">
        <f t="shared" si="44"/>
        <v>0</v>
      </c>
      <c r="BF126" s="31">
        <f t="shared" si="45"/>
        <v>0</v>
      </c>
      <c r="BG126" s="237">
        <f t="shared" si="46"/>
        <v>0</v>
      </c>
      <c r="BH126" s="31">
        <f t="shared" si="47"/>
        <v>0</v>
      </c>
      <c r="BI126" s="237">
        <f t="shared" si="48"/>
        <v>0</v>
      </c>
      <c r="BJ126" s="31">
        <f t="shared" si="49"/>
        <v>0</v>
      </c>
      <c r="BK126" s="31">
        <f t="shared" si="50"/>
        <v>0</v>
      </c>
      <c r="BL126" s="237">
        <f t="shared" si="51"/>
        <v>0</v>
      </c>
      <c r="BM126" s="31">
        <f t="shared" si="52"/>
        <v>0</v>
      </c>
      <c r="BN126" s="237">
        <f t="shared" si="53"/>
        <v>0</v>
      </c>
    </row>
    <row r="127" spans="1:66" x14ac:dyDescent="0.25">
      <c r="A127" s="159" t="s">
        <v>2058</v>
      </c>
      <c r="B127" s="182" t="str">
        <f>VLOOKUP(A127,kurspris!$A$1:$B$894,2,FALSE)</f>
        <v>Ekonomisk och soial geografi</v>
      </c>
      <c r="C127" s="37"/>
      <c r="D127" s="31" t="s">
        <v>483</v>
      </c>
      <c r="F127" s="59">
        <v>2019</v>
      </c>
      <c r="Q127" s="237">
        <v>1.25</v>
      </c>
      <c r="R127" s="40">
        <v>0.85</v>
      </c>
      <c r="S127" s="313">
        <f t="shared" si="27"/>
        <v>1.0625</v>
      </c>
      <c r="T127" s="31">
        <f>VLOOKUP(A127,'Ansvar kurs'!$A$1:$C$1027,2,FALSE)</f>
        <v>2500</v>
      </c>
      <c r="U127" s="31" t="str">
        <f>VLOOKUP(T127,Orgenheter!$A$1:$C$165,2,FALSE)</f>
        <v>Geografi</v>
      </c>
      <c r="V127" s="31" t="str">
        <f>VLOOKUP(T127,Orgenheter!$A$1:$C$165,3,FALSE)</f>
        <v>Sam</v>
      </c>
      <c r="W127" s="37" t="str">
        <f>VLOOKUP(D127,Program!$A$1:$B$34,2,FALSE)</f>
        <v>Ämneslärarprogrammet - Gy</v>
      </c>
      <c r="X127" s="42">
        <f>VLOOKUP(A127,kurspris!$A$1:$Q$815,15,FALSE)</f>
        <v>18672</v>
      </c>
      <c r="Y127" s="42">
        <f>VLOOKUP(A127,kurspris!$A$1:$Q$815,16,FALSE)</f>
        <v>20531.25</v>
      </c>
      <c r="Z127" s="42">
        <f t="shared" si="28"/>
        <v>45154.453125</v>
      </c>
      <c r="AA127" s="42">
        <f>VLOOKUP(A127,kurspris!$A$1:$Q$815,17,FALSE)</f>
        <v>9800</v>
      </c>
      <c r="AB127" s="42">
        <f t="shared" si="29"/>
        <v>12250</v>
      </c>
      <c r="AC127" s="42">
        <f t="shared" si="30"/>
        <v>57404.453125</v>
      </c>
      <c r="AD127" s="31">
        <f>VLOOKUP($A127,kurspris!$A$1:$Q$852,3,FALSE)</f>
        <v>0</v>
      </c>
      <c r="AE127" s="31">
        <f>VLOOKUP($A127,kurspris!$A$1:$Q$852,4,FALSE)</f>
        <v>0</v>
      </c>
      <c r="AF127" s="31">
        <f>VLOOKUP($A127,kurspris!$A$1:$Q$852,5,FALSE)</f>
        <v>0</v>
      </c>
      <c r="AG127" s="31">
        <f>VLOOKUP($A127,kurspris!$A$1:$Q$852,6,FALSE)</f>
        <v>0</v>
      </c>
      <c r="AH127" s="31">
        <f>VLOOKUP($A127,kurspris!$A$1:$Q$852,7,FALSE)</f>
        <v>0</v>
      </c>
      <c r="AI127" s="31">
        <f>VLOOKUP($A127,kurspris!$A$1:$Q$852,8,FALSE)</f>
        <v>0.25</v>
      </c>
      <c r="AJ127" s="31">
        <f>VLOOKUP($A127,kurspris!$A$1:$Q$852,9,FALSE)</f>
        <v>0.75</v>
      </c>
      <c r="AK127" s="31">
        <f>VLOOKUP($A127,kurspris!$A$1:$Q$852,10,FALSE)</f>
        <v>0</v>
      </c>
      <c r="AL127" s="31">
        <f>VLOOKUP($A127,kurspris!$A$1:$Q$852,11,FALSE)</f>
        <v>0</v>
      </c>
      <c r="AM127" s="31">
        <f>VLOOKUP($A127,kurspris!$A$1:$Q$852,12,FALSE)</f>
        <v>0</v>
      </c>
      <c r="AN127" s="31">
        <f>VLOOKUP($A127,kurspris!$A$1:$Q$852,13,FALSE)</f>
        <v>0</v>
      </c>
      <c r="AO127" s="31">
        <f>VLOOKUP($A127,kurspris!$A$1:$Q$852,14,FALSE)</f>
        <v>0</v>
      </c>
      <c r="AP127" s="59" t="s">
        <v>2216</v>
      </c>
      <c r="AR127" s="31">
        <f t="shared" si="31"/>
        <v>0</v>
      </c>
      <c r="AS127" s="237">
        <f t="shared" si="32"/>
        <v>0</v>
      </c>
      <c r="AT127" s="31">
        <f t="shared" si="33"/>
        <v>0</v>
      </c>
      <c r="AU127" s="237">
        <f t="shared" si="34"/>
        <v>0</v>
      </c>
      <c r="AV127" s="31">
        <f t="shared" si="35"/>
        <v>0</v>
      </c>
      <c r="AW127" s="31">
        <f t="shared" si="36"/>
        <v>0</v>
      </c>
      <c r="AX127" s="31">
        <f t="shared" si="37"/>
        <v>0</v>
      </c>
      <c r="AY127" s="237">
        <f t="shared" si="38"/>
        <v>0</v>
      </c>
      <c r="AZ127" s="214">
        <f t="shared" si="39"/>
        <v>0</v>
      </c>
      <c r="BA127" s="237">
        <f t="shared" si="40"/>
        <v>0</v>
      </c>
      <c r="BB127" s="31">
        <f t="shared" si="41"/>
        <v>0.3125</v>
      </c>
      <c r="BC127" s="237">
        <f t="shared" si="42"/>
        <v>0.265625</v>
      </c>
      <c r="BD127" s="31">
        <f t="shared" si="43"/>
        <v>0.9375</v>
      </c>
      <c r="BE127" s="237">
        <f t="shared" si="44"/>
        <v>0.796875</v>
      </c>
      <c r="BF127" s="31">
        <f t="shared" si="45"/>
        <v>0</v>
      </c>
      <c r="BG127" s="237">
        <f t="shared" si="46"/>
        <v>0</v>
      </c>
      <c r="BH127" s="31">
        <f t="shared" si="47"/>
        <v>0</v>
      </c>
      <c r="BI127" s="237">
        <f t="shared" si="48"/>
        <v>0</v>
      </c>
      <c r="BJ127" s="31">
        <f t="shared" si="49"/>
        <v>0</v>
      </c>
      <c r="BK127" s="31">
        <f t="shared" si="50"/>
        <v>0</v>
      </c>
      <c r="BL127" s="237">
        <f t="shared" si="51"/>
        <v>0</v>
      </c>
      <c r="BM127" s="31">
        <f t="shared" si="52"/>
        <v>0</v>
      </c>
      <c r="BN127" s="237">
        <f t="shared" si="53"/>
        <v>0</v>
      </c>
    </row>
    <row r="128" spans="1:66" x14ac:dyDescent="0.25">
      <c r="A128" s="159" t="s">
        <v>1857</v>
      </c>
      <c r="B128" s="182" t="str">
        <f>VLOOKUP(A128,kurspris!$A$1:$B$894,2,FALSE)</f>
        <v>Introduktion till geografi</v>
      </c>
      <c r="C128" s="37"/>
      <c r="D128" s="31" t="s">
        <v>483</v>
      </c>
      <c r="F128" s="59">
        <v>2019</v>
      </c>
      <c r="Q128" s="237">
        <v>0.75</v>
      </c>
      <c r="R128" s="40">
        <v>0.85</v>
      </c>
      <c r="S128" s="313">
        <f t="shared" si="27"/>
        <v>0.63749999999999996</v>
      </c>
      <c r="T128" s="31">
        <f>VLOOKUP(A128,'Ansvar kurs'!$A$1:$C$1027,2,FALSE)</f>
        <v>2500</v>
      </c>
      <c r="U128" s="31" t="str">
        <f>VLOOKUP(T128,Orgenheter!$A$1:$C$165,2,FALSE)</f>
        <v>Geografi</v>
      </c>
      <c r="V128" s="31" t="str">
        <f>VLOOKUP(T128,Orgenheter!$A$1:$C$165,3,FALSE)</f>
        <v>Sam</v>
      </c>
      <c r="W128" s="37" t="str">
        <f>VLOOKUP(D128,Program!$A$1:$B$34,2,FALSE)</f>
        <v>Ämneslärarprogrammet - Gy</v>
      </c>
      <c r="X128" s="42">
        <f>VLOOKUP(A128,kurspris!$A$1:$Q$815,15,FALSE)</f>
        <v>18405</v>
      </c>
      <c r="Y128" s="42">
        <f>VLOOKUP(A128,kurspris!$A$1:$Q$815,16,FALSE)</f>
        <v>15773</v>
      </c>
      <c r="Z128" s="42">
        <f t="shared" si="28"/>
        <v>23859.037499999999</v>
      </c>
      <c r="AA128" s="42">
        <f>VLOOKUP(A128,kurspris!$A$1:$Q$815,17,FALSE)</f>
        <v>5800</v>
      </c>
      <c r="AB128" s="42">
        <f t="shared" si="29"/>
        <v>4350</v>
      </c>
      <c r="AC128" s="42">
        <f t="shared" si="30"/>
        <v>28209.037499999999</v>
      </c>
      <c r="AD128" s="31">
        <f>VLOOKUP($A128,kurspris!$A$1:$Q$852,3,FALSE)</f>
        <v>0</v>
      </c>
      <c r="AE128" s="31">
        <f>VLOOKUP($A128,kurspris!$A$1:$Q$852,4,FALSE)</f>
        <v>0</v>
      </c>
      <c r="AF128" s="31">
        <f>VLOOKUP($A128,kurspris!$A$1:$Q$852,5,FALSE)</f>
        <v>0</v>
      </c>
      <c r="AG128" s="31">
        <f>VLOOKUP($A128,kurspris!$A$1:$Q$852,6,FALSE)</f>
        <v>0</v>
      </c>
      <c r="AH128" s="31">
        <f>VLOOKUP($A128,kurspris!$A$1:$Q$852,7,FALSE)</f>
        <v>0</v>
      </c>
      <c r="AI128" s="31">
        <f>VLOOKUP($A128,kurspris!$A$1:$Q$852,8,FALSE)</f>
        <v>0</v>
      </c>
      <c r="AJ128" s="31">
        <f>VLOOKUP($A128,kurspris!$A$1:$Q$852,9,FALSE)</f>
        <v>1</v>
      </c>
      <c r="AK128" s="31">
        <f>VLOOKUP($A128,kurspris!$A$1:$Q$852,10,FALSE)</f>
        <v>0</v>
      </c>
      <c r="AL128" s="31">
        <f>VLOOKUP($A128,kurspris!$A$1:$Q$852,11,FALSE)</f>
        <v>0</v>
      </c>
      <c r="AM128" s="31">
        <f>VLOOKUP($A128,kurspris!$A$1:$Q$852,12,FALSE)</f>
        <v>0</v>
      </c>
      <c r="AN128" s="31">
        <f>VLOOKUP($A128,kurspris!$A$1:$Q$852,13,FALSE)</f>
        <v>0</v>
      </c>
      <c r="AO128" s="31">
        <f>VLOOKUP($A128,kurspris!$A$1:$Q$852,14,FALSE)</f>
        <v>0</v>
      </c>
      <c r="AP128" s="59" t="s">
        <v>2216</v>
      </c>
      <c r="AR128" s="31">
        <f t="shared" si="31"/>
        <v>0</v>
      </c>
      <c r="AS128" s="237">
        <f t="shared" si="32"/>
        <v>0</v>
      </c>
      <c r="AT128" s="31">
        <f t="shared" si="33"/>
        <v>0</v>
      </c>
      <c r="AU128" s="237">
        <f t="shared" si="34"/>
        <v>0</v>
      </c>
      <c r="AV128" s="31">
        <f t="shared" si="35"/>
        <v>0</v>
      </c>
      <c r="AW128" s="31">
        <f t="shared" si="36"/>
        <v>0</v>
      </c>
      <c r="AX128" s="31">
        <f t="shared" si="37"/>
        <v>0</v>
      </c>
      <c r="AY128" s="237">
        <f t="shared" si="38"/>
        <v>0</v>
      </c>
      <c r="AZ128" s="214">
        <f t="shared" si="39"/>
        <v>0</v>
      </c>
      <c r="BA128" s="237">
        <f t="shared" si="40"/>
        <v>0</v>
      </c>
      <c r="BB128" s="31">
        <f t="shared" si="41"/>
        <v>0</v>
      </c>
      <c r="BC128" s="237">
        <f t="shared" si="42"/>
        <v>0</v>
      </c>
      <c r="BD128" s="31">
        <f t="shared" si="43"/>
        <v>0.75</v>
      </c>
      <c r="BE128" s="237">
        <f t="shared" si="44"/>
        <v>0.63749999999999996</v>
      </c>
      <c r="BF128" s="31">
        <f t="shared" si="45"/>
        <v>0</v>
      </c>
      <c r="BG128" s="237">
        <f t="shared" si="46"/>
        <v>0</v>
      </c>
      <c r="BH128" s="31">
        <f t="shared" si="47"/>
        <v>0</v>
      </c>
      <c r="BI128" s="237">
        <f t="shared" si="48"/>
        <v>0</v>
      </c>
      <c r="BJ128" s="31">
        <f t="shared" si="49"/>
        <v>0</v>
      </c>
      <c r="BK128" s="31">
        <f t="shared" si="50"/>
        <v>0</v>
      </c>
      <c r="BL128" s="237">
        <f t="shared" si="51"/>
        <v>0</v>
      </c>
      <c r="BM128" s="31">
        <f t="shared" si="52"/>
        <v>0</v>
      </c>
      <c r="BN128" s="237">
        <f t="shared" si="53"/>
        <v>0</v>
      </c>
    </row>
    <row r="129" spans="1:66" x14ac:dyDescent="0.25">
      <c r="A129" s="159" t="s">
        <v>1858</v>
      </c>
      <c r="B129" s="182" t="str">
        <f>VLOOKUP(A129,kurspris!$A$1:$B$894,2,FALSE)</f>
        <v>Befolkningsgeografi</v>
      </c>
      <c r="C129" s="37"/>
      <c r="D129" s="31" t="s">
        <v>483</v>
      </c>
      <c r="F129" s="59">
        <v>2019</v>
      </c>
      <c r="Q129" s="237">
        <v>1.5</v>
      </c>
      <c r="R129" s="40">
        <v>0.85</v>
      </c>
      <c r="S129" s="313">
        <f t="shared" si="27"/>
        <v>1.2749999999999999</v>
      </c>
      <c r="T129" s="31">
        <f>VLOOKUP(A129,'Ansvar kurs'!$A$1:$C$1027,2,FALSE)</f>
        <v>2500</v>
      </c>
      <c r="U129" s="31" t="str">
        <f>VLOOKUP(T129,Orgenheter!$A$1:$C$165,2,FALSE)</f>
        <v>Geografi</v>
      </c>
      <c r="V129" s="31" t="str">
        <f>VLOOKUP(T129,Orgenheter!$A$1:$C$165,3,FALSE)</f>
        <v>Sam</v>
      </c>
      <c r="W129" s="37" t="str">
        <f>VLOOKUP(D129,Program!$A$1:$B$34,2,FALSE)</f>
        <v>Ämneslärarprogrammet - Gy</v>
      </c>
      <c r="X129" s="42">
        <f>VLOOKUP(A129,kurspris!$A$1:$Q$815,15,FALSE)</f>
        <v>18672</v>
      </c>
      <c r="Y129" s="42">
        <f>VLOOKUP(A129,kurspris!$A$1:$Q$815,16,FALSE)</f>
        <v>20531.25</v>
      </c>
      <c r="Z129" s="42">
        <f t="shared" si="28"/>
        <v>54185.34375</v>
      </c>
      <c r="AA129" s="42">
        <f>VLOOKUP(A129,kurspris!$A$1:$Q$815,17,FALSE)</f>
        <v>9800</v>
      </c>
      <c r="AB129" s="42">
        <f t="shared" si="29"/>
        <v>14700</v>
      </c>
      <c r="AC129" s="42">
        <f t="shared" si="30"/>
        <v>68885.34375</v>
      </c>
      <c r="AD129" s="31">
        <f>VLOOKUP($A129,kurspris!$A$1:$Q$852,3,FALSE)</f>
        <v>0</v>
      </c>
      <c r="AE129" s="31">
        <f>VLOOKUP($A129,kurspris!$A$1:$Q$852,4,FALSE)</f>
        <v>0</v>
      </c>
      <c r="AF129" s="31">
        <f>VLOOKUP($A129,kurspris!$A$1:$Q$852,5,FALSE)</f>
        <v>0</v>
      </c>
      <c r="AG129" s="31">
        <f>VLOOKUP($A129,kurspris!$A$1:$Q$852,6,FALSE)</f>
        <v>0</v>
      </c>
      <c r="AH129" s="31">
        <f>VLOOKUP($A129,kurspris!$A$1:$Q$852,7,FALSE)</f>
        <v>0</v>
      </c>
      <c r="AI129" s="31">
        <f>VLOOKUP($A129,kurspris!$A$1:$Q$852,8,FALSE)</f>
        <v>0.25</v>
      </c>
      <c r="AJ129" s="31">
        <f>VLOOKUP($A129,kurspris!$A$1:$Q$852,9,FALSE)</f>
        <v>0.75</v>
      </c>
      <c r="AK129" s="31">
        <f>VLOOKUP($A129,kurspris!$A$1:$Q$852,10,FALSE)</f>
        <v>0</v>
      </c>
      <c r="AL129" s="31">
        <f>VLOOKUP($A129,kurspris!$A$1:$Q$852,11,FALSE)</f>
        <v>0</v>
      </c>
      <c r="AM129" s="31">
        <f>VLOOKUP($A129,kurspris!$A$1:$Q$852,12,FALSE)</f>
        <v>0</v>
      </c>
      <c r="AN129" s="31">
        <f>VLOOKUP($A129,kurspris!$A$1:$Q$852,13,FALSE)</f>
        <v>0</v>
      </c>
      <c r="AO129" s="31">
        <f>VLOOKUP($A129,kurspris!$A$1:$Q$852,14,FALSE)</f>
        <v>0</v>
      </c>
      <c r="AP129" s="59" t="s">
        <v>2216</v>
      </c>
      <c r="AR129" s="31">
        <f t="shared" si="31"/>
        <v>0</v>
      </c>
      <c r="AS129" s="237">
        <f t="shared" si="32"/>
        <v>0</v>
      </c>
      <c r="AT129" s="31">
        <f t="shared" si="33"/>
        <v>0</v>
      </c>
      <c r="AU129" s="237">
        <f t="shared" si="34"/>
        <v>0</v>
      </c>
      <c r="AV129" s="31">
        <f t="shared" si="35"/>
        <v>0</v>
      </c>
      <c r="AW129" s="31">
        <f t="shared" si="36"/>
        <v>0</v>
      </c>
      <c r="AX129" s="31">
        <f t="shared" si="37"/>
        <v>0</v>
      </c>
      <c r="AY129" s="237">
        <f t="shared" si="38"/>
        <v>0</v>
      </c>
      <c r="AZ129" s="214">
        <f t="shared" si="39"/>
        <v>0</v>
      </c>
      <c r="BA129" s="237">
        <f t="shared" si="40"/>
        <v>0</v>
      </c>
      <c r="BB129" s="31">
        <f t="shared" si="41"/>
        <v>0.375</v>
      </c>
      <c r="BC129" s="237">
        <f t="shared" si="42"/>
        <v>0.31874999999999998</v>
      </c>
      <c r="BD129" s="31">
        <f t="shared" si="43"/>
        <v>1.125</v>
      </c>
      <c r="BE129" s="237">
        <f t="shared" si="44"/>
        <v>0.95624999999999993</v>
      </c>
      <c r="BF129" s="31">
        <f t="shared" si="45"/>
        <v>0</v>
      </c>
      <c r="BG129" s="237">
        <f t="shared" si="46"/>
        <v>0</v>
      </c>
      <c r="BH129" s="31">
        <f t="shared" si="47"/>
        <v>0</v>
      </c>
      <c r="BI129" s="237">
        <f t="shared" si="48"/>
        <v>0</v>
      </c>
      <c r="BJ129" s="31">
        <f t="shared" si="49"/>
        <v>0</v>
      </c>
      <c r="BK129" s="31">
        <f t="shared" si="50"/>
        <v>0</v>
      </c>
      <c r="BL129" s="237">
        <f t="shared" si="51"/>
        <v>0</v>
      </c>
      <c r="BM129" s="31">
        <f t="shared" si="52"/>
        <v>0</v>
      </c>
      <c r="BN129" s="237">
        <f t="shared" si="53"/>
        <v>0</v>
      </c>
    </row>
    <row r="130" spans="1:66" x14ac:dyDescent="0.25">
      <c r="A130" s="159" t="s">
        <v>1934</v>
      </c>
      <c r="B130" s="182" t="str">
        <f>VLOOKUP(A130,kurspris!$A$1:$B$894,2,FALSE)</f>
        <v>Kartor och GIS</v>
      </c>
      <c r="C130" s="37"/>
      <c r="D130" s="31" t="s">
        <v>483</v>
      </c>
      <c r="F130" s="59">
        <v>2019</v>
      </c>
      <c r="Q130" s="237">
        <v>0.75</v>
      </c>
      <c r="R130" s="40">
        <v>0.85</v>
      </c>
      <c r="S130" s="313">
        <f t="shared" ref="S130:S193" si="54">Q130*R130</f>
        <v>0.63749999999999996</v>
      </c>
      <c r="T130" s="31">
        <f>VLOOKUP(A130,'Ansvar kurs'!$A$1:$C$1027,2,FALSE)</f>
        <v>2500</v>
      </c>
      <c r="U130" s="31" t="str">
        <f>VLOOKUP(T130,Orgenheter!$A$1:$C$165,2,FALSE)</f>
        <v>Geografi</v>
      </c>
      <c r="V130" s="31" t="str">
        <f>VLOOKUP(T130,Orgenheter!$A$1:$C$165,3,FALSE)</f>
        <v>Sam</v>
      </c>
      <c r="W130" s="37" t="str">
        <f>VLOOKUP(D130,Program!$A$1:$B$34,2,FALSE)</f>
        <v>Ämneslärarprogrammet - Gy</v>
      </c>
      <c r="X130" s="42">
        <f>VLOOKUP(A130,kurspris!$A$1:$Q$815,15,FALSE)</f>
        <v>18939</v>
      </c>
      <c r="Y130" s="42">
        <f>VLOOKUP(A130,kurspris!$A$1:$Q$815,16,FALSE)</f>
        <v>25289.5</v>
      </c>
      <c r="Z130" s="42">
        <f t="shared" ref="Z130:Z193" si="55">X130*Q130+S130*Y130</f>
        <v>30326.306250000001</v>
      </c>
      <c r="AA130" s="42">
        <f>VLOOKUP(A130,kurspris!$A$1:$Q$815,17,FALSE)</f>
        <v>13800</v>
      </c>
      <c r="AB130" s="42">
        <f t="shared" ref="AB130:AB193" si="56">AA130*Q130</f>
        <v>10350</v>
      </c>
      <c r="AC130" s="42">
        <f t="shared" ref="AC130:AC193" si="57">Z130+AB130</f>
        <v>40676.306250000001</v>
      </c>
      <c r="AD130" s="31">
        <f>VLOOKUP($A130,kurspris!$A$1:$Q$852,3,FALSE)</f>
        <v>0</v>
      </c>
      <c r="AE130" s="31">
        <f>VLOOKUP($A130,kurspris!$A$1:$Q$852,4,FALSE)</f>
        <v>0</v>
      </c>
      <c r="AF130" s="31">
        <f>VLOOKUP($A130,kurspris!$A$1:$Q$852,5,FALSE)</f>
        <v>0</v>
      </c>
      <c r="AG130" s="31">
        <f>VLOOKUP($A130,kurspris!$A$1:$Q$852,6,FALSE)</f>
        <v>0</v>
      </c>
      <c r="AH130" s="31">
        <f>VLOOKUP($A130,kurspris!$A$1:$Q$852,7,FALSE)</f>
        <v>0</v>
      </c>
      <c r="AI130" s="31">
        <f>VLOOKUP($A130,kurspris!$A$1:$Q$852,8,FALSE)</f>
        <v>0.5</v>
      </c>
      <c r="AJ130" s="31">
        <f>VLOOKUP($A130,kurspris!$A$1:$Q$852,9,FALSE)</f>
        <v>0.5</v>
      </c>
      <c r="AK130" s="31">
        <f>VLOOKUP($A130,kurspris!$A$1:$Q$852,10,FALSE)</f>
        <v>0</v>
      </c>
      <c r="AL130" s="31">
        <f>VLOOKUP($A130,kurspris!$A$1:$Q$852,11,FALSE)</f>
        <v>0</v>
      </c>
      <c r="AM130" s="31">
        <f>VLOOKUP($A130,kurspris!$A$1:$Q$852,12,FALSE)</f>
        <v>0</v>
      </c>
      <c r="AN130" s="31">
        <f>VLOOKUP($A130,kurspris!$A$1:$Q$852,13,FALSE)</f>
        <v>0</v>
      </c>
      <c r="AO130" s="31">
        <f>VLOOKUP($A130,kurspris!$A$1:$Q$852,14,FALSE)</f>
        <v>0</v>
      </c>
      <c r="AP130" s="59" t="s">
        <v>2216</v>
      </c>
      <c r="AR130" s="31">
        <f t="shared" ref="AR130:AR193" si="58">$Q130*AD130</f>
        <v>0</v>
      </c>
      <c r="AS130" s="237">
        <f t="shared" ref="AS130:AS193" si="59">$S130*AD130</f>
        <v>0</v>
      </c>
      <c r="AT130" s="31">
        <f t="shared" ref="AT130:AT193" si="60">$Q130*AE130</f>
        <v>0</v>
      </c>
      <c r="AU130" s="237">
        <f t="shared" ref="AU130:AU193" si="61">$S130*AE130</f>
        <v>0</v>
      </c>
      <c r="AV130" s="31">
        <f t="shared" ref="AV130:AV193" si="62">$Q130*AF130</f>
        <v>0</v>
      </c>
      <c r="AW130" s="31">
        <f t="shared" ref="AW130:AW193" si="63">$S130*AF130</f>
        <v>0</v>
      </c>
      <c r="AX130" s="31">
        <f t="shared" ref="AX130:AX193" si="64">$Q130*AG130</f>
        <v>0</v>
      </c>
      <c r="AY130" s="237">
        <f t="shared" ref="AY130:AY193" si="65">$S130*AG130</f>
        <v>0</v>
      </c>
      <c r="AZ130" s="214">
        <f t="shared" ref="AZ130:AZ193" si="66">$Q130*AH130</f>
        <v>0</v>
      </c>
      <c r="BA130" s="237">
        <f t="shared" ref="BA130:BA193" si="67">$S130*AH130</f>
        <v>0</v>
      </c>
      <c r="BB130" s="31">
        <f t="shared" ref="BB130:BB193" si="68">$Q130*AI130</f>
        <v>0.375</v>
      </c>
      <c r="BC130" s="237">
        <f t="shared" ref="BC130:BC193" si="69">$S130*AI130</f>
        <v>0.31874999999999998</v>
      </c>
      <c r="BD130" s="31">
        <f t="shared" ref="BD130:BD193" si="70">$Q130*AJ130</f>
        <v>0.375</v>
      </c>
      <c r="BE130" s="237">
        <f t="shared" ref="BE130:BE193" si="71">$S130*AJ130</f>
        <v>0.31874999999999998</v>
      </c>
      <c r="BF130" s="31">
        <f t="shared" ref="BF130:BF193" si="72">$Q130*AK130</f>
        <v>0</v>
      </c>
      <c r="BG130" s="237">
        <f t="shared" ref="BG130:BG193" si="73">$S130*AK130</f>
        <v>0</v>
      </c>
      <c r="BH130" s="31">
        <f t="shared" ref="BH130:BH193" si="74">$Q130*AL130</f>
        <v>0</v>
      </c>
      <c r="BI130" s="237">
        <f t="shared" ref="BI130:BI193" si="75">$S130*AL130</f>
        <v>0</v>
      </c>
      <c r="BJ130" s="31">
        <f t="shared" ref="BJ130:BJ193" si="76">$Q130*AM130</f>
        <v>0</v>
      </c>
      <c r="BK130" s="31">
        <f t="shared" ref="BK130:BK193" si="77">$Q130*AN130</f>
        <v>0</v>
      </c>
      <c r="BL130" s="237">
        <f t="shared" ref="BL130:BL193" si="78">$S130*AN130</f>
        <v>0</v>
      </c>
      <c r="BM130" s="31">
        <f t="shared" ref="BM130:BM193" si="79">$Q130*AO130</f>
        <v>0</v>
      </c>
      <c r="BN130" s="237">
        <f t="shared" ref="BN130:BN193" si="80">$S130*AO130</f>
        <v>0</v>
      </c>
    </row>
    <row r="131" spans="1:66" x14ac:dyDescent="0.25">
      <c r="A131" s="159" t="s">
        <v>1937</v>
      </c>
      <c r="B131" s="182" t="str">
        <f>VLOOKUP(A131,kurspris!$A$1:$B$894,2,FALSE)</f>
        <v>Geografididaktik 1</v>
      </c>
      <c r="C131" s="37"/>
      <c r="D131" s="31" t="s">
        <v>483</v>
      </c>
      <c r="F131" s="59">
        <v>2019</v>
      </c>
      <c r="Q131" s="237">
        <v>0.75</v>
      </c>
      <c r="R131" s="40">
        <v>0.85</v>
      </c>
      <c r="S131" s="313">
        <f t="shared" si="54"/>
        <v>0.63749999999999996</v>
      </c>
      <c r="T131" s="31">
        <f>VLOOKUP(A131,'Ansvar kurs'!$A$1:$C$1027,2,FALSE)</f>
        <v>2500</v>
      </c>
      <c r="U131" s="31" t="str">
        <f>VLOOKUP(T131,Orgenheter!$A$1:$C$165,2,FALSE)</f>
        <v>Geografi</v>
      </c>
      <c r="V131" s="31" t="str">
        <f>VLOOKUP(T131,Orgenheter!$A$1:$C$165,3,FALSE)</f>
        <v>Sam</v>
      </c>
      <c r="W131" s="37" t="str">
        <f>VLOOKUP(D131,Program!$A$1:$B$34,2,FALSE)</f>
        <v>Ämneslärarprogrammet - Gy</v>
      </c>
      <c r="X131" s="42">
        <f>VLOOKUP(A131,kurspris!$A$1:$Q$815,15,FALSE)</f>
        <v>18405</v>
      </c>
      <c r="Y131" s="42">
        <f>VLOOKUP(A131,kurspris!$A$1:$Q$815,16,FALSE)</f>
        <v>15773</v>
      </c>
      <c r="Z131" s="42">
        <f t="shared" si="55"/>
        <v>23859.037499999999</v>
      </c>
      <c r="AA131" s="42">
        <f>VLOOKUP(A131,kurspris!$A$1:$Q$815,17,FALSE)</f>
        <v>5800</v>
      </c>
      <c r="AB131" s="42">
        <f t="shared" si="56"/>
        <v>4350</v>
      </c>
      <c r="AC131" s="42">
        <f t="shared" si="57"/>
        <v>28209.037499999999</v>
      </c>
      <c r="AD131" s="31">
        <f>VLOOKUP($A131,kurspris!$A$1:$Q$852,3,FALSE)</f>
        <v>0</v>
      </c>
      <c r="AE131" s="31">
        <f>VLOOKUP($A131,kurspris!$A$1:$Q$852,4,FALSE)</f>
        <v>0</v>
      </c>
      <c r="AF131" s="31">
        <f>VLOOKUP($A131,kurspris!$A$1:$Q$852,5,FALSE)</f>
        <v>0</v>
      </c>
      <c r="AG131" s="31">
        <f>VLOOKUP($A131,kurspris!$A$1:$Q$852,6,FALSE)</f>
        <v>0</v>
      </c>
      <c r="AH131" s="31">
        <f>VLOOKUP($A131,kurspris!$A$1:$Q$852,7,FALSE)</f>
        <v>0</v>
      </c>
      <c r="AI131" s="31">
        <f>VLOOKUP($A131,kurspris!$A$1:$Q$852,8,FALSE)</f>
        <v>0</v>
      </c>
      <c r="AJ131" s="31">
        <f>VLOOKUP($A131,kurspris!$A$1:$Q$852,9,FALSE)</f>
        <v>1</v>
      </c>
      <c r="AK131" s="31">
        <f>VLOOKUP($A131,kurspris!$A$1:$Q$852,10,FALSE)</f>
        <v>0</v>
      </c>
      <c r="AL131" s="31">
        <f>VLOOKUP($A131,kurspris!$A$1:$Q$852,11,FALSE)</f>
        <v>0</v>
      </c>
      <c r="AM131" s="31">
        <f>VLOOKUP($A131,kurspris!$A$1:$Q$852,12,FALSE)</f>
        <v>0</v>
      </c>
      <c r="AN131" s="31">
        <f>VLOOKUP($A131,kurspris!$A$1:$Q$852,13,FALSE)</f>
        <v>0</v>
      </c>
      <c r="AO131" s="31">
        <f>VLOOKUP($A131,kurspris!$A$1:$Q$852,14,FALSE)</f>
        <v>0</v>
      </c>
      <c r="AP131" s="59" t="s">
        <v>2216</v>
      </c>
      <c r="AR131" s="31">
        <f t="shared" si="58"/>
        <v>0</v>
      </c>
      <c r="AS131" s="237">
        <f t="shared" si="59"/>
        <v>0</v>
      </c>
      <c r="AT131" s="31">
        <f t="shared" si="60"/>
        <v>0</v>
      </c>
      <c r="AU131" s="237">
        <f t="shared" si="61"/>
        <v>0</v>
      </c>
      <c r="AV131" s="31">
        <f t="shared" si="62"/>
        <v>0</v>
      </c>
      <c r="AW131" s="31">
        <f t="shared" si="63"/>
        <v>0</v>
      </c>
      <c r="AX131" s="31">
        <f t="shared" si="64"/>
        <v>0</v>
      </c>
      <c r="AY131" s="237">
        <f t="shared" si="65"/>
        <v>0</v>
      </c>
      <c r="AZ131" s="214">
        <f t="shared" si="66"/>
        <v>0</v>
      </c>
      <c r="BA131" s="237">
        <f t="shared" si="67"/>
        <v>0</v>
      </c>
      <c r="BB131" s="31">
        <f t="shared" si="68"/>
        <v>0</v>
      </c>
      <c r="BC131" s="237">
        <f t="shared" si="69"/>
        <v>0</v>
      </c>
      <c r="BD131" s="31">
        <f t="shared" si="70"/>
        <v>0.75</v>
      </c>
      <c r="BE131" s="237">
        <f t="shared" si="71"/>
        <v>0.63749999999999996</v>
      </c>
      <c r="BF131" s="31">
        <f t="shared" si="72"/>
        <v>0</v>
      </c>
      <c r="BG131" s="237">
        <f t="shared" si="73"/>
        <v>0</v>
      </c>
      <c r="BH131" s="31">
        <f t="shared" si="74"/>
        <v>0</v>
      </c>
      <c r="BI131" s="237">
        <f t="shared" si="75"/>
        <v>0</v>
      </c>
      <c r="BJ131" s="31">
        <f t="shared" si="76"/>
        <v>0</v>
      </c>
      <c r="BK131" s="31">
        <f t="shared" si="77"/>
        <v>0</v>
      </c>
      <c r="BL131" s="237">
        <f t="shared" si="78"/>
        <v>0</v>
      </c>
      <c r="BM131" s="31">
        <f t="shared" si="79"/>
        <v>0</v>
      </c>
      <c r="BN131" s="237">
        <f t="shared" si="80"/>
        <v>0</v>
      </c>
    </row>
    <row r="132" spans="1:66" x14ac:dyDescent="0.25">
      <c r="A132" s="159" t="s">
        <v>2059</v>
      </c>
      <c r="B132" s="182" t="str">
        <f>VLOOKUP(A132,kurspris!$A$1:$B$894,2,FALSE)</f>
        <v>Geografididaktik 2</v>
      </c>
      <c r="C132" s="37"/>
      <c r="D132" s="31" t="s">
        <v>483</v>
      </c>
      <c r="F132" s="59">
        <v>2019</v>
      </c>
      <c r="Q132" s="237">
        <v>0.625</v>
      </c>
      <c r="R132" s="40">
        <v>0.85</v>
      </c>
      <c r="S132" s="313">
        <f t="shared" si="54"/>
        <v>0.53125</v>
      </c>
      <c r="T132" s="31">
        <f>VLOOKUP(A132,'Ansvar kurs'!$A$1:$C$1027,2,FALSE)</f>
        <v>2500</v>
      </c>
      <c r="U132" s="31" t="str">
        <f>VLOOKUP(T132,Orgenheter!$A$1:$C$165,2,FALSE)</f>
        <v>Geografi</v>
      </c>
      <c r="V132" s="31" t="str">
        <f>VLOOKUP(T132,Orgenheter!$A$1:$C$165,3,FALSE)</f>
        <v>Sam</v>
      </c>
      <c r="W132" s="37" t="str">
        <f>VLOOKUP(D132,Program!$A$1:$B$34,2,FALSE)</f>
        <v>Ämneslärarprogrammet - Gy</v>
      </c>
      <c r="X132" s="42">
        <f>VLOOKUP(A132,kurspris!$A$1:$Q$815,15,FALSE)</f>
        <v>18405</v>
      </c>
      <c r="Y132" s="42">
        <f>VLOOKUP(A132,kurspris!$A$1:$Q$815,16,FALSE)</f>
        <v>15773</v>
      </c>
      <c r="Z132" s="42">
        <f t="shared" si="55"/>
        <v>19882.53125</v>
      </c>
      <c r="AA132" s="42">
        <f>VLOOKUP(A132,kurspris!$A$1:$Q$815,17,FALSE)</f>
        <v>5800</v>
      </c>
      <c r="AB132" s="42">
        <f t="shared" si="56"/>
        <v>3625</v>
      </c>
      <c r="AC132" s="42">
        <f t="shared" si="57"/>
        <v>23507.53125</v>
      </c>
      <c r="AD132" s="31">
        <f>VLOOKUP($A132,kurspris!$A$1:$Q$852,3,FALSE)</f>
        <v>0</v>
      </c>
      <c r="AE132" s="31">
        <f>VLOOKUP($A132,kurspris!$A$1:$Q$852,4,FALSE)</f>
        <v>0</v>
      </c>
      <c r="AF132" s="31">
        <f>VLOOKUP($A132,kurspris!$A$1:$Q$852,5,FALSE)</f>
        <v>0</v>
      </c>
      <c r="AG132" s="31">
        <f>VLOOKUP($A132,kurspris!$A$1:$Q$852,6,FALSE)</f>
        <v>0</v>
      </c>
      <c r="AH132" s="31">
        <f>VLOOKUP($A132,kurspris!$A$1:$Q$852,7,FALSE)</f>
        <v>0</v>
      </c>
      <c r="AI132" s="31">
        <f>VLOOKUP($A132,kurspris!$A$1:$Q$852,8,FALSE)</f>
        <v>0</v>
      </c>
      <c r="AJ132" s="31">
        <f>VLOOKUP($A132,kurspris!$A$1:$Q$852,9,FALSE)</f>
        <v>1</v>
      </c>
      <c r="AK132" s="31">
        <f>VLOOKUP($A132,kurspris!$A$1:$Q$852,10,FALSE)</f>
        <v>0</v>
      </c>
      <c r="AL132" s="31">
        <f>VLOOKUP($A132,kurspris!$A$1:$Q$852,11,FALSE)</f>
        <v>0</v>
      </c>
      <c r="AM132" s="31">
        <f>VLOOKUP($A132,kurspris!$A$1:$Q$852,12,FALSE)</f>
        <v>0</v>
      </c>
      <c r="AN132" s="31">
        <f>VLOOKUP($A132,kurspris!$A$1:$Q$852,13,FALSE)</f>
        <v>0</v>
      </c>
      <c r="AO132" s="31">
        <f>VLOOKUP($A132,kurspris!$A$1:$Q$852,14,FALSE)</f>
        <v>0</v>
      </c>
      <c r="AP132" s="59" t="s">
        <v>2216</v>
      </c>
      <c r="AR132" s="31">
        <f t="shared" si="58"/>
        <v>0</v>
      </c>
      <c r="AS132" s="237">
        <f t="shared" si="59"/>
        <v>0</v>
      </c>
      <c r="AT132" s="31">
        <f t="shared" si="60"/>
        <v>0</v>
      </c>
      <c r="AU132" s="237">
        <f t="shared" si="61"/>
        <v>0</v>
      </c>
      <c r="AV132" s="31">
        <f t="shared" si="62"/>
        <v>0</v>
      </c>
      <c r="AW132" s="31">
        <f t="shared" si="63"/>
        <v>0</v>
      </c>
      <c r="AX132" s="31">
        <f t="shared" si="64"/>
        <v>0</v>
      </c>
      <c r="AY132" s="237">
        <f t="shared" si="65"/>
        <v>0</v>
      </c>
      <c r="AZ132" s="214">
        <f t="shared" si="66"/>
        <v>0</v>
      </c>
      <c r="BA132" s="237">
        <f t="shared" si="67"/>
        <v>0</v>
      </c>
      <c r="BB132" s="31">
        <f t="shared" si="68"/>
        <v>0</v>
      </c>
      <c r="BC132" s="237">
        <f t="shared" si="69"/>
        <v>0</v>
      </c>
      <c r="BD132" s="31">
        <f t="shared" si="70"/>
        <v>0.625</v>
      </c>
      <c r="BE132" s="237">
        <f t="shared" si="71"/>
        <v>0.53125</v>
      </c>
      <c r="BF132" s="31">
        <f t="shared" si="72"/>
        <v>0</v>
      </c>
      <c r="BG132" s="237">
        <f t="shared" si="73"/>
        <v>0</v>
      </c>
      <c r="BH132" s="31">
        <f t="shared" si="74"/>
        <v>0</v>
      </c>
      <c r="BI132" s="237">
        <f t="shared" si="75"/>
        <v>0</v>
      </c>
      <c r="BJ132" s="31">
        <f t="shared" si="76"/>
        <v>0</v>
      </c>
      <c r="BK132" s="31">
        <f t="shared" si="77"/>
        <v>0</v>
      </c>
      <c r="BL132" s="237">
        <f t="shared" si="78"/>
        <v>0</v>
      </c>
      <c r="BM132" s="31">
        <f t="shared" si="79"/>
        <v>0</v>
      </c>
      <c r="BN132" s="237">
        <f t="shared" si="80"/>
        <v>0</v>
      </c>
    </row>
    <row r="133" spans="1:66" x14ac:dyDescent="0.25">
      <c r="A133" s="159" t="s">
        <v>1311</v>
      </c>
      <c r="B133" s="182" t="str">
        <f>VLOOKUP(A133,kurspris!$A$1:$B$894,2,FALSE)</f>
        <v>Hem- och konsumentkunskap C - fördjupning</v>
      </c>
      <c r="C133" s="37"/>
      <c r="D133" s="31" t="s">
        <v>117</v>
      </c>
      <c r="F133" s="59">
        <v>2019</v>
      </c>
      <c r="Q133" s="237">
        <v>5.5</v>
      </c>
      <c r="R133" s="40">
        <v>0.8</v>
      </c>
      <c r="S133" s="313">
        <f t="shared" si="54"/>
        <v>4.4000000000000004</v>
      </c>
      <c r="T133" s="31">
        <f>VLOOKUP(A133,'Ansvar kurs'!$A$1:$C$1027,2,FALSE)</f>
        <v>2750</v>
      </c>
      <c r="U133" s="31" t="str">
        <f>VLOOKUP(T133,Orgenheter!$A$1:$C$165,2,FALSE)</f>
        <v xml:space="preserve">Kostvetenskap                 </v>
      </c>
      <c r="V133" s="31" t="str">
        <f>VLOOKUP(T133,Orgenheter!$A$1:$C$165,3,FALSE)</f>
        <v>Sam</v>
      </c>
      <c r="W133" s="37" t="str">
        <f>VLOOKUP(D133,Program!$A$1:$B$34,2,FALSE)</f>
        <v>Fristående och övriga kurser</v>
      </c>
      <c r="X133" s="42">
        <f>VLOOKUP(A133,kurspris!$A$1:$Q$815,15,FALSE)</f>
        <v>18405</v>
      </c>
      <c r="Y133" s="42">
        <f>VLOOKUP(A133,kurspris!$A$1:$Q$815,16,FALSE)</f>
        <v>15773</v>
      </c>
      <c r="Z133" s="42">
        <f t="shared" si="55"/>
        <v>170628.7</v>
      </c>
      <c r="AA133" s="42">
        <f>VLOOKUP(A133,kurspris!$A$1:$Q$815,17,FALSE)</f>
        <v>5800</v>
      </c>
      <c r="AB133" s="42">
        <f t="shared" si="56"/>
        <v>31900</v>
      </c>
      <c r="AC133" s="42">
        <f t="shared" si="57"/>
        <v>202528.7</v>
      </c>
      <c r="AD133" s="31">
        <f>VLOOKUP($A133,kurspris!$A$1:$Q$852,3,FALSE)</f>
        <v>0</v>
      </c>
      <c r="AE133" s="31">
        <f>VLOOKUP($A133,kurspris!$A$1:$Q$852,4,FALSE)</f>
        <v>0</v>
      </c>
      <c r="AF133" s="31">
        <f>VLOOKUP($A133,kurspris!$A$1:$Q$852,5,FALSE)</f>
        <v>0</v>
      </c>
      <c r="AG133" s="31">
        <f>VLOOKUP($A133,kurspris!$A$1:$Q$852,6,FALSE)</f>
        <v>0</v>
      </c>
      <c r="AH133" s="31">
        <f>VLOOKUP($A133,kurspris!$A$1:$Q$852,7,FALSE)</f>
        <v>0</v>
      </c>
      <c r="AI133" s="31">
        <f>VLOOKUP($A133,kurspris!$A$1:$Q$852,8,FALSE)</f>
        <v>0</v>
      </c>
      <c r="AJ133" s="31">
        <f>VLOOKUP($A133,kurspris!$A$1:$Q$852,9,FALSE)</f>
        <v>1</v>
      </c>
      <c r="AK133" s="31">
        <f>VLOOKUP($A133,kurspris!$A$1:$Q$852,10,FALSE)</f>
        <v>0</v>
      </c>
      <c r="AL133" s="31">
        <f>VLOOKUP($A133,kurspris!$A$1:$Q$852,11,FALSE)</f>
        <v>0</v>
      </c>
      <c r="AM133" s="31">
        <f>VLOOKUP($A133,kurspris!$A$1:$Q$852,12,FALSE)</f>
        <v>0</v>
      </c>
      <c r="AN133" s="31">
        <f>VLOOKUP($A133,kurspris!$A$1:$Q$852,13,FALSE)</f>
        <v>0</v>
      </c>
      <c r="AO133" s="31">
        <f>VLOOKUP($A133,kurspris!$A$1:$Q$852,14,FALSE)</f>
        <v>0</v>
      </c>
      <c r="AP133" s="59" t="s">
        <v>2216</v>
      </c>
      <c r="AR133" s="31">
        <f t="shared" si="58"/>
        <v>0</v>
      </c>
      <c r="AS133" s="237">
        <f t="shared" si="59"/>
        <v>0</v>
      </c>
      <c r="AT133" s="31">
        <f t="shared" si="60"/>
        <v>0</v>
      </c>
      <c r="AU133" s="237">
        <f t="shared" si="61"/>
        <v>0</v>
      </c>
      <c r="AV133" s="31">
        <f t="shared" si="62"/>
        <v>0</v>
      </c>
      <c r="AW133" s="31">
        <f t="shared" si="63"/>
        <v>0</v>
      </c>
      <c r="AX133" s="31">
        <f t="shared" si="64"/>
        <v>0</v>
      </c>
      <c r="AY133" s="237">
        <f t="shared" si="65"/>
        <v>0</v>
      </c>
      <c r="AZ133" s="214">
        <f t="shared" si="66"/>
        <v>0</v>
      </c>
      <c r="BA133" s="237">
        <f t="shared" si="67"/>
        <v>0</v>
      </c>
      <c r="BB133" s="31">
        <f t="shared" si="68"/>
        <v>0</v>
      </c>
      <c r="BC133" s="237">
        <f t="shared" si="69"/>
        <v>0</v>
      </c>
      <c r="BD133" s="31">
        <f t="shared" si="70"/>
        <v>5.5</v>
      </c>
      <c r="BE133" s="237">
        <f t="shared" si="71"/>
        <v>4.4000000000000004</v>
      </c>
      <c r="BF133" s="31">
        <f t="shared" si="72"/>
        <v>0</v>
      </c>
      <c r="BG133" s="237">
        <f t="shared" si="73"/>
        <v>0</v>
      </c>
      <c r="BH133" s="31">
        <f t="shared" si="74"/>
        <v>0</v>
      </c>
      <c r="BI133" s="237">
        <f t="shared" si="75"/>
        <v>0</v>
      </c>
      <c r="BJ133" s="31">
        <f t="shared" si="76"/>
        <v>0</v>
      </c>
      <c r="BK133" s="31">
        <f t="shared" si="77"/>
        <v>0</v>
      </c>
      <c r="BL133" s="237">
        <f t="shared" si="78"/>
        <v>0</v>
      </c>
      <c r="BM133" s="31">
        <f t="shared" si="79"/>
        <v>0</v>
      </c>
      <c r="BN133" s="237">
        <f t="shared" si="80"/>
        <v>0</v>
      </c>
    </row>
    <row r="134" spans="1:66" x14ac:dyDescent="0.25">
      <c r="A134" s="31" t="s">
        <v>1443</v>
      </c>
      <c r="B134" s="182" t="str">
        <f>VLOOKUP(A134,kurspris!$A$1:$B$894,2,FALSE)</f>
        <v>Examensarbete i kostvetenskap för ämneslärarexamen med inriktning hem- och konsumentkunskap</v>
      </c>
      <c r="D134" s="31" t="s">
        <v>482</v>
      </c>
      <c r="F134" s="59">
        <v>2019</v>
      </c>
      <c r="Q134" s="237">
        <v>0.375</v>
      </c>
      <c r="R134" s="40">
        <v>0.85</v>
      </c>
      <c r="S134" s="313">
        <f t="shared" si="54"/>
        <v>0.31874999999999998</v>
      </c>
      <c r="T134" s="31">
        <f>VLOOKUP(A134,'Ansvar kurs'!$A$1:$C$1027,2,FALSE)</f>
        <v>2750</v>
      </c>
      <c r="U134" s="31" t="str">
        <f>VLOOKUP(T134,Orgenheter!$A$1:$C$165,2,FALSE)</f>
        <v xml:space="preserve">Kostvetenskap                 </v>
      </c>
      <c r="V134" s="31" t="str">
        <f>VLOOKUP(T134,Orgenheter!$A$1:$C$165,3,FALSE)</f>
        <v>Sam</v>
      </c>
      <c r="W134" s="37" t="str">
        <f>VLOOKUP(D134,Program!$A$1:$B$34,2,FALSE)</f>
        <v>Ämneslärarprogrammet - åk 7-9</v>
      </c>
      <c r="X134" s="42">
        <f>VLOOKUP(A134,kurspris!$A$1:$Q$815,15,FALSE)</f>
        <v>18405</v>
      </c>
      <c r="Y134" s="42">
        <f>VLOOKUP(A134,kurspris!$A$1:$Q$815,16,FALSE)</f>
        <v>15773</v>
      </c>
      <c r="Z134" s="42">
        <f t="shared" si="55"/>
        <v>11929.518749999999</v>
      </c>
      <c r="AA134" s="42">
        <f>VLOOKUP(A134,kurspris!$A$1:$Q$815,17,FALSE)</f>
        <v>5800</v>
      </c>
      <c r="AB134" s="42">
        <f t="shared" si="56"/>
        <v>2175</v>
      </c>
      <c r="AC134" s="42">
        <f t="shared" si="57"/>
        <v>14104.518749999999</v>
      </c>
      <c r="AD134" s="31">
        <f>VLOOKUP($A134,kurspris!$A$1:$Q$852,3,FALSE)</f>
        <v>0</v>
      </c>
      <c r="AE134" s="31">
        <f>VLOOKUP($A134,kurspris!$A$1:$Q$852,4,FALSE)</f>
        <v>0</v>
      </c>
      <c r="AF134" s="31">
        <f>VLOOKUP($A134,kurspris!$A$1:$Q$852,5,FALSE)</f>
        <v>0</v>
      </c>
      <c r="AG134" s="31">
        <f>VLOOKUP($A134,kurspris!$A$1:$Q$852,6,FALSE)</f>
        <v>0</v>
      </c>
      <c r="AH134" s="31">
        <f>VLOOKUP($A134,kurspris!$A$1:$Q$852,7,FALSE)</f>
        <v>0</v>
      </c>
      <c r="AI134" s="31">
        <f>VLOOKUP($A134,kurspris!$A$1:$Q$852,8,FALSE)</f>
        <v>0</v>
      </c>
      <c r="AJ134" s="31">
        <f>VLOOKUP($A134,kurspris!$A$1:$Q$852,9,FALSE)</f>
        <v>1</v>
      </c>
      <c r="AK134" s="31">
        <f>VLOOKUP($A134,kurspris!$A$1:$Q$852,10,FALSE)</f>
        <v>0</v>
      </c>
      <c r="AL134" s="31">
        <f>VLOOKUP($A134,kurspris!$A$1:$Q$852,11,FALSE)</f>
        <v>0</v>
      </c>
      <c r="AM134" s="31">
        <f>VLOOKUP($A134,kurspris!$A$1:$Q$852,12,FALSE)</f>
        <v>0</v>
      </c>
      <c r="AN134" s="31">
        <f>VLOOKUP($A134,kurspris!$A$1:$Q$852,13,FALSE)</f>
        <v>0</v>
      </c>
      <c r="AO134" s="31">
        <f>VLOOKUP($A134,kurspris!$A$1:$Q$852,14,FALSE)</f>
        <v>0</v>
      </c>
      <c r="AP134" s="59" t="s">
        <v>2216</v>
      </c>
      <c r="AR134" s="31">
        <f t="shared" si="58"/>
        <v>0</v>
      </c>
      <c r="AS134" s="237">
        <f t="shared" si="59"/>
        <v>0</v>
      </c>
      <c r="AT134" s="31">
        <f t="shared" si="60"/>
        <v>0</v>
      </c>
      <c r="AU134" s="237">
        <f t="shared" si="61"/>
        <v>0</v>
      </c>
      <c r="AV134" s="31">
        <f t="shared" si="62"/>
        <v>0</v>
      </c>
      <c r="AW134" s="31">
        <f t="shared" si="63"/>
        <v>0</v>
      </c>
      <c r="AX134" s="31">
        <f t="shared" si="64"/>
        <v>0</v>
      </c>
      <c r="AY134" s="237">
        <f t="shared" si="65"/>
        <v>0</v>
      </c>
      <c r="AZ134" s="214">
        <f t="shared" si="66"/>
        <v>0</v>
      </c>
      <c r="BA134" s="237">
        <f t="shared" si="67"/>
        <v>0</v>
      </c>
      <c r="BB134" s="31">
        <f t="shared" si="68"/>
        <v>0</v>
      </c>
      <c r="BC134" s="237">
        <f t="shared" si="69"/>
        <v>0</v>
      </c>
      <c r="BD134" s="31">
        <f t="shared" si="70"/>
        <v>0.375</v>
      </c>
      <c r="BE134" s="237">
        <f t="shared" si="71"/>
        <v>0.31874999999999998</v>
      </c>
      <c r="BF134" s="31">
        <f t="shared" si="72"/>
        <v>0</v>
      </c>
      <c r="BG134" s="237">
        <f t="shared" si="73"/>
        <v>0</v>
      </c>
      <c r="BH134" s="31">
        <f t="shared" si="74"/>
        <v>0</v>
      </c>
      <c r="BI134" s="237">
        <f t="shared" si="75"/>
        <v>0</v>
      </c>
      <c r="BJ134" s="31">
        <f t="shared" si="76"/>
        <v>0</v>
      </c>
      <c r="BK134" s="31">
        <f t="shared" si="77"/>
        <v>0</v>
      </c>
      <c r="BL134" s="237">
        <f t="shared" si="78"/>
        <v>0</v>
      </c>
      <c r="BM134" s="31">
        <f t="shared" si="79"/>
        <v>0</v>
      </c>
      <c r="BN134" s="237">
        <f t="shared" si="80"/>
        <v>0</v>
      </c>
    </row>
    <row r="135" spans="1:66" x14ac:dyDescent="0.25">
      <c r="A135" s="31" t="s">
        <v>2084</v>
      </c>
      <c r="B135" s="182" t="str">
        <f>VLOOKUP(A135,kurspris!$A$1:$B$894,2,FALSE)</f>
        <v>Hem- och konsumentkunskap, distans A</v>
      </c>
      <c r="D135" s="31" t="s">
        <v>117</v>
      </c>
      <c r="F135" s="59">
        <v>2019</v>
      </c>
      <c r="Q135" s="237">
        <v>17.5</v>
      </c>
      <c r="R135" s="40">
        <v>0.8</v>
      </c>
      <c r="S135" s="313">
        <f t="shared" si="54"/>
        <v>14</v>
      </c>
      <c r="T135" s="31">
        <f>VLOOKUP(A135,'Ansvar kurs'!$A$1:$C$1027,2,FALSE)</f>
        <v>2750</v>
      </c>
      <c r="U135" s="31" t="str">
        <f>VLOOKUP(T135,Orgenheter!$A$1:$C$165,2,FALSE)</f>
        <v xml:space="preserve">Kostvetenskap                 </v>
      </c>
      <c r="V135" s="31" t="str">
        <f>VLOOKUP(T135,Orgenheter!$A$1:$C$165,3,FALSE)</f>
        <v>Sam</v>
      </c>
      <c r="W135" s="37" t="str">
        <f>VLOOKUP(D135,Program!$A$1:$B$34,2,FALSE)</f>
        <v>Fristående och övriga kurser</v>
      </c>
      <c r="X135" s="42">
        <f>VLOOKUP(A135,kurspris!$A$1:$Q$815,15,FALSE)</f>
        <v>19473</v>
      </c>
      <c r="Y135" s="42">
        <f>VLOOKUP(A135,kurspris!$A$1:$Q$815,16,FALSE)</f>
        <v>34806</v>
      </c>
      <c r="Z135" s="42">
        <f t="shared" si="55"/>
        <v>828061.5</v>
      </c>
      <c r="AA135" s="42">
        <f>VLOOKUP(A135,kurspris!$A$1:$Q$815,17,FALSE)</f>
        <v>21800</v>
      </c>
      <c r="AB135" s="42">
        <f t="shared" si="56"/>
        <v>381500</v>
      </c>
      <c r="AC135" s="42">
        <f t="shared" si="57"/>
        <v>1209561.5</v>
      </c>
      <c r="AD135" s="31">
        <f>VLOOKUP($A135,kurspris!$A$1:$Q$852,3,FALSE)</f>
        <v>0</v>
      </c>
      <c r="AE135" s="31">
        <f>VLOOKUP($A135,kurspris!$A$1:$Q$852,4,FALSE)</f>
        <v>0</v>
      </c>
      <c r="AF135" s="31">
        <f>VLOOKUP($A135,kurspris!$A$1:$Q$852,5,FALSE)</f>
        <v>0</v>
      </c>
      <c r="AG135" s="31">
        <f>VLOOKUP($A135,kurspris!$A$1:$Q$852,6,FALSE)</f>
        <v>0</v>
      </c>
      <c r="AH135" s="31">
        <f>VLOOKUP($A135,kurspris!$A$1:$Q$852,7,FALSE)</f>
        <v>0</v>
      </c>
      <c r="AI135" s="31">
        <f>VLOOKUP($A135,kurspris!$A$1:$Q$852,8,FALSE)</f>
        <v>1</v>
      </c>
      <c r="AJ135" s="31">
        <f>VLOOKUP($A135,kurspris!$A$1:$Q$852,9,FALSE)</f>
        <v>0</v>
      </c>
      <c r="AK135" s="31">
        <f>VLOOKUP($A135,kurspris!$A$1:$Q$852,10,FALSE)</f>
        <v>0</v>
      </c>
      <c r="AL135" s="31">
        <f>VLOOKUP($A135,kurspris!$A$1:$Q$852,11,FALSE)</f>
        <v>0</v>
      </c>
      <c r="AM135" s="31">
        <f>VLOOKUP($A135,kurspris!$A$1:$Q$852,12,FALSE)</f>
        <v>0</v>
      </c>
      <c r="AN135" s="31">
        <f>VLOOKUP($A135,kurspris!$A$1:$Q$852,13,FALSE)</f>
        <v>0</v>
      </c>
      <c r="AO135" s="31">
        <f>VLOOKUP($A135,kurspris!$A$1:$Q$852,14,FALSE)</f>
        <v>0</v>
      </c>
      <c r="AP135" s="59" t="s">
        <v>2216</v>
      </c>
      <c r="AR135" s="31">
        <f t="shared" si="58"/>
        <v>0</v>
      </c>
      <c r="AS135" s="237">
        <f t="shared" si="59"/>
        <v>0</v>
      </c>
      <c r="AT135" s="31">
        <f t="shared" si="60"/>
        <v>0</v>
      </c>
      <c r="AU135" s="237">
        <f t="shared" si="61"/>
        <v>0</v>
      </c>
      <c r="AV135" s="31">
        <f t="shared" si="62"/>
        <v>0</v>
      </c>
      <c r="AW135" s="31">
        <f t="shared" si="63"/>
        <v>0</v>
      </c>
      <c r="AX135" s="31">
        <f t="shared" si="64"/>
        <v>0</v>
      </c>
      <c r="AY135" s="237">
        <f t="shared" si="65"/>
        <v>0</v>
      </c>
      <c r="AZ135" s="214">
        <f t="shared" si="66"/>
        <v>0</v>
      </c>
      <c r="BA135" s="237">
        <f t="shared" si="67"/>
        <v>0</v>
      </c>
      <c r="BB135" s="31">
        <f t="shared" si="68"/>
        <v>17.5</v>
      </c>
      <c r="BC135" s="237">
        <f t="shared" si="69"/>
        <v>14</v>
      </c>
      <c r="BD135" s="31">
        <f t="shared" si="70"/>
        <v>0</v>
      </c>
      <c r="BE135" s="237">
        <f t="shared" si="71"/>
        <v>0</v>
      </c>
      <c r="BF135" s="31">
        <f t="shared" si="72"/>
        <v>0</v>
      </c>
      <c r="BG135" s="237">
        <f t="shared" si="73"/>
        <v>0</v>
      </c>
      <c r="BH135" s="31">
        <f t="shared" si="74"/>
        <v>0</v>
      </c>
      <c r="BI135" s="237">
        <f t="shared" si="75"/>
        <v>0</v>
      </c>
      <c r="BJ135" s="31">
        <f t="shared" si="76"/>
        <v>0</v>
      </c>
      <c r="BK135" s="31">
        <f t="shared" si="77"/>
        <v>0</v>
      </c>
      <c r="BL135" s="237">
        <f t="shared" si="78"/>
        <v>0</v>
      </c>
      <c r="BM135" s="31">
        <f t="shared" si="79"/>
        <v>0</v>
      </c>
      <c r="BN135" s="237">
        <f t="shared" si="80"/>
        <v>0</v>
      </c>
    </row>
    <row r="136" spans="1:66" x14ac:dyDescent="0.25">
      <c r="A136" s="159" t="s">
        <v>2194</v>
      </c>
      <c r="B136" s="182" t="str">
        <f>VLOOKUP(A136,kurspris!$A$1:$B$894,2,FALSE)</f>
        <v>Mat och måltider för barn och ungdomar</v>
      </c>
      <c r="C136" s="37"/>
      <c r="D136" s="31" t="s">
        <v>117</v>
      </c>
      <c r="F136" s="59">
        <v>2019</v>
      </c>
      <c r="Q136" s="237">
        <v>7</v>
      </c>
      <c r="R136" s="40">
        <v>0.8</v>
      </c>
      <c r="S136" s="313">
        <f t="shared" si="54"/>
        <v>5.6000000000000005</v>
      </c>
      <c r="T136" s="31">
        <f>VLOOKUP(A136,'Ansvar kurs'!$A$1:$C$1027,2,FALSE)</f>
        <v>2750</v>
      </c>
      <c r="U136" s="31" t="str">
        <f>VLOOKUP(T136,Orgenheter!$A$1:$C$165,2,FALSE)</f>
        <v xml:space="preserve">Kostvetenskap                 </v>
      </c>
      <c r="V136" s="31" t="str">
        <f>VLOOKUP(T136,Orgenheter!$A$1:$C$165,3,FALSE)</f>
        <v>Sam</v>
      </c>
      <c r="W136" s="37" t="str">
        <f>VLOOKUP(D136,Program!$A$1:$B$34,2,FALSE)</f>
        <v>Fristående och övriga kurser</v>
      </c>
      <c r="X136" s="42">
        <f>VLOOKUP(A136,kurspris!$A$1:$Q$815,15,FALSE)</f>
        <v>19473</v>
      </c>
      <c r="Y136" s="42">
        <f>VLOOKUP(A136,kurspris!$A$1:$Q$815,16,FALSE)</f>
        <v>34806</v>
      </c>
      <c r="Z136" s="42">
        <f t="shared" si="55"/>
        <v>331224.59999999998</v>
      </c>
      <c r="AA136" s="42">
        <f>VLOOKUP(A136,kurspris!$A$1:$Q$815,17,FALSE)</f>
        <v>21800</v>
      </c>
      <c r="AB136" s="42">
        <f t="shared" si="56"/>
        <v>152600</v>
      </c>
      <c r="AC136" s="42">
        <f t="shared" si="57"/>
        <v>483824.6</v>
      </c>
      <c r="AD136" s="31">
        <f>VLOOKUP($A136,kurspris!$A$1:$Q$852,3,FALSE)</f>
        <v>0</v>
      </c>
      <c r="AE136" s="31">
        <f>VLOOKUP($A136,kurspris!$A$1:$Q$852,4,FALSE)</f>
        <v>0</v>
      </c>
      <c r="AF136" s="31">
        <f>VLOOKUP($A136,kurspris!$A$1:$Q$852,5,FALSE)</f>
        <v>0</v>
      </c>
      <c r="AG136" s="31">
        <f>VLOOKUP($A136,kurspris!$A$1:$Q$852,6,FALSE)</f>
        <v>0</v>
      </c>
      <c r="AH136" s="31">
        <f>VLOOKUP($A136,kurspris!$A$1:$Q$852,7,FALSE)</f>
        <v>0</v>
      </c>
      <c r="AI136" s="31">
        <f>VLOOKUP($A136,kurspris!$A$1:$Q$852,8,FALSE)</f>
        <v>1</v>
      </c>
      <c r="AJ136" s="31">
        <f>VLOOKUP($A136,kurspris!$A$1:$Q$852,9,FALSE)</f>
        <v>0</v>
      </c>
      <c r="AK136" s="31">
        <f>VLOOKUP($A136,kurspris!$A$1:$Q$852,10,FALSE)</f>
        <v>0</v>
      </c>
      <c r="AL136" s="31">
        <f>VLOOKUP($A136,kurspris!$A$1:$Q$852,11,FALSE)</f>
        <v>0</v>
      </c>
      <c r="AM136" s="31">
        <f>VLOOKUP($A136,kurspris!$A$1:$Q$852,12,FALSE)</f>
        <v>0</v>
      </c>
      <c r="AN136" s="31">
        <f>VLOOKUP($A136,kurspris!$A$1:$Q$852,13,FALSE)</f>
        <v>0</v>
      </c>
      <c r="AO136" s="31">
        <f>VLOOKUP($A136,kurspris!$A$1:$Q$852,14,FALSE)</f>
        <v>0</v>
      </c>
      <c r="AP136" s="59" t="s">
        <v>2216</v>
      </c>
      <c r="AR136" s="31">
        <f t="shared" si="58"/>
        <v>0</v>
      </c>
      <c r="AS136" s="237">
        <f t="shared" si="59"/>
        <v>0</v>
      </c>
      <c r="AT136" s="31">
        <f t="shared" si="60"/>
        <v>0</v>
      </c>
      <c r="AU136" s="237">
        <f t="shared" si="61"/>
        <v>0</v>
      </c>
      <c r="AV136" s="31">
        <f t="shared" si="62"/>
        <v>0</v>
      </c>
      <c r="AW136" s="31">
        <f t="shared" si="63"/>
        <v>0</v>
      </c>
      <c r="AX136" s="31">
        <f t="shared" si="64"/>
        <v>0</v>
      </c>
      <c r="AY136" s="237">
        <f t="shared" si="65"/>
        <v>0</v>
      </c>
      <c r="AZ136" s="214">
        <f t="shared" si="66"/>
        <v>0</v>
      </c>
      <c r="BA136" s="237">
        <f t="shared" si="67"/>
        <v>0</v>
      </c>
      <c r="BB136" s="31">
        <f t="shared" si="68"/>
        <v>7</v>
      </c>
      <c r="BC136" s="237">
        <f t="shared" si="69"/>
        <v>5.6000000000000005</v>
      </c>
      <c r="BD136" s="31">
        <f t="shared" si="70"/>
        <v>0</v>
      </c>
      <c r="BE136" s="237">
        <f t="shared" si="71"/>
        <v>0</v>
      </c>
      <c r="BF136" s="31">
        <f t="shared" si="72"/>
        <v>0</v>
      </c>
      <c r="BG136" s="237">
        <f t="shared" si="73"/>
        <v>0</v>
      </c>
      <c r="BH136" s="31">
        <f t="shared" si="74"/>
        <v>0</v>
      </c>
      <c r="BI136" s="237">
        <f t="shared" si="75"/>
        <v>0</v>
      </c>
      <c r="BJ136" s="31">
        <f t="shared" si="76"/>
        <v>0</v>
      </c>
      <c r="BK136" s="31">
        <f t="shared" si="77"/>
        <v>0</v>
      </c>
      <c r="BL136" s="237">
        <f t="shared" si="78"/>
        <v>0</v>
      </c>
      <c r="BM136" s="31">
        <f t="shared" si="79"/>
        <v>0</v>
      </c>
      <c r="BN136" s="237">
        <f t="shared" si="80"/>
        <v>0</v>
      </c>
    </row>
    <row r="137" spans="1:66" x14ac:dyDescent="0.25">
      <c r="A137" s="159" t="s">
        <v>2195</v>
      </c>
      <c r="B137" s="182" t="str">
        <f>VLOOKUP(A137,kurspris!$A$1:$B$894,2,FALSE)</f>
        <v>Hem- och konsumentkunskap B</v>
      </c>
      <c r="C137" s="37"/>
      <c r="D137" s="31" t="s">
        <v>117</v>
      </c>
      <c r="F137" s="59">
        <v>2019</v>
      </c>
      <c r="Q137" s="237">
        <v>14.5</v>
      </c>
      <c r="R137" s="40">
        <v>0.8</v>
      </c>
      <c r="S137" s="313">
        <f t="shared" si="54"/>
        <v>11.600000000000001</v>
      </c>
      <c r="T137" s="31">
        <f>VLOOKUP(A137,'Ansvar kurs'!$A$1:$C$1027,2,FALSE)</f>
        <v>2750</v>
      </c>
      <c r="U137" s="31" t="str">
        <f>VLOOKUP(T137,Orgenheter!$A$1:$C$165,2,FALSE)</f>
        <v xml:space="preserve">Kostvetenskap                 </v>
      </c>
      <c r="V137" s="31" t="str">
        <f>VLOOKUP(T137,Orgenheter!$A$1:$C$165,3,FALSE)</f>
        <v>Sam</v>
      </c>
      <c r="W137" s="37" t="str">
        <f>VLOOKUP(D137,Program!$A$1:$B$34,2,FALSE)</f>
        <v>Fristående och övriga kurser</v>
      </c>
      <c r="X137" s="42">
        <f>VLOOKUP(A137,kurspris!$A$1:$Q$815,15,FALSE)</f>
        <v>19473</v>
      </c>
      <c r="Y137" s="42">
        <f>VLOOKUP(A137,kurspris!$A$1:$Q$815,16,FALSE)</f>
        <v>34806</v>
      </c>
      <c r="Z137" s="42">
        <f t="shared" si="55"/>
        <v>686108.10000000009</v>
      </c>
      <c r="AA137" s="42">
        <f>VLOOKUP(A137,kurspris!$A$1:$Q$815,17,FALSE)</f>
        <v>21800</v>
      </c>
      <c r="AB137" s="42">
        <f t="shared" si="56"/>
        <v>316100</v>
      </c>
      <c r="AC137" s="42">
        <f t="shared" si="57"/>
        <v>1002208.1000000001</v>
      </c>
      <c r="AD137" s="31">
        <f>VLOOKUP($A137,kurspris!$A$1:$Q$852,3,FALSE)</f>
        <v>0</v>
      </c>
      <c r="AE137" s="31">
        <f>VLOOKUP($A137,kurspris!$A$1:$Q$852,4,FALSE)</f>
        <v>0</v>
      </c>
      <c r="AF137" s="31">
        <f>VLOOKUP($A137,kurspris!$A$1:$Q$852,5,FALSE)</f>
        <v>0</v>
      </c>
      <c r="AG137" s="31">
        <f>VLOOKUP($A137,kurspris!$A$1:$Q$852,6,FALSE)</f>
        <v>0</v>
      </c>
      <c r="AH137" s="31">
        <f>VLOOKUP($A137,kurspris!$A$1:$Q$852,7,FALSE)</f>
        <v>0</v>
      </c>
      <c r="AI137" s="31">
        <f>VLOOKUP($A137,kurspris!$A$1:$Q$852,8,FALSE)</f>
        <v>1</v>
      </c>
      <c r="AJ137" s="31">
        <f>VLOOKUP($A137,kurspris!$A$1:$Q$852,9,FALSE)</f>
        <v>0</v>
      </c>
      <c r="AK137" s="31">
        <f>VLOOKUP($A137,kurspris!$A$1:$Q$852,10,FALSE)</f>
        <v>0</v>
      </c>
      <c r="AL137" s="31">
        <f>VLOOKUP($A137,kurspris!$A$1:$Q$852,11,FALSE)</f>
        <v>0</v>
      </c>
      <c r="AM137" s="31">
        <f>VLOOKUP($A137,kurspris!$A$1:$Q$852,12,FALSE)</f>
        <v>0</v>
      </c>
      <c r="AN137" s="31">
        <f>VLOOKUP($A137,kurspris!$A$1:$Q$852,13,FALSE)</f>
        <v>0</v>
      </c>
      <c r="AO137" s="31">
        <f>VLOOKUP($A137,kurspris!$A$1:$Q$852,14,FALSE)</f>
        <v>0</v>
      </c>
      <c r="AP137" s="59" t="s">
        <v>2216</v>
      </c>
      <c r="AR137" s="31">
        <f t="shared" si="58"/>
        <v>0</v>
      </c>
      <c r="AS137" s="237">
        <f t="shared" si="59"/>
        <v>0</v>
      </c>
      <c r="AT137" s="31">
        <f t="shared" si="60"/>
        <v>0</v>
      </c>
      <c r="AU137" s="237">
        <f t="shared" si="61"/>
        <v>0</v>
      </c>
      <c r="AV137" s="31">
        <f t="shared" si="62"/>
        <v>0</v>
      </c>
      <c r="AW137" s="31">
        <f t="shared" si="63"/>
        <v>0</v>
      </c>
      <c r="AX137" s="31">
        <f t="shared" si="64"/>
        <v>0</v>
      </c>
      <c r="AY137" s="237">
        <f t="shared" si="65"/>
        <v>0</v>
      </c>
      <c r="AZ137" s="214">
        <f t="shared" si="66"/>
        <v>0</v>
      </c>
      <c r="BA137" s="237">
        <f t="shared" si="67"/>
        <v>0</v>
      </c>
      <c r="BB137" s="31">
        <f t="shared" si="68"/>
        <v>14.5</v>
      </c>
      <c r="BC137" s="237">
        <f t="shared" si="69"/>
        <v>11.600000000000001</v>
      </c>
      <c r="BD137" s="31">
        <f t="shared" si="70"/>
        <v>0</v>
      </c>
      <c r="BE137" s="237">
        <f t="shared" si="71"/>
        <v>0</v>
      </c>
      <c r="BF137" s="31">
        <f t="shared" si="72"/>
        <v>0</v>
      </c>
      <c r="BG137" s="237">
        <f t="shared" si="73"/>
        <v>0</v>
      </c>
      <c r="BH137" s="31">
        <f t="shared" si="74"/>
        <v>0</v>
      </c>
      <c r="BI137" s="237">
        <f t="shared" si="75"/>
        <v>0</v>
      </c>
      <c r="BJ137" s="31">
        <f t="shared" si="76"/>
        <v>0</v>
      </c>
      <c r="BK137" s="31">
        <f t="shared" si="77"/>
        <v>0</v>
      </c>
      <c r="BL137" s="237">
        <f t="shared" si="78"/>
        <v>0</v>
      </c>
      <c r="BM137" s="31">
        <f t="shared" si="79"/>
        <v>0</v>
      </c>
      <c r="BN137" s="237">
        <f t="shared" si="80"/>
        <v>0</v>
      </c>
    </row>
    <row r="138" spans="1:66" x14ac:dyDescent="0.25">
      <c r="A138" s="159" t="s">
        <v>2196</v>
      </c>
      <c r="B138" s="182" t="str">
        <f>VLOOKUP(A138,kurspris!$A$1:$B$894,2,FALSE)</f>
        <v>Hem- och konsumentkunskap B15</v>
      </c>
      <c r="C138" s="37"/>
      <c r="D138" s="31" t="s">
        <v>117</v>
      </c>
      <c r="F138" s="59">
        <v>2019</v>
      </c>
      <c r="Q138" s="237">
        <v>1.75</v>
      </c>
      <c r="R138" s="40">
        <v>0.8</v>
      </c>
      <c r="S138" s="313">
        <f t="shared" si="54"/>
        <v>1.4000000000000001</v>
      </c>
      <c r="T138" s="31">
        <f>VLOOKUP(A138,'Ansvar kurs'!$A$1:$C$1027,2,FALSE)</f>
        <v>2750</v>
      </c>
      <c r="U138" s="31" t="str">
        <f>VLOOKUP(T138,Orgenheter!$A$1:$C$165,2,FALSE)</f>
        <v xml:space="preserve">Kostvetenskap                 </v>
      </c>
      <c r="V138" s="31" t="str">
        <f>VLOOKUP(T138,Orgenheter!$A$1:$C$165,3,FALSE)</f>
        <v>Sam</v>
      </c>
      <c r="W138" s="37" t="str">
        <f>VLOOKUP(D138,Program!$A$1:$B$34,2,FALSE)</f>
        <v>Fristående och övriga kurser</v>
      </c>
      <c r="X138" s="42">
        <f>VLOOKUP(A138,kurspris!$A$1:$Q$815,15,FALSE)</f>
        <v>19473</v>
      </c>
      <c r="Y138" s="42">
        <f>VLOOKUP(A138,kurspris!$A$1:$Q$815,16,FALSE)</f>
        <v>34806</v>
      </c>
      <c r="Z138" s="42">
        <f t="shared" si="55"/>
        <v>82806.149999999994</v>
      </c>
      <c r="AA138" s="42">
        <f>VLOOKUP(A138,kurspris!$A$1:$Q$815,17,FALSE)</f>
        <v>21800</v>
      </c>
      <c r="AB138" s="42">
        <f t="shared" si="56"/>
        <v>38150</v>
      </c>
      <c r="AC138" s="42">
        <f t="shared" si="57"/>
        <v>120956.15</v>
      </c>
      <c r="AD138" s="31">
        <f>VLOOKUP($A138,kurspris!$A$1:$Q$852,3,FALSE)</f>
        <v>0</v>
      </c>
      <c r="AE138" s="31">
        <f>VLOOKUP($A138,kurspris!$A$1:$Q$852,4,FALSE)</f>
        <v>0</v>
      </c>
      <c r="AF138" s="31">
        <f>VLOOKUP($A138,kurspris!$A$1:$Q$852,5,FALSE)</f>
        <v>0</v>
      </c>
      <c r="AG138" s="31">
        <f>VLOOKUP($A138,kurspris!$A$1:$Q$852,6,FALSE)</f>
        <v>0</v>
      </c>
      <c r="AH138" s="31">
        <f>VLOOKUP($A138,kurspris!$A$1:$Q$852,7,FALSE)</f>
        <v>0</v>
      </c>
      <c r="AI138" s="31">
        <f>VLOOKUP($A138,kurspris!$A$1:$Q$852,8,FALSE)</f>
        <v>1</v>
      </c>
      <c r="AJ138" s="31">
        <f>VLOOKUP($A138,kurspris!$A$1:$Q$852,9,FALSE)</f>
        <v>0</v>
      </c>
      <c r="AK138" s="31">
        <f>VLOOKUP($A138,kurspris!$A$1:$Q$852,10,FALSE)</f>
        <v>0</v>
      </c>
      <c r="AL138" s="31">
        <f>VLOOKUP($A138,kurspris!$A$1:$Q$852,11,FALSE)</f>
        <v>0</v>
      </c>
      <c r="AM138" s="31">
        <f>VLOOKUP($A138,kurspris!$A$1:$Q$852,12,FALSE)</f>
        <v>0</v>
      </c>
      <c r="AN138" s="31">
        <f>VLOOKUP($A138,kurspris!$A$1:$Q$852,13,FALSE)</f>
        <v>0</v>
      </c>
      <c r="AO138" s="31">
        <f>VLOOKUP($A138,kurspris!$A$1:$Q$852,14,FALSE)</f>
        <v>0</v>
      </c>
      <c r="AP138" s="59" t="s">
        <v>2216</v>
      </c>
      <c r="AR138" s="31">
        <f t="shared" si="58"/>
        <v>0</v>
      </c>
      <c r="AS138" s="237">
        <f t="shared" si="59"/>
        <v>0</v>
      </c>
      <c r="AT138" s="31">
        <f t="shared" si="60"/>
        <v>0</v>
      </c>
      <c r="AU138" s="237">
        <f t="shared" si="61"/>
        <v>0</v>
      </c>
      <c r="AV138" s="31">
        <f t="shared" si="62"/>
        <v>0</v>
      </c>
      <c r="AW138" s="31">
        <f t="shared" si="63"/>
        <v>0</v>
      </c>
      <c r="AX138" s="31">
        <f t="shared" si="64"/>
        <v>0</v>
      </c>
      <c r="AY138" s="237">
        <f t="shared" si="65"/>
        <v>0</v>
      </c>
      <c r="AZ138" s="214">
        <f t="shared" si="66"/>
        <v>0</v>
      </c>
      <c r="BA138" s="237">
        <f t="shared" si="67"/>
        <v>0</v>
      </c>
      <c r="BB138" s="31">
        <f t="shared" si="68"/>
        <v>1.75</v>
      </c>
      <c r="BC138" s="237">
        <f t="shared" si="69"/>
        <v>1.4000000000000001</v>
      </c>
      <c r="BD138" s="31">
        <f t="shared" si="70"/>
        <v>0</v>
      </c>
      <c r="BE138" s="237">
        <f t="shared" si="71"/>
        <v>0</v>
      </c>
      <c r="BF138" s="31">
        <f t="shared" si="72"/>
        <v>0</v>
      </c>
      <c r="BG138" s="237">
        <f t="shared" si="73"/>
        <v>0</v>
      </c>
      <c r="BH138" s="31">
        <f t="shared" si="74"/>
        <v>0</v>
      </c>
      <c r="BI138" s="237">
        <f t="shared" si="75"/>
        <v>0</v>
      </c>
      <c r="BJ138" s="31">
        <f t="shared" si="76"/>
        <v>0</v>
      </c>
      <c r="BK138" s="31">
        <f t="shared" si="77"/>
        <v>0</v>
      </c>
      <c r="BL138" s="237">
        <f t="shared" si="78"/>
        <v>0</v>
      </c>
      <c r="BM138" s="31">
        <f t="shared" si="79"/>
        <v>0</v>
      </c>
      <c r="BN138" s="237">
        <f t="shared" si="80"/>
        <v>0</v>
      </c>
    </row>
    <row r="139" spans="1:66" x14ac:dyDescent="0.25">
      <c r="A139" s="182" t="s">
        <v>2158</v>
      </c>
      <c r="B139" s="182" t="str">
        <f>VLOOKUP(A139,kurspris!$A$1:$B$894,2,FALSE)</f>
        <v>Kulturslöjd - tradition, hantverk och nytänkande</v>
      </c>
      <c r="C139" s="37"/>
      <c r="D139" s="31" t="s">
        <v>117</v>
      </c>
      <c r="F139" s="59">
        <v>2019</v>
      </c>
      <c r="I139" s="159"/>
      <c r="J139" s="159"/>
      <c r="K139" s="159"/>
      <c r="Q139" s="237">
        <v>3.625</v>
      </c>
      <c r="R139" s="40">
        <v>0.8</v>
      </c>
      <c r="S139" s="313">
        <f t="shared" si="54"/>
        <v>2.9000000000000004</v>
      </c>
      <c r="T139" s="31">
        <f>VLOOKUP(A139,'Ansvar kurs'!$A$1:$C$1027,2,FALSE)</f>
        <v>1650</v>
      </c>
      <c r="U139" s="31" t="str">
        <f>VLOOKUP(T139,Orgenheter!$A$1:$C$165,2,FALSE)</f>
        <v xml:space="preserve">Estetiska ämnen               </v>
      </c>
      <c r="V139" s="31" t="str">
        <f>VLOOKUP(T139,Orgenheter!$A$1:$C$165,3,FALSE)</f>
        <v>Hum</v>
      </c>
      <c r="W139" s="37" t="str">
        <f>VLOOKUP(D139,Program!$A$1:$B$34,2,FALSE)</f>
        <v>Fristående och övriga kurser</v>
      </c>
      <c r="X139" s="42">
        <f>VLOOKUP(A139,kurspris!$A$1:$Q$815,15,FALSE)</f>
        <v>19473</v>
      </c>
      <c r="Y139" s="42">
        <f>VLOOKUP(A139,kurspris!$A$1:$Q$815,16,FALSE)</f>
        <v>34806</v>
      </c>
      <c r="Z139" s="42">
        <f t="shared" si="55"/>
        <v>171527.02500000002</v>
      </c>
      <c r="AA139" s="42">
        <f>VLOOKUP(A139,kurspris!$A$1:$Q$815,17,FALSE)</f>
        <v>21800</v>
      </c>
      <c r="AB139" s="42">
        <f t="shared" si="56"/>
        <v>79025</v>
      </c>
      <c r="AC139" s="42">
        <f t="shared" si="57"/>
        <v>250552.02500000002</v>
      </c>
      <c r="AD139" s="31">
        <f>VLOOKUP($A139,kurspris!$A$1:$Q$852,3,FALSE)</f>
        <v>0</v>
      </c>
      <c r="AE139" s="31">
        <f>VLOOKUP($A139,kurspris!$A$1:$Q$852,4,FALSE)</f>
        <v>0</v>
      </c>
      <c r="AF139" s="31">
        <f>VLOOKUP($A139,kurspris!$A$1:$Q$852,5,FALSE)</f>
        <v>0</v>
      </c>
      <c r="AG139" s="31">
        <f>VLOOKUP($A139,kurspris!$A$1:$Q$852,6,FALSE)</f>
        <v>0</v>
      </c>
      <c r="AH139" s="31">
        <f>VLOOKUP($A139,kurspris!$A$1:$Q$852,7,FALSE)</f>
        <v>0</v>
      </c>
      <c r="AI139" s="31">
        <f>VLOOKUP($A139,kurspris!$A$1:$Q$852,8,FALSE)</f>
        <v>0</v>
      </c>
      <c r="AJ139" s="31">
        <f>VLOOKUP($A139,kurspris!$A$1:$Q$852,9,FALSE)</f>
        <v>0</v>
      </c>
      <c r="AK139" s="31">
        <f>VLOOKUP($A139,kurspris!$A$1:$Q$852,10,FALSE)</f>
        <v>1</v>
      </c>
      <c r="AL139" s="31">
        <f>VLOOKUP($A139,kurspris!$A$1:$Q$852,11,FALSE)</f>
        <v>0</v>
      </c>
      <c r="AM139" s="31">
        <f>VLOOKUP($A139,kurspris!$A$1:$Q$852,12,FALSE)</f>
        <v>0</v>
      </c>
      <c r="AN139" s="31">
        <f>VLOOKUP($A139,kurspris!$A$1:$Q$852,13,FALSE)</f>
        <v>0</v>
      </c>
      <c r="AO139" s="31">
        <f>VLOOKUP($A139,kurspris!$A$1:$Q$852,14,FALSE)</f>
        <v>0</v>
      </c>
      <c r="AP139" s="59" t="s">
        <v>2216</v>
      </c>
      <c r="AQ139" s="59"/>
      <c r="AR139" s="31">
        <f t="shared" si="58"/>
        <v>0</v>
      </c>
      <c r="AS139" s="237">
        <f t="shared" si="59"/>
        <v>0</v>
      </c>
      <c r="AT139" s="31">
        <f t="shared" si="60"/>
        <v>0</v>
      </c>
      <c r="AU139" s="237">
        <f t="shared" si="61"/>
        <v>0</v>
      </c>
      <c r="AV139" s="31">
        <f t="shared" si="62"/>
        <v>0</v>
      </c>
      <c r="AW139" s="31">
        <f t="shared" si="63"/>
        <v>0</v>
      </c>
      <c r="AX139" s="31">
        <f t="shared" si="64"/>
        <v>0</v>
      </c>
      <c r="AY139" s="237">
        <f t="shared" si="65"/>
        <v>0</v>
      </c>
      <c r="AZ139" s="214">
        <f t="shared" si="66"/>
        <v>0</v>
      </c>
      <c r="BA139" s="237">
        <f t="shared" si="67"/>
        <v>0</v>
      </c>
      <c r="BB139" s="31">
        <f t="shared" si="68"/>
        <v>0</v>
      </c>
      <c r="BC139" s="237">
        <f t="shared" si="69"/>
        <v>0</v>
      </c>
      <c r="BD139" s="31">
        <f t="shared" si="70"/>
        <v>0</v>
      </c>
      <c r="BE139" s="237">
        <f t="shared" si="71"/>
        <v>0</v>
      </c>
      <c r="BF139" s="31">
        <f t="shared" si="72"/>
        <v>3.625</v>
      </c>
      <c r="BG139" s="237">
        <f t="shared" si="73"/>
        <v>2.9000000000000004</v>
      </c>
      <c r="BH139" s="31">
        <f t="shared" si="74"/>
        <v>0</v>
      </c>
      <c r="BI139" s="237">
        <f t="shared" si="75"/>
        <v>0</v>
      </c>
      <c r="BJ139" s="31">
        <f t="shared" si="76"/>
        <v>0</v>
      </c>
      <c r="BK139" s="31">
        <f t="shared" si="77"/>
        <v>0</v>
      </c>
      <c r="BL139" s="237">
        <f t="shared" si="78"/>
        <v>0</v>
      </c>
      <c r="BM139" s="31">
        <f t="shared" si="79"/>
        <v>0</v>
      </c>
      <c r="BN139" s="237">
        <f t="shared" si="80"/>
        <v>0</v>
      </c>
    </row>
    <row r="140" spans="1:66" x14ac:dyDescent="0.25">
      <c r="A140" s="159" t="s">
        <v>2159</v>
      </c>
      <c r="B140" s="182" t="str">
        <f>VLOOKUP(A140,kurspris!$A$1:$B$894,2,FALSE)</f>
        <v>Folkmusikdidaktik</v>
      </c>
      <c r="C140" s="37"/>
      <c r="D140" s="31" t="s">
        <v>117</v>
      </c>
      <c r="F140" s="59">
        <v>2019</v>
      </c>
      <c r="Q140" s="237">
        <v>1.75</v>
      </c>
      <c r="R140" s="40">
        <v>0.8</v>
      </c>
      <c r="S140" s="313">
        <f t="shared" si="54"/>
        <v>1.4000000000000001</v>
      </c>
      <c r="T140" s="31">
        <f>VLOOKUP(A140,'Ansvar kurs'!$A$1:$C$1027,2,FALSE)</f>
        <v>1650</v>
      </c>
      <c r="U140" s="31" t="str">
        <f>VLOOKUP(T140,Orgenheter!$A$1:$C$165,2,FALSE)</f>
        <v xml:space="preserve">Estetiska ämnen               </v>
      </c>
      <c r="V140" s="31" t="str">
        <f>VLOOKUP(T140,Orgenheter!$A$1:$C$165,3,FALSE)</f>
        <v>Hum</v>
      </c>
      <c r="W140" s="37" t="str">
        <f>VLOOKUP(D140,Program!$A$1:$B$34,2,FALSE)</f>
        <v>Fristående och övriga kurser</v>
      </c>
      <c r="X140" s="42">
        <f>VLOOKUP(A140,kurspris!$A$1:$Q$815,15,FALSE)</f>
        <v>24603.5</v>
      </c>
      <c r="Y140" s="42">
        <f>VLOOKUP(A140,kurspris!$A$1:$Q$815,16,FALSE)</f>
        <v>39785</v>
      </c>
      <c r="Z140" s="42">
        <f t="shared" si="55"/>
        <v>98755.125</v>
      </c>
      <c r="AA140" s="42">
        <f>VLOOKUP(A140,kurspris!$A$1:$Q$815,17,FALSE)</f>
        <v>37950</v>
      </c>
      <c r="AB140" s="42">
        <f t="shared" si="56"/>
        <v>66412.5</v>
      </c>
      <c r="AC140" s="42">
        <f t="shared" si="57"/>
        <v>165167.625</v>
      </c>
      <c r="AD140" s="31">
        <f>VLOOKUP($A140,kurspris!$A$1:$Q$852,3,FALSE)</f>
        <v>0</v>
      </c>
      <c r="AE140" s="31">
        <f>VLOOKUP($A140,kurspris!$A$1:$Q$852,4,FALSE)</f>
        <v>0.5</v>
      </c>
      <c r="AF140" s="31">
        <f>VLOOKUP($A140,kurspris!$A$1:$Q$852,5,FALSE)</f>
        <v>0</v>
      </c>
      <c r="AG140" s="31">
        <f>VLOOKUP($A140,kurspris!$A$1:$Q$852,6,FALSE)</f>
        <v>0</v>
      </c>
      <c r="AH140" s="31">
        <f>VLOOKUP($A140,kurspris!$A$1:$Q$852,7,FALSE)</f>
        <v>0.5</v>
      </c>
      <c r="AI140" s="31">
        <f>VLOOKUP($A140,kurspris!$A$1:$Q$852,8,FALSE)</f>
        <v>0</v>
      </c>
      <c r="AJ140" s="31">
        <f>VLOOKUP($A140,kurspris!$A$1:$Q$852,9,FALSE)</f>
        <v>0</v>
      </c>
      <c r="AK140" s="31">
        <f>VLOOKUP($A140,kurspris!$A$1:$Q$852,10,FALSE)</f>
        <v>0</v>
      </c>
      <c r="AL140" s="31">
        <f>VLOOKUP($A140,kurspris!$A$1:$Q$852,11,FALSE)</f>
        <v>0</v>
      </c>
      <c r="AM140" s="31">
        <f>VLOOKUP($A140,kurspris!$A$1:$Q$852,12,FALSE)</f>
        <v>0</v>
      </c>
      <c r="AN140" s="31">
        <f>VLOOKUP($A140,kurspris!$A$1:$Q$852,13,FALSE)</f>
        <v>0</v>
      </c>
      <c r="AO140" s="31">
        <f>VLOOKUP($A140,kurspris!$A$1:$Q$852,14,FALSE)</f>
        <v>0</v>
      </c>
      <c r="AP140" s="59" t="s">
        <v>2216</v>
      </c>
      <c r="AQ140" s="59"/>
      <c r="AR140" s="31">
        <f t="shared" si="58"/>
        <v>0</v>
      </c>
      <c r="AS140" s="237">
        <f t="shared" si="59"/>
        <v>0</v>
      </c>
      <c r="AT140" s="31">
        <f t="shared" si="60"/>
        <v>0.875</v>
      </c>
      <c r="AU140" s="237">
        <f t="shared" si="61"/>
        <v>0.70000000000000007</v>
      </c>
      <c r="AV140" s="31">
        <f t="shared" si="62"/>
        <v>0</v>
      </c>
      <c r="AW140" s="31">
        <f t="shared" si="63"/>
        <v>0</v>
      </c>
      <c r="AX140" s="31">
        <f t="shared" si="64"/>
        <v>0</v>
      </c>
      <c r="AY140" s="237">
        <f t="shared" si="65"/>
        <v>0</v>
      </c>
      <c r="AZ140" s="214">
        <f t="shared" si="66"/>
        <v>0.875</v>
      </c>
      <c r="BA140" s="237">
        <f t="shared" si="67"/>
        <v>0.70000000000000007</v>
      </c>
      <c r="BB140" s="31">
        <f t="shared" si="68"/>
        <v>0</v>
      </c>
      <c r="BC140" s="237">
        <f t="shared" si="69"/>
        <v>0</v>
      </c>
      <c r="BD140" s="31">
        <f t="shared" si="70"/>
        <v>0</v>
      </c>
      <c r="BE140" s="237">
        <f t="shared" si="71"/>
        <v>0</v>
      </c>
      <c r="BF140" s="31">
        <f t="shared" si="72"/>
        <v>0</v>
      </c>
      <c r="BG140" s="237">
        <f t="shared" si="73"/>
        <v>0</v>
      </c>
      <c r="BH140" s="31">
        <f t="shared" si="74"/>
        <v>0</v>
      </c>
      <c r="BI140" s="237">
        <f t="shared" si="75"/>
        <v>0</v>
      </c>
      <c r="BJ140" s="31">
        <f t="shared" si="76"/>
        <v>0</v>
      </c>
      <c r="BK140" s="31">
        <f t="shared" si="77"/>
        <v>0</v>
      </c>
      <c r="BL140" s="237">
        <f t="shared" si="78"/>
        <v>0</v>
      </c>
      <c r="BM140" s="31">
        <f t="shared" si="79"/>
        <v>0</v>
      </c>
      <c r="BN140" s="237">
        <f t="shared" si="80"/>
        <v>0</v>
      </c>
    </row>
    <row r="141" spans="1:66" x14ac:dyDescent="0.25">
      <c r="A141" s="159" t="s">
        <v>1691</v>
      </c>
      <c r="B141" s="182" t="str">
        <f>VLOOKUP(A141,kurspris!$A$1:$B$894,2,FALSE)</f>
        <v>Ditt barns språk 2. Språkutveckling mellan 2 och 4 år</v>
      </c>
      <c r="C141" s="37"/>
      <c r="D141" s="31" t="s">
        <v>117</v>
      </c>
      <c r="F141" s="59">
        <v>2019</v>
      </c>
      <c r="Q141" s="237">
        <v>2.25</v>
      </c>
      <c r="R141" s="40">
        <v>0.8</v>
      </c>
      <c r="S141" s="313">
        <f t="shared" si="54"/>
        <v>1.8</v>
      </c>
      <c r="T141" s="31">
        <f>VLOOKUP(A141,'Ansvar kurs'!$A$1:$C$1027,2,FALSE)</f>
        <v>1620</v>
      </c>
      <c r="U141" s="31" t="str">
        <f>VLOOKUP(T141,Orgenheter!$A$1:$C$165,2,FALSE)</f>
        <v>Inst för språkstudier</v>
      </c>
      <c r="V141" s="31" t="str">
        <f>VLOOKUP(T141,Orgenheter!$A$1:$C$165,3,FALSE)</f>
        <v>Hum</v>
      </c>
      <c r="W141" s="37" t="str">
        <f>VLOOKUP(D141,Program!$A$1:$B$34,2,FALSE)</f>
        <v>Fristående och övriga kurser</v>
      </c>
      <c r="X141" s="42">
        <f>VLOOKUP(A141,kurspris!$A$1:$Q$815,15,FALSE)</f>
        <v>18405</v>
      </c>
      <c r="Y141" s="42">
        <f>VLOOKUP(A141,kurspris!$A$1:$Q$815,16,FALSE)</f>
        <v>15773</v>
      </c>
      <c r="Z141" s="42">
        <f t="shared" si="55"/>
        <v>69802.649999999994</v>
      </c>
      <c r="AA141" s="42">
        <f>VLOOKUP(A141,kurspris!$A$1:$Q$815,17,FALSE)</f>
        <v>5800</v>
      </c>
      <c r="AB141" s="42">
        <f t="shared" si="56"/>
        <v>13050</v>
      </c>
      <c r="AC141" s="42">
        <f t="shared" si="57"/>
        <v>82852.649999999994</v>
      </c>
      <c r="AD141" s="31">
        <f>VLOOKUP($A141,kurspris!$A$1:$Q$852,3,FALSE)</f>
        <v>0</v>
      </c>
      <c r="AE141" s="31">
        <f>VLOOKUP($A141,kurspris!$A$1:$Q$852,4,FALSE)</f>
        <v>1</v>
      </c>
      <c r="AF141" s="31">
        <f>VLOOKUP($A141,kurspris!$A$1:$Q$852,5,FALSE)</f>
        <v>0</v>
      </c>
      <c r="AG141" s="31">
        <f>VLOOKUP($A141,kurspris!$A$1:$Q$852,6,FALSE)</f>
        <v>0</v>
      </c>
      <c r="AH141" s="31">
        <f>VLOOKUP($A141,kurspris!$A$1:$Q$852,7,FALSE)</f>
        <v>0</v>
      </c>
      <c r="AI141" s="31">
        <f>VLOOKUP($A141,kurspris!$A$1:$Q$852,8,FALSE)</f>
        <v>0</v>
      </c>
      <c r="AJ141" s="31">
        <f>VLOOKUP($A141,kurspris!$A$1:$Q$852,9,FALSE)</f>
        <v>0</v>
      </c>
      <c r="AK141" s="31">
        <f>VLOOKUP($A141,kurspris!$A$1:$Q$852,10,FALSE)</f>
        <v>0</v>
      </c>
      <c r="AL141" s="31">
        <f>VLOOKUP($A141,kurspris!$A$1:$Q$852,11,FALSE)</f>
        <v>0</v>
      </c>
      <c r="AM141" s="31">
        <f>VLOOKUP($A141,kurspris!$A$1:$Q$852,12,FALSE)</f>
        <v>0</v>
      </c>
      <c r="AN141" s="31">
        <f>VLOOKUP($A141,kurspris!$A$1:$Q$852,13,FALSE)</f>
        <v>0</v>
      </c>
      <c r="AO141" s="31">
        <f>VLOOKUP($A141,kurspris!$A$1:$Q$852,14,FALSE)</f>
        <v>0</v>
      </c>
      <c r="AP141" s="59" t="s">
        <v>2216</v>
      </c>
      <c r="AR141" s="31">
        <f t="shared" si="58"/>
        <v>0</v>
      </c>
      <c r="AS141" s="237">
        <f t="shared" si="59"/>
        <v>0</v>
      </c>
      <c r="AT141" s="31">
        <f t="shared" si="60"/>
        <v>2.25</v>
      </c>
      <c r="AU141" s="237">
        <f t="shared" si="61"/>
        <v>1.8</v>
      </c>
      <c r="AV141" s="31">
        <f t="shared" si="62"/>
        <v>0</v>
      </c>
      <c r="AW141" s="31">
        <f t="shared" si="63"/>
        <v>0</v>
      </c>
      <c r="AX141" s="31">
        <f t="shared" si="64"/>
        <v>0</v>
      </c>
      <c r="AY141" s="237">
        <f t="shared" si="65"/>
        <v>0</v>
      </c>
      <c r="AZ141" s="214">
        <f t="shared" si="66"/>
        <v>0</v>
      </c>
      <c r="BA141" s="237">
        <f t="shared" si="67"/>
        <v>0</v>
      </c>
      <c r="BB141" s="31">
        <f t="shared" si="68"/>
        <v>0</v>
      </c>
      <c r="BC141" s="237">
        <f t="shared" si="69"/>
        <v>0</v>
      </c>
      <c r="BD141" s="31">
        <f t="shared" si="70"/>
        <v>0</v>
      </c>
      <c r="BE141" s="237">
        <f t="shared" si="71"/>
        <v>0</v>
      </c>
      <c r="BF141" s="31">
        <f t="shared" si="72"/>
        <v>0</v>
      </c>
      <c r="BG141" s="237">
        <f t="shared" si="73"/>
        <v>0</v>
      </c>
      <c r="BH141" s="31">
        <f t="shared" si="74"/>
        <v>0</v>
      </c>
      <c r="BI141" s="237">
        <f t="shared" si="75"/>
        <v>0</v>
      </c>
      <c r="BJ141" s="31">
        <f t="shared" si="76"/>
        <v>0</v>
      </c>
      <c r="BK141" s="31">
        <f t="shared" si="77"/>
        <v>0</v>
      </c>
      <c r="BL141" s="237">
        <f t="shared" si="78"/>
        <v>0</v>
      </c>
      <c r="BM141" s="31">
        <f t="shared" si="79"/>
        <v>0</v>
      </c>
      <c r="BN141" s="237">
        <f t="shared" si="80"/>
        <v>0</v>
      </c>
    </row>
    <row r="142" spans="1:66" x14ac:dyDescent="0.25">
      <c r="A142" s="31" t="s">
        <v>1828</v>
      </c>
      <c r="B142" s="182" t="str">
        <f>VLOOKUP(A142,kurspris!$A$1:$B$894,2,FALSE)</f>
        <v>Ditt barns språk I - Språkutvecklingen mellan 0 och 2 år</v>
      </c>
      <c r="D142" s="31" t="s">
        <v>117</v>
      </c>
      <c r="F142" s="59">
        <v>2019</v>
      </c>
      <c r="Q142" s="237">
        <v>5.5833300000000001</v>
      </c>
      <c r="R142" s="40">
        <v>0.8</v>
      </c>
      <c r="S142" s="313">
        <f t="shared" si="54"/>
        <v>4.4666640000000006</v>
      </c>
      <c r="T142" s="31">
        <f>VLOOKUP(A142,'Ansvar kurs'!$A$1:$C$1027,2,FALSE)</f>
        <v>1620</v>
      </c>
      <c r="U142" s="31" t="str">
        <f>VLOOKUP(T142,Orgenheter!$A$1:$C$165,2,FALSE)</f>
        <v>Inst för språkstudier</v>
      </c>
      <c r="V142" s="31" t="str">
        <f>VLOOKUP(T142,Orgenheter!$A$1:$C$165,3,FALSE)</f>
        <v>Hum</v>
      </c>
      <c r="W142" s="37" t="str">
        <f>VLOOKUP(D142,Program!$A$1:$B$34,2,FALSE)</f>
        <v>Fristående och övriga kurser</v>
      </c>
      <c r="X142" s="42">
        <f>VLOOKUP(A142,kurspris!$A$1:$Q$815,15,FALSE)</f>
        <v>18405</v>
      </c>
      <c r="Y142" s="42">
        <f>VLOOKUP(A142,kurspris!$A$1:$Q$815,16,FALSE)</f>
        <v>15773</v>
      </c>
      <c r="Z142" s="42">
        <f t="shared" si="55"/>
        <v>173213.87992199999</v>
      </c>
      <c r="AA142" s="42">
        <f>VLOOKUP(A142,kurspris!$A$1:$Q$815,17,FALSE)</f>
        <v>5800</v>
      </c>
      <c r="AB142" s="42">
        <f t="shared" si="56"/>
        <v>32383.314000000002</v>
      </c>
      <c r="AC142" s="42">
        <f t="shared" si="57"/>
        <v>205597.19392200001</v>
      </c>
      <c r="AD142" s="31">
        <f>VLOOKUP($A142,kurspris!$A$1:$Q$852,3,FALSE)</f>
        <v>0</v>
      </c>
      <c r="AE142" s="31">
        <f>VLOOKUP($A142,kurspris!$A$1:$Q$852,4,FALSE)</f>
        <v>1</v>
      </c>
      <c r="AF142" s="31">
        <f>VLOOKUP($A142,kurspris!$A$1:$Q$852,5,FALSE)</f>
        <v>0</v>
      </c>
      <c r="AG142" s="31">
        <f>VLOOKUP($A142,kurspris!$A$1:$Q$852,6,FALSE)</f>
        <v>0</v>
      </c>
      <c r="AH142" s="31">
        <f>VLOOKUP($A142,kurspris!$A$1:$Q$852,7,FALSE)</f>
        <v>0</v>
      </c>
      <c r="AI142" s="31">
        <f>VLOOKUP($A142,kurspris!$A$1:$Q$852,8,FALSE)</f>
        <v>0</v>
      </c>
      <c r="AJ142" s="31">
        <f>VLOOKUP($A142,kurspris!$A$1:$Q$852,9,FALSE)</f>
        <v>0</v>
      </c>
      <c r="AK142" s="31">
        <f>VLOOKUP($A142,kurspris!$A$1:$Q$852,10,FALSE)</f>
        <v>0</v>
      </c>
      <c r="AL142" s="31">
        <f>VLOOKUP($A142,kurspris!$A$1:$Q$852,11,FALSE)</f>
        <v>0</v>
      </c>
      <c r="AM142" s="31">
        <f>VLOOKUP($A142,kurspris!$A$1:$Q$852,12,FALSE)</f>
        <v>0</v>
      </c>
      <c r="AN142" s="31">
        <f>VLOOKUP($A142,kurspris!$A$1:$Q$852,13,FALSE)</f>
        <v>0</v>
      </c>
      <c r="AO142" s="31">
        <f>VLOOKUP($A142,kurspris!$A$1:$Q$852,14,FALSE)</f>
        <v>0</v>
      </c>
      <c r="AP142" s="59" t="s">
        <v>2216</v>
      </c>
      <c r="AR142" s="31">
        <f t="shared" si="58"/>
        <v>0</v>
      </c>
      <c r="AS142" s="237">
        <f t="shared" si="59"/>
        <v>0</v>
      </c>
      <c r="AT142" s="31">
        <f t="shared" si="60"/>
        <v>5.5833300000000001</v>
      </c>
      <c r="AU142" s="237">
        <f t="shared" si="61"/>
        <v>4.4666640000000006</v>
      </c>
      <c r="AV142" s="31">
        <f t="shared" si="62"/>
        <v>0</v>
      </c>
      <c r="AW142" s="31">
        <f t="shared" si="63"/>
        <v>0</v>
      </c>
      <c r="AX142" s="31">
        <f t="shared" si="64"/>
        <v>0</v>
      </c>
      <c r="AY142" s="237">
        <f t="shared" si="65"/>
        <v>0</v>
      </c>
      <c r="AZ142" s="214">
        <f t="shared" si="66"/>
        <v>0</v>
      </c>
      <c r="BA142" s="237">
        <f t="shared" si="67"/>
        <v>0</v>
      </c>
      <c r="BB142" s="31">
        <f t="shared" si="68"/>
        <v>0</v>
      </c>
      <c r="BC142" s="237">
        <f t="shared" si="69"/>
        <v>0</v>
      </c>
      <c r="BD142" s="31">
        <f t="shared" si="70"/>
        <v>0</v>
      </c>
      <c r="BE142" s="237">
        <f t="shared" si="71"/>
        <v>0</v>
      </c>
      <c r="BF142" s="31">
        <f t="shared" si="72"/>
        <v>0</v>
      </c>
      <c r="BG142" s="237">
        <f t="shared" si="73"/>
        <v>0</v>
      </c>
      <c r="BH142" s="31">
        <f t="shared" si="74"/>
        <v>0</v>
      </c>
      <c r="BI142" s="237">
        <f t="shared" si="75"/>
        <v>0</v>
      </c>
      <c r="BJ142" s="31">
        <f t="shared" si="76"/>
        <v>0</v>
      </c>
      <c r="BK142" s="31">
        <f t="shared" si="77"/>
        <v>0</v>
      </c>
      <c r="BL142" s="237">
        <f t="shared" si="78"/>
        <v>0</v>
      </c>
      <c r="BM142" s="31">
        <f t="shared" si="79"/>
        <v>0</v>
      </c>
      <c r="BN142" s="237">
        <f t="shared" si="80"/>
        <v>0</v>
      </c>
    </row>
    <row r="143" spans="1:66" x14ac:dyDescent="0.25">
      <c r="A143" s="31" t="s">
        <v>1829</v>
      </c>
      <c r="B143" s="182" t="str">
        <f>VLOOKUP(A143,kurspris!$A$1:$B$894,2,FALSE)</f>
        <v>Människans språk: Lingvistik för lärare</v>
      </c>
      <c r="D143" s="31" t="s">
        <v>117</v>
      </c>
      <c r="F143" s="59">
        <v>2019</v>
      </c>
      <c r="Q143" s="237">
        <v>1.75</v>
      </c>
      <c r="R143" s="40">
        <v>0.8</v>
      </c>
      <c r="S143" s="313">
        <f t="shared" si="54"/>
        <v>1.4000000000000001</v>
      </c>
      <c r="T143" s="31">
        <f>VLOOKUP(A143,'Ansvar kurs'!$A$1:$C$1027,2,FALSE)</f>
        <v>1620</v>
      </c>
      <c r="U143" s="31" t="str">
        <f>VLOOKUP(T143,Orgenheter!$A$1:$C$165,2,FALSE)</f>
        <v>Inst för språkstudier</v>
      </c>
      <c r="V143" s="31" t="str">
        <f>VLOOKUP(T143,Orgenheter!$A$1:$C$165,3,FALSE)</f>
        <v>Hum</v>
      </c>
      <c r="W143" s="37" t="str">
        <f>VLOOKUP(D143,Program!$A$1:$B$34,2,FALSE)</f>
        <v>Fristående och övriga kurser</v>
      </c>
      <c r="X143" s="42">
        <f>VLOOKUP(A143,kurspris!$A$1:$Q$815,15,FALSE)</f>
        <v>18405</v>
      </c>
      <c r="Y143" s="42">
        <f>VLOOKUP(A143,kurspris!$A$1:$Q$815,16,FALSE)</f>
        <v>15773</v>
      </c>
      <c r="Z143" s="42">
        <f t="shared" si="55"/>
        <v>54290.95</v>
      </c>
      <c r="AA143" s="42">
        <f>VLOOKUP(A143,kurspris!$A$1:$Q$815,17,FALSE)</f>
        <v>5800</v>
      </c>
      <c r="AB143" s="42">
        <f t="shared" si="56"/>
        <v>10150</v>
      </c>
      <c r="AC143" s="42">
        <f t="shared" si="57"/>
        <v>64440.95</v>
      </c>
      <c r="AD143" s="31">
        <f>VLOOKUP($A143,kurspris!$A$1:$Q$852,3,FALSE)</f>
        <v>0</v>
      </c>
      <c r="AE143" s="31">
        <f>VLOOKUP($A143,kurspris!$A$1:$Q$852,4,FALSE)</f>
        <v>1</v>
      </c>
      <c r="AF143" s="31">
        <f>VLOOKUP($A143,kurspris!$A$1:$Q$852,5,FALSE)</f>
        <v>0</v>
      </c>
      <c r="AG143" s="31">
        <f>VLOOKUP($A143,kurspris!$A$1:$Q$852,6,FALSE)</f>
        <v>0</v>
      </c>
      <c r="AH143" s="31">
        <f>VLOOKUP($A143,kurspris!$A$1:$Q$852,7,FALSE)</f>
        <v>0</v>
      </c>
      <c r="AI143" s="31">
        <f>VLOOKUP($A143,kurspris!$A$1:$Q$852,8,FALSE)</f>
        <v>0</v>
      </c>
      <c r="AJ143" s="31">
        <f>VLOOKUP($A143,kurspris!$A$1:$Q$852,9,FALSE)</f>
        <v>0</v>
      </c>
      <c r="AK143" s="31">
        <f>VLOOKUP($A143,kurspris!$A$1:$Q$852,10,FALSE)</f>
        <v>0</v>
      </c>
      <c r="AL143" s="31">
        <f>VLOOKUP($A143,kurspris!$A$1:$Q$852,11,FALSE)</f>
        <v>0</v>
      </c>
      <c r="AM143" s="31">
        <f>VLOOKUP($A143,kurspris!$A$1:$Q$852,12,FALSE)</f>
        <v>0</v>
      </c>
      <c r="AN143" s="31">
        <f>VLOOKUP($A143,kurspris!$A$1:$Q$852,13,FALSE)</f>
        <v>0</v>
      </c>
      <c r="AO143" s="31">
        <f>VLOOKUP($A143,kurspris!$A$1:$Q$852,14,FALSE)</f>
        <v>0</v>
      </c>
      <c r="AP143" s="59" t="s">
        <v>2216</v>
      </c>
      <c r="AR143" s="31">
        <f t="shared" si="58"/>
        <v>0</v>
      </c>
      <c r="AS143" s="237">
        <f t="shared" si="59"/>
        <v>0</v>
      </c>
      <c r="AT143" s="31">
        <f t="shared" si="60"/>
        <v>1.75</v>
      </c>
      <c r="AU143" s="237">
        <f t="shared" si="61"/>
        <v>1.4000000000000001</v>
      </c>
      <c r="AV143" s="31">
        <f t="shared" si="62"/>
        <v>0</v>
      </c>
      <c r="AW143" s="31">
        <f t="shared" si="63"/>
        <v>0</v>
      </c>
      <c r="AX143" s="31">
        <f t="shared" si="64"/>
        <v>0</v>
      </c>
      <c r="AY143" s="237">
        <f t="shared" si="65"/>
        <v>0</v>
      </c>
      <c r="AZ143" s="214">
        <f t="shared" si="66"/>
        <v>0</v>
      </c>
      <c r="BA143" s="237">
        <f t="shared" si="67"/>
        <v>0</v>
      </c>
      <c r="BB143" s="31">
        <f t="shared" si="68"/>
        <v>0</v>
      </c>
      <c r="BC143" s="237">
        <f t="shared" si="69"/>
        <v>0</v>
      </c>
      <c r="BD143" s="31">
        <f t="shared" si="70"/>
        <v>0</v>
      </c>
      <c r="BE143" s="237">
        <f t="shared" si="71"/>
        <v>0</v>
      </c>
      <c r="BF143" s="31">
        <f t="shared" si="72"/>
        <v>0</v>
      </c>
      <c r="BG143" s="237">
        <f t="shared" si="73"/>
        <v>0</v>
      </c>
      <c r="BH143" s="31">
        <f t="shared" si="74"/>
        <v>0</v>
      </c>
      <c r="BI143" s="237">
        <f t="shared" si="75"/>
        <v>0</v>
      </c>
      <c r="BJ143" s="31">
        <f t="shared" si="76"/>
        <v>0</v>
      </c>
      <c r="BK143" s="31">
        <f t="shared" si="77"/>
        <v>0</v>
      </c>
      <c r="BL143" s="237">
        <f t="shared" si="78"/>
        <v>0</v>
      </c>
      <c r="BM143" s="31">
        <f t="shared" si="79"/>
        <v>0</v>
      </c>
      <c r="BN143" s="237">
        <f t="shared" si="80"/>
        <v>0</v>
      </c>
    </row>
    <row r="144" spans="1:66" x14ac:dyDescent="0.25">
      <c r="A144" s="159" t="s">
        <v>1950</v>
      </c>
      <c r="B144" s="182" t="str">
        <f>VLOOKUP(A144,kurspris!$A$1:$B$894,2,FALSE)</f>
        <v>Specialpedagogik med fokus på svenska och matematik för F-3</v>
      </c>
      <c r="C144" s="37"/>
      <c r="D144" s="31" t="s">
        <v>486</v>
      </c>
      <c r="F144" s="59">
        <v>2019</v>
      </c>
      <c r="Q144" s="237">
        <v>8.25</v>
      </c>
      <c r="R144" s="40">
        <v>0.85</v>
      </c>
      <c r="S144" s="313">
        <f t="shared" si="54"/>
        <v>7.0125000000000002</v>
      </c>
      <c r="T144" s="31">
        <f>VLOOKUP(A144,'Ansvar kurs'!$A$1:$C$1027,2,FALSE)</f>
        <v>1620</v>
      </c>
      <c r="U144" s="31" t="str">
        <f>VLOOKUP(T144,Orgenheter!$A$1:$C$165,2,FALSE)</f>
        <v>Inst för språkstudier</v>
      </c>
      <c r="V144" s="31" t="str">
        <f>VLOOKUP(T144,Orgenheter!$A$1:$C$165,3,FALSE)</f>
        <v>Hum</v>
      </c>
      <c r="W144" s="37" t="str">
        <f>VLOOKUP(D144,Program!$A$1:$B$34,2,FALSE)</f>
        <v>Grundlärarprogrammet - förskoleklass och åk 1-3</v>
      </c>
      <c r="X144" s="42">
        <f>VLOOKUP(A144,kurspris!$A$1:$Q$815,15,FALSE)</f>
        <v>18405</v>
      </c>
      <c r="Y144" s="42">
        <f>VLOOKUP(A144,kurspris!$A$1:$Q$815,16,FALSE)</f>
        <v>15773</v>
      </c>
      <c r="Z144" s="42">
        <f t="shared" si="55"/>
        <v>262449.41249999998</v>
      </c>
      <c r="AA144" s="42">
        <f>VLOOKUP(A144,kurspris!$A$1:$Q$815,17,FALSE)</f>
        <v>5800</v>
      </c>
      <c r="AB144" s="42">
        <f t="shared" si="56"/>
        <v>47850</v>
      </c>
      <c r="AC144" s="42">
        <f t="shared" si="57"/>
        <v>310299.41249999998</v>
      </c>
      <c r="AD144" s="31">
        <f>VLOOKUP($A144,kurspris!$A$1:$Q$852,3,FALSE)</f>
        <v>0</v>
      </c>
      <c r="AE144" s="31">
        <f>VLOOKUP($A144,kurspris!$A$1:$Q$852,4,FALSE)</f>
        <v>1</v>
      </c>
      <c r="AF144" s="31">
        <f>VLOOKUP($A144,kurspris!$A$1:$Q$852,5,FALSE)</f>
        <v>0</v>
      </c>
      <c r="AG144" s="31">
        <f>VLOOKUP($A144,kurspris!$A$1:$Q$852,6,FALSE)</f>
        <v>0</v>
      </c>
      <c r="AH144" s="31">
        <f>VLOOKUP($A144,kurspris!$A$1:$Q$852,7,FALSE)</f>
        <v>0</v>
      </c>
      <c r="AI144" s="31">
        <f>VLOOKUP($A144,kurspris!$A$1:$Q$852,8,FALSE)</f>
        <v>0</v>
      </c>
      <c r="AJ144" s="31">
        <f>VLOOKUP($A144,kurspris!$A$1:$Q$852,9,FALSE)</f>
        <v>0</v>
      </c>
      <c r="AK144" s="31">
        <f>VLOOKUP($A144,kurspris!$A$1:$Q$852,10,FALSE)</f>
        <v>0</v>
      </c>
      <c r="AL144" s="31">
        <f>VLOOKUP($A144,kurspris!$A$1:$Q$852,11,FALSE)</f>
        <v>0</v>
      </c>
      <c r="AM144" s="31">
        <f>VLOOKUP($A144,kurspris!$A$1:$Q$852,12,FALSE)</f>
        <v>0</v>
      </c>
      <c r="AN144" s="31">
        <f>VLOOKUP($A144,kurspris!$A$1:$Q$852,13,FALSE)</f>
        <v>0</v>
      </c>
      <c r="AO144" s="31">
        <f>VLOOKUP($A144,kurspris!$A$1:$Q$852,14,FALSE)</f>
        <v>0</v>
      </c>
      <c r="AP144" s="59" t="s">
        <v>2216</v>
      </c>
      <c r="AR144" s="31">
        <f t="shared" si="58"/>
        <v>0</v>
      </c>
      <c r="AS144" s="237">
        <f t="shared" si="59"/>
        <v>0</v>
      </c>
      <c r="AT144" s="31">
        <f t="shared" si="60"/>
        <v>8.25</v>
      </c>
      <c r="AU144" s="237">
        <f t="shared" si="61"/>
        <v>7.0125000000000002</v>
      </c>
      <c r="AV144" s="31">
        <f t="shared" si="62"/>
        <v>0</v>
      </c>
      <c r="AW144" s="31">
        <f t="shared" si="63"/>
        <v>0</v>
      </c>
      <c r="AX144" s="31">
        <f t="shared" si="64"/>
        <v>0</v>
      </c>
      <c r="AY144" s="237">
        <f t="shared" si="65"/>
        <v>0</v>
      </c>
      <c r="AZ144" s="214">
        <f t="shared" si="66"/>
        <v>0</v>
      </c>
      <c r="BA144" s="237">
        <f t="shared" si="67"/>
        <v>0</v>
      </c>
      <c r="BB144" s="31">
        <f t="shared" si="68"/>
        <v>0</v>
      </c>
      <c r="BC144" s="237">
        <f t="shared" si="69"/>
        <v>0</v>
      </c>
      <c r="BD144" s="31">
        <f t="shared" si="70"/>
        <v>0</v>
      </c>
      <c r="BE144" s="237">
        <f t="shared" si="71"/>
        <v>0</v>
      </c>
      <c r="BF144" s="31">
        <f t="shared" si="72"/>
        <v>0</v>
      </c>
      <c r="BG144" s="237">
        <f t="shared" si="73"/>
        <v>0</v>
      </c>
      <c r="BH144" s="31">
        <f t="shared" si="74"/>
        <v>0</v>
      </c>
      <c r="BI144" s="237">
        <f t="shared" si="75"/>
        <v>0</v>
      </c>
      <c r="BJ144" s="31">
        <f t="shared" si="76"/>
        <v>0</v>
      </c>
      <c r="BK144" s="31">
        <f t="shared" si="77"/>
        <v>0</v>
      </c>
      <c r="BL144" s="237">
        <f t="shared" si="78"/>
        <v>0</v>
      </c>
      <c r="BM144" s="31">
        <f t="shared" si="79"/>
        <v>0</v>
      </c>
      <c r="BN144" s="237">
        <f t="shared" si="80"/>
        <v>0</v>
      </c>
    </row>
    <row r="145" spans="1:66" x14ac:dyDescent="0.25">
      <c r="A145" s="159" t="s">
        <v>470</v>
      </c>
      <c r="B145" s="182" t="str">
        <f>VLOOKUP(A145,kurspris!$A$1:$B$894,2,FALSE)</f>
        <v>Demokrati, individ och samhälle</v>
      </c>
      <c r="C145" s="37"/>
      <c r="D145" s="31" t="s">
        <v>628</v>
      </c>
      <c r="F145" s="59">
        <v>2019</v>
      </c>
      <c r="Q145" s="237">
        <v>2.6666699999999999</v>
      </c>
      <c r="R145" s="40">
        <v>0.85</v>
      </c>
      <c r="S145" s="313">
        <f t="shared" si="54"/>
        <v>2.2666694999999999</v>
      </c>
      <c r="T145" s="31">
        <f>VLOOKUP(A145,'Ansvar kurs'!$A$1:$C$1027,2,FALSE)</f>
        <v>1630</v>
      </c>
      <c r="U145" s="31" t="str">
        <f>VLOOKUP(T145,Orgenheter!$A$1:$C$165,2,FALSE)</f>
        <v>Inst för ide- o samhällsstudier</v>
      </c>
      <c r="V145" s="31" t="str">
        <f>VLOOKUP(T145,Orgenheter!$A$1:$C$165,3,FALSE)</f>
        <v>Hum</v>
      </c>
      <c r="W145" s="37" t="str">
        <f>VLOOKUP(D145,Program!$A$1:$B$34,2,FALSE)</f>
        <v>KPU - åk 7-9</v>
      </c>
      <c r="X145" s="42">
        <f>VLOOKUP(A145,kurspris!$A$1:$Q$815,15,FALSE)</f>
        <v>23641</v>
      </c>
      <c r="Y145" s="42">
        <f>VLOOKUP(A145,kurspris!$A$1:$Q$815,16,FALSE)</f>
        <v>28786</v>
      </c>
      <c r="Z145" s="42">
        <f t="shared" si="55"/>
        <v>128291.09369699999</v>
      </c>
      <c r="AA145" s="42">
        <f>VLOOKUP(A145,kurspris!$A$1:$Q$815,17,FALSE)</f>
        <v>5800</v>
      </c>
      <c r="AB145" s="42">
        <f t="shared" si="56"/>
        <v>15466.686</v>
      </c>
      <c r="AC145" s="42">
        <f t="shared" si="57"/>
        <v>143757.77969699999</v>
      </c>
      <c r="AD145" s="31">
        <f>VLOOKUP($A145,kurspris!$A$1:$Q$852,3,FALSE)</f>
        <v>0</v>
      </c>
      <c r="AE145" s="31">
        <f>VLOOKUP($A145,kurspris!$A$1:$Q$852,4,FALSE)</f>
        <v>0</v>
      </c>
      <c r="AF145" s="31">
        <f>VLOOKUP($A145,kurspris!$A$1:$Q$852,5,FALSE)</f>
        <v>0</v>
      </c>
      <c r="AG145" s="31">
        <f>VLOOKUP($A145,kurspris!$A$1:$Q$852,6,FALSE)</f>
        <v>1</v>
      </c>
      <c r="AH145" s="31">
        <f>VLOOKUP($A145,kurspris!$A$1:$Q$852,7,FALSE)</f>
        <v>0</v>
      </c>
      <c r="AI145" s="31">
        <f>VLOOKUP($A145,kurspris!$A$1:$Q$852,8,FALSE)</f>
        <v>0</v>
      </c>
      <c r="AJ145" s="31">
        <f>VLOOKUP($A145,kurspris!$A$1:$Q$852,9,FALSE)</f>
        <v>0</v>
      </c>
      <c r="AK145" s="31">
        <f>VLOOKUP($A145,kurspris!$A$1:$Q$852,10,FALSE)</f>
        <v>0</v>
      </c>
      <c r="AL145" s="31">
        <f>VLOOKUP($A145,kurspris!$A$1:$Q$852,11,FALSE)</f>
        <v>0</v>
      </c>
      <c r="AM145" s="31">
        <f>VLOOKUP($A145,kurspris!$A$1:$Q$852,12,FALSE)</f>
        <v>0</v>
      </c>
      <c r="AN145" s="31">
        <f>VLOOKUP($A145,kurspris!$A$1:$Q$852,13,FALSE)</f>
        <v>0</v>
      </c>
      <c r="AO145" s="31">
        <f>VLOOKUP($A145,kurspris!$A$1:$Q$852,14,FALSE)</f>
        <v>0</v>
      </c>
      <c r="AP145" s="59" t="s">
        <v>2216</v>
      </c>
      <c r="AR145" s="31">
        <f t="shared" si="58"/>
        <v>0</v>
      </c>
      <c r="AS145" s="237">
        <f t="shared" si="59"/>
        <v>0</v>
      </c>
      <c r="AT145" s="31">
        <f t="shared" si="60"/>
        <v>0</v>
      </c>
      <c r="AU145" s="237">
        <f t="shared" si="61"/>
        <v>0</v>
      </c>
      <c r="AV145" s="31">
        <f t="shared" si="62"/>
        <v>0</v>
      </c>
      <c r="AW145" s="31">
        <f t="shared" si="63"/>
        <v>0</v>
      </c>
      <c r="AX145" s="31">
        <f t="shared" si="64"/>
        <v>2.6666699999999999</v>
      </c>
      <c r="AY145" s="237">
        <f t="shared" si="65"/>
        <v>2.2666694999999999</v>
      </c>
      <c r="AZ145" s="214">
        <f t="shared" si="66"/>
        <v>0</v>
      </c>
      <c r="BA145" s="237">
        <f t="shared" si="67"/>
        <v>0</v>
      </c>
      <c r="BB145" s="31">
        <f t="shared" si="68"/>
        <v>0</v>
      </c>
      <c r="BC145" s="237">
        <f t="shared" si="69"/>
        <v>0</v>
      </c>
      <c r="BD145" s="31">
        <f t="shared" si="70"/>
        <v>0</v>
      </c>
      <c r="BE145" s="237">
        <f t="shared" si="71"/>
        <v>0</v>
      </c>
      <c r="BF145" s="31">
        <f t="shared" si="72"/>
        <v>0</v>
      </c>
      <c r="BG145" s="237">
        <f t="shared" si="73"/>
        <v>0</v>
      </c>
      <c r="BH145" s="31">
        <f t="shared" si="74"/>
        <v>0</v>
      </c>
      <c r="BI145" s="237">
        <f t="shared" si="75"/>
        <v>0</v>
      </c>
      <c r="BJ145" s="31">
        <f t="shared" si="76"/>
        <v>0</v>
      </c>
      <c r="BK145" s="31">
        <f t="shared" si="77"/>
        <v>0</v>
      </c>
      <c r="BL145" s="237">
        <f t="shared" si="78"/>
        <v>0</v>
      </c>
      <c r="BM145" s="31">
        <f t="shared" si="79"/>
        <v>0</v>
      </c>
      <c r="BN145" s="237">
        <f t="shared" si="80"/>
        <v>0</v>
      </c>
    </row>
    <row r="146" spans="1:66" x14ac:dyDescent="0.25">
      <c r="A146" s="159" t="s">
        <v>470</v>
      </c>
      <c r="B146" s="182" t="str">
        <f>VLOOKUP(A146,kurspris!$A$1:$B$894,2,FALSE)</f>
        <v>Demokrati, individ och samhälle</v>
      </c>
      <c r="C146" s="37"/>
      <c r="D146" s="31" t="s">
        <v>629</v>
      </c>
      <c r="F146" s="59">
        <v>2019</v>
      </c>
      <c r="Q146" s="237">
        <v>1</v>
      </c>
      <c r="R146" s="40">
        <v>0.85</v>
      </c>
      <c r="S146" s="313">
        <f t="shared" si="54"/>
        <v>0.85</v>
      </c>
      <c r="T146" s="31">
        <f>VLOOKUP(A146,'Ansvar kurs'!$A$1:$C$1027,2,FALSE)</f>
        <v>1630</v>
      </c>
      <c r="U146" s="31" t="str">
        <f>VLOOKUP(T146,Orgenheter!$A$1:$C$165,2,FALSE)</f>
        <v>Inst för ide- o samhällsstudier</v>
      </c>
      <c r="V146" s="31" t="str">
        <f>VLOOKUP(T146,Orgenheter!$A$1:$C$165,3,FALSE)</f>
        <v>Hum</v>
      </c>
      <c r="W146" s="37" t="str">
        <f>VLOOKUP(D146,Program!$A$1:$B$34,2,FALSE)</f>
        <v>KPU - Gy</v>
      </c>
      <c r="X146" s="42">
        <f>VLOOKUP(A146,kurspris!$A$1:$Q$815,15,FALSE)</f>
        <v>23641</v>
      </c>
      <c r="Y146" s="42">
        <f>VLOOKUP(A146,kurspris!$A$1:$Q$815,16,FALSE)</f>
        <v>28786</v>
      </c>
      <c r="Z146" s="42">
        <f t="shared" si="55"/>
        <v>48109.1</v>
      </c>
      <c r="AA146" s="42">
        <f>VLOOKUP(A146,kurspris!$A$1:$Q$815,17,FALSE)</f>
        <v>5800</v>
      </c>
      <c r="AB146" s="42">
        <f t="shared" si="56"/>
        <v>5800</v>
      </c>
      <c r="AC146" s="42">
        <f t="shared" si="57"/>
        <v>53909.1</v>
      </c>
      <c r="AD146" s="31">
        <f>VLOOKUP($A146,kurspris!$A$1:$Q$852,3,FALSE)</f>
        <v>0</v>
      </c>
      <c r="AE146" s="31">
        <f>VLOOKUP($A146,kurspris!$A$1:$Q$852,4,FALSE)</f>
        <v>0</v>
      </c>
      <c r="AF146" s="31">
        <f>VLOOKUP($A146,kurspris!$A$1:$Q$852,5,FALSE)</f>
        <v>0</v>
      </c>
      <c r="AG146" s="31">
        <f>VLOOKUP($A146,kurspris!$A$1:$Q$852,6,FALSE)</f>
        <v>1</v>
      </c>
      <c r="AH146" s="31">
        <f>VLOOKUP($A146,kurspris!$A$1:$Q$852,7,FALSE)</f>
        <v>0</v>
      </c>
      <c r="AI146" s="31">
        <f>VLOOKUP($A146,kurspris!$A$1:$Q$852,8,FALSE)</f>
        <v>0</v>
      </c>
      <c r="AJ146" s="31">
        <f>VLOOKUP($A146,kurspris!$A$1:$Q$852,9,FALSE)</f>
        <v>0</v>
      </c>
      <c r="AK146" s="31">
        <f>VLOOKUP($A146,kurspris!$A$1:$Q$852,10,FALSE)</f>
        <v>0</v>
      </c>
      <c r="AL146" s="31">
        <f>VLOOKUP($A146,kurspris!$A$1:$Q$852,11,FALSE)</f>
        <v>0</v>
      </c>
      <c r="AM146" s="31">
        <f>VLOOKUP($A146,kurspris!$A$1:$Q$852,12,FALSE)</f>
        <v>0</v>
      </c>
      <c r="AN146" s="31">
        <f>VLOOKUP($A146,kurspris!$A$1:$Q$852,13,FALSE)</f>
        <v>0</v>
      </c>
      <c r="AO146" s="31">
        <f>VLOOKUP($A146,kurspris!$A$1:$Q$852,14,FALSE)</f>
        <v>0</v>
      </c>
      <c r="AP146" s="59" t="s">
        <v>2216</v>
      </c>
      <c r="AR146" s="31">
        <f t="shared" si="58"/>
        <v>0</v>
      </c>
      <c r="AS146" s="237">
        <f t="shared" si="59"/>
        <v>0</v>
      </c>
      <c r="AT146" s="31">
        <f t="shared" si="60"/>
        <v>0</v>
      </c>
      <c r="AU146" s="237">
        <f t="shared" si="61"/>
        <v>0</v>
      </c>
      <c r="AV146" s="31">
        <f t="shared" si="62"/>
        <v>0</v>
      </c>
      <c r="AW146" s="31">
        <f t="shared" si="63"/>
        <v>0</v>
      </c>
      <c r="AX146" s="31">
        <f t="shared" si="64"/>
        <v>1</v>
      </c>
      <c r="AY146" s="237">
        <f t="shared" si="65"/>
        <v>0.85</v>
      </c>
      <c r="AZ146" s="214">
        <f t="shared" si="66"/>
        <v>0</v>
      </c>
      <c r="BA146" s="237">
        <f t="shared" si="67"/>
        <v>0</v>
      </c>
      <c r="BB146" s="31">
        <f t="shared" si="68"/>
        <v>0</v>
      </c>
      <c r="BC146" s="237">
        <f t="shared" si="69"/>
        <v>0</v>
      </c>
      <c r="BD146" s="31">
        <f t="shared" si="70"/>
        <v>0</v>
      </c>
      <c r="BE146" s="237">
        <f t="shared" si="71"/>
        <v>0</v>
      </c>
      <c r="BF146" s="31">
        <f t="shared" si="72"/>
        <v>0</v>
      </c>
      <c r="BG146" s="237">
        <f t="shared" si="73"/>
        <v>0</v>
      </c>
      <c r="BH146" s="31">
        <f t="shared" si="74"/>
        <v>0</v>
      </c>
      <c r="BI146" s="237">
        <f t="shared" si="75"/>
        <v>0</v>
      </c>
      <c r="BJ146" s="31">
        <f t="shared" si="76"/>
        <v>0</v>
      </c>
      <c r="BK146" s="31">
        <f t="shared" si="77"/>
        <v>0</v>
      </c>
      <c r="BL146" s="237">
        <f t="shared" si="78"/>
        <v>0</v>
      </c>
      <c r="BM146" s="31">
        <f t="shared" si="79"/>
        <v>0</v>
      </c>
      <c r="BN146" s="237">
        <f t="shared" si="80"/>
        <v>0</v>
      </c>
    </row>
    <row r="147" spans="1:66" x14ac:dyDescent="0.25">
      <c r="A147" s="31" t="s">
        <v>470</v>
      </c>
      <c r="B147" s="182" t="str">
        <f>VLOOKUP(A147,kurspris!$A$1:$B$894,2,FALSE)</f>
        <v>Demokrati, individ och samhälle</v>
      </c>
      <c r="D147" s="31" t="s">
        <v>627</v>
      </c>
      <c r="F147" s="59">
        <v>2019</v>
      </c>
      <c r="Q147" s="237">
        <v>9.6666699999999999</v>
      </c>
      <c r="R147" s="40">
        <v>0.85</v>
      </c>
      <c r="S147" s="313">
        <f t="shared" si="54"/>
        <v>8.2166695000000001</v>
      </c>
      <c r="T147" s="31">
        <f>VLOOKUP(A147,'Ansvar kurs'!$A$1:$C$1027,2,FALSE)</f>
        <v>1630</v>
      </c>
      <c r="U147" s="31" t="str">
        <f>VLOOKUP(T147,Orgenheter!$A$1:$C$165,2,FALSE)</f>
        <v>Inst för ide- o samhällsstudier</v>
      </c>
      <c r="V147" s="31" t="str">
        <f>VLOOKUP(T147,Orgenheter!$A$1:$C$165,3,FALSE)</f>
        <v>Hum</v>
      </c>
      <c r="W147" s="37" t="str">
        <f>VLOOKUP(D147,Program!$A$1:$B$34,2,FALSE)</f>
        <v>Yrkeslärarprogrammet</v>
      </c>
      <c r="X147" s="42">
        <f>VLOOKUP(A147,kurspris!$A$1:$Q$815,15,FALSE)</f>
        <v>23641</v>
      </c>
      <c r="Y147" s="42">
        <f>VLOOKUP(A147,kurspris!$A$1:$Q$815,16,FALSE)</f>
        <v>28786</v>
      </c>
      <c r="Z147" s="42">
        <f t="shared" si="55"/>
        <v>465054.79369700002</v>
      </c>
      <c r="AA147" s="42">
        <f>VLOOKUP(A147,kurspris!$A$1:$Q$815,17,FALSE)</f>
        <v>5800</v>
      </c>
      <c r="AB147" s="42">
        <f t="shared" si="56"/>
        <v>56066.686000000002</v>
      </c>
      <c r="AC147" s="42">
        <f t="shared" si="57"/>
        <v>521121.479697</v>
      </c>
      <c r="AD147" s="31">
        <f>VLOOKUP($A147,kurspris!$A$1:$Q$852,3,FALSE)</f>
        <v>0</v>
      </c>
      <c r="AE147" s="31">
        <f>VLOOKUP($A147,kurspris!$A$1:$Q$852,4,FALSE)</f>
        <v>0</v>
      </c>
      <c r="AF147" s="31">
        <f>VLOOKUP($A147,kurspris!$A$1:$Q$852,5,FALSE)</f>
        <v>0</v>
      </c>
      <c r="AG147" s="31">
        <f>VLOOKUP($A147,kurspris!$A$1:$Q$852,6,FALSE)</f>
        <v>1</v>
      </c>
      <c r="AH147" s="31">
        <f>VLOOKUP($A147,kurspris!$A$1:$Q$852,7,FALSE)</f>
        <v>0</v>
      </c>
      <c r="AI147" s="31">
        <f>VLOOKUP($A147,kurspris!$A$1:$Q$852,8,FALSE)</f>
        <v>0</v>
      </c>
      <c r="AJ147" s="31">
        <f>VLOOKUP($A147,kurspris!$A$1:$Q$852,9,FALSE)</f>
        <v>0</v>
      </c>
      <c r="AK147" s="31">
        <f>VLOOKUP($A147,kurspris!$A$1:$Q$852,10,FALSE)</f>
        <v>0</v>
      </c>
      <c r="AL147" s="31">
        <f>VLOOKUP($A147,kurspris!$A$1:$Q$852,11,FALSE)</f>
        <v>0</v>
      </c>
      <c r="AM147" s="31">
        <f>VLOOKUP($A147,kurspris!$A$1:$Q$852,12,FALSE)</f>
        <v>0</v>
      </c>
      <c r="AN147" s="31">
        <f>VLOOKUP($A147,kurspris!$A$1:$Q$852,13,FALSE)</f>
        <v>0</v>
      </c>
      <c r="AO147" s="31">
        <f>VLOOKUP($A147,kurspris!$A$1:$Q$852,14,FALSE)</f>
        <v>0</v>
      </c>
      <c r="AP147" s="59" t="s">
        <v>2216</v>
      </c>
      <c r="AQ147" s="59"/>
      <c r="AR147" s="31">
        <f t="shared" si="58"/>
        <v>0</v>
      </c>
      <c r="AS147" s="237">
        <f t="shared" si="59"/>
        <v>0</v>
      </c>
      <c r="AT147" s="31">
        <f t="shared" si="60"/>
        <v>0</v>
      </c>
      <c r="AU147" s="237">
        <f t="shared" si="61"/>
        <v>0</v>
      </c>
      <c r="AV147" s="31">
        <f t="shared" si="62"/>
        <v>0</v>
      </c>
      <c r="AW147" s="31">
        <f t="shared" si="63"/>
        <v>0</v>
      </c>
      <c r="AX147" s="31">
        <f t="shared" si="64"/>
        <v>9.6666699999999999</v>
      </c>
      <c r="AY147" s="237">
        <f t="shared" si="65"/>
        <v>8.2166695000000001</v>
      </c>
      <c r="AZ147" s="214">
        <f t="shared" si="66"/>
        <v>0</v>
      </c>
      <c r="BA147" s="237">
        <f t="shared" si="67"/>
        <v>0</v>
      </c>
      <c r="BB147" s="31">
        <f t="shared" si="68"/>
        <v>0</v>
      </c>
      <c r="BC147" s="237">
        <f t="shared" si="69"/>
        <v>0</v>
      </c>
      <c r="BD147" s="31">
        <f t="shared" si="70"/>
        <v>0</v>
      </c>
      <c r="BE147" s="237">
        <f t="shared" si="71"/>
        <v>0</v>
      </c>
      <c r="BF147" s="31">
        <f t="shared" si="72"/>
        <v>0</v>
      </c>
      <c r="BG147" s="237">
        <f t="shared" si="73"/>
        <v>0</v>
      </c>
      <c r="BH147" s="31">
        <f t="shared" si="74"/>
        <v>0</v>
      </c>
      <c r="BI147" s="237">
        <f t="shared" si="75"/>
        <v>0</v>
      </c>
      <c r="BJ147" s="31">
        <f t="shared" si="76"/>
        <v>0</v>
      </c>
      <c r="BK147" s="31">
        <f t="shared" si="77"/>
        <v>0</v>
      </c>
      <c r="BL147" s="237">
        <f t="shared" si="78"/>
        <v>0</v>
      </c>
      <c r="BM147" s="31">
        <f t="shared" si="79"/>
        <v>0</v>
      </c>
      <c r="BN147" s="237">
        <f t="shared" si="80"/>
        <v>0</v>
      </c>
    </row>
    <row r="148" spans="1:66" x14ac:dyDescent="0.25">
      <c r="A148" s="159" t="s">
        <v>471</v>
      </c>
      <c r="B148" s="182" t="str">
        <f>VLOOKUP(A148,kurspris!$A$1:$B$894,2,FALSE)</f>
        <v>Kunskap, undervisning och lärande I</v>
      </c>
      <c r="C148" s="37"/>
      <c r="D148" s="31" t="s">
        <v>628</v>
      </c>
      <c r="F148" s="59">
        <v>2019</v>
      </c>
      <c r="Q148" s="237">
        <v>3</v>
      </c>
      <c r="R148" s="40">
        <v>0.85</v>
      </c>
      <c r="S148" s="313">
        <f t="shared" si="54"/>
        <v>2.5499999999999998</v>
      </c>
      <c r="T148" s="31">
        <f>VLOOKUP(A148,'Ansvar kurs'!$A$1:$C$1027,2,FALSE)</f>
        <v>1630</v>
      </c>
      <c r="U148" s="31" t="str">
        <f>VLOOKUP(T148,Orgenheter!$A$1:$C$165,2,FALSE)</f>
        <v>Inst för ide- o samhällsstudier</v>
      </c>
      <c r="V148" s="31" t="str">
        <f>VLOOKUP(T148,Orgenheter!$A$1:$C$165,3,FALSE)</f>
        <v>Hum</v>
      </c>
      <c r="W148" s="37" t="str">
        <f>VLOOKUP(D148,Program!$A$1:$B$34,2,FALSE)</f>
        <v>KPU - åk 7-9</v>
      </c>
      <c r="X148" s="42">
        <f>VLOOKUP(A148,kurspris!$A$1:$Q$815,15,FALSE)</f>
        <v>23641</v>
      </c>
      <c r="Y148" s="42">
        <f>VLOOKUP(A148,kurspris!$A$1:$Q$815,16,FALSE)</f>
        <v>28786</v>
      </c>
      <c r="Z148" s="42">
        <f t="shared" si="55"/>
        <v>144327.29999999999</v>
      </c>
      <c r="AA148" s="42">
        <f>VLOOKUP(A148,kurspris!$A$1:$Q$815,17,FALSE)</f>
        <v>5800</v>
      </c>
      <c r="AB148" s="42">
        <f t="shared" si="56"/>
        <v>17400</v>
      </c>
      <c r="AC148" s="42">
        <f t="shared" si="57"/>
        <v>161727.29999999999</v>
      </c>
      <c r="AD148" s="31">
        <f>VLOOKUP($A148,kurspris!$A$1:$Q$852,3,FALSE)</f>
        <v>0</v>
      </c>
      <c r="AE148" s="31">
        <f>VLOOKUP($A148,kurspris!$A$1:$Q$852,4,FALSE)</f>
        <v>0</v>
      </c>
      <c r="AF148" s="31">
        <f>VLOOKUP($A148,kurspris!$A$1:$Q$852,5,FALSE)</f>
        <v>0</v>
      </c>
      <c r="AG148" s="31">
        <f>VLOOKUP($A148,kurspris!$A$1:$Q$852,6,FALSE)</f>
        <v>1</v>
      </c>
      <c r="AH148" s="31">
        <f>VLOOKUP($A148,kurspris!$A$1:$Q$852,7,FALSE)</f>
        <v>0</v>
      </c>
      <c r="AI148" s="31">
        <f>VLOOKUP($A148,kurspris!$A$1:$Q$852,8,FALSE)</f>
        <v>0</v>
      </c>
      <c r="AJ148" s="31">
        <f>VLOOKUP($A148,kurspris!$A$1:$Q$852,9,FALSE)</f>
        <v>0</v>
      </c>
      <c r="AK148" s="31">
        <f>VLOOKUP($A148,kurspris!$A$1:$Q$852,10,FALSE)</f>
        <v>0</v>
      </c>
      <c r="AL148" s="31">
        <f>VLOOKUP($A148,kurspris!$A$1:$Q$852,11,FALSE)</f>
        <v>0</v>
      </c>
      <c r="AM148" s="31">
        <f>VLOOKUP($A148,kurspris!$A$1:$Q$852,12,FALSE)</f>
        <v>0</v>
      </c>
      <c r="AN148" s="31">
        <f>VLOOKUP($A148,kurspris!$A$1:$Q$852,13,FALSE)</f>
        <v>0</v>
      </c>
      <c r="AO148" s="31">
        <f>VLOOKUP($A148,kurspris!$A$1:$Q$852,14,FALSE)</f>
        <v>0</v>
      </c>
      <c r="AP148" s="59" t="s">
        <v>2216</v>
      </c>
      <c r="AR148" s="31">
        <f t="shared" si="58"/>
        <v>0</v>
      </c>
      <c r="AS148" s="237">
        <f t="shared" si="59"/>
        <v>0</v>
      </c>
      <c r="AT148" s="31">
        <f t="shared" si="60"/>
        <v>0</v>
      </c>
      <c r="AU148" s="237">
        <f t="shared" si="61"/>
        <v>0</v>
      </c>
      <c r="AV148" s="31">
        <f t="shared" si="62"/>
        <v>0</v>
      </c>
      <c r="AW148" s="31">
        <f t="shared" si="63"/>
        <v>0</v>
      </c>
      <c r="AX148" s="31">
        <f t="shared" si="64"/>
        <v>3</v>
      </c>
      <c r="AY148" s="237">
        <f t="shared" si="65"/>
        <v>2.5499999999999998</v>
      </c>
      <c r="AZ148" s="214">
        <f t="shared" si="66"/>
        <v>0</v>
      </c>
      <c r="BA148" s="237">
        <f t="shared" si="67"/>
        <v>0</v>
      </c>
      <c r="BB148" s="31">
        <f t="shared" si="68"/>
        <v>0</v>
      </c>
      <c r="BC148" s="237">
        <f t="shared" si="69"/>
        <v>0</v>
      </c>
      <c r="BD148" s="31">
        <f t="shared" si="70"/>
        <v>0</v>
      </c>
      <c r="BE148" s="237">
        <f t="shared" si="71"/>
        <v>0</v>
      </c>
      <c r="BF148" s="31">
        <f t="shared" si="72"/>
        <v>0</v>
      </c>
      <c r="BG148" s="237">
        <f t="shared" si="73"/>
        <v>0</v>
      </c>
      <c r="BH148" s="31">
        <f t="shared" si="74"/>
        <v>0</v>
      </c>
      <c r="BI148" s="237">
        <f t="shared" si="75"/>
        <v>0</v>
      </c>
      <c r="BJ148" s="31">
        <f t="shared" si="76"/>
        <v>0</v>
      </c>
      <c r="BK148" s="31">
        <f t="shared" si="77"/>
        <v>0</v>
      </c>
      <c r="BL148" s="237">
        <f t="shared" si="78"/>
        <v>0</v>
      </c>
      <c r="BM148" s="31">
        <f t="shared" si="79"/>
        <v>0</v>
      </c>
      <c r="BN148" s="237">
        <f t="shared" si="80"/>
        <v>0</v>
      </c>
    </row>
    <row r="149" spans="1:66" x14ac:dyDescent="0.25">
      <c r="A149" s="31" t="s">
        <v>471</v>
      </c>
      <c r="B149" s="182" t="str">
        <f>VLOOKUP(A149,kurspris!$A$1:$B$894,2,FALSE)</f>
        <v>Kunskap, undervisning och lärande I</v>
      </c>
      <c r="D149" s="31" t="s">
        <v>629</v>
      </c>
      <c r="F149" s="59">
        <v>2019</v>
      </c>
      <c r="Q149" s="237">
        <v>0.66666999999999998</v>
      </c>
      <c r="R149" s="40">
        <v>0.85</v>
      </c>
      <c r="S149" s="313">
        <f t="shared" si="54"/>
        <v>0.56666949999999994</v>
      </c>
      <c r="T149" s="31">
        <f>VLOOKUP(A149,'Ansvar kurs'!$A$1:$C$1027,2,FALSE)</f>
        <v>1630</v>
      </c>
      <c r="U149" s="31" t="str">
        <f>VLOOKUP(T149,Orgenheter!$A$1:$C$165,2,FALSE)</f>
        <v>Inst för ide- o samhällsstudier</v>
      </c>
      <c r="V149" s="31" t="str">
        <f>VLOOKUP(T149,Orgenheter!$A$1:$C$165,3,FALSE)</f>
        <v>Hum</v>
      </c>
      <c r="W149" s="37" t="str">
        <f>VLOOKUP(D149,Program!$A$1:$B$34,2,FALSE)</f>
        <v>KPU - Gy</v>
      </c>
      <c r="X149" s="42">
        <f>VLOOKUP(A149,kurspris!$A$1:$Q$815,15,FALSE)</f>
        <v>23641</v>
      </c>
      <c r="Y149" s="42">
        <f>VLOOKUP(A149,kurspris!$A$1:$Q$815,16,FALSE)</f>
        <v>28786</v>
      </c>
      <c r="Z149" s="42">
        <f t="shared" si="55"/>
        <v>32072.893697</v>
      </c>
      <c r="AA149" s="42">
        <f>VLOOKUP(A149,kurspris!$A$1:$Q$815,17,FALSE)</f>
        <v>5800</v>
      </c>
      <c r="AB149" s="42">
        <f t="shared" si="56"/>
        <v>3866.6859999999997</v>
      </c>
      <c r="AC149" s="42">
        <f t="shared" si="57"/>
        <v>35939.579697000001</v>
      </c>
      <c r="AD149" s="31">
        <f>VLOOKUP($A149,kurspris!$A$1:$Q$852,3,FALSE)</f>
        <v>0</v>
      </c>
      <c r="AE149" s="31">
        <f>VLOOKUP($A149,kurspris!$A$1:$Q$852,4,FALSE)</f>
        <v>0</v>
      </c>
      <c r="AF149" s="31">
        <f>VLOOKUP($A149,kurspris!$A$1:$Q$852,5,FALSE)</f>
        <v>0</v>
      </c>
      <c r="AG149" s="31">
        <f>VLOOKUP($A149,kurspris!$A$1:$Q$852,6,FALSE)</f>
        <v>1</v>
      </c>
      <c r="AH149" s="31">
        <f>VLOOKUP($A149,kurspris!$A$1:$Q$852,7,FALSE)</f>
        <v>0</v>
      </c>
      <c r="AI149" s="31">
        <f>VLOOKUP($A149,kurspris!$A$1:$Q$852,8,FALSE)</f>
        <v>0</v>
      </c>
      <c r="AJ149" s="31">
        <f>VLOOKUP($A149,kurspris!$A$1:$Q$852,9,FALSE)</f>
        <v>0</v>
      </c>
      <c r="AK149" s="31">
        <f>VLOOKUP($A149,kurspris!$A$1:$Q$852,10,FALSE)</f>
        <v>0</v>
      </c>
      <c r="AL149" s="31">
        <f>VLOOKUP($A149,kurspris!$A$1:$Q$852,11,FALSE)</f>
        <v>0</v>
      </c>
      <c r="AM149" s="31">
        <f>VLOOKUP($A149,kurspris!$A$1:$Q$852,12,FALSE)</f>
        <v>0</v>
      </c>
      <c r="AN149" s="31">
        <f>VLOOKUP($A149,kurspris!$A$1:$Q$852,13,FALSE)</f>
        <v>0</v>
      </c>
      <c r="AO149" s="31">
        <f>VLOOKUP($A149,kurspris!$A$1:$Q$852,14,FALSE)</f>
        <v>0</v>
      </c>
      <c r="AP149" s="59" t="s">
        <v>2216</v>
      </c>
      <c r="AQ149" s="59"/>
      <c r="AR149" s="31">
        <f t="shared" si="58"/>
        <v>0</v>
      </c>
      <c r="AS149" s="237">
        <f t="shared" si="59"/>
        <v>0</v>
      </c>
      <c r="AT149" s="31">
        <f t="shared" si="60"/>
        <v>0</v>
      </c>
      <c r="AU149" s="237">
        <f t="shared" si="61"/>
        <v>0</v>
      </c>
      <c r="AV149" s="31">
        <f t="shared" si="62"/>
        <v>0</v>
      </c>
      <c r="AW149" s="31">
        <f t="shared" si="63"/>
        <v>0</v>
      </c>
      <c r="AX149" s="31">
        <f t="shared" si="64"/>
        <v>0.66666999999999998</v>
      </c>
      <c r="AY149" s="237">
        <f t="shared" si="65"/>
        <v>0.56666949999999994</v>
      </c>
      <c r="AZ149" s="214">
        <f t="shared" si="66"/>
        <v>0</v>
      </c>
      <c r="BA149" s="237">
        <f t="shared" si="67"/>
        <v>0</v>
      </c>
      <c r="BB149" s="31">
        <f t="shared" si="68"/>
        <v>0</v>
      </c>
      <c r="BC149" s="237">
        <f t="shared" si="69"/>
        <v>0</v>
      </c>
      <c r="BD149" s="31">
        <f t="shared" si="70"/>
        <v>0</v>
      </c>
      <c r="BE149" s="237">
        <f t="shared" si="71"/>
        <v>0</v>
      </c>
      <c r="BF149" s="31">
        <f t="shared" si="72"/>
        <v>0</v>
      </c>
      <c r="BG149" s="237">
        <f t="shared" si="73"/>
        <v>0</v>
      </c>
      <c r="BH149" s="31">
        <f t="shared" si="74"/>
        <v>0</v>
      </c>
      <c r="BI149" s="237">
        <f t="shared" si="75"/>
        <v>0</v>
      </c>
      <c r="BJ149" s="31">
        <f t="shared" si="76"/>
        <v>0</v>
      </c>
      <c r="BK149" s="31">
        <f t="shared" si="77"/>
        <v>0</v>
      </c>
      <c r="BL149" s="237">
        <f t="shared" si="78"/>
        <v>0</v>
      </c>
      <c r="BM149" s="31">
        <f t="shared" si="79"/>
        <v>0</v>
      </c>
      <c r="BN149" s="237">
        <f t="shared" si="80"/>
        <v>0</v>
      </c>
    </row>
    <row r="150" spans="1:66" x14ac:dyDescent="0.25">
      <c r="A150" s="31" t="s">
        <v>471</v>
      </c>
      <c r="B150" s="182" t="str">
        <f>VLOOKUP(A150,kurspris!$A$1:$B$894,2,FALSE)</f>
        <v>Kunskap, undervisning och lärande I</v>
      </c>
      <c r="D150" s="31" t="s">
        <v>627</v>
      </c>
      <c r="F150" s="59">
        <v>2019</v>
      </c>
      <c r="Q150" s="237">
        <v>12.83333</v>
      </c>
      <c r="R150" s="40">
        <v>0.85</v>
      </c>
      <c r="S150" s="313">
        <f t="shared" si="54"/>
        <v>10.9083305</v>
      </c>
      <c r="T150" s="31">
        <f>VLOOKUP(A150,'Ansvar kurs'!$A$1:$C$1027,2,FALSE)</f>
        <v>1630</v>
      </c>
      <c r="U150" s="31" t="str">
        <f>VLOOKUP(T150,Orgenheter!$A$1:$C$165,2,FALSE)</f>
        <v>Inst för ide- o samhällsstudier</v>
      </c>
      <c r="V150" s="31" t="str">
        <f>VLOOKUP(T150,Orgenheter!$A$1:$C$165,3,FALSE)</f>
        <v>Hum</v>
      </c>
      <c r="W150" s="37" t="str">
        <f>VLOOKUP(D150,Program!$A$1:$B$34,2,FALSE)</f>
        <v>Yrkeslärarprogrammet</v>
      </c>
      <c r="X150" s="42">
        <f>VLOOKUP(A150,kurspris!$A$1:$Q$815,15,FALSE)</f>
        <v>23641</v>
      </c>
      <c r="Y150" s="42">
        <f>VLOOKUP(A150,kurspris!$A$1:$Q$815,16,FALSE)</f>
        <v>28786</v>
      </c>
      <c r="Z150" s="42">
        <f t="shared" si="55"/>
        <v>617399.95630299998</v>
      </c>
      <c r="AA150" s="42">
        <f>VLOOKUP(A150,kurspris!$A$1:$Q$815,17,FALSE)</f>
        <v>5800</v>
      </c>
      <c r="AB150" s="42">
        <f t="shared" si="56"/>
        <v>74433.313999999998</v>
      </c>
      <c r="AC150" s="42">
        <f t="shared" si="57"/>
        <v>691833.270303</v>
      </c>
      <c r="AD150" s="31">
        <f>VLOOKUP($A150,kurspris!$A$1:$Q$852,3,FALSE)</f>
        <v>0</v>
      </c>
      <c r="AE150" s="31">
        <f>VLOOKUP($A150,kurspris!$A$1:$Q$852,4,FALSE)</f>
        <v>0</v>
      </c>
      <c r="AF150" s="31">
        <f>VLOOKUP($A150,kurspris!$A$1:$Q$852,5,FALSE)</f>
        <v>0</v>
      </c>
      <c r="AG150" s="31">
        <f>VLOOKUP($A150,kurspris!$A$1:$Q$852,6,FALSE)</f>
        <v>1</v>
      </c>
      <c r="AH150" s="31">
        <f>VLOOKUP($A150,kurspris!$A$1:$Q$852,7,FALSE)</f>
        <v>0</v>
      </c>
      <c r="AI150" s="31">
        <f>VLOOKUP($A150,kurspris!$A$1:$Q$852,8,FALSE)</f>
        <v>0</v>
      </c>
      <c r="AJ150" s="31">
        <f>VLOOKUP($A150,kurspris!$A$1:$Q$852,9,FALSE)</f>
        <v>0</v>
      </c>
      <c r="AK150" s="31">
        <f>VLOOKUP($A150,kurspris!$A$1:$Q$852,10,FALSE)</f>
        <v>0</v>
      </c>
      <c r="AL150" s="31">
        <f>VLOOKUP($A150,kurspris!$A$1:$Q$852,11,FALSE)</f>
        <v>0</v>
      </c>
      <c r="AM150" s="31">
        <f>VLOOKUP($A150,kurspris!$A$1:$Q$852,12,FALSE)</f>
        <v>0</v>
      </c>
      <c r="AN150" s="31">
        <f>VLOOKUP($A150,kurspris!$A$1:$Q$852,13,FALSE)</f>
        <v>0</v>
      </c>
      <c r="AO150" s="31">
        <f>VLOOKUP($A150,kurspris!$A$1:$Q$852,14,FALSE)</f>
        <v>0</v>
      </c>
      <c r="AP150" s="59" t="s">
        <v>2216</v>
      </c>
      <c r="AQ150" s="59"/>
      <c r="AR150" s="31">
        <f t="shared" si="58"/>
        <v>0</v>
      </c>
      <c r="AS150" s="237">
        <f t="shared" si="59"/>
        <v>0</v>
      </c>
      <c r="AT150" s="31">
        <f t="shared" si="60"/>
        <v>0</v>
      </c>
      <c r="AU150" s="237">
        <f t="shared" si="61"/>
        <v>0</v>
      </c>
      <c r="AV150" s="31">
        <f t="shared" si="62"/>
        <v>0</v>
      </c>
      <c r="AW150" s="31">
        <f t="shared" si="63"/>
        <v>0</v>
      </c>
      <c r="AX150" s="31">
        <f t="shared" si="64"/>
        <v>12.83333</v>
      </c>
      <c r="AY150" s="237">
        <f t="shared" si="65"/>
        <v>10.9083305</v>
      </c>
      <c r="AZ150" s="214">
        <f t="shared" si="66"/>
        <v>0</v>
      </c>
      <c r="BA150" s="237">
        <f t="shared" si="67"/>
        <v>0</v>
      </c>
      <c r="BB150" s="31">
        <f t="shared" si="68"/>
        <v>0</v>
      </c>
      <c r="BC150" s="237">
        <f t="shared" si="69"/>
        <v>0</v>
      </c>
      <c r="BD150" s="31">
        <f t="shared" si="70"/>
        <v>0</v>
      </c>
      <c r="BE150" s="237">
        <f t="shared" si="71"/>
        <v>0</v>
      </c>
      <c r="BF150" s="31">
        <f t="shared" si="72"/>
        <v>0</v>
      </c>
      <c r="BG150" s="237">
        <f t="shared" si="73"/>
        <v>0</v>
      </c>
      <c r="BH150" s="31">
        <f t="shared" si="74"/>
        <v>0</v>
      </c>
      <c r="BI150" s="237">
        <f t="shared" si="75"/>
        <v>0</v>
      </c>
      <c r="BJ150" s="31">
        <f t="shared" si="76"/>
        <v>0</v>
      </c>
      <c r="BK150" s="31">
        <f t="shared" si="77"/>
        <v>0</v>
      </c>
      <c r="BL150" s="237">
        <f t="shared" si="78"/>
        <v>0</v>
      </c>
      <c r="BM150" s="31">
        <f t="shared" si="79"/>
        <v>0</v>
      </c>
      <c r="BN150" s="237">
        <f t="shared" si="80"/>
        <v>0</v>
      </c>
    </row>
    <row r="151" spans="1:66" x14ac:dyDescent="0.25">
      <c r="A151" s="159" t="s">
        <v>864</v>
      </c>
      <c r="B151" s="182" t="str">
        <f>VLOOKUP(A151,kurspris!$A$1:$B$894,2,FALSE)</f>
        <v>Samhällsorientering åk 4-6</v>
      </c>
      <c r="C151" s="37"/>
      <c r="D151" s="31" t="s">
        <v>524</v>
      </c>
      <c r="F151" s="59">
        <v>2019</v>
      </c>
      <c r="Q151" s="237">
        <v>7</v>
      </c>
      <c r="R151" s="40">
        <v>0.85</v>
      </c>
      <c r="S151" s="313">
        <f t="shared" si="54"/>
        <v>5.95</v>
      </c>
      <c r="T151" s="31">
        <f>VLOOKUP(A151,'Ansvar kurs'!$A$1:$C$1027,2,FALSE)</f>
        <v>1630</v>
      </c>
      <c r="U151" s="31" t="str">
        <f>VLOOKUP(T151,Orgenheter!$A$1:$C$165,2,FALSE)</f>
        <v>Inst för ide- o samhällsstudier</v>
      </c>
      <c r="V151" s="31" t="str">
        <f>VLOOKUP(T151,Orgenheter!$A$1:$C$165,3,FALSE)</f>
        <v>Hum</v>
      </c>
      <c r="W151" s="37" t="str">
        <f>VLOOKUP(D151,Program!$A$1:$B$34,2,FALSE)</f>
        <v>Grundlärarprogrammet - grundskolans åk 4-6</v>
      </c>
      <c r="X151" s="42">
        <f>VLOOKUP(A151,kurspris!$A$1:$Q$815,15,FALSE)</f>
        <v>18405</v>
      </c>
      <c r="Y151" s="42">
        <f>VLOOKUP(A151,kurspris!$A$1:$Q$815,16,FALSE)</f>
        <v>15773</v>
      </c>
      <c r="Z151" s="42">
        <f t="shared" si="55"/>
        <v>222684.35</v>
      </c>
      <c r="AA151" s="42">
        <f>VLOOKUP(A151,kurspris!$A$1:$Q$815,17,FALSE)</f>
        <v>5800</v>
      </c>
      <c r="AB151" s="42">
        <f t="shared" si="56"/>
        <v>40600</v>
      </c>
      <c r="AC151" s="42">
        <f t="shared" si="57"/>
        <v>263284.34999999998</v>
      </c>
      <c r="AD151" s="31">
        <f>VLOOKUP($A151,kurspris!$A$1:$Q$852,3,FALSE)</f>
        <v>0</v>
      </c>
      <c r="AE151" s="31">
        <f>VLOOKUP($A151,kurspris!$A$1:$Q$852,4,FALSE)</f>
        <v>1</v>
      </c>
      <c r="AF151" s="31">
        <f>VLOOKUP($A151,kurspris!$A$1:$Q$852,5,FALSE)</f>
        <v>0</v>
      </c>
      <c r="AG151" s="31">
        <f>VLOOKUP($A151,kurspris!$A$1:$Q$852,6,FALSE)</f>
        <v>0</v>
      </c>
      <c r="AH151" s="31">
        <f>VLOOKUP($A151,kurspris!$A$1:$Q$852,7,FALSE)</f>
        <v>0</v>
      </c>
      <c r="AI151" s="31">
        <f>VLOOKUP($A151,kurspris!$A$1:$Q$852,8,FALSE)</f>
        <v>0</v>
      </c>
      <c r="AJ151" s="31">
        <f>VLOOKUP($A151,kurspris!$A$1:$Q$852,9,FALSE)</f>
        <v>0</v>
      </c>
      <c r="AK151" s="31">
        <f>VLOOKUP($A151,kurspris!$A$1:$Q$852,10,FALSE)</f>
        <v>0</v>
      </c>
      <c r="AL151" s="31">
        <f>VLOOKUP($A151,kurspris!$A$1:$Q$852,11,FALSE)</f>
        <v>0</v>
      </c>
      <c r="AM151" s="31">
        <f>VLOOKUP($A151,kurspris!$A$1:$Q$852,12,FALSE)</f>
        <v>0</v>
      </c>
      <c r="AN151" s="31">
        <f>VLOOKUP($A151,kurspris!$A$1:$Q$852,13,FALSE)</f>
        <v>0</v>
      </c>
      <c r="AO151" s="31">
        <f>VLOOKUP($A151,kurspris!$A$1:$Q$852,14,FALSE)</f>
        <v>0</v>
      </c>
      <c r="AP151" s="59" t="s">
        <v>2216</v>
      </c>
      <c r="AR151" s="31">
        <f t="shared" si="58"/>
        <v>0</v>
      </c>
      <c r="AS151" s="237">
        <f t="shared" si="59"/>
        <v>0</v>
      </c>
      <c r="AT151" s="31">
        <f t="shared" si="60"/>
        <v>7</v>
      </c>
      <c r="AU151" s="237">
        <f t="shared" si="61"/>
        <v>5.95</v>
      </c>
      <c r="AV151" s="31">
        <f t="shared" si="62"/>
        <v>0</v>
      </c>
      <c r="AW151" s="31">
        <f t="shared" si="63"/>
        <v>0</v>
      </c>
      <c r="AX151" s="31">
        <f t="shared" si="64"/>
        <v>0</v>
      </c>
      <c r="AY151" s="237">
        <f t="shared" si="65"/>
        <v>0</v>
      </c>
      <c r="AZ151" s="214">
        <f t="shared" si="66"/>
        <v>0</v>
      </c>
      <c r="BA151" s="237">
        <f t="shared" si="67"/>
        <v>0</v>
      </c>
      <c r="BB151" s="31">
        <f t="shared" si="68"/>
        <v>0</v>
      </c>
      <c r="BC151" s="237">
        <f t="shared" si="69"/>
        <v>0</v>
      </c>
      <c r="BD151" s="31">
        <f t="shared" si="70"/>
        <v>0</v>
      </c>
      <c r="BE151" s="237">
        <f t="shared" si="71"/>
        <v>0</v>
      </c>
      <c r="BF151" s="31">
        <f t="shared" si="72"/>
        <v>0</v>
      </c>
      <c r="BG151" s="237">
        <f t="shared" si="73"/>
        <v>0</v>
      </c>
      <c r="BH151" s="31">
        <f t="shared" si="74"/>
        <v>0</v>
      </c>
      <c r="BI151" s="237">
        <f t="shared" si="75"/>
        <v>0</v>
      </c>
      <c r="BJ151" s="31">
        <f t="shared" si="76"/>
        <v>0</v>
      </c>
      <c r="BK151" s="31">
        <f t="shared" si="77"/>
        <v>0</v>
      </c>
      <c r="BL151" s="237">
        <f t="shared" si="78"/>
        <v>0</v>
      </c>
      <c r="BM151" s="31">
        <f t="shared" si="79"/>
        <v>0</v>
      </c>
      <c r="BN151" s="237">
        <f t="shared" si="80"/>
        <v>0</v>
      </c>
    </row>
    <row r="152" spans="1:66" x14ac:dyDescent="0.25">
      <c r="A152" s="159" t="s">
        <v>1143</v>
      </c>
      <c r="B152" s="182" t="str">
        <f>VLOOKUP(A152,kurspris!$A$1:$B$894,2,FALSE)</f>
        <v>Kunskap, vetenskap och forskningsmetodik, 7,5 hp</v>
      </c>
      <c r="C152" s="37"/>
      <c r="D152" s="31" t="s">
        <v>483</v>
      </c>
      <c r="F152" s="59">
        <v>2019</v>
      </c>
      <c r="Q152" s="237">
        <v>17.875</v>
      </c>
      <c r="R152" s="40">
        <v>0.85</v>
      </c>
      <c r="S152" s="313">
        <f t="shared" si="54"/>
        <v>15.19375</v>
      </c>
      <c r="T152" s="31">
        <f>VLOOKUP(A152,'Ansvar kurs'!$A$1:$C$1027,2,FALSE)</f>
        <v>1630</v>
      </c>
      <c r="U152" s="31" t="str">
        <f>VLOOKUP(T152,Orgenheter!$A$1:$C$165,2,FALSE)</f>
        <v>Inst för ide- o samhällsstudier</v>
      </c>
      <c r="V152" s="31" t="str">
        <f>VLOOKUP(T152,Orgenheter!$A$1:$C$165,3,FALSE)</f>
        <v>Hum</v>
      </c>
      <c r="W152" s="37" t="str">
        <f>VLOOKUP(D152,Program!$A$1:$B$34,2,FALSE)</f>
        <v>Ämneslärarprogrammet - Gy</v>
      </c>
      <c r="X152" s="42">
        <f>VLOOKUP(A152,kurspris!$A$1:$Q$815,15,FALSE)</f>
        <v>23641</v>
      </c>
      <c r="Y152" s="42">
        <f>VLOOKUP(A152,kurspris!$A$1:$Q$815,16,FALSE)</f>
        <v>28786</v>
      </c>
      <c r="Z152" s="42">
        <f t="shared" si="55"/>
        <v>859950.16249999998</v>
      </c>
      <c r="AA152" s="42">
        <f>VLOOKUP(A152,kurspris!$A$1:$Q$815,17,FALSE)</f>
        <v>5800</v>
      </c>
      <c r="AB152" s="42">
        <f t="shared" si="56"/>
        <v>103675</v>
      </c>
      <c r="AC152" s="42">
        <f t="shared" si="57"/>
        <v>963625.16249999998</v>
      </c>
      <c r="AD152" s="31">
        <f>VLOOKUP($A152,kurspris!$A$1:$Q$852,3,FALSE)</f>
        <v>0</v>
      </c>
      <c r="AE152" s="31">
        <f>VLOOKUP($A152,kurspris!$A$1:$Q$852,4,FALSE)</f>
        <v>0</v>
      </c>
      <c r="AF152" s="31">
        <f>VLOOKUP($A152,kurspris!$A$1:$Q$852,5,FALSE)</f>
        <v>0</v>
      </c>
      <c r="AG152" s="31">
        <f>VLOOKUP($A152,kurspris!$A$1:$Q$852,6,FALSE)</f>
        <v>1</v>
      </c>
      <c r="AH152" s="31">
        <f>VLOOKUP($A152,kurspris!$A$1:$Q$852,7,FALSE)</f>
        <v>0</v>
      </c>
      <c r="AI152" s="31">
        <f>VLOOKUP($A152,kurspris!$A$1:$Q$852,8,FALSE)</f>
        <v>0</v>
      </c>
      <c r="AJ152" s="31">
        <f>VLOOKUP($A152,kurspris!$A$1:$Q$852,9,FALSE)</f>
        <v>0</v>
      </c>
      <c r="AK152" s="31">
        <f>VLOOKUP($A152,kurspris!$A$1:$Q$852,10,FALSE)</f>
        <v>0</v>
      </c>
      <c r="AL152" s="31">
        <f>VLOOKUP($A152,kurspris!$A$1:$Q$852,11,FALSE)</f>
        <v>0</v>
      </c>
      <c r="AM152" s="31">
        <f>VLOOKUP($A152,kurspris!$A$1:$Q$852,12,FALSE)</f>
        <v>0</v>
      </c>
      <c r="AN152" s="31">
        <f>VLOOKUP($A152,kurspris!$A$1:$Q$852,13,FALSE)</f>
        <v>0</v>
      </c>
      <c r="AO152" s="31">
        <f>VLOOKUP($A152,kurspris!$A$1:$Q$852,14,FALSE)</f>
        <v>0</v>
      </c>
      <c r="AP152" s="59" t="s">
        <v>2216</v>
      </c>
      <c r="AR152" s="31">
        <f t="shared" si="58"/>
        <v>0</v>
      </c>
      <c r="AS152" s="237">
        <f t="shared" si="59"/>
        <v>0</v>
      </c>
      <c r="AT152" s="31">
        <f t="shared" si="60"/>
        <v>0</v>
      </c>
      <c r="AU152" s="237">
        <f t="shared" si="61"/>
        <v>0</v>
      </c>
      <c r="AV152" s="31">
        <f t="shared" si="62"/>
        <v>0</v>
      </c>
      <c r="AW152" s="31">
        <f t="shared" si="63"/>
        <v>0</v>
      </c>
      <c r="AX152" s="31">
        <f t="shared" si="64"/>
        <v>17.875</v>
      </c>
      <c r="AY152" s="237">
        <f t="shared" si="65"/>
        <v>15.19375</v>
      </c>
      <c r="AZ152" s="214">
        <f t="shared" si="66"/>
        <v>0</v>
      </c>
      <c r="BA152" s="237">
        <f t="shared" si="67"/>
        <v>0</v>
      </c>
      <c r="BB152" s="31">
        <f t="shared" si="68"/>
        <v>0</v>
      </c>
      <c r="BC152" s="237">
        <f t="shared" si="69"/>
        <v>0</v>
      </c>
      <c r="BD152" s="31">
        <f t="shared" si="70"/>
        <v>0</v>
      </c>
      <c r="BE152" s="237">
        <f t="shared" si="71"/>
        <v>0</v>
      </c>
      <c r="BF152" s="31">
        <f t="shared" si="72"/>
        <v>0</v>
      </c>
      <c r="BG152" s="237">
        <f t="shared" si="73"/>
        <v>0</v>
      </c>
      <c r="BH152" s="31">
        <f t="shared" si="74"/>
        <v>0</v>
      </c>
      <c r="BI152" s="237">
        <f t="shared" si="75"/>
        <v>0</v>
      </c>
      <c r="BJ152" s="31">
        <f t="shared" si="76"/>
        <v>0</v>
      </c>
      <c r="BK152" s="31">
        <f t="shared" si="77"/>
        <v>0</v>
      </c>
      <c r="BL152" s="237">
        <f t="shared" si="78"/>
        <v>0</v>
      </c>
      <c r="BM152" s="31">
        <f t="shared" si="79"/>
        <v>0</v>
      </c>
      <c r="BN152" s="237">
        <f t="shared" si="80"/>
        <v>0</v>
      </c>
    </row>
    <row r="153" spans="1:66" x14ac:dyDescent="0.25">
      <c r="A153" s="159" t="s">
        <v>1143</v>
      </c>
      <c r="B153" s="182" t="str">
        <f>VLOOKUP(A153,kurspris!$A$1:$B$894,2,FALSE)</f>
        <v>Kunskap, vetenskap och forskningsmetodik, 7,5 hp</v>
      </c>
      <c r="C153" s="37"/>
      <c r="D153" s="31" t="s">
        <v>484</v>
      </c>
      <c r="F153" s="59">
        <v>2019</v>
      </c>
      <c r="Q153" s="237">
        <v>8.375</v>
      </c>
      <c r="R153" s="40">
        <v>0.85</v>
      </c>
      <c r="S153" s="313">
        <f t="shared" si="54"/>
        <v>7.1187499999999995</v>
      </c>
      <c r="T153" s="31">
        <f>VLOOKUP(A153,'Ansvar kurs'!$A$1:$C$1027,2,FALSE)</f>
        <v>1630</v>
      </c>
      <c r="U153" s="31" t="str">
        <f>VLOOKUP(T153,Orgenheter!$A$1:$C$165,2,FALSE)</f>
        <v>Inst för ide- o samhällsstudier</v>
      </c>
      <c r="V153" s="31" t="str">
        <f>VLOOKUP(T153,Orgenheter!$A$1:$C$165,3,FALSE)</f>
        <v>Hum</v>
      </c>
      <c r="W153" s="37" t="str">
        <f>VLOOKUP(D153,Program!$A$1:$B$34,2,FALSE)</f>
        <v>Förskollärarprogrammet</v>
      </c>
      <c r="X153" s="42">
        <f>VLOOKUP(A153,kurspris!$A$1:$Q$815,15,FALSE)</f>
        <v>23641</v>
      </c>
      <c r="Y153" s="42">
        <f>VLOOKUP(A153,kurspris!$A$1:$Q$815,16,FALSE)</f>
        <v>28786</v>
      </c>
      <c r="Z153" s="42">
        <f t="shared" si="55"/>
        <v>402913.71250000002</v>
      </c>
      <c r="AA153" s="42">
        <f>VLOOKUP(A153,kurspris!$A$1:$Q$815,17,FALSE)</f>
        <v>5800</v>
      </c>
      <c r="AB153" s="42">
        <f t="shared" si="56"/>
        <v>48575</v>
      </c>
      <c r="AC153" s="42">
        <f t="shared" si="57"/>
        <v>451488.71250000002</v>
      </c>
      <c r="AD153" s="31">
        <f>VLOOKUP($A153,kurspris!$A$1:$Q$852,3,FALSE)</f>
        <v>0</v>
      </c>
      <c r="AE153" s="31">
        <f>VLOOKUP($A153,kurspris!$A$1:$Q$852,4,FALSE)</f>
        <v>0</v>
      </c>
      <c r="AF153" s="31">
        <f>VLOOKUP($A153,kurspris!$A$1:$Q$852,5,FALSE)</f>
        <v>0</v>
      </c>
      <c r="AG153" s="31">
        <f>VLOOKUP($A153,kurspris!$A$1:$Q$852,6,FALSE)</f>
        <v>1</v>
      </c>
      <c r="AH153" s="31">
        <f>VLOOKUP($A153,kurspris!$A$1:$Q$852,7,FALSE)</f>
        <v>0</v>
      </c>
      <c r="AI153" s="31">
        <f>VLOOKUP($A153,kurspris!$A$1:$Q$852,8,FALSE)</f>
        <v>0</v>
      </c>
      <c r="AJ153" s="31">
        <f>VLOOKUP($A153,kurspris!$A$1:$Q$852,9,FALSE)</f>
        <v>0</v>
      </c>
      <c r="AK153" s="31">
        <f>VLOOKUP($A153,kurspris!$A$1:$Q$852,10,FALSE)</f>
        <v>0</v>
      </c>
      <c r="AL153" s="31">
        <f>VLOOKUP($A153,kurspris!$A$1:$Q$852,11,FALSE)</f>
        <v>0</v>
      </c>
      <c r="AM153" s="31">
        <f>VLOOKUP($A153,kurspris!$A$1:$Q$852,12,FALSE)</f>
        <v>0</v>
      </c>
      <c r="AN153" s="31">
        <f>VLOOKUP($A153,kurspris!$A$1:$Q$852,13,FALSE)</f>
        <v>0</v>
      </c>
      <c r="AO153" s="31">
        <f>VLOOKUP($A153,kurspris!$A$1:$Q$852,14,FALSE)</f>
        <v>0</v>
      </c>
      <c r="AP153" s="59" t="s">
        <v>2216</v>
      </c>
      <c r="AR153" s="31">
        <f t="shared" si="58"/>
        <v>0</v>
      </c>
      <c r="AS153" s="237">
        <f t="shared" si="59"/>
        <v>0</v>
      </c>
      <c r="AT153" s="31">
        <f t="shared" si="60"/>
        <v>0</v>
      </c>
      <c r="AU153" s="237">
        <f t="shared" si="61"/>
        <v>0</v>
      </c>
      <c r="AV153" s="31">
        <f t="shared" si="62"/>
        <v>0</v>
      </c>
      <c r="AW153" s="31">
        <f t="shared" si="63"/>
        <v>0</v>
      </c>
      <c r="AX153" s="31">
        <f t="shared" si="64"/>
        <v>8.375</v>
      </c>
      <c r="AY153" s="237">
        <f t="shared" si="65"/>
        <v>7.1187499999999995</v>
      </c>
      <c r="AZ153" s="214">
        <f t="shared" si="66"/>
        <v>0</v>
      </c>
      <c r="BA153" s="237">
        <f t="shared" si="67"/>
        <v>0</v>
      </c>
      <c r="BB153" s="31">
        <f t="shared" si="68"/>
        <v>0</v>
      </c>
      <c r="BC153" s="237">
        <f t="shared" si="69"/>
        <v>0</v>
      </c>
      <c r="BD153" s="31">
        <f t="shared" si="70"/>
        <v>0</v>
      </c>
      <c r="BE153" s="237">
        <f t="shared" si="71"/>
        <v>0</v>
      </c>
      <c r="BF153" s="31">
        <f t="shared" si="72"/>
        <v>0</v>
      </c>
      <c r="BG153" s="237">
        <f t="shared" si="73"/>
        <v>0</v>
      </c>
      <c r="BH153" s="31">
        <f t="shared" si="74"/>
        <v>0</v>
      </c>
      <c r="BI153" s="237">
        <f t="shared" si="75"/>
        <v>0</v>
      </c>
      <c r="BJ153" s="31">
        <f t="shared" si="76"/>
        <v>0</v>
      </c>
      <c r="BK153" s="31">
        <f t="shared" si="77"/>
        <v>0</v>
      </c>
      <c r="BL153" s="237">
        <f t="shared" si="78"/>
        <v>0</v>
      </c>
      <c r="BM153" s="31">
        <f t="shared" si="79"/>
        <v>0</v>
      </c>
      <c r="BN153" s="237">
        <f t="shared" si="80"/>
        <v>0</v>
      </c>
    </row>
    <row r="154" spans="1:66" x14ac:dyDescent="0.25">
      <c r="A154" s="31" t="s">
        <v>1143</v>
      </c>
      <c r="B154" s="182" t="str">
        <f>VLOOKUP(A154,kurspris!$A$1:$B$894,2,FALSE)</f>
        <v>Kunskap, vetenskap och forskningsmetodik, 7,5 hp</v>
      </c>
      <c r="D154" s="31" t="s">
        <v>485</v>
      </c>
      <c r="F154" s="59">
        <v>2019</v>
      </c>
      <c r="Q154" s="237">
        <v>2.125</v>
      </c>
      <c r="R154" s="40">
        <v>0.85</v>
      </c>
      <c r="S154" s="313">
        <f t="shared" si="54"/>
        <v>1.8062499999999999</v>
      </c>
      <c r="T154" s="31">
        <f>VLOOKUP(A154,'Ansvar kurs'!$A$1:$C$1027,2,FALSE)</f>
        <v>1630</v>
      </c>
      <c r="U154" s="31" t="str">
        <f>VLOOKUP(T154,Orgenheter!$A$1:$C$165,2,FALSE)</f>
        <v>Inst för ide- o samhällsstudier</v>
      </c>
      <c r="V154" s="31" t="str">
        <f>VLOOKUP(T154,Orgenheter!$A$1:$C$165,3,FALSE)</f>
        <v>Hum</v>
      </c>
      <c r="W154" s="37" t="str">
        <f>VLOOKUP(D154,Program!$A$1:$B$34,2,FALSE)</f>
        <v>Grundlärarprogrammet - fritidshem</v>
      </c>
      <c r="X154" s="42">
        <f>VLOOKUP(A154,kurspris!$A$1:$Q$815,15,FALSE)</f>
        <v>23641</v>
      </c>
      <c r="Y154" s="42">
        <f>VLOOKUP(A154,kurspris!$A$1:$Q$815,16,FALSE)</f>
        <v>28786</v>
      </c>
      <c r="Z154" s="42">
        <f t="shared" si="55"/>
        <v>102231.83749999999</v>
      </c>
      <c r="AA154" s="42">
        <f>VLOOKUP(A154,kurspris!$A$1:$Q$815,17,FALSE)</f>
        <v>5800</v>
      </c>
      <c r="AB154" s="42">
        <f t="shared" si="56"/>
        <v>12325</v>
      </c>
      <c r="AC154" s="42">
        <f t="shared" si="57"/>
        <v>114556.83749999999</v>
      </c>
      <c r="AD154" s="31">
        <f>VLOOKUP($A154,kurspris!$A$1:$Q$852,3,FALSE)</f>
        <v>0</v>
      </c>
      <c r="AE154" s="31">
        <f>VLOOKUP($A154,kurspris!$A$1:$Q$852,4,FALSE)</f>
        <v>0</v>
      </c>
      <c r="AF154" s="31">
        <f>VLOOKUP($A154,kurspris!$A$1:$Q$852,5,FALSE)</f>
        <v>0</v>
      </c>
      <c r="AG154" s="31">
        <f>VLOOKUP($A154,kurspris!$A$1:$Q$852,6,FALSE)</f>
        <v>1</v>
      </c>
      <c r="AH154" s="31">
        <f>VLOOKUP($A154,kurspris!$A$1:$Q$852,7,FALSE)</f>
        <v>0</v>
      </c>
      <c r="AI154" s="31">
        <f>VLOOKUP($A154,kurspris!$A$1:$Q$852,8,FALSE)</f>
        <v>0</v>
      </c>
      <c r="AJ154" s="31">
        <f>VLOOKUP($A154,kurspris!$A$1:$Q$852,9,FALSE)</f>
        <v>0</v>
      </c>
      <c r="AK154" s="31">
        <f>VLOOKUP($A154,kurspris!$A$1:$Q$852,10,FALSE)</f>
        <v>0</v>
      </c>
      <c r="AL154" s="31">
        <f>VLOOKUP($A154,kurspris!$A$1:$Q$852,11,FALSE)</f>
        <v>0</v>
      </c>
      <c r="AM154" s="31">
        <f>VLOOKUP($A154,kurspris!$A$1:$Q$852,12,FALSE)</f>
        <v>0</v>
      </c>
      <c r="AN154" s="31">
        <f>VLOOKUP($A154,kurspris!$A$1:$Q$852,13,FALSE)</f>
        <v>0</v>
      </c>
      <c r="AO154" s="31">
        <f>VLOOKUP($A154,kurspris!$A$1:$Q$852,14,FALSE)</f>
        <v>0</v>
      </c>
      <c r="AP154" s="59" t="s">
        <v>2216</v>
      </c>
      <c r="AR154" s="31">
        <f t="shared" si="58"/>
        <v>0</v>
      </c>
      <c r="AS154" s="237">
        <f t="shared" si="59"/>
        <v>0</v>
      </c>
      <c r="AT154" s="31">
        <f t="shared" si="60"/>
        <v>0</v>
      </c>
      <c r="AU154" s="237">
        <f t="shared" si="61"/>
        <v>0</v>
      </c>
      <c r="AV154" s="31">
        <f t="shared" si="62"/>
        <v>0</v>
      </c>
      <c r="AW154" s="31">
        <f t="shared" si="63"/>
        <v>0</v>
      </c>
      <c r="AX154" s="31">
        <f t="shared" si="64"/>
        <v>2.125</v>
      </c>
      <c r="AY154" s="237">
        <f t="shared" si="65"/>
        <v>1.8062499999999999</v>
      </c>
      <c r="AZ154" s="214">
        <f t="shared" si="66"/>
        <v>0</v>
      </c>
      <c r="BA154" s="237">
        <f t="shared" si="67"/>
        <v>0</v>
      </c>
      <c r="BB154" s="31">
        <f t="shared" si="68"/>
        <v>0</v>
      </c>
      <c r="BC154" s="237">
        <f t="shared" si="69"/>
        <v>0</v>
      </c>
      <c r="BD154" s="31">
        <f t="shared" si="70"/>
        <v>0</v>
      </c>
      <c r="BE154" s="237">
        <f t="shared" si="71"/>
        <v>0</v>
      </c>
      <c r="BF154" s="31">
        <f t="shared" si="72"/>
        <v>0</v>
      </c>
      <c r="BG154" s="237">
        <f t="shared" si="73"/>
        <v>0</v>
      </c>
      <c r="BH154" s="31">
        <f t="shared" si="74"/>
        <v>0</v>
      </c>
      <c r="BI154" s="237">
        <f t="shared" si="75"/>
        <v>0</v>
      </c>
      <c r="BJ154" s="31">
        <f t="shared" si="76"/>
        <v>0</v>
      </c>
      <c r="BK154" s="31">
        <f t="shared" si="77"/>
        <v>0</v>
      </c>
      <c r="BL154" s="237">
        <f t="shared" si="78"/>
        <v>0</v>
      </c>
      <c r="BM154" s="31">
        <f t="shared" si="79"/>
        <v>0</v>
      </c>
      <c r="BN154" s="237">
        <f t="shared" si="80"/>
        <v>0</v>
      </c>
    </row>
    <row r="155" spans="1:66" x14ac:dyDescent="0.25">
      <c r="A155" s="31" t="s">
        <v>1143</v>
      </c>
      <c r="B155" s="182" t="str">
        <f>VLOOKUP(A155,kurspris!$A$1:$B$894,2,FALSE)</f>
        <v>Kunskap, vetenskap och forskningsmetodik, 7,5 hp</v>
      </c>
      <c r="D155" s="31" t="s">
        <v>486</v>
      </c>
      <c r="F155" s="59">
        <v>2019</v>
      </c>
      <c r="Q155" s="237">
        <v>6.375</v>
      </c>
      <c r="R155" s="40">
        <v>0.85</v>
      </c>
      <c r="S155" s="313">
        <f t="shared" si="54"/>
        <v>5.4187500000000002</v>
      </c>
      <c r="T155" s="31">
        <f>VLOOKUP(A155,'Ansvar kurs'!$A$1:$C$1027,2,FALSE)</f>
        <v>1630</v>
      </c>
      <c r="U155" s="31" t="str">
        <f>VLOOKUP(T155,Orgenheter!$A$1:$C$165,2,FALSE)</f>
        <v>Inst för ide- o samhällsstudier</v>
      </c>
      <c r="V155" s="31" t="str">
        <f>VLOOKUP(T155,Orgenheter!$A$1:$C$165,3,FALSE)</f>
        <v>Hum</v>
      </c>
      <c r="W155" s="37" t="str">
        <f>VLOOKUP(D155,Program!$A$1:$B$34,2,FALSE)</f>
        <v>Grundlärarprogrammet - förskoleklass och åk 1-3</v>
      </c>
      <c r="X155" s="42">
        <f>VLOOKUP(A155,kurspris!$A$1:$Q$815,15,FALSE)</f>
        <v>23641</v>
      </c>
      <c r="Y155" s="42">
        <f>VLOOKUP(A155,kurspris!$A$1:$Q$815,16,FALSE)</f>
        <v>28786</v>
      </c>
      <c r="Z155" s="42">
        <f t="shared" si="55"/>
        <v>306695.51250000001</v>
      </c>
      <c r="AA155" s="42">
        <f>VLOOKUP(A155,kurspris!$A$1:$Q$815,17,FALSE)</f>
        <v>5800</v>
      </c>
      <c r="AB155" s="42">
        <f t="shared" si="56"/>
        <v>36975</v>
      </c>
      <c r="AC155" s="42">
        <f t="shared" si="57"/>
        <v>343670.51250000001</v>
      </c>
      <c r="AD155" s="31">
        <f>VLOOKUP($A155,kurspris!$A$1:$Q$852,3,FALSE)</f>
        <v>0</v>
      </c>
      <c r="AE155" s="31">
        <f>VLOOKUP($A155,kurspris!$A$1:$Q$852,4,FALSE)</f>
        <v>0</v>
      </c>
      <c r="AF155" s="31">
        <f>VLOOKUP($A155,kurspris!$A$1:$Q$852,5,FALSE)</f>
        <v>0</v>
      </c>
      <c r="AG155" s="31">
        <f>VLOOKUP($A155,kurspris!$A$1:$Q$852,6,FALSE)</f>
        <v>1</v>
      </c>
      <c r="AH155" s="31">
        <f>VLOOKUP($A155,kurspris!$A$1:$Q$852,7,FALSE)</f>
        <v>0</v>
      </c>
      <c r="AI155" s="31">
        <f>VLOOKUP($A155,kurspris!$A$1:$Q$852,8,FALSE)</f>
        <v>0</v>
      </c>
      <c r="AJ155" s="31">
        <f>VLOOKUP($A155,kurspris!$A$1:$Q$852,9,FALSE)</f>
        <v>0</v>
      </c>
      <c r="AK155" s="31">
        <f>VLOOKUP($A155,kurspris!$A$1:$Q$852,10,FALSE)</f>
        <v>0</v>
      </c>
      <c r="AL155" s="31">
        <f>VLOOKUP($A155,kurspris!$A$1:$Q$852,11,FALSE)</f>
        <v>0</v>
      </c>
      <c r="AM155" s="31">
        <f>VLOOKUP($A155,kurspris!$A$1:$Q$852,12,FALSE)</f>
        <v>0</v>
      </c>
      <c r="AN155" s="31">
        <f>VLOOKUP($A155,kurspris!$A$1:$Q$852,13,FALSE)</f>
        <v>0</v>
      </c>
      <c r="AO155" s="31">
        <f>VLOOKUP($A155,kurspris!$A$1:$Q$852,14,FALSE)</f>
        <v>0</v>
      </c>
      <c r="AP155" s="59" t="s">
        <v>2216</v>
      </c>
      <c r="AR155" s="31">
        <f t="shared" si="58"/>
        <v>0</v>
      </c>
      <c r="AS155" s="237">
        <f t="shared" si="59"/>
        <v>0</v>
      </c>
      <c r="AT155" s="31">
        <f t="shared" si="60"/>
        <v>0</v>
      </c>
      <c r="AU155" s="237">
        <f t="shared" si="61"/>
        <v>0</v>
      </c>
      <c r="AV155" s="31">
        <f t="shared" si="62"/>
        <v>0</v>
      </c>
      <c r="AW155" s="31">
        <f t="shared" si="63"/>
        <v>0</v>
      </c>
      <c r="AX155" s="31">
        <f t="shared" si="64"/>
        <v>6.375</v>
      </c>
      <c r="AY155" s="237">
        <f t="shared" si="65"/>
        <v>5.4187500000000002</v>
      </c>
      <c r="AZ155" s="214">
        <f t="shared" si="66"/>
        <v>0</v>
      </c>
      <c r="BA155" s="237">
        <f t="shared" si="67"/>
        <v>0</v>
      </c>
      <c r="BB155" s="31">
        <f t="shared" si="68"/>
        <v>0</v>
      </c>
      <c r="BC155" s="237">
        <f t="shared" si="69"/>
        <v>0</v>
      </c>
      <c r="BD155" s="31">
        <f t="shared" si="70"/>
        <v>0</v>
      </c>
      <c r="BE155" s="237">
        <f t="shared" si="71"/>
        <v>0</v>
      </c>
      <c r="BF155" s="31">
        <f t="shared" si="72"/>
        <v>0</v>
      </c>
      <c r="BG155" s="237">
        <f t="shared" si="73"/>
        <v>0</v>
      </c>
      <c r="BH155" s="31">
        <f t="shared" si="74"/>
        <v>0</v>
      </c>
      <c r="BI155" s="237">
        <f t="shared" si="75"/>
        <v>0</v>
      </c>
      <c r="BJ155" s="31">
        <f t="shared" si="76"/>
        <v>0</v>
      </c>
      <c r="BK155" s="31">
        <f t="shared" si="77"/>
        <v>0</v>
      </c>
      <c r="BL155" s="237">
        <f t="shared" si="78"/>
        <v>0</v>
      </c>
      <c r="BM155" s="31">
        <f t="shared" si="79"/>
        <v>0</v>
      </c>
      <c r="BN155" s="237">
        <f t="shared" si="80"/>
        <v>0</v>
      </c>
    </row>
    <row r="156" spans="1:66" x14ac:dyDescent="0.25">
      <c r="A156" s="31" t="s">
        <v>1143</v>
      </c>
      <c r="B156" s="182" t="str">
        <f>VLOOKUP(A156,kurspris!$A$1:$B$894,2,FALSE)</f>
        <v>Kunskap, vetenskap och forskningsmetodik, 7,5 hp</v>
      </c>
      <c r="D156" s="31" t="s">
        <v>524</v>
      </c>
      <c r="F156" s="59">
        <v>2019</v>
      </c>
      <c r="Q156" s="237">
        <v>3.375</v>
      </c>
      <c r="R156" s="40">
        <v>0.85</v>
      </c>
      <c r="S156" s="313">
        <f t="shared" si="54"/>
        <v>2.8687499999999999</v>
      </c>
      <c r="T156" s="31">
        <f>VLOOKUP(A156,'Ansvar kurs'!$A$1:$C$1027,2,FALSE)</f>
        <v>1630</v>
      </c>
      <c r="U156" s="31" t="str">
        <f>VLOOKUP(T156,Orgenheter!$A$1:$C$165,2,FALSE)</f>
        <v>Inst för ide- o samhällsstudier</v>
      </c>
      <c r="V156" s="31" t="str">
        <f>VLOOKUP(T156,Orgenheter!$A$1:$C$165,3,FALSE)</f>
        <v>Hum</v>
      </c>
      <c r="W156" s="37" t="str">
        <f>VLOOKUP(D156,Program!$A$1:$B$34,2,FALSE)</f>
        <v>Grundlärarprogrammet - grundskolans åk 4-6</v>
      </c>
      <c r="X156" s="42">
        <f>VLOOKUP(A156,kurspris!$A$1:$Q$815,15,FALSE)</f>
        <v>23641</v>
      </c>
      <c r="Y156" s="42">
        <f>VLOOKUP(A156,kurspris!$A$1:$Q$815,16,FALSE)</f>
        <v>28786</v>
      </c>
      <c r="Z156" s="42">
        <f t="shared" si="55"/>
        <v>162368.21249999999</v>
      </c>
      <c r="AA156" s="42">
        <f>VLOOKUP(A156,kurspris!$A$1:$Q$815,17,FALSE)</f>
        <v>5800</v>
      </c>
      <c r="AB156" s="42">
        <f t="shared" si="56"/>
        <v>19575</v>
      </c>
      <c r="AC156" s="42">
        <f t="shared" si="57"/>
        <v>181943.21249999999</v>
      </c>
      <c r="AD156" s="31">
        <f>VLOOKUP($A156,kurspris!$A$1:$Q$852,3,FALSE)</f>
        <v>0</v>
      </c>
      <c r="AE156" s="31">
        <f>VLOOKUP($A156,kurspris!$A$1:$Q$852,4,FALSE)</f>
        <v>0</v>
      </c>
      <c r="AF156" s="31">
        <f>VLOOKUP($A156,kurspris!$A$1:$Q$852,5,FALSE)</f>
        <v>0</v>
      </c>
      <c r="AG156" s="31">
        <f>VLOOKUP($A156,kurspris!$A$1:$Q$852,6,FALSE)</f>
        <v>1</v>
      </c>
      <c r="AH156" s="31">
        <f>VLOOKUP($A156,kurspris!$A$1:$Q$852,7,FALSE)</f>
        <v>0</v>
      </c>
      <c r="AI156" s="31">
        <f>VLOOKUP($A156,kurspris!$A$1:$Q$852,8,FALSE)</f>
        <v>0</v>
      </c>
      <c r="AJ156" s="31">
        <f>VLOOKUP($A156,kurspris!$A$1:$Q$852,9,FALSE)</f>
        <v>0</v>
      </c>
      <c r="AK156" s="31">
        <f>VLOOKUP($A156,kurspris!$A$1:$Q$852,10,FALSE)</f>
        <v>0</v>
      </c>
      <c r="AL156" s="31">
        <f>VLOOKUP($A156,kurspris!$A$1:$Q$852,11,FALSE)</f>
        <v>0</v>
      </c>
      <c r="AM156" s="31">
        <f>VLOOKUP($A156,kurspris!$A$1:$Q$852,12,FALSE)</f>
        <v>0</v>
      </c>
      <c r="AN156" s="31">
        <f>VLOOKUP($A156,kurspris!$A$1:$Q$852,13,FALSE)</f>
        <v>0</v>
      </c>
      <c r="AO156" s="31">
        <f>VLOOKUP($A156,kurspris!$A$1:$Q$852,14,FALSE)</f>
        <v>0</v>
      </c>
      <c r="AP156" s="59" t="s">
        <v>2216</v>
      </c>
      <c r="AR156" s="31">
        <f t="shared" si="58"/>
        <v>0</v>
      </c>
      <c r="AS156" s="237">
        <f t="shared" si="59"/>
        <v>0</v>
      </c>
      <c r="AT156" s="31">
        <f t="shared" si="60"/>
        <v>0</v>
      </c>
      <c r="AU156" s="237">
        <f t="shared" si="61"/>
        <v>0</v>
      </c>
      <c r="AV156" s="31">
        <f t="shared" si="62"/>
        <v>0</v>
      </c>
      <c r="AW156" s="31">
        <f t="shared" si="63"/>
        <v>0</v>
      </c>
      <c r="AX156" s="31">
        <f t="shared" si="64"/>
        <v>3.375</v>
      </c>
      <c r="AY156" s="237">
        <f t="shared" si="65"/>
        <v>2.8687499999999999</v>
      </c>
      <c r="AZ156" s="214">
        <f t="shared" si="66"/>
        <v>0</v>
      </c>
      <c r="BA156" s="237">
        <f t="shared" si="67"/>
        <v>0</v>
      </c>
      <c r="BB156" s="31">
        <f t="shared" si="68"/>
        <v>0</v>
      </c>
      <c r="BC156" s="237">
        <f t="shared" si="69"/>
        <v>0</v>
      </c>
      <c r="BD156" s="31">
        <f t="shared" si="70"/>
        <v>0</v>
      </c>
      <c r="BE156" s="237">
        <f t="shared" si="71"/>
        <v>0</v>
      </c>
      <c r="BF156" s="31">
        <f t="shared" si="72"/>
        <v>0</v>
      </c>
      <c r="BG156" s="237">
        <f t="shared" si="73"/>
        <v>0</v>
      </c>
      <c r="BH156" s="31">
        <f t="shared" si="74"/>
        <v>0</v>
      </c>
      <c r="BI156" s="237">
        <f t="shared" si="75"/>
        <v>0</v>
      </c>
      <c r="BJ156" s="31">
        <f t="shared" si="76"/>
        <v>0</v>
      </c>
      <c r="BK156" s="31">
        <f t="shared" si="77"/>
        <v>0</v>
      </c>
      <c r="BL156" s="237">
        <f t="shared" si="78"/>
        <v>0</v>
      </c>
      <c r="BM156" s="31">
        <f t="shared" si="79"/>
        <v>0</v>
      </c>
      <c r="BN156" s="237">
        <f t="shared" si="80"/>
        <v>0</v>
      </c>
    </row>
    <row r="157" spans="1:66" x14ac:dyDescent="0.25">
      <c r="A157" s="159" t="s">
        <v>1145</v>
      </c>
      <c r="B157" s="182" t="str">
        <f>VLOOKUP(A157,kurspris!$A$1:$B$894,2,FALSE)</f>
        <v>Etik, demokrati och det heterogena klassrummet, 7,5 hp</v>
      </c>
      <c r="C157" s="37"/>
      <c r="D157" s="31" t="s">
        <v>483</v>
      </c>
      <c r="F157" s="59">
        <v>2019</v>
      </c>
      <c r="Q157" s="237">
        <v>16.625</v>
      </c>
      <c r="R157" s="40">
        <v>0.85</v>
      </c>
      <c r="S157" s="313">
        <f t="shared" si="54"/>
        <v>14.13125</v>
      </c>
      <c r="T157" s="31">
        <f>VLOOKUP(A157,'Ansvar kurs'!$A$1:$C$1027,2,FALSE)</f>
        <v>1630</v>
      </c>
      <c r="U157" s="31" t="str">
        <f>VLOOKUP(T157,Orgenheter!$A$1:$C$165,2,FALSE)</f>
        <v>Inst för ide- o samhällsstudier</v>
      </c>
      <c r="V157" s="31" t="str">
        <f>VLOOKUP(T157,Orgenheter!$A$1:$C$165,3,FALSE)</f>
        <v>Hum</v>
      </c>
      <c r="W157" s="37" t="str">
        <f>VLOOKUP(D157,Program!$A$1:$B$34,2,FALSE)</f>
        <v>Ämneslärarprogrammet - Gy</v>
      </c>
      <c r="X157" s="42">
        <f>VLOOKUP(A157,kurspris!$A$1:$Q$815,15,FALSE)</f>
        <v>23641</v>
      </c>
      <c r="Y157" s="42">
        <f>VLOOKUP(A157,kurspris!$A$1:$Q$815,16,FALSE)</f>
        <v>28786</v>
      </c>
      <c r="Z157" s="42">
        <f t="shared" si="55"/>
        <v>799813.78749999998</v>
      </c>
      <c r="AA157" s="42">
        <f>VLOOKUP(A157,kurspris!$A$1:$Q$815,17,FALSE)</f>
        <v>5800</v>
      </c>
      <c r="AB157" s="42">
        <f t="shared" si="56"/>
        <v>96425</v>
      </c>
      <c r="AC157" s="42">
        <f t="shared" si="57"/>
        <v>896238.78749999998</v>
      </c>
      <c r="AD157" s="31">
        <f>VLOOKUP($A157,kurspris!$A$1:$Q$852,3,FALSE)</f>
        <v>0</v>
      </c>
      <c r="AE157" s="31">
        <f>VLOOKUP($A157,kurspris!$A$1:$Q$852,4,FALSE)</f>
        <v>0</v>
      </c>
      <c r="AF157" s="31">
        <f>VLOOKUP($A157,kurspris!$A$1:$Q$852,5,FALSE)</f>
        <v>0</v>
      </c>
      <c r="AG157" s="31">
        <f>VLOOKUP($A157,kurspris!$A$1:$Q$852,6,FALSE)</f>
        <v>1</v>
      </c>
      <c r="AH157" s="31">
        <f>VLOOKUP($A157,kurspris!$A$1:$Q$852,7,FALSE)</f>
        <v>0</v>
      </c>
      <c r="AI157" s="31">
        <f>VLOOKUP($A157,kurspris!$A$1:$Q$852,8,FALSE)</f>
        <v>0</v>
      </c>
      <c r="AJ157" s="31">
        <f>VLOOKUP($A157,kurspris!$A$1:$Q$852,9,FALSE)</f>
        <v>0</v>
      </c>
      <c r="AK157" s="31">
        <f>VLOOKUP($A157,kurspris!$A$1:$Q$852,10,FALSE)</f>
        <v>0</v>
      </c>
      <c r="AL157" s="31">
        <f>VLOOKUP($A157,kurspris!$A$1:$Q$852,11,FALSE)</f>
        <v>0</v>
      </c>
      <c r="AM157" s="31">
        <f>VLOOKUP($A157,kurspris!$A$1:$Q$852,12,FALSE)</f>
        <v>0</v>
      </c>
      <c r="AN157" s="31">
        <f>VLOOKUP($A157,kurspris!$A$1:$Q$852,13,FALSE)</f>
        <v>0</v>
      </c>
      <c r="AO157" s="31">
        <f>VLOOKUP($A157,kurspris!$A$1:$Q$852,14,FALSE)</f>
        <v>0</v>
      </c>
      <c r="AP157" s="59" t="s">
        <v>2216</v>
      </c>
      <c r="AR157" s="31">
        <f t="shared" si="58"/>
        <v>0</v>
      </c>
      <c r="AS157" s="237">
        <f t="shared" si="59"/>
        <v>0</v>
      </c>
      <c r="AT157" s="31">
        <f t="shared" si="60"/>
        <v>0</v>
      </c>
      <c r="AU157" s="237">
        <f t="shared" si="61"/>
        <v>0</v>
      </c>
      <c r="AV157" s="31">
        <f t="shared" si="62"/>
        <v>0</v>
      </c>
      <c r="AW157" s="31">
        <f t="shared" si="63"/>
        <v>0</v>
      </c>
      <c r="AX157" s="31">
        <f t="shared" si="64"/>
        <v>16.625</v>
      </c>
      <c r="AY157" s="237">
        <f t="shared" si="65"/>
        <v>14.13125</v>
      </c>
      <c r="AZ157" s="214">
        <f t="shared" si="66"/>
        <v>0</v>
      </c>
      <c r="BA157" s="237">
        <f t="shared" si="67"/>
        <v>0</v>
      </c>
      <c r="BB157" s="31">
        <f t="shared" si="68"/>
        <v>0</v>
      </c>
      <c r="BC157" s="237">
        <f t="shared" si="69"/>
        <v>0</v>
      </c>
      <c r="BD157" s="31">
        <f t="shared" si="70"/>
        <v>0</v>
      </c>
      <c r="BE157" s="237">
        <f t="shared" si="71"/>
        <v>0</v>
      </c>
      <c r="BF157" s="31">
        <f t="shared" si="72"/>
        <v>0</v>
      </c>
      <c r="BG157" s="237">
        <f t="shared" si="73"/>
        <v>0</v>
      </c>
      <c r="BH157" s="31">
        <f t="shared" si="74"/>
        <v>0</v>
      </c>
      <c r="BI157" s="237">
        <f t="shared" si="75"/>
        <v>0</v>
      </c>
      <c r="BJ157" s="31">
        <f t="shared" si="76"/>
        <v>0</v>
      </c>
      <c r="BK157" s="31">
        <f t="shared" si="77"/>
        <v>0</v>
      </c>
      <c r="BL157" s="237">
        <f t="shared" si="78"/>
        <v>0</v>
      </c>
      <c r="BM157" s="31">
        <f t="shared" si="79"/>
        <v>0</v>
      </c>
      <c r="BN157" s="237">
        <f t="shared" si="80"/>
        <v>0</v>
      </c>
    </row>
    <row r="158" spans="1:66" x14ac:dyDescent="0.25">
      <c r="A158" s="59" t="s">
        <v>1145</v>
      </c>
      <c r="B158" s="182" t="str">
        <f>VLOOKUP(A158,kurspris!$A$1:$B$894,2,FALSE)</f>
        <v>Etik, demokrati och det heterogena klassrummet, 7,5 hp</v>
      </c>
      <c r="C158" s="37"/>
      <c r="D158" s="59" t="s">
        <v>484</v>
      </c>
      <c r="E158" s="62"/>
      <c r="F158" s="59">
        <v>2019</v>
      </c>
      <c r="M158" s="386"/>
      <c r="N158" s="40"/>
      <c r="P158" s="387"/>
      <c r="Q158" s="237">
        <v>8.25</v>
      </c>
      <c r="R158" s="40">
        <v>0.85</v>
      </c>
      <c r="S158" s="313">
        <f t="shared" si="54"/>
        <v>7.0125000000000002</v>
      </c>
      <c r="T158" s="31">
        <f>VLOOKUP(A158,'Ansvar kurs'!$A$1:$C$1027,2,FALSE)</f>
        <v>1630</v>
      </c>
      <c r="U158" s="31" t="str">
        <f>VLOOKUP(T158,Orgenheter!$A$1:$C$165,2,FALSE)</f>
        <v>Inst för ide- o samhällsstudier</v>
      </c>
      <c r="V158" s="31" t="str">
        <f>VLOOKUP(T158,Orgenheter!$A$1:$C$165,3,FALSE)</f>
        <v>Hum</v>
      </c>
      <c r="W158" s="37" t="str">
        <f>VLOOKUP(D158,Program!$A$1:$B$34,2,FALSE)</f>
        <v>Förskollärarprogrammet</v>
      </c>
      <c r="X158" s="42">
        <f>VLOOKUP(A158,kurspris!$A$1:$Q$815,15,FALSE)</f>
        <v>23641</v>
      </c>
      <c r="Y158" s="42">
        <f>VLOOKUP(A158,kurspris!$A$1:$Q$815,16,FALSE)</f>
        <v>28786</v>
      </c>
      <c r="Z158" s="42">
        <f t="shared" si="55"/>
        <v>396900.07500000001</v>
      </c>
      <c r="AA158" s="42">
        <f>VLOOKUP(A158,kurspris!$A$1:$Q$815,17,FALSE)</f>
        <v>5800</v>
      </c>
      <c r="AB158" s="42">
        <f t="shared" si="56"/>
        <v>47850</v>
      </c>
      <c r="AC158" s="42">
        <f t="shared" si="57"/>
        <v>444750.07500000001</v>
      </c>
      <c r="AD158" s="31">
        <f>VLOOKUP($A158,kurspris!$A$1:$Q$852,3,FALSE)</f>
        <v>0</v>
      </c>
      <c r="AE158" s="31">
        <f>VLOOKUP($A158,kurspris!$A$1:$Q$852,4,FALSE)</f>
        <v>0</v>
      </c>
      <c r="AF158" s="31">
        <f>VLOOKUP($A158,kurspris!$A$1:$Q$852,5,FALSE)</f>
        <v>0</v>
      </c>
      <c r="AG158" s="31">
        <f>VLOOKUP($A158,kurspris!$A$1:$Q$852,6,FALSE)</f>
        <v>1</v>
      </c>
      <c r="AH158" s="31">
        <f>VLOOKUP($A158,kurspris!$A$1:$Q$852,7,FALSE)</f>
        <v>0</v>
      </c>
      <c r="AI158" s="31">
        <f>VLOOKUP($A158,kurspris!$A$1:$Q$852,8,FALSE)</f>
        <v>0</v>
      </c>
      <c r="AJ158" s="31">
        <f>VLOOKUP($A158,kurspris!$A$1:$Q$852,9,FALSE)</f>
        <v>0</v>
      </c>
      <c r="AK158" s="31">
        <f>VLOOKUP($A158,kurspris!$A$1:$Q$852,10,FALSE)</f>
        <v>0</v>
      </c>
      <c r="AL158" s="31">
        <f>VLOOKUP($A158,kurspris!$A$1:$Q$852,11,FALSE)</f>
        <v>0</v>
      </c>
      <c r="AM158" s="31">
        <f>VLOOKUP($A158,kurspris!$A$1:$Q$852,12,FALSE)</f>
        <v>0</v>
      </c>
      <c r="AN158" s="31">
        <f>VLOOKUP($A158,kurspris!$A$1:$Q$852,13,FALSE)</f>
        <v>0</v>
      </c>
      <c r="AO158" s="31">
        <f>VLOOKUP($A158,kurspris!$A$1:$Q$852,14,FALSE)</f>
        <v>0</v>
      </c>
      <c r="AP158" s="59" t="s">
        <v>2216</v>
      </c>
      <c r="AR158" s="31">
        <f t="shared" si="58"/>
        <v>0</v>
      </c>
      <c r="AS158" s="237">
        <f t="shared" si="59"/>
        <v>0</v>
      </c>
      <c r="AT158" s="31">
        <f t="shared" si="60"/>
        <v>0</v>
      </c>
      <c r="AU158" s="237">
        <f t="shared" si="61"/>
        <v>0</v>
      </c>
      <c r="AV158" s="31">
        <f t="shared" si="62"/>
        <v>0</v>
      </c>
      <c r="AW158" s="31">
        <f t="shared" si="63"/>
        <v>0</v>
      </c>
      <c r="AX158" s="31">
        <f t="shared" si="64"/>
        <v>8.25</v>
      </c>
      <c r="AY158" s="237">
        <f t="shared" si="65"/>
        <v>7.0125000000000002</v>
      </c>
      <c r="AZ158" s="214">
        <f t="shared" si="66"/>
        <v>0</v>
      </c>
      <c r="BA158" s="237">
        <f t="shared" si="67"/>
        <v>0</v>
      </c>
      <c r="BB158" s="31">
        <f t="shared" si="68"/>
        <v>0</v>
      </c>
      <c r="BC158" s="237">
        <f t="shared" si="69"/>
        <v>0</v>
      </c>
      <c r="BD158" s="31">
        <f t="shared" si="70"/>
        <v>0</v>
      </c>
      <c r="BE158" s="237">
        <f t="shared" si="71"/>
        <v>0</v>
      </c>
      <c r="BF158" s="31">
        <f t="shared" si="72"/>
        <v>0</v>
      </c>
      <c r="BG158" s="237">
        <f t="shared" si="73"/>
        <v>0</v>
      </c>
      <c r="BH158" s="31">
        <f t="shared" si="74"/>
        <v>0</v>
      </c>
      <c r="BI158" s="237">
        <f t="shared" si="75"/>
        <v>0</v>
      </c>
      <c r="BJ158" s="31">
        <f t="shared" si="76"/>
        <v>0</v>
      </c>
      <c r="BK158" s="31">
        <f t="shared" si="77"/>
        <v>0</v>
      </c>
      <c r="BL158" s="237">
        <f t="shared" si="78"/>
        <v>0</v>
      </c>
      <c r="BM158" s="31">
        <f t="shared" si="79"/>
        <v>0</v>
      </c>
      <c r="BN158" s="237">
        <f t="shared" si="80"/>
        <v>0</v>
      </c>
    </row>
    <row r="159" spans="1:66" x14ac:dyDescent="0.25">
      <c r="A159" s="159" t="s">
        <v>1145</v>
      </c>
      <c r="B159" s="182" t="str">
        <f>VLOOKUP(A159,kurspris!$A$1:$B$894,2,FALSE)</f>
        <v>Etik, demokrati och det heterogena klassrummet, 7,5 hp</v>
      </c>
      <c r="C159" s="37"/>
      <c r="D159" s="31" t="s">
        <v>485</v>
      </c>
      <c r="F159" s="59">
        <v>2019</v>
      </c>
      <c r="Q159" s="237">
        <v>2.125</v>
      </c>
      <c r="R159" s="40">
        <v>0.85</v>
      </c>
      <c r="S159" s="313">
        <f t="shared" si="54"/>
        <v>1.8062499999999999</v>
      </c>
      <c r="T159" s="31">
        <f>VLOOKUP(A159,'Ansvar kurs'!$A$1:$C$1027,2,FALSE)</f>
        <v>1630</v>
      </c>
      <c r="U159" s="31" t="str">
        <f>VLOOKUP(T159,Orgenheter!$A$1:$C$165,2,FALSE)</f>
        <v>Inst för ide- o samhällsstudier</v>
      </c>
      <c r="V159" s="31" t="str">
        <f>VLOOKUP(T159,Orgenheter!$A$1:$C$165,3,FALSE)</f>
        <v>Hum</v>
      </c>
      <c r="W159" s="37" t="str">
        <f>VLOOKUP(D159,Program!$A$1:$B$34,2,FALSE)</f>
        <v>Grundlärarprogrammet - fritidshem</v>
      </c>
      <c r="X159" s="42">
        <f>VLOOKUP(A159,kurspris!$A$1:$Q$815,15,FALSE)</f>
        <v>23641</v>
      </c>
      <c r="Y159" s="42">
        <f>VLOOKUP(A159,kurspris!$A$1:$Q$815,16,FALSE)</f>
        <v>28786</v>
      </c>
      <c r="Z159" s="42">
        <f t="shared" si="55"/>
        <v>102231.83749999999</v>
      </c>
      <c r="AA159" s="42">
        <f>VLOOKUP(A159,kurspris!$A$1:$Q$815,17,FALSE)</f>
        <v>5800</v>
      </c>
      <c r="AB159" s="42">
        <f t="shared" si="56"/>
        <v>12325</v>
      </c>
      <c r="AC159" s="42">
        <f t="shared" si="57"/>
        <v>114556.83749999999</v>
      </c>
      <c r="AD159" s="31">
        <f>VLOOKUP($A159,kurspris!$A$1:$Q$852,3,FALSE)</f>
        <v>0</v>
      </c>
      <c r="AE159" s="31">
        <f>VLOOKUP($A159,kurspris!$A$1:$Q$852,4,FALSE)</f>
        <v>0</v>
      </c>
      <c r="AF159" s="31">
        <f>VLOOKUP($A159,kurspris!$A$1:$Q$852,5,FALSE)</f>
        <v>0</v>
      </c>
      <c r="AG159" s="31">
        <f>VLOOKUP($A159,kurspris!$A$1:$Q$852,6,FALSE)</f>
        <v>1</v>
      </c>
      <c r="AH159" s="31">
        <f>VLOOKUP($A159,kurspris!$A$1:$Q$852,7,FALSE)</f>
        <v>0</v>
      </c>
      <c r="AI159" s="31">
        <f>VLOOKUP($A159,kurspris!$A$1:$Q$852,8,FALSE)</f>
        <v>0</v>
      </c>
      <c r="AJ159" s="31">
        <f>VLOOKUP($A159,kurspris!$A$1:$Q$852,9,FALSE)</f>
        <v>0</v>
      </c>
      <c r="AK159" s="31">
        <f>VLOOKUP($A159,kurspris!$A$1:$Q$852,10,FALSE)</f>
        <v>0</v>
      </c>
      <c r="AL159" s="31">
        <f>VLOOKUP($A159,kurspris!$A$1:$Q$852,11,FALSE)</f>
        <v>0</v>
      </c>
      <c r="AM159" s="31">
        <f>VLOOKUP($A159,kurspris!$A$1:$Q$852,12,FALSE)</f>
        <v>0</v>
      </c>
      <c r="AN159" s="31">
        <f>VLOOKUP($A159,kurspris!$A$1:$Q$852,13,FALSE)</f>
        <v>0</v>
      </c>
      <c r="AO159" s="31">
        <f>VLOOKUP($A159,kurspris!$A$1:$Q$852,14,FALSE)</f>
        <v>0</v>
      </c>
      <c r="AP159" s="59" t="s">
        <v>2216</v>
      </c>
      <c r="AR159" s="31">
        <f t="shared" si="58"/>
        <v>0</v>
      </c>
      <c r="AS159" s="237">
        <f t="shared" si="59"/>
        <v>0</v>
      </c>
      <c r="AT159" s="31">
        <f t="shared" si="60"/>
        <v>0</v>
      </c>
      <c r="AU159" s="237">
        <f t="shared" si="61"/>
        <v>0</v>
      </c>
      <c r="AV159" s="31">
        <f t="shared" si="62"/>
        <v>0</v>
      </c>
      <c r="AW159" s="31">
        <f t="shared" si="63"/>
        <v>0</v>
      </c>
      <c r="AX159" s="31">
        <f t="shared" si="64"/>
        <v>2.125</v>
      </c>
      <c r="AY159" s="237">
        <f t="shared" si="65"/>
        <v>1.8062499999999999</v>
      </c>
      <c r="AZ159" s="214">
        <f t="shared" si="66"/>
        <v>0</v>
      </c>
      <c r="BA159" s="237">
        <f t="shared" si="67"/>
        <v>0</v>
      </c>
      <c r="BB159" s="31">
        <f t="shared" si="68"/>
        <v>0</v>
      </c>
      <c r="BC159" s="237">
        <f t="shared" si="69"/>
        <v>0</v>
      </c>
      <c r="BD159" s="31">
        <f t="shared" si="70"/>
        <v>0</v>
      </c>
      <c r="BE159" s="237">
        <f t="shared" si="71"/>
        <v>0</v>
      </c>
      <c r="BF159" s="31">
        <f t="shared" si="72"/>
        <v>0</v>
      </c>
      <c r="BG159" s="237">
        <f t="shared" si="73"/>
        <v>0</v>
      </c>
      <c r="BH159" s="31">
        <f t="shared" si="74"/>
        <v>0</v>
      </c>
      <c r="BI159" s="237">
        <f t="shared" si="75"/>
        <v>0</v>
      </c>
      <c r="BJ159" s="31">
        <f t="shared" si="76"/>
        <v>0</v>
      </c>
      <c r="BK159" s="31">
        <f t="shared" si="77"/>
        <v>0</v>
      </c>
      <c r="BL159" s="237">
        <f t="shared" si="78"/>
        <v>0</v>
      </c>
      <c r="BM159" s="31">
        <f t="shared" si="79"/>
        <v>0</v>
      </c>
      <c r="BN159" s="237">
        <f t="shared" si="80"/>
        <v>0</v>
      </c>
    </row>
    <row r="160" spans="1:66" x14ac:dyDescent="0.25">
      <c r="A160" s="59" t="s">
        <v>1145</v>
      </c>
      <c r="B160" s="182" t="str">
        <f>VLOOKUP(A160,kurspris!$A$1:$B$894,2,FALSE)</f>
        <v>Etik, demokrati och det heterogena klassrummet, 7,5 hp</v>
      </c>
      <c r="C160" s="37"/>
      <c r="D160" s="59" t="s">
        <v>486</v>
      </c>
      <c r="E160" s="62"/>
      <c r="F160" s="59">
        <v>2019</v>
      </c>
      <c r="I160" s="62"/>
      <c r="M160" s="388"/>
      <c r="N160" s="40"/>
      <c r="P160" s="387"/>
      <c r="Q160" s="237">
        <v>6.25</v>
      </c>
      <c r="R160" s="40">
        <v>0.85</v>
      </c>
      <c r="S160" s="313">
        <f t="shared" si="54"/>
        <v>5.3125</v>
      </c>
      <c r="T160" s="31">
        <f>VLOOKUP(A160,'Ansvar kurs'!$A$1:$C$1027,2,FALSE)</f>
        <v>1630</v>
      </c>
      <c r="U160" s="31" t="str">
        <f>VLOOKUP(T160,Orgenheter!$A$1:$C$165,2,FALSE)</f>
        <v>Inst för ide- o samhällsstudier</v>
      </c>
      <c r="V160" s="31" t="str">
        <f>VLOOKUP(T160,Orgenheter!$A$1:$C$165,3,FALSE)</f>
        <v>Hum</v>
      </c>
      <c r="W160" s="37" t="str">
        <f>VLOOKUP(D160,Program!$A$1:$B$34,2,FALSE)</f>
        <v>Grundlärarprogrammet - förskoleklass och åk 1-3</v>
      </c>
      <c r="X160" s="42">
        <f>VLOOKUP(A160,kurspris!$A$1:$Q$815,15,FALSE)</f>
        <v>23641</v>
      </c>
      <c r="Y160" s="42">
        <f>VLOOKUP(A160,kurspris!$A$1:$Q$815,16,FALSE)</f>
        <v>28786</v>
      </c>
      <c r="Z160" s="42">
        <f t="shared" si="55"/>
        <v>300681.875</v>
      </c>
      <c r="AA160" s="42">
        <f>VLOOKUP(A160,kurspris!$A$1:$Q$815,17,FALSE)</f>
        <v>5800</v>
      </c>
      <c r="AB160" s="42">
        <f t="shared" si="56"/>
        <v>36250</v>
      </c>
      <c r="AC160" s="42">
        <f t="shared" si="57"/>
        <v>336931.875</v>
      </c>
      <c r="AD160" s="31">
        <f>VLOOKUP($A160,kurspris!$A$1:$Q$852,3,FALSE)</f>
        <v>0</v>
      </c>
      <c r="AE160" s="31">
        <f>VLOOKUP($A160,kurspris!$A$1:$Q$852,4,FALSE)</f>
        <v>0</v>
      </c>
      <c r="AF160" s="31">
        <f>VLOOKUP($A160,kurspris!$A$1:$Q$852,5,FALSE)</f>
        <v>0</v>
      </c>
      <c r="AG160" s="31">
        <f>VLOOKUP($A160,kurspris!$A$1:$Q$852,6,FALSE)</f>
        <v>1</v>
      </c>
      <c r="AH160" s="31">
        <f>VLOOKUP($A160,kurspris!$A$1:$Q$852,7,FALSE)</f>
        <v>0</v>
      </c>
      <c r="AI160" s="31">
        <f>VLOOKUP($A160,kurspris!$A$1:$Q$852,8,FALSE)</f>
        <v>0</v>
      </c>
      <c r="AJ160" s="31">
        <f>VLOOKUP($A160,kurspris!$A$1:$Q$852,9,FALSE)</f>
        <v>0</v>
      </c>
      <c r="AK160" s="31">
        <f>VLOOKUP($A160,kurspris!$A$1:$Q$852,10,FALSE)</f>
        <v>0</v>
      </c>
      <c r="AL160" s="31">
        <f>VLOOKUP($A160,kurspris!$A$1:$Q$852,11,FALSE)</f>
        <v>0</v>
      </c>
      <c r="AM160" s="31">
        <f>VLOOKUP($A160,kurspris!$A$1:$Q$852,12,FALSE)</f>
        <v>0</v>
      </c>
      <c r="AN160" s="31">
        <f>VLOOKUP($A160,kurspris!$A$1:$Q$852,13,FALSE)</f>
        <v>0</v>
      </c>
      <c r="AO160" s="31">
        <f>VLOOKUP($A160,kurspris!$A$1:$Q$852,14,FALSE)</f>
        <v>0</v>
      </c>
      <c r="AP160" s="59" t="s">
        <v>2216</v>
      </c>
      <c r="AR160" s="31">
        <f t="shared" si="58"/>
        <v>0</v>
      </c>
      <c r="AS160" s="237">
        <f t="shared" si="59"/>
        <v>0</v>
      </c>
      <c r="AT160" s="31">
        <f t="shared" si="60"/>
        <v>0</v>
      </c>
      <c r="AU160" s="237">
        <f t="shared" si="61"/>
        <v>0</v>
      </c>
      <c r="AV160" s="31">
        <f t="shared" si="62"/>
        <v>0</v>
      </c>
      <c r="AW160" s="31">
        <f t="shared" si="63"/>
        <v>0</v>
      </c>
      <c r="AX160" s="31">
        <f t="shared" si="64"/>
        <v>6.25</v>
      </c>
      <c r="AY160" s="237">
        <f t="shared" si="65"/>
        <v>5.3125</v>
      </c>
      <c r="AZ160" s="214">
        <f t="shared" si="66"/>
        <v>0</v>
      </c>
      <c r="BA160" s="237">
        <f t="shared" si="67"/>
        <v>0</v>
      </c>
      <c r="BB160" s="31">
        <f t="shared" si="68"/>
        <v>0</v>
      </c>
      <c r="BC160" s="237">
        <f t="shared" si="69"/>
        <v>0</v>
      </c>
      <c r="BD160" s="31">
        <f t="shared" si="70"/>
        <v>0</v>
      </c>
      <c r="BE160" s="237">
        <f t="shared" si="71"/>
        <v>0</v>
      </c>
      <c r="BF160" s="31">
        <f t="shared" si="72"/>
        <v>0</v>
      </c>
      <c r="BG160" s="237">
        <f t="shared" si="73"/>
        <v>0</v>
      </c>
      <c r="BH160" s="31">
        <f t="shared" si="74"/>
        <v>0</v>
      </c>
      <c r="BI160" s="237">
        <f t="shared" si="75"/>
        <v>0</v>
      </c>
      <c r="BJ160" s="31">
        <f t="shared" si="76"/>
        <v>0</v>
      </c>
      <c r="BK160" s="31">
        <f t="shared" si="77"/>
        <v>0</v>
      </c>
      <c r="BL160" s="237">
        <f t="shared" si="78"/>
        <v>0</v>
      </c>
      <c r="BM160" s="31">
        <f t="shared" si="79"/>
        <v>0</v>
      </c>
      <c r="BN160" s="237">
        <f t="shared" si="80"/>
        <v>0</v>
      </c>
    </row>
    <row r="161" spans="1:66" x14ac:dyDescent="0.25">
      <c r="A161" s="59" t="s">
        <v>1145</v>
      </c>
      <c r="B161" s="182" t="str">
        <f>VLOOKUP(A161,kurspris!$A$1:$B$894,2,FALSE)</f>
        <v>Etik, demokrati och det heterogena klassrummet, 7,5 hp</v>
      </c>
      <c r="C161" s="37"/>
      <c r="D161" s="59" t="s">
        <v>524</v>
      </c>
      <c r="E161" s="62"/>
      <c r="F161" s="59">
        <v>2019</v>
      </c>
      <c r="I161" s="62"/>
      <c r="M161" s="388"/>
      <c r="N161" s="40"/>
      <c r="P161" s="387"/>
      <c r="Q161" s="237">
        <v>3.5</v>
      </c>
      <c r="R161" s="40">
        <v>0.85</v>
      </c>
      <c r="S161" s="313">
        <f t="shared" si="54"/>
        <v>2.9750000000000001</v>
      </c>
      <c r="T161" s="31">
        <f>VLOOKUP(A161,'Ansvar kurs'!$A$1:$C$1027,2,FALSE)</f>
        <v>1630</v>
      </c>
      <c r="U161" s="31" t="str">
        <f>VLOOKUP(T161,Orgenheter!$A$1:$C$165,2,FALSE)</f>
        <v>Inst för ide- o samhällsstudier</v>
      </c>
      <c r="V161" s="31" t="str">
        <f>VLOOKUP(T161,Orgenheter!$A$1:$C$165,3,FALSE)</f>
        <v>Hum</v>
      </c>
      <c r="W161" s="37" t="str">
        <f>VLOOKUP(D161,Program!$A$1:$B$34,2,FALSE)</f>
        <v>Grundlärarprogrammet - grundskolans åk 4-6</v>
      </c>
      <c r="X161" s="42">
        <f>VLOOKUP(A161,kurspris!$A$1:$Q$815,15,FALSE)</f>
        <v>23641</v>
      </c>
      <c r="Y161" s="42">
        <f>VLOOKUP(A161,kurspris!$A$1:$Q$815,16,FALSE)</f>
        <v>28786</v>
      </c>
      <c r="Z161" s="42">
        <f t="shared" si="55"/>
        <v>168381.85</v>
      </c>
      <c r="AA161" s="42">
        <f>VLOOKUP(A161,kurspris!$A$1:$Q$815,17,FALSE)</f>
        <v>5800</v>
      </c>
      <c r="AB161" s="42">
        <f t="shared" si="56"/>
        <v>20300</v>
      </c>
      <c r="AC161" s="42">
        <f t="shared" si="57"/>
        <v>188681.85</v>
      </c>
      <c r="AD161" s="31">
        <f>VLOOKUP($A161,kurspris!$A$1:$Q$852,3,FALSE)</f>
        <v>0</v>
      </c>
      <c r="AE161" s="31">
        <f>VLOOKUP($A161,kurspris!$A$1:$Q$852,4,FALSE)</f>
        <v>0</v>
      </c>
      <c r="AF161" s="31">
        <f>VLOOKUP($A161,kurspris!$A$1:$Q$852,5,FALSE)</f>
        <v>0</v>
      </c>
      <c r="AG161" s="31">
        <f>VLOOKUP($A161,kurspris!$A$1:$Q$852,6,FALSE)</f>
        <v>1</v>
      </c>
      <c r="AH161" s="31">
        <f>VLOOKUP($A161,kurspris!$A$1:$Q$852,7,FALSE)</f>
        <v>0</v>
      </c>
      <c r="AI161" s="31">
        <f>VLOOKUP($A161,kurspris!$A$1:$Q$852,8,FALSE)</f>
        <v>0</v>
      </c>
      <c r="AJ161" s="31">
        <f>VLOOKUP($A161,kurspris!$A$1:$Q$852,9,FALSE)</f>
        <v>0</v>
      </c>
      <c r="AK161" s="31">
        <f>VLOOKUP($A161,kurspris!$A$1:$Q$852,10,FALSE)</f>
        <v>0</v>
      </c>
      <c r="AL161" s="31">
        <f>VLOOKUP($A161,kurspris!$A$1:$Q$852,11,FALSE)</f>
        <v>0</v>
      </c>
      <c r="AM161" s="31">
        <f>VLOOKUP($A161,kurspris!$A$1:$Q$852,12,FALSE)</f>
        <v>0</v>
      </c>
      <c r="AN161" s="31">
        <f>VLOOKUP($A161,kurspris!$A$1:$Q$852,13,FALSE)</f>
        <v>0</v>
      </c>
      <c r="AO161" s="31">
        <f>VLOOKUP($A161,kurspris!$A$1:$Q$852,14,FALSE)</f>
        <v>0</v>
      </c>
      <c r="AP161" s="59" t="s">
        <v>2216</v>
      </c>
      <c r="AR161" s="31">
        <f t="shared" si="58"/>
        <v>0</v>
      </c>
      <c r="AS161" s="237">
        <f t="shared" si="59"/>
        <v>0</v>
      </c>
      <c r="AT161" s="31">
        <f t="shared" si="60"/>
        <v>0</v>
      </c>
      <c r="AU161" s="237">
        <f t="shared" si="61"/>
        <v>0</v>
      </c>
      <c r="AV161" s="31">
        <f t="shared" si="62"/>
        <v>0</v>
      </c>
      <c r="AW161" s="31">
        <f t="shared" si="63"/>
        <v>0</v>
      </c>
      <c r="AX161" s="31">
        <f t="shared" si="64"/>
        <v>3.5</v>
      </c>
      <c r="AY161" s="237">
        <f t="shared" si="65"/>
        <v>2.9750000000000001</v>
      </c>
      <c r="AZ161" s="214">
        <f t="shared" si="66"/>
        <v>0</v>
      </c>
      <c r="BA161" s="237">
        <f t="shared" si="67"/>
        <v>0</v>
      </c>
      <c r="BB161" s="31">
        <f t="shared" si="68"/>
        <v>0</v>
      </c>
      <c r="BC161" s="237">
        <f t="shared" si="69"/>
        <v>0</v>
      </c>
      <c r="BD161" s="31">
        <f t="shared" si="70"/>
        <v>0</v>
      </c>
      <c r="BE161" s="237">
        <f t="shared" si="71"/>
        <v>0</v>
      </c>
      <c r="BF161" s="31">
        <f t="shared" si="72"/>
        <v>0</v>
      </c>
      <c r="BG161" s="237">
        <f t="shared" si="73"/>
        <v>0</v>
      </c>
      <c r="BH161" s="31">
        <f t="shared" si="74"/>
        <v>0</v>
      </c>
      <c r="BI161" s="237">
        <f t="shared" si="75"/>
        <v>0</v>
      </c>
      <c r="BJ161" s="31">
        <f t="shared" si="76"/>
        <v>0</v>
      </c>
      <c r="BK161" s="31">
        <f t="shared" si="77"/>
        <v>0</v>
      </c>
      <c r="BL161" s="237">
        <f t="shared" si="78"/>
        <v>0</v>
      </c>
      <c r="BM161" s="31">
        <f t="shared" si="79"/>
        <v>0</v>
      </c>
      <c r="BN161" s="237">
        <f t="shared" si="80"/>
        <v>0</v>
      </c>
    </row>
    <row r="162" spans="1:66" x14ac:dyDescent="0.25">
      <c r="A162" s="31" t="s">
        <v>819</v>
      </c>
      <c r="B162" s="182" t="str">
        <f>VLOOKUP(A162,kurspris!$A$1:$B$894,2,FALSE)</f>
        <v>Att undervisa i åk 4-6</v>
      </c>
      <c r="D162" s="31" t="s">
        <v>524</v>
      </c>
      <c r="F162" s="59">
        <v>2019</v>
      </c>
      <c r="Q162" s="237">
        <v>2.9</v>
      </c>
      <c r="R162" s="40">
        <v>0.85</v>
      </c>
      <c r="S162" s="313">
        <f t="shared" si="54"/>
        <v>2.4649999999999999</v>
      </c>
      <c r="T162" s="31">
        <f>VLOOKUP(A162,'Ansvar kurs'!$A$1:$C$1027,2,FALSE)</f>
        <v>1620</v>
      </c>
      <c r="U162" s="31" t="str">
        <f>VLOOKUP(T162,Orgenheter!$A$1:$C$165,2,FALSE)</f>
        <v>Inst för språkstudier</v>
      </c>
      <c r="V162" s="31" t="str">
        <f>VLOOKUP(T162,Orgenheter!$A$1:$C$165,3,FALSE)</f>
        <v>Hum</v>
      </c>
      <c r="W162" s="37" t="str">
        <f>VLOOKUP(D162,Program!$A$1:$B$34,2,FALSE)</f>
        <v>Grundlärarprogrammet - grundskolans åk 4-6</v>
      </c>
      <c r="X162" s="42">
        <f>VLOOKUP(A162,kurspris!$A$1:$Q$815,15,FALSE)</f>
        <v>21634</v>
      </c>
      <c r="Y162" s="42">
        <f>VLOOKUP(A162,kurspris!$A$1:$Q$815,16,FALSE)</f>
        <v>26986</v>
      </c>
      <c r="Z162" s="42">
        <f t="shared" si="55"/>
        <v>129259.09</v>
      </c>
      <c r="AA162" s="42">
        <f>VLOOKUP(A162,kurspris!$A$1:$Q$815,17,FALSE)</f>
        <v>3400</v>
      </c>
      <c r="AB162" s="42">
        <f t="shared" si="56"/>
        <v>9860</v>
      </c>
      <c r="AC162" s="42">
        <f t="shared" si="57"/>
        <v>139119.09</v>
      </c>
      <c r="AD162" s="31">
        <f>VLOOKUP($A162,kurspris!$A$1:$Q$852,3,FALSE)</f>
        <v>0</v>
      </c>
      <c r="AE162" s="31">
        <f>VLOOKUP($A162,kurspris!$A$1:$Q$852,4,FALSE)</f>
        <v>0</v>
      </c>
      <c r="AF162" s="31">
        <f>VLOOKUP($A162,kurspris!$A$1:$Q$852,5,FALSE)</f>
        <v>0</v>
      </c>
      <c r="AG162" s="31">
        <f>VLOOKUP($A162,kurspris!$A$1:$Q$852,6,FALSE)</f>
        <v>0</v>
      </c>
      <c r="AH162" s="31">
        <f>VLOOKUP($A162,kurspris!$A$1:$Q$852,7,FALSE)</f>
        <v>0</v>
      </c>
      <c r="AI162" s="31">
        <f>VLOOKUP($A162,kurspris!$A$1:$Q$852,8,FALSE)</f>
        <v>0</v>
      </c>
      <c r="AJ162" s="31">
        <f>VLOOKUP($A162,kurspris!$A$1:$Q$852,9,FALSE)</f>
        <v>0</v>
      </c>
      <c r="AK162" s="31">
        <f>VLOOKUP($A162,kurspris!$A$1:$Q$852,10,FALSE)</f>
        <v>0</v>
      </c>
      <c r="AL162" s="31">
        <f>VLOOKUP($A162,kurspris!$A$1:$Q$852,11,FALSE)</f>
        <v>1</v>
      </c>
      <c r="AM162" s="31">
        <f>VLOOKUP($A162,kurspris!$A$1:$Q$852,12,FALSE)</f>
        <v>0</v>
      </c>
      <c r="AN162" s="31">
        <f>VLOOKUP($A162,kurspris!$A$1:$Q$852,13,FALSE)</f>
        <v>0</v>
      </c>
      <c r="AO162" s="31">
        <f>VLOOKUP($A162,kurspris!$A$1:$Q$852,14,FALSE)</f>
        <v>0</v>
      </c>
      <c r="AP162" s="59" t="s">
        <v>2216</v>
      </c>
      <c r="AR162" s="31">
        <f t="shared" si="58"/>
        <v>0</v>
      </c>
      <c r="AS162" s="237">
        <f t="shared" si="59"/>
        <v>0</v>
      </c>
      <c r="AT162" s="31">
        <f t="shared" si="60"/>
        <v>0</v>
      </c>
      <c r="AU162" s="237">
        <f t="shared" si="61"/>
        <v>0</v>
      </c>
      <c r="AV162" s="31">
        <f t="shared" si="62"/>
        <v>0</v>
      </c>
      <c r="AW162" s="31">
        <f t="shared" si="63"/>
        <v>0</v>
      </c>
      <c r="AX162" s="31">
        <f t="shared" si="64"/>
        <v>0</v>
      </c>
      <c r="AY162" s="237">
        <f t="shared" si="65"/>
        <v>0</v>
      </c>
      <c r="AZ162" s="214">
        <f t="shared" si="66"/>
        <v>0</v>
      </c>
      <c r="BA162" s="237">
        <f t="shared" si="67"/>
        <v>0</v>
      </c>
      <c r="BB162" s="31">
        <f t="shared" si="68"/>
        <v>0</v>
      </c>
      <c r="BC162" s="237">
        <f t="shared" si="69"/>
        <v>0</v>
      </c>
      <c r="BD162" s="31">
        <f t="shared" si="70"/>
        <v>0</v>
      </c>
      <c r="BE162" s="237">
        <f t="shared" si="71"/>
        <v>0</v>
      </c>
      <c r="BF162" s="31">
        <f t="shared" si="72"/>
        <v>0</v>
      </c>
      <c r="BG162" s="237">
        <f t="shared" si="73"/>
        <v>0</v>
      </c>
      <c r="BH162" s="31">
        <f t="shared" si="74"/>
        <v>2.9</v>
      </c>
      <c r="BI162" s="237">
        <f t="shared" si="75"/>
        <v>2.4649999999999999</v>
      </c>
      <c r="BJ162" s="31">
        <f t="shared" si="76"/>
        <v>0</v>
      </c>
      <c r="BK162" s="31">
        <f t="shared" si="77"/>
        <v>0</v>
      </c>
      <c r="BL162" s="237">
        <f t="shared" si="78"/>
        <v>0</v>
      </c>
      <c r="BM162" s="31">
        <f t="shared" si="79"/>
        <v>0</v>
      </c>
      <c r="BN162" s="237">
        <f t="shared" si="80"/>
        <v>0</v>
      </c>
    </row>
    <row r="163" spans="1:66" x14ac:dyDescent="0.25">
      <c r="A163" s="31" t="s">
        <v>818</v>
      </c>
      <c r="B163" s="182" t="str">
        <f>VLOOKUP(A163,kurspris!$A$1:$B$894,2,FALSE)</f>
        <v>Att undervisa i F-3</v>
      </c>
      <c r="D163" s="31" t="s">
        <v>486</v>
      </c>
      <c r="F163" s="59">
        <v>2019</v>
      </c>
      <c r="Q163" s="237">
        <v>3.4</v>
      </c>
      <c r="R163" s="40">
        <v>0.85</v>
      </c>
      <c r="S163" s="313">
        <f t="shared" si="54"/>
        <v>2.8899999999999997</v>
      </c>
      <c r="T163" s="31">
        <f>VLOOKUP(A163,'Ansvar kurs'!$A$1:$C$1027,2,FALSE)</f>
        <v>1620</v>
      </c>
      <c r="U163" s="31" t="str">
        <f>VLOOKUP(T163,Orgenheter!$A$1:$C$165,2,FALSE)</f>
        <v>Inst för språkstudier</v>
      </c>
      <c r="V163" s="31" t="str">
        <f>VLOOKUP(T163,Orgenheter!$A$1:$C$165,3,FALSE)</f>
        <v>Hum</v>
      </c>
      <c r="W163" s="37" t="str">
        <f>VLOOKUP(D163,Program!$A$1:$B$34,2,FALSE)</f>
        <v>Grundlärarprogrammet - förskoleklass och åk 1-3</v>
      </c>
      <c r="X163" s="42">
        <f>VLOOKUP(A163,kurspris!$A$1:$Q$815,15,FALSE)</f>
        <v>21634</v>
      </c>
      <c r="Y163" s="42">
        <f>VLOOKUP(A163,kurspris!$A$1:$Q$815,16,FALSE)</f>
        <v>26986</v>
      </c>
      <c r="Z163" s="42">
        <f t="shared" si="55"/>
        <v>151545.13999999998</v>
      </c>
      <c r="AA163" s="42">
        <f>VLOOKUP(A163,kurspris!$A$1:$Q$815,17,FALSE)</f>
        <v>3400</v>
      </c>
      <c r="AB163" s="42">
        <f t="shared" si="56"/>
        <v>11560</v>
      </c>
      <c r="AC163" s="42">
        <f t="shared" si="57"/>
        <v>163105.13999999998</v>
      </c>
      <c r="AD163" s="31">
        <f>VLOOKUP($A163,kurspris!$A$1:$Q$852,3,FALSE)</f>
        <v>0</v>
      </c>
      <c r="AE163" s="31">
        <f>VLOOKUP($A163,kurspris!$A$1:$Q$852,4,FALSE)</f>
        <v>0</v>
      </c>
      <c r="AF163" s="31">
        <f>VLOOKUP($A163,kurspris!$A$1:$Q$852,5,FALSE)</f>
        <v>0</v>
      </c>
      <c r="AG163" s="31">
        <f>VLOOKUP($A163,kurspris!$A$1:$Q$852,6,FALSE)</f>
        <v>0</v>
      </c>
      <c r="AH163" s="31">
        <f>VLOOKUP($A163,kurspris!$A$1:$Q$852,7,FALSE)</f>
        <v>0</v>
      </c>
      <c r="AI163" s="31">
        <f>VLOOKUP($A163,kurspris!$A$1:$Q$852,8,FALSE)</f>
        <v>0</v>
      </c>
      <c r="AJ163" s="31">
        <f>VLOOKUP($A163,kurspris!$A$1:$Q$852,9,FALSE)</f>
        <v>0</v>
      </c>
      <c r="AK163" s="31">
        <f>VLOOKUP($A163,kurspris!$A$1:$Q$852,10,FALSE)</f>
        <v>0</v>
      </c>
      <c r="AL163" s="31">
        <f>VLOOKUP($A163,kurspris!$A$1:$Q$852,11,FALSE)</f>
        <v>1</v>
      </c>
      <c r="AM163" s="31">
        <f>VLOOKUP($A163,kurspris!$A$1:$Q$852,12,FALSE)</f>
        <v>0</v>
      </c>
      <c r="AN163" s="31">
        <f>VLOOKUP($A163,kurspris!$A$1:$Q$852,13,FALSE)</f>
        <v>0</v>
      </c>
      <c r="AO163" s="31">
        <f>VLOOKUP($A163,kurspris!$A$1:$Q$852,14,FALSE)</f>
        <v>0</v>
      </c>
      <c r="AP163" s="59" t="s">
        <v>2216</v>
      </c>
      <c r="AR163" s="31">
        <f t="shared" si="58"/>
        <v>0</v>
      </c>
      <c r="AS163" s="237">
        <f t="shared" si="59"/>
        <v>0</v>
      </c>
      <c r="AT163" s="31">
        <f t="shared" si="60"/>
        <v>0</v>
      </c>
      <c r="AU163" s="237">
        <f t="shared" si="61"/>
        <v>0</v>
      </c>
      <c r="AV163" s="31">
        <f t="shared" si="62"/>
        <v>0</v>
      </c>
      <c r="AW163" s="31">
        <f t="shared" si="63"/>
        <v>0</v>
      </c>
      <c r="AX163" s="31">
        <f t="shared" si="64"/>
        <v>0</v>
      </c>
      <c r="AY163" s="237">
        <f t="shared" si="65"/>
        <v>0</v>
      </c>
      <c r="AZ163" s="214">
        <f t="shared" si="66"/>
        <v>0</v>
      </c>
      <c r="BA163" s="237">
        <f t="shared" si="67"/>
        <v>0</v>
      </c>
      <c r="BB163" s="31">
        <f t="shared" si="68"/>
        <v>0</v>
      </c>
      <c r="BC163" s="237">
        <f t="shared" si="69"/>
        <v>0</v>
      </c>
      <c r="BD163" s="31">
        <f t="shared" si="70"/>
        <v>0</v>
      </c>
      <c r="BE163" s="237">
        <f t="shared" si="71"/>
        <v>0</v>
      </c>
      <c r="BF163" s="31">
        <f t="shared" si="72"/>
        <v>0</v>
      </c>
      <c r="BG163" s="237">
        <f t="shared" si="73"/>
        <v>0</v>
      </c>
      <c r="BH163" s="31">
        <f t="shared" si="74"/>
        <v>3.4</v>
      </c>
      <c r="BI163" s="237">
        <f t="shared" si="75"/>
        <v>2.8899999999999997</v>
      </c>
      <c r="BJ163" s="31">
        <f t="shared" si="76"/>
        <v>0</v>
      </c>
      <c r="BK163" s="31">
        <f t="shared" si="77"/>
        <v>0</v>
      </c>
      <c r="BL163" s="237">
        <f t="shared" si="78"/>
        <v>0</v>
      </c>
      <c r="BM163" s="31">
        <f t="shared" si="79"/>
        <v>0</v>
      </c>
      <c r="BN163" s="237">
        <f t="shared" si="80"/>
        <v>0</v>
      </c>
    </row>
    <row r="164" spans="1:66" x14ac:dyDescent="0.25">
      <c r="A164" s="31" t="s">
        <v>1300</v>
      </c>
      <c r="B164" s="182" t="str">
        <f>VLOOKUP(A164,kurspris!$A$1:$B$894,2,FALSE)</f>
        <v>Läraryrkets dimensioner - ingångsämne engelska</v>
      </c>
      <c r="D164" s="31" t="s">
        <v>483</v>
      </c>
      <c r="F164" s="59">
        <v>2019</v>
      </c>
      <c r="Q164" s="237">
        <v>4.5</v>
      </c>
      <c r="R164" s="40">
        <v>0.85</v>
      </c>
      <c r="S164" s="313">
        <f t="shared" si="54"/>
        <v>3.8249999999999997</v>
      </c>
      <c r="T164" s="31">
        <f>VLOOKUP(A164,'Ansvar kurs'!$A$1:$C$1027,2,FALSE)</f>
        <v>1620</v>
      </c>
      <c r="U164" s="31" t="str">
        <f>VLOOKUP(T164,Orgenheter!$A$1:$C$165,2,FALSE)</f>
        <v>Inst för språkstudier</v>
      </c>
      <c r="V164" s="31" t="str">
        <f>VLOOKUP(T164,Orgenheter!$A$1:$C$165,3,FALSE)</f>
        <v>Hum</v>
      </c>
      <c r="W164" s="37" t="str">
        <f>VLOOKUP(D164,Program!$A$1:$B$34,2,FALSE)</f>
        <v>Ämneslärarprogrammet - Gy</v>
      </c>
      <c r="X164" s="42">
        <f>VLOOKUP(A164,kurspris!$A$1:$Q$815,15,FALSE)</f>
        <v>21634</v>
      </c>
      <c r="Y164" s="42">
        <f>VLOOKUP(A164,kurspris!$A$1:$Q$815,16,FALSE)</f>
        <v>26986</v>
      </c>
      <c r="Z164" s="42">
        <f t="shared" si="55"/>
        <v>200574.45</v>
      </c>
      <c r="AA164" s="42">
        <f>VLOOKUP(A164,kurspris!$A$1:$Q$815,17,FALSE)</f>
        <v>3400</v>
      </c>
      <c r="AB164" s="42">
        <f t="shared" si="56"/>
        <v>15300</v>
      </c>
      <c r="AC164" s="42">
        <f t="shared" si="57"/>
        <v>215874.45</v>
      </c>
      <c r="AD164" s="31">
        <f>VLOOKUP($A164,kurspris!$A$1:$Q$852,3,FALSE)</f>
        <v>0</v>
      </c>
      <c r="AE164" s="31">
        <f>VLOOKUP($A164,kurspris!$A$1:$Q$852,4,FALSE)</f>
        <v>0</v>
      </c>
      <c r="AF164" s="31">
        <f>VLOOKUP($A164,kurspris!$A$1:$Q$852,5,FALSE)</f>
        <v>0</v>
      </c>
      <c r="AG164" s="31">
        <f>VLOOKUP($A164,kurspris!$A$1:$Q$852,6,FALSE)</f>
        <v>0</v>
      </c>
      <c r="AH164" s="31">
        <f>VLOOKUP($A164,kurspris!$A$1:$Q$852,7,FALSE)</f>
        <v>0</v>
      </c>
      <c r="AI164" s="31">
        <f>VLOOKUP($A164,kurspris!$A$1:$Q$852,8,FALSE)</f>
        <v>0</v>
      </c>
      <c r="AJ164" s="31">
        <f>VLOOKUP($A164,kurspris!$A$1:$Q$852,9,FALSE)</f>
        <v>0</v>
      </c>
      <c r="AK164" s="31">
        <f>VLOOKUP($A164,kurspris!$A$1:$Q$852,10,FALSE)</f>
        <v>0</v>
      </c>
      <c r="AL164" s="31">
        <f>VLOOKUP($A164,kurspris!$A$1:$Q$852,11,FALSE)</f>
        <v>1</v>
      </c>
      <c r="AM164" s="31">
        <f>VLOOKUP($A164,kurspris!$A$1:$Q$852,12,FALSE)</f>
        <v>0</v>
      </c>
      <c r="AN164" s="31">
        <f>VLOOKUP($A164,kurspris!$A$1:$Q$852,13,FALSE)</f>
        <v>0</v>
      </c>
      <c r="AO164" s="31">
        <f>VLOOKUP($A164,kurspris!$A$1:$Q$852,14,FALSE)</f>
        <v>0</v>
      </c>
      <c r="AP164" s="59" t="s">
        <v>2216</v>
      </c>
      <c r="AR164" s="31">
        <f t="shared" si="58"/>
        <v>0</v>
      </c>
      <c r="AS164" s="237">
        <f t="shared" si="59"/>
        <v>0</v>
      </c>
      <c r="AT164" s="31">
        <f t="shared" si="60"/>
        <v>0</v>
      </c>
      <c r="AU164" s="237">
        <f t="shared" si="61"/>
        <v>0</v>
      </c>
      <c r="AV164" s="31">
        <f t="shared" si="62"/>
        <v>0</v>
      </c>
      <c r="AW164" s="31">
        <f t="shared" si="63"/>
        <v>0</v>
      </c>
      <c r="AX164" s="31">
        <f t="shared" si="64"/>
        <v>0</v>
      </c>
      <c r="AY164" s="237">
        <f t="shared" si="65"/>
        <v>0</v>
      </c>
      <c r="AZ164" s="214">
        <f t="shared" si="66"/>
        <v>0</v>
      </c>
      <c r="BA164" s="237">
        <f t="shared" si="67"/>
        <v>0</v>
      </c>
      <c r="BB164" s="31">
        <f t="shared" si="68"/>
        <v>0</v>
      </c>
      <c r="BC164" s="237">
        <f t="shared" si="69"/>
        <v>0</v>
      </c>
      <c r="BD164" s="31">
        <f t="shared" si="70"/>
        <v>0</v>
      </c>
      <c r="BE164" s="237">
        <f t="shared" si="71"/>
        <v>0</v>
      </c>
      <c r="BF164" s="31">
        <f t="shared" si="72"/>
        <v>0</v>
      </c>
      <c r="BG164" s="237">
        <f t="shared" si="73"/>
        <v>0</v>
      </c>
      <c r="BH164" s="31">
        <f t="shared" si="74"/>
        <v>4.5</v>
      </c>
      <c r="BI164" s="237">
        <f t="shared" si="75"/>
        <v>3.8249999999999997</v>
      </c>
      <c r="BJ164" s="31">
        <f t="shared" si="76"/>
        <v>0</v>
      </c>
      <c r="BK164" s="31">
        <f t="shared" si="77"/>
        <v>0</v>
      </c>
      <c r="BL164" s="237">
        <f t="shared" si="78"/>
        <v>0</v>
      </c>
      <c r="BM164" s="31">
        <f t="shared" si="79"/>
        <v>0</v>
      </c>
      <c r="BN164" s="237">
        <f t="shared" si="80"/>
        <v>0</v>
      </c>
    </row>
    <row r="165" spans="1:66" x14ac:dyDescent="0.25">
      <c r="A165" s="31" t="s">
        <v>1301</v>
      </c>
      <c r="B165" s="182" t="str">
        <f>VLOOKUP(A165,kurspris!$A$1:$B$894,2,FALSE)</f>
        <v>Läraryrkets dimensioner - ingångsämne svenska</v>
      </c>
      <c r="D165" s="31" t="s">
        <v>483</v>
      </c>
      <c r="F165" s="59">
        <v>2019</v>
      </c>
      <c r="Q165" s="237">
        <v>4.125</v>
      </c>
      <c r="R165" s="40">
        <v>0.85</v>
      </c>
      <c r="S165" s="313">
        <f t="shared" si="54"/>
        <v>3.5062500000000001</v>
      </c>
      <c r="T165" s="31">
        <f>VLOOKUP(A165,'Ansvar kurs'!$A$1:$C$1027,2,FALSE)</f>
        <v>1620</v>
      </c>
      <c r="U165" s="31" t="str">
        <f>VLOOKUP(T165,Orgenheter!$A$1:$C$165,2,FALSE)</f>
        <v>Inst för språkstudier</v>
      </c>
      <c r="V165" s="31" t="str">
        <f>VLOOKUP(T165,Orgenheter!$A$1:$C$165,3,FALSE)</f>
        <v>Hum</v>
      </c>
      <c r="W165" s="37" t="str">
        <f>VLOOKUP(D165,Program!$A$1:$B$34,2,FALSE)</f>
        <v>Ämneslärarprogrammet - Gy</v>
      </c>
      <c r="X165" s="42">
        <f>VLOOKUP(A165,kurspris!$A$1:$Q$815,15,FALSE)</f>
        <v>21634</v>
      </c>
      <c r="Y165" s="42">
        <f>VLOOKUP(A165,kurspris!$A$1:$Q$815,16,FALSE)</f>
        <v>26986</v>
      </c>
      <c r="Z165" s="42">
        <f t="shared" si="55"/>
        <v>183859.91250000001</v>
      </c>
      <c r="AA165" s="42">
        <f>VLOOKUP(A165,kurspris!$A$1:$Q$815,17,FALSE)</f>
        <v>3400</v>
      </c>
      <c r="AB165" s="42">
        <f t="shared" si="56"/>
        <v>14025</v>
      </c>
      <c r="AC165" s="42">
        <f t="shared" si="57"/>
        <v>197884.91250000001</v>
      </c>
      <c r="AD165" s="31">
        <f>VLOOKUP($A165,kurspris!$A$1:$Q$852,3,FALSE)</f>
        <v>0</v>
      </c>
      <c r="AE165" s="31">
        <f>VLOOKUP($A165,kurspris!$A$1:$Q$852,4,FALSE)</f>
        <v>0</v>
      </c>
      <c r="AF165" s="31">
        <f>VLOOKUP($A165,kurspris!$A$1:$Q$852,5,FALSE)</f>
        <v>0</v>
      </c>
      <c r="AG165" s="31">
        <f>VLOOKUP($A165,kurspris!$A$1:$Q$852,6,FALSE)</f>
        <v>0</v>
      </c>
      <c r="AH165" s="31">
        <f>VLOOKUP($A165,kurspris!$A$1:$Q$852,7,FALSE)</f>
        <v>0</v>
      </c>
      <c r="AI165" s="31">
        <f>VLOOKUP($A165,kurspris!$A$1:$Q$852,8,FALSE)</f>
        <v>0</v>
      </c>
      <c r="AJ165" s="31">
        <f>VLOOKUP($A165,kurspris!$A$1:$Q$852,9,FALSE)</f>
        <v>0</v>
      </c>
      <c r="AK165" s="31">
        <f>VLOOKUP($A165,kurspris!$A$1:$Q$852,10,FALSE)</f>
        <v>0</v>
      </c>
      <c r="AL165" s="31">
        <f>VLOOKUP($A165,kurspris!$A$1:$Q$852,11,FALSE)</f>
        <v>1</v>
      </c>
      <c r="AM165" s="31">
        <f>VLOOKUP($A165,kurspris!$A$1:$Q$852,12,FALSE)</f>
        <v>0</v>
      </c>
      <c r="AN165" s="31">
        <f>VLOOKUP($A165,kurspris!$A$1:$Q$852,13,FALSE)</f>
        <v>0</v>
      </c>
      <c r="AO165" s="31">
        <f>VLOOKUP($A165,kurspris!$A$1:$Q$852,14,FALSE)</f>
        <v>0</v>
      </c>
      <c r="AP165" s="59" t="s">
        <v>2216</v>
      </c>
      <c r="AR165" s="31">
        <f t="shared" si="58"/>
        <v>0</v>
      </c>
      <c r="AS165" s="237">
        <f t="shared" si="59"/>
        <v>0</v>
      </c>
      <c r="AT165" s="31">
        <f t="shared" si="60"/>
        <v>0</v>
      </c>
      <c r="AU165" s="237">
        <f t="shared" si="61"/>
        <v>0</v>
      </c>
      <c r="AV165" s="31">
        <f t="shared" si="62"/>
        <v>0</v>
      </c>
      <c r="AW165" s="31">
        <f t="shared" si="63"/>
        <v>0</v>
      </c>
      <c r="AX165" s="31">
        <f t="shared" si="64"/>
        <v>0</v>
      </c>
      <c r="AY165" s="237">
        <f t="shared" si="65"/>
        <v>0</v>
      </c>
      <c r="AZ165" s="214">
        <f t="shared" si="66"/>
        <v>0</v>
      </c>
      <c r="BA165" s="237">
        <f t="shared" si="67"/>
        <v>0</v>
      </c>
      <c r="BB165" s="31">
        <f t="shared" si="68"/>
        <v>0</v>
      </c>
      <c r="BC165" s="237">
        <f t="shared" si="69"/>
        <v>0</v>
      </c>
      <c r="BD165" s="31">
        <f t="shared" si="70"/>
        <v>0</v>
      </c>
      <c r="BE165" s="237">
        <f t="shared" si="71"/>
        <v>0</v>
      </c>
      <c r="BF165" s="31">
        <f t="shared" si="72"/>
        <v>0</v>
      </c>
      <c r="BG165" s="237">
        <f t="shared" si="73"/>
        <v>0</v>
      </c>
      <c r="BH165" s="31">
        <f t="shared" si="74"/>
        <v>4.125</v>
      </c>
      <c r="BI165" s="237">
        <f t="shared" si="75"/>
        <v>3.5062500000000001</v>
      </c>
      <c r="BJ165" s="31">
        <f t="shared" si="76"/>
        <v>0</v>
      </c>
      <c r="BK165" s="31">
        <f t="shared" si="77"/>
        <v>0</v>
      </c>
      <c r="BL165" s="237">
        <f t="shared" si="78"/>
        <v>0</v>
      </c>
      <c r="BM165" s="31">
        <f t="shared" si="79"/>
        <v>0</v>
      </c>
      <c r="BN165" s="237">
        <f t="shared" si="80"/>
        <v>0</v>
      </c>
    </row>
    <row r="166" spans="1:66" x14ac:dyDescent="0.25">
      <c r="A166" s="31" t="s">
        <v>1556</v>
      </c>
      <c r="B166" s="182" t="str">
        <f>VLOOKUP(A166,kurspris!$A$1:$B$894,2,FALSE)</f>
        <v>Språk, kommunikation och språkutveckling i förskolans verksamhet</v>
      </c>
      <c r="D166" s="31" t="s">
        <v>484</v>
      </c>
      <c r="F166" s="59">
        <v>2019</v>
      </c>
      <c r="Q166" s="237">
        <v>21.25</v>
      </c>
      <c r="R166" s="40">
        <v>0.85</v>
      </c>
      <c r="S166" s="313">
        <f t="shared" si="54"/>
        <v>18.0625</v>
      </c>
      <c r="T166" s="31">
        <f>VLOOKUP(A166,'Ansvar kurs'!$A$1:$C$1027,2,FALSE)</f>
        <v>1620</v>
      </c>
      <c r="U166" s="31" t="str">
        <f>VLOOKUP(T166,Orgenheter!$A$1:$C$165,2,FALSE)</f>
        <v>Inst för språkstudier</v>
      </c>
      <c r="V166" s="31" t="str">
        <f>VLOOKUP(T166,Orgenheter!$A$1:$C$165,3,FALSE)</f>
        <v>Hum</v>
      </c>
      <c r="W166" s="37" t="str">
        <f>VLOOKUP(D166,Program!$A$1:$B$34,2,FALSE)</f>
        <v>Förskollärarprogrammet</v>
      </c>
      <c r="X166" s="42">
        <f>VLOOKUP(A166,kurspris!$A$1:$Q$815,15,FALSE)</f>
        <v>18405</v>
      </c>
      <c r="Y166" s="42">
        <f>VLOOKUP(A166,kurspris!$A$1:$Q$815,16,FALSE)</f>
        <v>15773</v>
      </c>
      <c r="Z166" s="42">
        <f t="shared" si="55"/>
        <v>676006.0625</v>
      </c>
      <c r="AA166" s="42">
        <f>VLOOKUP(A166,kurspris!$A$1:$Q$815,17,FALSE)</f>
        <v>5800</v>
      </c>
      <c r="AB166" s="42">
        <f t="shared" si="56"/>
        <v>123250</v>
      </c>
      <c r="AC166" s="42">
        <f t="shared" si="57"/>
        <v>799256.0625</v>
      </c>
      <c r="AD166" s="31">
        <f>VLOOKUP($A166,kurspris!$A$1:$Q$852,3,FALSE)</f>
        <v>0</v>
      </c>
      <c r="AE166" s="31">
        <f>VLOOKUP($A166,kurspris!$A$1:$Q$852,4,FALSE)</f>
        <v>1</v>
      </c>
      <c r="AF166" s="31">
        <f>VLOOKUP($A166,kurspris!$A$1:$Q$852,5,FALSE)</f>
        <v>0</v>
      </c>
      <c r="AG166" s="31">
        <f>VLOOKUP($A166,kurspris!$A$1:$Q$852,6,FALSE)</f>
        <v>0</v>
      </c>
      <c r="AH166" s="31">
        <f>VLOOKUP($A166,kurspris!$A$1:$Q$852,7,FALSE)</f>
        <v>0</v>
      </c>
      <c r="AI166" s="31">
        <f>VLOOKUP($A166,kurspris!$A$1:$Q$852,8,FALSE)</f>
        <v>0</v>
      </c>
      <c r="AJ166" s="31">
        <f>VLOOKUP($A166,kurspris!$A$1:$Q$852,9,FALSE)</f>
        <v>0</v>
      </c>
      <c r="AK166" s="31">
        <f>VLOOKUP($A166,kurspris!$A$1:$Q$852,10,FALSE)</f>
        <v>0</v>
      </c>
      <c r="AL166" s="31">
        <f>VLOOKUP($A166,kurspris!$A$1:$Q$852,11,FALSE)</f>
        <v>0</v>
      </c>
      <c r="AM166" s="31">
        <f>VLOOKUP($A166,kurspris!$A$1:$Q$852,12,FALSE)</f>
        <v>0</v>
      </c>
      <c r="AN166" s="31">
        <f>VLOOKUP($A166,kurspris!$A$1:$Q$852,13,FALSE)</f>
        <v>0</v>
      </c>
      <c r="AO166" s="31">
        <f>VLOOKUP($A166,kurspris!$A$1:$Q$852,14,FALSE)</f>
        <v>0</v>
      </c>
      <c r="AP166" s="59" t="s">
        <v>2216</v>
      </c>
      <c r="AR166" s="31">
        <f t="shared" si="58"/>
        <v>0</v>
      </c>
      <c r="AS166" s="237">
        <f t="shared" si="59"/>
        <v>0</v>
      </c>
      <c r="AT166" s="31">
        <f t="shared" si="60"/>
        <v>21.25</v>
      </c>
      <c r="AU166" s="237">
        <f t="shared" si="61"/>
        <v>18.0625</v>
      </c>
      <c r="AV166" s="31">
        <f t="shared" si="62"/>
        <v>0</v>
      </c>
      <c r="AW166" s="31">
        <f t="shared" si="63"/>
        <v>0</v>
      </c>
      <c r="AX166" s="31">
        <f t="shared" si="64"/>
        <v>0</v>
      </c>
      <c r="AY166" s="237">
        <f t="shared" si="65"/>
        <v>0</v>
      </c>
      <c r="AZ166" s="214">
        <f t="shared" si="66"/>
        <v>0</v>
      </c>
      <c r="BA166" s="237">
        <f t="shared" si="67"/>
        <v>0</v>
      </c>
      <c r="BB166" s="31">
        <f t="shared" si="68"/>
        <v>0</v>
      </c>
      <c r="BC166" s="237">
        <f t="shared" si="69"/>
        <v>0</v>
      </c>
      <c r="BD166" s="31">
        <f t="shared" si="70"/>
        <v>0</v>
      </c>
      <c r="BE166" s="237">
        <f t="shared" si="71"/>
        <v>0</v>
      </c>
      <c r="BF166" s="31">
        <f t="shared" si="72"/>
        <v>0</v>
      </c>
      <c r="BG166" s="237">
        <f t="shared" si="73"/>
        <v>0</v>
      </c>
      <c r="BH166" s="31">
        <f t="shared" si="74"/>
        <v>0</v>
      </c>
      <c r="BI166" s="237">
        <f t="shared" si="75"/>
        <v>0</v>
      </c>
      <c r="BJ166" s="31">
        <f t="shared" si="76"/>
        <v>0</v>
      </c>
      <c r="BK166" s="31">
        <f t="shared" si="77"/>
        <v>0</v>
      </c>
      <c r="BL166" s="237">
        <f t="shared" si="78"/>
        <v>0</v>
      </c>
      <c r="BM166" s="31">
        <f t="shared" si="79"/>
        <v>0</v>
      </c>
      <c r="BN166" s="237">
        <f t="shared" si="80"/>
        <v>0</v>
      </c>
    </row>
    <row r="167" spans="1:66" x14ac:dyDescent="0.25">
      <c r="A167" s="31" t="s">
        <v>1661</v>
      </c>
      <c r="B167" s="182" t="str">
        <f>VLOOKUP(A167,kurspris!$A$1:$B$894,2,FALSE)</f>
        <v>Kommunikation och språkutveckling för fritidshem</v>
      </c>
      <c r="D167" s="31" t="s">
        <v>485</v>
      </c>
      <c r="F167" s="59">
        <v>2019</v>
      </c>
      <c r="Q167" s="237">
        <v>3.125</v>
      </c>
      <c r="R167" s="40">
        <v>0.85</v>
      </c>
      <c r="S167" s="313">
        <f t="shared" si="54"/>
        <v>2.65625</v>
      </c>
      <c r="T167" s="31">
        <f>VLOOKUP(A167,'Ansvar kurs'!$A$1:$C$1027,2,FALSE)</f>
        <v>1620</v>
      </c>
      <c r="U167" s="31" t="str">
        <f>VLOOKUP(T167,Orgenheter!$A$1:$C$165,2,FALSE)</f>
        <v>Inst för språkstudier</v>
      </c>
      <c r="V167" s="31" t="str">
        <f>VLOOKUP(T167,Orgenheter!$A$1:$C$165,3,FALSE)</f>
        <v>Hum</v>
      </c>
      <c r="W167" s="37" t="str">
        <f>VLOOKUP(D167,Program!$A$1:$B$34,2,FALSE)</f>
        <v>Grundlärarprogrammet - fritidshem</v>
      </c>
      <c r="X167" s="42">
        <f>VLOOKUP(A167,kurspris!$A$1:$Q$815,15,FALSE)</f>
        <v>18405</v>
      </c>
      <c r="Y167" s="42">
        <f>VLOOKUP(A167,kurspris!$A$1:$Q$815,16,FALSE)</f>
        <v>15773</v>
      </c>
      <c r="Z167" s="42">
        <f t="shared" si="55"/>
        <v>99412.65625</v>
      </c>
      <c r="AA167" s="42">
        <f>VLOOKUP(A167,kurspris!$A$1:$Q$815,17,FALSE)</f>
        <v>5800</v>
      </c>
      <c r="AB167" s="42">
        <f t="shared" si="56"/>
        <v>18125</v>
      </c>
      <c r="AC167" s="42">
        <f t="shared" si="57"/>
        <v>117537.65625</v>
      </c>
      <c r="AD167" s="31">
        <f>VLOOKUP($A167,kurspris!$A$1:$Q$852,3,FALSE)</f>
        <v>0</v>
      </c>
      <c r="AE167" s="31">
        <f>VLOOKUP($A167,kurspris!$A$1:$Q$852,4,FALSE)</f>
        <v>1</v>
      </c>
      <c r="AF167" s="31">
        <f>VLOOKUP($A167,kurspris!$A$1:$Q$852,5,FALSE)</f>
        <v>0</v>
      </c>
      <c r="AG167" s="31">
        <f>VLOOKUP($A167,kurspris!$A$1:$Q$852,6,FALSE)</f>
        <v>0</v>
      </c>
      <c r="AH167" s="31">
        <f>VLOOKUP($A167,kurspris!$A$1:$Q$852,7,FALSE)</f>
        <v>0</v>
      </c>
      <c r="AI167" s="31">
        <f>VLOOKUP($A167,kurspris!$A$1:$Q$852,8,FALSE)</f>
        <v>0</v>
      </c>
      <c r="AJ167" s="31">
        <f>VLOOKUP($A167,kurspris!$A$1:$Q$852,9,FALSE)</f>
        <v>0</v>
      </c>
      <c r="AK167" s="31">
        <f>VLOOKUP($A167,kurspris!$A$1:$Q$852,10,FALSE)</f>
        <v>0</v>
      </c>
      <c r="AL167" s="31">
        <f>VLOOKUP($A167,kurspris!$A$1:$Q$852,11,FALSE)</f>
        <v>0</v>
      </c>
      <c r="AM167" s="31">
        <f>VLOOKUP($A167,kurspris!$A$1:$Q$852,12,FALSE)</f>
        <v>0</v>
      </c>
      <c r="AN167" s="31">
        <f>VLOOKUP($A167,kurspris!$A$1:$Q$852,13,FALSE)</f>
        <v>0</v>
      </c>
      <c r="AO167" s="31">
        <f>VLOOKUP($A167,kurspris!$A$1:$Q$852,14,FALSE)</f>
        <v>0</v>
      </c>
      <c r="AP167" s="59" t="s">
        <v>2216</v>
      </c>
      <c r="AR167" s="31">
        <f t="shared" si="58"/>
        <v>0</v>
      </c>
      <c r="AS167" s="237">
        <f t="shared" si="59"/>
        <v>0</v>
      </c>
      <c r="AT167" s="31">
        <f t="shared" si="60"/>
        <v>3.125</v>
      </c>
      <c r="AU167" s="237">
        <f t="shared" si="61"/>
        <v>2.65625</v>
      </c>
      <c r="AV167" s="31">
        <f t="shared" si="62"/>
        <v>0</v>
      </c>
      <c r="AW167" s="31">
        <f t="shared" si="63"/>
        <v>0</v>
      </c>
      <c r="AX167" s="31">
        <f t="shared" si="64"/>
        <v>0</v>
      </c>
      <c r="AY167" s="237">
        <f t="shared" si="65"/>
        <v>0</v>
      </c>
      <c r="AZ167" s="214">
        <f t="shared" si="66"/>
        <v>0</v>
      </c>
      <c r="BA167" s="237">
        <f t="shared" si="67"/>
        <v>0</v>
      </c>
      <c r="BB167" s="31">
        <f t="shared" si="68"/>
        <v>0</v>
      </c>
      <c r="BC167" s="237">
        <f t="shared" si="69"/>
        <v>0</v>
      </c>
      <c r="BD167" s="31">
        <f t="shared" si="70"/>
        <v>0</v>
      </c>
      <c r="BE167" s="237">
        <f t="shared" si="71"/>
        <v>0</v>
      </c>
      <c r="BF167" s="31">
        <f t="shared" si="72"/>
        <v>0</v>
      </c>
      <c r="BG167" s="237">
        <f t="shared" si="73"/>
        <v>0</v>
      </c>
      <c r="BH167" s="31">
        <f t="shared" si="74"/>
        <v>0</v>
      </c>
      <c r="BI167" s="237">
        <f t="shared" si="75"/>
        <v>0</v>
      </c>
      <c r="BJ167" s="31">
        <f t="shared" si="76"/>
        <v>0</v>
      </c>
      <c r="BK167" s="31">
        <f t="shared" si="77"/>
        <v>0</v>
      </c>
      <c r="BL167" s="237">
        <f t="shared" si="78"/>
        <v>0</v>
      </c>
      <c r="BM167" s="31">
        <f t="shared" si="79"/>
        <v>0</v>
      </c>
      <c r="BN167" s="237">
        <f t="shared" si="80"/>
        <v>0</v>
      </c>
    </row>
    <row r="168" spans="1:66" x14ac:dyDescent="0.25">
      <c r="A168" s="159" t="s">
        <v>1305</v>
      </c>
      <c r="B168" s="182" t="str">
        <f>VLOOKUP(A168,kurspris!$A$1:$B$894,2,FALSE)</f>
        <v>Läraryrkets dimensioner - ingångsämne matematik</v>
      </c>
      <c r="C168" s="37"/>
      <c r="D168" s="31" t="s">
        <v>482</v>
      </c>
      <c r="F168" s="59">
        <v>2019</v>
      </c>
      <c r="Q168" s="237">
        <v>0.375</v>
      </c>
      <c r="R168" s="40">
        <v>0.85</v>
      </c>
      <c r="S168" s="313">
        <f t="shared" si="54"/>
        <v>0.31874999999999998</v>
      </c>
      <c r="T168" s="31">
        <f>VLOOKUP(A168,'Ansvar kurs'!$A$1:$C$1027,2,FALSE)</f>
        <v>5730</v>
      </c>
      <c r="U168" s="31" t="str">
        <f>VLOOKUP(T168,Orgenheter!$A$1:$C$165,2,FALSE)</f>
        <v>Inst för MA och MA statistik</v>
      </c>
      <c r="V168" s="31" t="str">
        <f>VLOOKUP(T168,Orgenheter!$A$1:$C$165,3,FALSE)</f>
        <v>TekNat</v>
      </c>
      <c r="W168" s="37" t="str">
        <f>VLOOKUP(D168,Program!$A$1:$B$34,2,FALSE)</f>
        <v>Ämneslärarprogrammet - åk 7-9</v>
      </c>
      <c r="X168" s="42">
        <f>VLOOKUP(A168,kurspris!$A$1:$Q$815,15,FALSE)</f>
        <v>21634</v>
      </c>
      <c r="Y168" s="42">
        <f>VLOOKUP(A168,kurspris!$A$1:$Q$815,16,FALSE)</f>
        <v>26986</v>
      </c>
      <c r="Z168" s="42">
        <f t="shared" si="55"/>
        <v>16714.537499999999</v>
      </c>
      <c r="AA168" s="42">
        <f>VLOOKUP(A168,kurspris!$A$1:$Q$815,17,FALSE)</f>
        <v>3400</v>
      </c>
      <c r="AB168" s="42">
        <f t="shared" si="56"/>
        <v>1275</v>
      </c>
      <c r="AC168" s="42">
        <f t="shared" si="57"/>
        <v>17989.537499999999</v>
      </c>
      <c r="AD168" s="31">
        <f>VLOOKUP($A168,kurspris!$A$1:$Q$852,3,FALSE)</f>
        <v>0</v>
      </c>
      <c r="AE168" s="31">
        <f>VLOOKUP($A168,kurspris!$A$1:$Q$852,4,FALSE)</f>
        <v>0</v>
      </c>
      <c r="AF168" s="31">
        <f>VLOOKUP($A168,kurspris!$A$1:$Q$852,5,FALSE)</f>
        <v>0</v>
      </c>
      <c r="AG168" s="31">
        <f>VLOOKUP($A168,kurspris!$A$1:$Q$852,6,FALSE)</f>
        <v>0</v>
      </c>
      <c r="AH168" s="31">
        <f>VLOOKUP($A168,kurspris!$A$1:$Q$852,7,FALSE)</f>
        <v>0</v>
      </c>
      <c r="AI168" s="31">
        <f>VLOOKUP($A168,kurspris!$A$1:$Q$852,8,FALSE)</f>
        <v>0</v>
      </c>
      <c r="AJ168" s="31">
        <f>VLOOKUP($A168,kurspris!$A$1:$Q$852,9,FALSE)</f>
        <v>0</v>
      </c>
      <c r="AK168" s="31">
        <f>VLOOKUP($A168,kurspris!$A$1:$Q$852,10,FALSE)</f>
        <v>0</v>
      </c>
      <c r="AL168" s="31">
        <f>VLOOKUP($A168,kurspris!$A$1:$Q$852,11,FALSE)</f>
        <v>1</v>
      </c>
      <c r="AM168" s="31">
        <f>VLOOKUP($A168,kurspris!$A$1:$Q$852,12,FALSE)</f>
        <v>0</v>
      </c>
      <c r="AN168" s="31">
        <f>VLOOKUP($A168,kurspris!$A$1:$Q$852,13,FALSE)</f>
        <v>0</v>
      </c>
      <c r="AO168" s="31">
        <f>VLOOKUP($A168,kurspris!$A$1:$Q$852,14,FALSE)</f>
        <v>0</v>
      </c>
      <c r="AP168" s="59" t="s">
        <v>2216</v>
      </c>
      <c r="AR168" s="31">
        <f t="shared" si="58"/>
        <v>0</v>
      </c>
      <c r="AS168" s="237">
        <f t="shared" si="59"/>
        <v>0</v>
      </c>
      <c r="AT168" s="31">
        <f t="shared" si="60"/>
        <v>0</v>
      </c>
      <c r="AU168" s="237">
        <f t="shared" si="61"/>
        <v>0</v>
      </c>
      <c r="AV168" s="31">
        <f t="shared" si="62"/>
        <v>0</v>
      </c>
      <c r="AW168" s="31">
        <f t="shared" si="63"/>
        <v>0</v>
      </c>
      <c r="AX168" s="31">
        <f t="shared" si="64"/>
        <v>0</v>
      </c>
      <c r="AY168" s="237">
        <f t="shared" si="65"/>
        <v>0</v>
      </c>
      <c r="AZ168" s="214">
        <f t="shared" si="66"/>
        <v>0</v>
      </c>
      <c r="BA168" s="237">
        <f t="shared" si="67"/>
        <v>0</v>
      </c>
      <c r="BB168" s="31">
        <f t="shared" si="68"/>
        <v>0</v>
      </c>
      <c r="BC168" s="237">
        <f t="shared" si="69"/>
        <v>0</v>
      </c>
      <c r="BD168" s="31">
        <f t="shared" si="70"/>
        <v>0</v>
      </c>
      <c r="BE168" s="237">
        <f t="shared" si="71"/>
        <v>0</v>
      </c>
      <c r="BF168" s="31">
        <f t="shared" si="72"/>
        <v>0</v>
      </c>
      <c r="BG168" s="237">
        <f t="shared" si="73"/>
        <v>0</v>
      </c>
      <c r="BH168" s="31">
        <f t="shared" si="74"/>
        <v>0.375</v>
      </c>
      <c r="BI168" s="237">
        <f t="shared" si="75"/>
        <v>0.31874999999999998</v>
      </c>
      <c r="BJ168" s="31">
        <f t="shared" si="76"/>
        <v>0</v>
      </c>
      <c r="BK168" s="31">
        <f t="shared" si="77"/>
        <v>0</v>
      </c>
      <c r="BL168" s="237">
        <f t="shared" si="78"/>
        <v>0</v>
      </c>
      <c r="BM168" s="31">
        <f t="shared" si="79"/>
        <v>0</v>
      </c>
      <c r="BN168" s="237">
        <f t="shared" si="80"/>
        <v>0</v>
      </c>
    </row>
    <row r="169" spans="1:66" x14ac:dyDescent="0.25">
      <c r="A169" s="159" t="s">
        <v>1305</v>
      </c>
      <c r="B169" s="182" t="str">
        <f>VLOOKUP(A169,kurspris!$A$1:$B$894,2,FALSE)</f>
        <v>Läraryrkets dimensioner - ingångsämne matematik</v>
      </c>
      <c r="C169" s="37"/>
      <c r="D169" s="31" t="s">
        <v>483</v>
      </c>
      <c r="F169" s="59">
        <v>2019</v>
      </c>
      <c r="Q169" s="237">
        <v>2.25</v>
      </c>
      <c r="R169" s="40">
        <v>0.85</v>
      </c>
      <c r="S169" s="313">
        <f t="shared" si="54"/>
        <v>1.9124999999999999</v>
      </c>
      <c r="T169" s="31">
        <f>VLOOKUP(A169,'Ansvar kurs'!$A$1:$C$1027,2,FALSE)</f>
        <v>5730</v>
      </c>
      <c r="U169" s="31" t="str">
        <f>VLOOKUP(T169,Orgenheter!$A$1:$C$165,2,FALSE)</f>
        <v>Inst för MA och MA statistik</v>
      </c>
      <c r="V169" s="31" t="str">
        <f>VLOOKUP(T169,Orgenheter!$A$1:$C$165,3,FALSE)</f>
        <v>TekNat</v>
      </c>
      <c r="W169" s="37" t="str">
        <f>VLOOKUP(D169,Program!$A$1:$B$34,2,FALSE)</f>
        <v>Ämneslärarprogrammet - Gy</v>
      </c>
      <c r="X169" s="42">
        <f>VLOOKUP(A169,kurspris!$A$1:$Q$815,15,FALSE)</f>
        <v>21634</v>
      </c>
      <c r="Y169" s="42">
        <f>VLOOKUP(A169,kurspris!$A$1:$Q$815,16,FALSE)</f>
        <v>26986</v>
      </c>
      <c r="Z169" s="42">
        <f t="shared" si="55"/>
        <v>100287.22500000001</v>
      </c>
      <c r="AA169" s="42">
        <f>VLOOKUP(A169,kurspris!$A$1:$Q$815,17,FALSE)</f>
        <v>3400</v>
      </c>
      <c r="AB169" s="42">
        <f t="shared" si="56"/>
        <v>7650</v>
      </c>
      <c r="AC169" s="42">
        <f t="shared" si="57"/>
        <v>107937.22500000001</v>
      </c>
      <c r="AD169" s="31">
        <f>VLOOKUP($A169,kurspris!$A$1:$Q$852,3,FALSE)</f>
        <v>0</v>
      </c>
      <c r="AE169" s="31">
        <f>VLOOKUP($A169,kurspris!$A$1:$Q$852,4,FALSE)</f>
        <v>0</v>
      </c>
      <c r="AF169" s="31">
        <f>VLOOKUP($A169,kurspris!$A$1:$Q$852,5,FALSE)</f>
        <v>0</v>
      </c>
      <c r="AG169" s="31">
        <f>VLOOKUP($A169,kurspris!$A$1:$Q$852,6,FALSE)</f>
        <v>0</v>
      </c>
      <c r="AH169" s="31">
        <f>VLOOKUP($A169,kurspris!$A$1:$Q$852,7,FALSE)</f>
        <v>0</v>
      </c>
      <c r="AI169" s="31">
        <f>VLOOKUP($A169,kurspris!$A$1:$Q$852,8,FALSE)</f>
        <v>0</v>
      </c>
      <c r="AJ169" s="31">
        <f>VLOOKUP($A169,kurspris!$A$1:$Q$852,9,FALSE)</f>
        <v>0</v>
      </c>
      <c r="AK169" s="31">
        <f>VLOOKUP($A169,kurspris!$A$1:$Q$852,10,FALSE)</f>
        <v>0</v>
      </c>
      <c r="AL169" s="31">
        <f>VLOOKUP($A169,kurspris!$A$1:$Q$852,11,FALSE)</f>
        <v>1</v>
      </c>
      <c r="AM169" s="31">
        <f>VLOOKUP($A169,kurspris!$A$1:$Q$852,12,FALSE)</f>
        <v>0</v>
      </c>
      <c r="AN169" s="31">
        <f>VLOOKUP($A169,kurspris!$A$1:$Q$852,13,FALSE)</f>
        <v>0</v>
      </c>
      <c r="AO169" s="31">
        <f>VLOOKUP($A169,kurspris!$A$1:$Q$852,14,FALSE)</f>
        <v>0</v>
      </c>
      <c r="AP169" s="59" t="s">
        <v>2216</v>
      </c>
      <c r="AR169" s="31">
        <f t="shared" si="58"/>
        <v>0</v>
      </c>
      <c r="AS169" s="237">
        <f t="shared" si="59"/>
        <v>0</v>
      </c>
      <c r="AT169" s="31">
        <f t="shared" si="60"/>
        <v>0</v>
      </c>
      <c r="AU169" s="237">
        <f t="shared" si="61"/>
        <v>0</v>
      </c>
      <c r="AV169" s="31">
        <f t="shared" si="62"/>
        <v>0</v>
      </c>
      <c r="AW169" s="31">
        <f t="shared" si="63"/>
        <v>0</v>
      </c>
      <c r="AX169" s="31">
        <f t="shared" si="64"/>
        <v>0</v>
      </c>
      <c r="AY169" s="237">
        <f t="shared" si="65"/>
        <v>0</v>
      </c>
      <c r="AZ169" s="214">
        <f t="shared" si="66"/>
        <v>0</v>
      </c>
      <c r="BA169" s="237">
        <f t="shared" si="67"/>
        <v>0</v>
      </c>
      <c r="BB169" s="31">
        <f t="shared" si="68"/>
        <v>0</v>
      </c>
      <c r="BC169" s="237">
        <f t="shared" si="69"/>
        <v>0</v>
      </c>
      <c r="BD169" s="31">
        <f t="shared" si="70"/>
        <v>0</v>
      </c>
      <c r="BE169" s="237">
        <f t="shared" si="71"/>
        <v>0</v>
      </c>
      <c r="BF169" s="31">
        <f t="shared" si="72"/>
        <v>0</v>
      </c>
      <c r="BG169" s="237">
        <f t="shared" si="73"/>
        <v>0</v>
      </c>
      <c r="BH169" s="31">
        <f t="shared" si="74"/>
        <v>2.25</v>
      </c>
      <c r="BI169" s="237">
        <f t="shared" si="75"/>
        <v>1.9124999999999999</v>
      </c>
      <c r="BJ169" s="31">
        <f t="shared" si="76"/>
        <v>0</v>
      </c>
      <c r="BK169" s="31">
        <f t="shared" si="77"/>
        <v>0</v>
      </c>
      <c r="BL169" s="237">
        <f t="shared" si="78"/>
        <v>0</v>
      </c>
      <c r="BM169" s="31">
        <f t="shared" si="79"/>
        <v>0</v>
      </c>
      <c r="BN169" s="237">
        <f t="shared" si="80"/>
        <v>0</v>
      </c>
    </row>
    <row r="170" spans="1:66" x14ac:dyDescent="0.25">
      <c r="A170" s="159" t="s">
        <v>1289</v>
      </c>
      <c r="B170" s="182" t="str">
        <f>VLOOKUP(A170,kurspris!$A$1:$B$894,2,FALSE)</f>
        <v>Linjär algebra</v>
      </c>
      <c r="C170" s="37"/>
      <c r="D170" s="31" t="s">
        <v>483</v>
      </c>
      <c r="F170" s="59">
        <v>2019</v>
      </c>
      <c r="Q170" s="237">
        <v>2.25</v>
      </c>
      <c r="R170" s="40">
        <v>0.85</v>
      </c>
      <c r="S170" s="313">
        <f t="shared" si="54"/>
        <v>1.9124999999999999</v>
      </c>
      <c r="T170" s="31">
        <f>VLOOKUP(A170,'Ansvar kurs'!$A$1:$C$1027,2,FALSE)</f>
        <v>5730</v>
      </c>
      <c r="U170" s="31" t="str">
        <f>VLOOKUP(T170,Orgenheter!$A$1:$C$165,2,FALSE)</f>
        <v>Inst för MA och MA statistik</v>
      </c>
      <c r="V170" s="31" t="str">
        <f>VLOOKUP(T170,Orgenheter!$A$1:$C$165,3,FALSE)</f>
        <v>TekNat</v>
      </c>
      <c r="W170" s="37" t="str">
        <f>VLOOKUP(D170,Program!$A$1:$B$34,2,FALSE)</f>
        <v>Ämneslärarprogrammet - Gy</v>
      </c>
      <c r="X170" s="42">
        <f>VLOOKUP(A170,kurspris!$A$1:$Q$815,15,FALSE)</f>
        <v>19473</v>
      </c>
      <c r="Y170" s="42">
        <f>VLOOKUP(A170,kurspris!$A$1:$Q$815,16,FALSE)</f>
        <v>34806</v>
      </c>
      <c r="Z170" s="42">
        <f t="shared" si="55"/>
        <v>110380.72499999999</v>
      </c>
      <c r="AA170" s="42">
        <f>VLOOKUP(A170,kurspris!$A$1:$Q$815,17,FALSE)</f>
        <v>21800</v>
      </c>
      <c r="AB170" s="42">
        <f t="shared" si="56"/>
        <v>49050</v>
      </c>
      <c r="AC170" s="42">
        <f t="shared" si="57"/>
        <v>159430.72499999998</v>
      </c>
      <c r="AD170" s="31">
        <f>VLOOKUP($A170,kurspris!$A$1:$Q$852,3,FALSE)</f>
        <v>0</v>
      </c>
      <c r="AE170" s="31">
        <f>VLOOKUP($A170,kurspris!$A$1:$Q$852,4,FALSE)</f>
        <v>0</v>
      </c>
      <c r="AF170" s="31">
        <f>VLOOKUP($A170,kurspris!$A$1:$Q$852,5,FALSE)</f>
        <v>0</v>
      </c>
      <c r="AG170" s="31">
        <f>VLOOKUP($A170,kurspris!$A$1:$Q$852,6,FALSE)</f>
        <v>0</v>
      </c>
      <c r="AH170" s="31">
        <f>VLOOKUP($A170,kurspris!$A$1:$Q$852,7,FALSE)</f>
        <v>0</v>
      </c>
      <c r="AI170" s="31">
        <f>VLOOKUP($A170,kurspris!$A$1:$Q$852,8,FALSE)</f>
        <v>1</v>
      </c>
      <c r="AJ170" s="31">
        <f>VLOOKUP($A170,kurspris!$A$1:$Q$852,9,FALSE)</f>
        <v>0</v>
      </c>
      <c r="AK170" s="31">
        <f>VLOOKUP($A170,kurspris!$A$1:$Q$852,10,FALSE)</f>
        <v>0</v>
      </c>
      <c r="AL170" s="31">
        <f>VLOOKUP($A170,kurspris!$A$1:$Q$852,11,FALSE)</f>
        <v>0</v>
      </c>
      <c r="AM170" s="31">
        <f>VLOOKUP($A170,kurspris!$A$1:$Q$852,12,FALSE)</f>
        <v>0</v>
      </c>
      <c r="AN170" s="31">
        <f>VLOOKUP($A170,kurspris!$A$1:$Q$852,13,FALSE)</f>
        <v>0</v>
      </c>
      <c r="AO170" s="31">
        <f>VLOOKUP($A170,kurspris!$A$1:$Q$852,14,FALSE)</f>
        <v>0</v>
      </c>
      <c r="AP170" s="59" t="s">
        <v>2216</v>
      </c>
      <c r="AR170" s="31">
        <f t="shared" si="58"/>
        <v>0</v>
      </c>
      <c r="AS170" s="237">
        <f t="shared" si="59"/>
        <v>0</v>
      </c>
      <c r="AT170" s="31">
        <f t="shared" si="60"/>
        <v>0</v>
      </c>
      <c r="AU170" s="237">
        <f t="shared" si="61"/>
        <v>0</v>
      </c>
      <c r="AV170" s="31">
        <f t="shared" si="62"/>
        <v>0</v>
      </c>
      <c r="AW170" s="31">
        <f t="shared" si="63"/>
        <v>0</v>
      </c>
      <c r="AX170" s="31">
        <f t="shared" si="64"/>
        <v>0</v>
      </c>
      <c r="AY170" s="237">
        <f t="shared" si="65"/>
        <v>0</v>
      </c>
      <c r="AZ170" s="214">
        <f t="shared" si="66"/>
        <v>0</v>
      </c>
      <c r="BA170" s="237">
        <f t="shared" si="67"/>
        <v>0</v>
      </c>
      <c r="BB170" s="31">
        <f t="shared" si="68"/>
        <v>2.25</v>
      </c>
      <c r="BC170" s="237">
        <f t="shared" si="69"/>
        <v>1.9124999999999999</v>
      </c>
      <c r="BD170" s="31">
        <f t="shared" si="70"/>
        <v>0</v>
      </c>
      <c r="BE170" s="237">
        <f t="shared" si="71"/>
        <v>0</v>
      </c>
      <c r="BF170" s="31">
        <f t="shared" si="72"/>
        <v>0</v>
      </c>
      <c r="BG170" s="237">
        <f t="shared" si="73"/>
        <v>0</v>
      </c>
      <c r="BH170" s="31">
        <f t="shared" si="74"/>
        <v>0</v>
      </c>
      <c r="BI170" s="237">
        <f t="shared" si="75"/>
        <v>0</v>
      </c>
      <c r="BJ170" s="31">
        <f t="shared" si="76"/>
        <v>0</v>
      </c>
      <c r="BK170" s="31">
        <f t="shared" si="77"/>
        <v>0</v>
      </c>
      <c r="BL170" s="237">
        <f t="shared" si="78"/>
        <v>0</v>
      </c>
      <c r="BM170" s="31">
        <f t="shared" si="79"/>
        <v>0</v>
      </c>
      <c r="BN170" s="237">
        <f t="shared" si="80"/>
        <v>0</v>
      </c>
    </row>
    <row r="171" spans="1:66" x14ac:dyDescent="0.25">
      <c r="A171" s="59" t="s">
        <v>1289</v>
      </c>
      <c r="B171" s="182" t="str">
        <f>VLOOKUP(A171,kurspris!$A$1:$B$894,2,FALSE)</f>
        <v>Linjär algebra</v>
      </c>
      <c r="C171" s="37"/>
      <c r="D171" s="59" t="s">
        <v>117</v>
      </c>
      <c r="E171" s="59"/>
      <c r="F171" s="59">
        <v>2019</v>
      </c>
      <c r="M171" s="386"/>
      <c r="N171" s="40"/>
      <c r="P171" s="387"/>
      <c r="Q171" s="237">
        <v>0.25</v>
      </c>
      <c r="R171" s="40">
        <v>0.8</v>
      </c>
      <c r="S171" s="313">
        <f t="shared" si="54"/>
        <v>0.2</v>
      </c>
      <c r="T171" s="31">
        <f>VLOOKUP(A171,'Ansvar kurs'!$A$1:$C$1027,2,FALSE)</f>
        <v>5730</v>
      </c>
      <c r="U171" s="31" t="str">
        <f>VLOOKUP(T171,Orgenheter!$A$1:$C$165,2,FALSE)</f>
        <v>Inst för MA och MA statistik</v>
      </c>
      <c r="V171" s="31" t="str">
        <f>VLOOKUP(T171,Orgenheter!$A$1:$C$165,3,FALSE)</f>
        <v>TekNat</v>
      </c>
      <c r="W171" s="37" t="str">
        <f>VLOOKUP(D171,Program!$A$1:$B$34,2,FALSE)</f>
        <v>Fristående och övriga kurser</v>
      </c>
      <c r="X171" s="42">
        <f>VLOOKUP(A171,kurspris!$A$1:$Q$815,15,FALSE)</f>
        <v>19473</v>
      </c>
      <c r="Y171" s="42">
        <f>VLOOKUP(A171,kurspris!$A$1:$Q$815,16,FALSE)</f>
        <v>34806</v>
      </c>
      <c r="Z171" s="42">
        <f t="shared" si="55"/>
        <v>11829.45</v>
      </c>
      <c r="AA171" s="42">
        <f>VLOOKUP(A171,kurspris!$A$1:$Q$815,17,FALSE)</f>
        <v>21800</v>
      </c>
      <c r="AB171" s="42">
        <f t="shared" si="56"/>
        <v>5450</v>
      </c>
      <c r="AC171" s="42">
        <f t="shared" si="57"/>
        <v>17279.45</v>
      </c>
      <c r="AD171" s="31">
        <f>VLOOKUP($A171,kurspris!$A$1:$Q$852,3,FALSE)</f>
        <v>0</v>
      </c>
      <c r="AE171" s="31">
        <f>VLOOKUP($A171,kurspris!$A$1:$Q$852,4,FALSE)</f>
        <v>0</v>
      </c>
      <c r="AF171" s="31">
        <f>VLOOKUP($A171,kurspris!$A$1:$Q$852,5,FALSE)</f>
        <v>0</v>
      </c>
      <c r="AG171" s="31">
        <f>VLOOKUP($A171,kurspris!$A$1:$Q$852,6,FALSE)</f>
        <v>0</v>
      </c>
      <c r="AH171" s="31">
        <f>VLOOKUP($A171,kurspris!$A$1:$Q$852,7,FALSE)</f>
        <v>0</v>
      </c>
      <c r="AI171" s="31">
        <f>VLOOKUP($A171,kurspris!$A$1:$Q$852,8,FALSE)</f>
        <v>1</v>
      </c>
      <c r="AJ171" s="31">
        <f>VLOOKUP($A171,kurspris!$A$1:$Q$852,9,FALSE)</f>
        <v>0</v>
      </c>
      <c r="AK171" s="31">
        <f>VLOOKUP($A171,kurspris!$A$1:$Q$852,10,FALSE)</f>
        <v>0</v>
      </c>
      <c r="AL171" s="31">
        <f>VLOOKUP($A171,kurspris!$A$1:$Q$852,11,FALSE)</f>
        <v>0</v>
      </c>
      <c r="AM171" s="31">
        <f>VLOOKUP($A171,kurspris!$A$1:$Q$852,12,FALSE)</f>
        <v>0</v>
      </c>
      <c r="AN171" s="31">
        <f>VLOOKUP($A171,kurspris!$A$1:$Q$852,13,FALSE)</f>
        <v>0</v>
      </c>
      <c r="AO171" s="31">
        <f>VLOOKUP($A171,kurspris!$A$1:$Q$852,14,FALSE)</f>
        <v>0</v>
      </c>
      <c r="AP171" s="59" t="s">
        <v>2216</v>
      </c>
      <c r="AR171" s="31">
        <f t="shared" si="58"/>
        <v>0</v>
      </c>
      <c r="AS171" s="237">
        <f t="shared" si="59"/>
        <v>0</v>
      </c>
      <c r="AT171" s="31">
        <f t="shared" si="60"/>
        <v>0</v>
      </c>
      <c r="AU171" s="237">
        <f t="shared" si="61"/>
        <v>0</v>
      </c>
      <c r="AV171" s="31">
        <f t="shared" si="62"/>
        <v>0</v>
      </c>
      <c r="AW171" s="31">
        <f t="shared" si="63"/>
        <v>0</v>
      </c>
      <c r="AX171" s="31">
        <f t="shared" si="64"/>
        <v>0</v>
      </c>
      <c r="AY171" s="237">
        <f t="shared" si="65"/>
        <v>0</v>
      </c>
      <c r="AZ171" s="214">
        <f t="shared" si="66"/>
        <v>0</v>
      </c>
      <c r="BA171" s="237">
        <f t="shared" si="67"/>
        <v>0</v>
      </c>
      <c r="BB171" s="31">
        <f t="shared" si="68"/>
        <v>0.25</v>
      </c>
      <c r="BC171" s="237">
        <f t="shared" si="69"/>
        <v>0.2</v>
      </c>
      <c r="BD171" s="31">
        <f t="shared" si="70"/>
        <v>0</v>
      </c>
      <c r="BE171" s="237">
        <f t="shared" si="71"/>
        <v>0</v>
      </c>
      <c r="BF171" s="31">
        <f t="shared" si="72"/>
        <v>0</v>
      </c>
      <c r="BG171" s="237">
        <f t="shared" si="73"/>
        <v>0</v>
      </c>
      <c r="BH171" s="31">
        <f t="shared" si="74"/>
        <v>0</v>
      </c>
      <c r="BI171" s="237">
        <f t="shared" si="75"/>
        <v>0</v>
      </c>
      <c r="BJ171" s="31">
        <f t="shared" si="76"/>
        <v>0</v>
      </c>
      <c r="BK171" s="31">
        <f t="shared" si="77"/>
        <v>0</v>
      </c>
      <c r="BL171" s="237">
        <f t="shared" si="78"/>
        <v>0</v>
      </c>
      <c r="BM171" s="31">
        <f t="shared" si="79"/>
        <v>0</v>
      </c>
      <c r="BN171" s="237">
        <f t="shared" si="80"/>
        <v>0</v>
      </c>
    </row>
    <row r="172" spans="1:66" x14ac:dyDescent="0.25">
      <c r="A172" s="31" t="s">
        <v>1447</v>
      </c>
      <c r="B172" s="182" t="str">
        <f>VLOOKUP(A172,kurspris!$A$1:$B$894,2,FALSE)</f>
        <v>Matematik 2 för förskoleklass och grundskolans årskurs 1-3</v>
      </c>
      <c r="D172" s="31" t="s">
        <v>486</v>
      </c>
      <c r="F172" s="59">
        <v>2019</v>
      </c>
      <c r="Q172" s="237">
        <v>5.125</v>
      </c>
      <c r="R172" s="40">
        <v>0.85</v>
      </c>
      <c r="S172" s="313">
        <f t="shared" si="54"/>
        <v>4.3562500000000002</v>
      </c>
      <c r="T172" s="31">
        <f>VLOOKUP(A172,'Ansvar kurs'!$A$1:$C$1027,2,FALSE)</f>
        <v>5730</v>
      </c>
      <c r="U172" s="31" t="str">
        <f>VLOOKUP(T172,Orgenheter!$A$1:$C$165,2,FALSE)</f>
        <v>Inst för MA och MA statistik</v>
      </c>
      <c r="V172" s="31" t="str">
        <f>VLOOKUP(T172,Orgenheter!$A$1:$C$165,3,FALSE)</f>
        <v>TekNat</v>
      </c>
      <c r="W172" s="37" t="str">
        <f>VLOOKUP(D172,Program!$A$1:$B$34,2,FALSE)</f>
        <v>Grundlärarprogrammet - förskoleklass och åk 1-3</v>
      </c>
      <c r="X172" s="42">
        <f>VLOOKUP(A172,kurspris!$A$1:$Q$815,15,FALSE)</f>
        <v>19473</v>
      </c>
      <c r="Y172" s="42">
        <f>VLOOKUP(A172,kurspris!$A$1:$Q$815,16,FALSE)</f>
        <v>34806</v>
      </c>
      <c r="Z172" s="42">
        <f t="shared" si="55"/>
        <v>251422.76250000001</v>
      </c>
      <c r="AA172" s="42">
        <f>VLOOKUP(A172,kurspris!$A$1:$Q$815,17,FALSE)</f>
        <v>21800</v>
      </c>
      <c r="AB172" s="42">
        <f t="shared" si="56"/>
        <v>111725</v>
      </c>
      <c r="AC172" s="42">
        <f t="shared" si="57"/>
        <v>363147.76250000001</v>
      </c>
      <c r="AD172" s="31">
        <f>VLOOKUP($A172,kurspris!$A$1:$Q$852,3,FALSE)</f>
        <v>0</v>
      </c>
      <c r="AE172" s="31">
        <f>VLOOKUP($A172,kurspris!$A$1:$Q$852,4,FALSE)</f>
        <v>0</v>
      </c>
      <c r="AF172" s="31">
        <f>VLOOKUP($A172,kurspris!$A$1:$Q$852,5,FALSE)</f>
        <v>0</v>
      </c>
      <c r="AG172" s="31">
        <f>VLOOKUP($A172,kurspris!$A$1:$Q$852,6,FALSE)</f>
        <v>0</v>
      </c>
      <c r="AH172" s="31">
        <f>VLOOKUP($A172,kurspris!$A$1:$Q$852,7,FALSE)</f>
        <v>0</v>
      </c>
      <c r="AI172" s="31">
        <f>VLOOKUP($A172,kurspris!$A$1:$Q$852,8,FALSE)</f>
        <v>1</v>
      </c>
      <c r="AJ172" s="31">
        <f>VLOOKUP($A172,kurspris!$A$1:$Q$852,9,FALSE)</f>
        <v>0</v>
      </c>
      <c r="AK172" s="31">
        <f>VLOOKUP($A172,kurspris!$A$1:$Q$852,10,FALSE)</f>
        <v>0</v>
      </c>
      <c r="AL172" s="31">
        <f>VLOOKUP($A172,kurspris!$A$1:$Q$852,11,FALSE)</f>
        <v>0</v>
      </c>
      <c r="AM172" s="31">
        <f>VLOOKUP($A172,kurspris!$A$1:$Q$852,12,FALSE)</f>
        <v>0</v>
      </c>
      <c r="AN172" s="31">
        <f>VLOOKUP($A172,kurspris!$A$1:$Q$852,13,FALSE)</f>
        <v>0</v>
      </c>
      <c r="AO172" s="31">
        <f>VLOOKUP($A172,kurspris!$A$1:$Q$852,14,FALSE)</f>
        <v>0</v>
      </c>
      <c r="AP172" s="59" t="s">
        <v>2216</v>
      </c>
      <c r="AR172" s="31">
        <f t="shared" si="58"/>
        <v>0</v>
      </c>
      <c r="AS172" s="237">
        <f t="shared" si="59"/>
        <v>0</v>
      </c>
      <c r="AT172" s="31">
        <f t="shared" si="60"/>
        <v>0</v>
      </c>
      <c r="AU172" s="237">
        <f t="shared" si="61"/>
        <v>0</v>
      </c>
      <c r="AV172" s="31">
        <f t="shared" si="62"/>
        <v>0</v>
      </c>
      <c r="AW172" s="31">
        <f t="shared" si="63"/>
        <v>0</v>
      </c>
      <c r="AX172" s="31">
        <f t="shared" si="64"/>
        <v>0</v>
      </c>
      <c r="AY172" s="237">
        <f t="shared" si="65"/>
        <v>0</v>
      </c>
      <c r="AZ172" s="214">
        <f t="shared" si="66"/>
        <v>0</v>
      </c>
      <c r="BA172" s="237">
        <f t="shared" si="67"/>
        <v>0</v>
      </c>
      <c r="BB172" s="31">
        <f t="shared" si="68"/>
        <v>5.125</v>
      </c>
      <c r="BC172" s="237">
        <f t="shared" si="69"/>
        <v>4.3562500000000002</v>
      </c>
      <c r="BD172" s="31">
        <f t="shared" si="70"/>
        <v>0</v>
      </c>
      <c r="BE172" s="237">
        <f t="shared" si="71"/>
        <v>0</v>
      </c>
      <c r="BF172" s="31">
        <f t="shared" si="72"/>
        <v>0</v>
      </c>
      <c r="BG172" s="237">
        <f t="shared" si="73"/>
        <v>0</v>
      </c>
      <c r="BH172" s="31">
        <f t="shared" si="74"/>
        <v>0</v>
      </c>
      <c r="BI172" s="237">
        <f t="shared" si="75"/>
        <v>0</v>
      </c>
      <c r="BJ172" s="31">
        <f t="shared" si="76"/>
        <v>0</v>
      </c>
      <c r="BK172" s="31">
        <f t="shared" si="77"/>
        <v>0</v>
      </c>
      <c r="BL172" s="237">
        <f t="shared" si="78"/>
        <v>0</v>
      </c>
      <c r="BM172" s="31">
        <f t="shared" si="79"/>
        <v>0</v>
      </c>
      <c r="BN172" s="237">
        <f t="shared" si="80"/>
        <v>0</v>
      </c>
    </row>
    <row r="173" spans="1:66" x14ac:dyDescent="0.25">
      <c r="A173" s="31" t="s">
        <v>1346</v>
      </c>
      <c r="B173" s="182" t="str">
        <f>VLOOKUP(A173,kurspris!$A$1:$B$894,2,FALSE)</f>
        <v>Matematik 1 för grundskolans årskurs 4-6</v>
      </c>
      <c r="D173" s="31" t="s">
        <v>524</v>
      </c>
      <c r="F173" s="59">
        <v>2019</v>
      </c>
      <c r="Q173" s="237">
        <v>3.25</v>
      </c>
      <c r="R173" s="40">
        <v>0.85</v>
      </c>
      <c r="S173" s="313">
        <f t="shared" si="54"/>
        <v>2.7624999999999997</v>
      </c>
      <c r="T173" s="31">
        <f>VLOOKUP(A173,'Ansvar kurs'!$A$1:$C$1027,2,FALSE)</f>
        <v>5730</v>
      </c>
      <c r="U173" s="31" t="str">
        <f>VLOOKUP(T173,Orgenheter!$A$1:$C$165,2,FALSE)</f>
        <v>Inst för MA och MA statistik</v>
      </c>
      <c r="V173" s="31" t="str">
        <f>VLOOKUP(T173,Orgenheter!$A$1:$C$165,3,FALSE)</f>
        <v>TekNat</v>
      </c>
      <c r="W173" s="37" t="str">
        <f>VLOOKUP(D173,Program!$A$1:$B$34,2,FALSE)</f>
        <v>Grundlärarprogrammet - grundskolans åk 4-6</v>
      </c>
      <c r="X173" s="42">
        <f>VLOOKUP(A173,kurspris!$A$1:$Q$815,15,FALSE)</f>
        <v>19473</v>
      </c>
      <c r="Y173" s="42">
        <f>VLOOKUP(A173,kurspris!$A$1:$Q$815,16,FALSE)</f>
        <v>34806</v>
      </c>
      <c r="Z173" s="42">
        <f t="shared" si="55"/>
        <v>159438.82500000001</v>
      </c>
      <c r="AA173" s="42">
        <f>VLOOKUP(A173,kurspris!$A$1:$Q$815,17,FALSE)</f>
        <v>21800</v>
      </c>
      <c r="AB173" s="42">
        <f t="shared" si="56"/>
        <v>70850</v>
      </c>
      <c r="AC173" s="42">
        <f t="shared" si="57"/>
        <v>230288.82500000001</v>
      </c>
      <c r="AD173" s="31">
        <f>VLOOKUP($A173,kurspris!$A$1:$Q$852,3,FALSE)</f>
        <v>0</v>
      </c>
      <c r="AE173" s="31">
        <f>VLOOKUP($A173,kurspris!$A$1:$Q$852,4,FALSE)</f>
        <v>0</v>
      </c>
      <c r="AF173" s="31">
        <f>VLOOKUP($A173,kurspris!$A$1:$Q$852,5,FALSE)</f>
        <v>0</v>
      </c>
      <c r="AG173" s="31">
        <f>VLOOKUP($A173,kurspris!$A$1:$Q$852,6,FALSE)</f>
        <v>0</v>
      </c>
      <c r="AH173" s="31">
        <f>VLOOKUP($A173,kurspris!$A$1:$Q$852,7,FALSE)</f>
        <v>0</v>
      </c>
      <c r="AI173" s="31">
        <f>VLOOKUP($A173,kurspris!$A$1:$Q$852,8,FALSE)</f>
        <v>1</v>
      </c>
      <c r="AJ173" s="31">
        <f>VLOOKUP($A173,kurspris!$A$1:$Q$852,9,FALSE)</f>
        <v>0</v>
      </c>
      <c r="AK173" s="31">
        <f>VLOOKUP($A173,kurspris!$A$1:$Q$852,10,FALSE)</f>
        <v>0</v>
      </c>
      <c r="AL173" s="31">
        <f>VLOOKUP($A173,kurspris!$A$1:$Q$852,11,FALSE)</f>
        <v>0</v>
      </c>
      <c r="AM173" s="31">
        <f>VLOOKUP($A173,kurspris!$A$1:$Q$852,12,FALSE)</f>
        <v>0</v>
      </c>
      <c r="AN173" s="31">
        <f>VLOOKUP($A173,kurspris!$A$1:$Q$852,13,FALSE)</f>
        <v>0</v>
      </c>
      <c r="AO173" s="31">
        <f>VLOOKUP($A173,kurspris!$A$1:$Q$852,14,FALSE)</f>
        <v>0</v>
      </c>
      <c r="AP173" s="59" t="s">
        <v>2216</v>
      </c>
      <c r="AR173" s="31">
        <f t="shared" si="58"/>
        <v>0</v>
      </c>
      <c r="AS173" s="237">
        <f t="shared" si="59"/>
        <v>0</v>
      </c>
      <c r="AT173" s="31">
        <f t="shared" si="60"/>
        <v>0</v>
      </c>
      <c r="AU173" s="237">
        <f t="shared" si="61"/>
        <v>0</v>
      </c>
      <c r="AV173" s="31">
        <f t="shared" si="62"/>
        <v>0</v>
      </c>
      <c r="AW173" s="31">
        <f t="shared" si="63"/>
        <v>0</v>
      </c>
      <c r="AX173" s="31">
        <f t="shared" si="64"/>
        <v>0</v>
      </c>
      <c r="AY173" s="237">
        <f t="shared" si="65"/>
        <v>0</v>
      </c>
      <c r="AZ173" s="214">
        <f t="shared" si="66"/>
        <v>0</v>
      </c>
      <c r="BA173" s="237">
        <f t="shared" si="67"/>
        <v>0</v>
      </c>
      <c r="BB173" s="31">
        <f t="shared" si="68"/>
        <v>3.25</v>
      </c>
      <c r="BC173" s="237">
        <f t="shared" si="69"/>
        <v>2.7624999999999997</v>
      </c>
      <c r="BD173" s="31">
        <f t="shared" si="70"/>
        <v>0</v>
      </c>
      <c r="BE173" s="237">
        <f t="shared" si="71"/>
        <v>0</v>
      </c>
      <c r="BF173" s="31">
        <f t="shared" si="72"/>
        <v>0</v>
      </c>
      <c r="BG173" s="237">
        <f t="shared" si="73"/>
        <v>0</v>
      </c>
      <c r="BH173" s="31">
        <f t="shared" si="74"/>
        <v>0</v>
      </c>
      <c r="BI173" s="237">
        <f t="shared" si="75"/>
        <v>0</v>
      </c>
      <c r="BJ173" s="31">
        <f t="shared" si="76"/>
        <v>0</v>
      </c>
      <c r="BK173" s="31">
        <f t="shared" si="77"/>
        <v>0</v>
      </c>
      <c r="BL173" s="237">
        <f t="shared" si="78"/>
        <v>0</v>
      </c>
      <c r="BM173" s="31">
        <f t="shared" si="79"/>
        <v>0</v>
      </c>
      <c r="BN173" s="237">
        <f t="shared" si="80"/>
        <v>0</v>
      </c>
    </row>
    <row r="174" spans="1:66" x14ac:dyDescent="0.25">
      <c r="A174" s="159" t="s">
        <v>1859</v>
      </c>
      <c r="B174" s="182" t="str">
        <f>VLOOKUP(A174,kurspris!$A$1:$B$894,2,FALSE)</f>
        <v>Algebra</v>
      </c>
      <c r="C174" s="37"/>
      <c r="D174" s="31" t="s">
        <v>483</v>
      </c>
      <c r="F174" s="59">
        <v>2019</v>
      </c>
      <c r="Q174" s="237">
        <v>1.375</v>
      </c>
      <c r="R174" s="40">
        <v>0.85</v>
      </c>
      <c r="S174" s="313">
        <f t="shared" si="54"/>
        <v>1.16875</v>
      </c>
      <c r="T174" s="31">
        <f>VLOOKUP(A174,'Ansvar kurs'!$A$1:$C$1027,2,FALSE)</f>
        <v>5730</v>
      </c>
      <c r="U174" s="31" t="str">
        <f>VLOOKUP(T174,Orgenheter!$A$1:$C$165,2,FALSE)</f>
        <v>Inst för MA och MA statistik</v>
      </c>
      <c r="V174" s="31" t="str">
        <f>VLOOKUP(T174,Orgenheter!$A$1:$C$165,3,FALSE)</f>
        <v>TekNat</v>
      </c>
      <c r="W174" s="37" t="str">
        <f>VLOOKUP(D174,Program!$A$1:$B$34,2,FALSE)</f>
        <v>Ämneslärarprogrammet - Gy</v>
      </c>
      <c r="X174" s="42">
        <f>VLOOKUP(A174,kurspris!$A$1:$Q$815,15,FALSE)</f>
        <v>19473</v>
      </c>
      <c r="Y174" s="42">
        <f>VLOOKUP(A174,kurspris!$A$1:$Q$815,16,FALSE)</f>
        <v>34806</v>
      </c>
      <c r="Z174" s="42">
        <f t="shared" si="55"/>
        <v>67454.887499999997</v>
      </c>
      <c r="AA174" s="42">
        <f>VLOOKUP(A174,kurspris!$A$1:$Q$815,17,FALSE)</f>
        <v>21800</v>
      </c>
      <c r="AB174" s="42">
        <f t="shared" si="56"/>
        <v>29975</v>
      </c>
      <c r="AC174" s="42">
        <f t="shared" si="57"/>
        <v>97429.887499999997</v>
      </c>
      <c r="AD174" s="31">
        <f>VLOOKUP($A174,kurspris!$A$1:$Q$852,3,FALSE)</f>
        <v>0</v>
      </c>
      <c r="AE174" s="31">
        <f>VLOOKUP($A174,kurspris!$A$1:$Q$852,4,FALSE)</f>
        <v>0</v>
      </c>
      <c r="AF174" s="31">
        <f>VLOOKUP($A174,kurspris!$A$1:$Q$852,5,FALSE)</f>
        <v>0</v>
      </c>
      <c r="AG174" s="31">
        <f>VLOOKUP($A174,kurspris!$A$1:$Q$852,6,FALSE)</f>
        <v>0</v>
      </c>
      <c r="AH174" s="31">
        <f>VLOOKUP($A174,kurspris!$A$1:$Q$852,7,FALSE)</f>
        <v>0</v>
      </c>
      <c r="AI174" s="31">
        <f>VLOOKUP($A174,kurspris!$A$1:$Q$852,8,FALSE)</f>
        <v>1</v>
      </c>
      <c r="AJ174" s="31">
        <f>VLOOKUP($A174,kurspris!$A$1:$Q$852,9,FALSE)</f>
        <v>0</v>
      </c>
      <c r="AK174" s="31">
        <f>VLOOKUP($A174,kurspris!$A$1:$Q$852,10,FALSE)</f>
        <v>0</v>
      </c>
      <c r="AL174" s="31">
        <f>VLOOKUP($A174,kurspris!$A$1:$Q$852,11,FALSE)</f>
        <v>0</v>
      </c>
      <c r="AM174" s="31">
        <f>VLOOKUP($A174,kurspris!$A$1:$Q$852,12,FALSE)</f>
        <v>0</v>
      </c>
      <c r="AN174" s="31">
        <f>VLOOKUP($A174,kurspris!$A$1:$Q$852,13,FALSE)</f>
        <v>0</v>
      </c>
      <c r="AO174" s="31">
        <f>VLOOKUP($A174,kurspris!$A$1:$Q$852,14,FALSE)</f>
        <v>0</v>
      </c>
      <c r="AP174" s="59" t="s">
        <v>2216</v>
      </c>
      <c r="AR174" s="31">
        <f t="shared" si="58"/>
        <v>0</v>
      </c>
      <c r="AS174" s="237">
        <f t="shared" si="59"/>
        <v>0</v>
      </c>
      <c r="AT174" s="31">
        <f t="shared" si="60"/>
        <v>0</v>
      </c>
      <c r="AU174" s="237">
        <f t="shared" si="61"/>
        <v>0</v>
      </c>
      <c r="AV174" s="31">
        <f t="shared" si="62"/>
        <v>0</v>
      </c>
      <c r="AW174" s="31">
        <f t="shared" si="63"/>
        <v>0</v>
      </c>
      <c r="AX174" s="31">
        <f t="shared" si="64"/>
        <v>0</v>
      </c>
      <c r="AY174" s="237">
        <f t="shared" si="65"/>
        <v>0</v>
      </c>
      <c r="AZ174" s="214">
        <f t="shared" si="66"/>
        <v>0</v>
      </c>
      <c r="BA174" s="237">
        <f t="shared" si="67"/>
        <v>0</v>
      </c>
      <c r="BB174" s="31">
        <f t="shared" si="68"/>
        <v>1.375</v>
      </c>
      <c r="BC174" s="237">
        <f t="shared" si="69"/>
        <v>1.16875</v>
      </c>
      <c r="BD174" s="31">
        <f t="shared" si="70"/>
        <v>0</v>
      </c>
      <c r="BE174" s="237">
        <f t="shared" si="71"/>
        <v>0</v>
      </c>
      <c r="BF174" s="31">
        <f t="shared" si="72"/>
        <v>0</v>
      </c>
      <c r="BG174" s="237">
        <f t="shared" si="73"/>
        <v>0</v>
      </c>
      <c r="BH174" s="31">
        <f t="shared" si="74"/>
        <v>0</v>
      </c>
      <c r="BI174" s="237">
        <f t="shared" si="75"/>
        <v>0</v>
      </c>
      <c r="BJ174" s="31">
        <f t="shared" si="76"/>
        <v>0</v>
      </c>
      <c r="BK174" s="31">
        <f t="shared" si="77"/>
        <v>0</v>
      </c>
      <c r="BL174" s="237">
        <f t="shared" si="78"/>
        <v>0</v>
      </c>
      <c r="BM174" s="31">
        <f t="shared" si="79"/>
        <v>0</v>
      </c>
      <c r="BN174" s="237">
        <f t="shared" si="80"/>
        <v>0</v>
      </c>
    </row>
    <row r="175" spans="1:66" x14ac:dyDescent="0.25">
      <c r="A175" s="159" t="s">
        <v>1859</v>
      </c>
      <c r="B175" s="182" t="str">
        <f>VLOOKUP(A175,kurspris!$A$1:$B$894,2,FALSE)</f>
        <v>Algebra</v>
      </c>
      <c r="C175" s="37"/>
      <c r="D175" s="31" t="s">
        <v>117</v>
      </c>
      <c r="F175" s="59">
        <v>2019</v>
      </c>
      <c r="Q175" s="237">
        <v>0.875</v>
      </c>
      <c r="R175" s="40">
        <v>0.8</v>
      </c>
      <c r="S175" s="313">
        <f t="shared" si="54"/>
        <v>0.70000000000000007</v>
      </c>
      <c r="T175" s="31">
        <f>VLOOKUP(A175,'Ansvar kurs'!$A$1:$C$1027,2,FALSE)</f>
        <v>5730</v>
      </c>
      <c r="U175" s="31" t="str">
        <f>VLOOKUP(T175,Orgenheter!$A$1:$C$165,2,FALSE)</f>
        <v>Inst för MA och MA statistik</v>
      </c>
      <c r="V175" s="31" t="str">
        <f>VLOOKUP(T175,Orgenheter!$A$1:$C$165,3,FALSE)</f>
        <v>TekNat</v>
      </c>
      <c r="W175" s="37" t="str">
        <f>VLOOKUP(D175,Program!$A$1:$B$34,2,FALSE)</f>
        <v>Fristående och övriga kurser</v>
      </c>
      <c r="X175" s="42">
        <f>VLOOKUP(A175,kurspris!$A$1:$Q$815,15,FALSE)</f>
        <v>19473</v>
      </c>
      <c r="Y175" s="42">
        <f>VLOOKUP(A175,kurspris!$A$1:$Q$815,16,FALSE)</f>
        <v>34806</v>
      </c>
      <c r="Z175" s="42">
        <f t="shared" si="55"/>
        <v>41403.074999999997</v>
      </c>
      <c r="AA175" s="42">
        <f>VLOOKUP(A175,kurspris!$A$1:$Q$815,17,FALSE)</f>
        <v>21800</v>
      </c>
      <c r="AB175" s="42">
        <f t="shared" si="56"/>
        <v>19075</v>
      </c>
      <c r="AC175" s="42">
        <f t="shared" si="57"/>
        <v>60478.074999999997</v>
      </c>
      <c r="AD175" s="31">
        <f>VLOOKUP($A175,kurspris!$A$1:$Q$852,3,FALSE)</f>
        <v>0</v>
      </c>
      <c r="AE175" s="31">
        <f>VLOOKUP($A175,kurspris!$A$1:$Q$852,4,FALSE)</f>
        <v>0</v>
      </c>
      <c r="AF175" s="31">
        <f>VLOOKUP($A175,kurspris!$A$1:$Q$852,5,FALSE)</f>
        <v>0</v>
      </c>
      <c r="AG175" s="31">
        <f>VLOOKUP($A175,kurspris!$A$1:$Q$852,6,FALSE)</f>
        <v>0</v>
      </c>
      <c r="AH175" s="31">
        <f>VLOOKUP($A175,kurspris!$A$1:$Q$852,7,FALSE)</f>
        <v>0</v>
      </c>
      <c r="AI175" s="31">
        <f>VLOOKUP($A175,kurspris!$A$1:$Q$852,8,FALSE)</f>
        <v>1</v>
      </c>
      <c r="AJ175" s="31">
        <f>VLOOKUP($A175,kurspris!$A$1:$Q$852,9,FALSE)</f>
        <v>0</v>
      </c>
      <c r="AK175" s="31">
        <f>VLOOKUP($A175,kurspris!$A$1:$Q$852,10,FALSE)</f>
        <v>0</v>
      </c>
      <c r="AL175" s="31">
        <f>VLOOKUP($A175,kurspris!$A$1:$Q$852,11,FALSE)</f>
        <v>0</v>
      </c>
      <c r="AM175" s="31">
        <f>VLOOKUP($A175,kurspris!$A$1:$Q$852,12,FALSE)</f>
        <v>0</v>
      </c>
      <c r="AN175" s="31">
        <f>VLOOKUP($A175,kurspris!$A$1:$Q$852,13,FALSE)</f>
        <v>0</v>
      </c>
      <c r="AO175" s="31">
        <f>VLOOKUP($A175,kurspris!$A$1:$Q$852,14,FALSE)</f>
        <v>0</v>
      </c>
      <c r="AP175" s="59" t="s">
        <v>2216</v>
      </c>
      <c r="AR175" s="31">
        <f t="shared" si="58"/>
        <v>0</v>
      </c>
      <c r="AS175" s="237">
        <f t="shared" si="59"/>
        <v>0</v>
      </c>
      <c r="AT175" s="31">
        <f t="shared" si="60"/>
        <v>0</v>
      </c>
      <c r="AU175" s="237">
        <f t="shared" si="61"/>
        <v>0</v>
      </c>
      <c r="AV175" s="31">
        <f t="shared" si="62"/>
        <v>0</v>
      </c>
      <c r="AW175" s="31">
        <f t="shared" si="63"/>
        <v>0</v>
      </c>
      <c r="AX175" s="31">
        <f t="shared" si="64"/>
        <v>0</v>
      </c>
      <c r="AY175" s="237">
        <f t="shared" si="65"/>
        <v>0</v>
      </c>
      <c r="AZ175" s="214">
        <f t="shared" si="66"/>
        <v>0</v>
      </c>
      <c r="BA175" s="237">
        <f t="shared" si="67"/>
        <v>0</v>
      </c>
      <c r="BB175" s="31">
        <f t="shared" si="68"/>
        <v>0.875</v>
      </c>
      <c r="BC175" s="237">
        <f t="shared" si="69"/>
        <v>0.70000000000000007</v>
      </c>
      <c r="BD175" s="31">
        <f t="shared" si="70"/>
        <v>0</v>
      </c>
      <c r="BE175" s="237">
        <f t="shared" si="71"/>
        <v>0</v>
      </c>
      <c r="BF175" s="31">
        <f t="shared" si="72"/>
        <v>0</v>
      </c>
      <c r="BG175" s="237">
        <f t="shared" si="73"/>
        <v>0</v>
      </c>
      <c r="BH175" s="31">
        <f t="shared" si="74"/>
        <v>0</v>
      </c>
      <c r="BI175" s="237">
        <f t="shared" si="75"/>
        <v>0</v>
      </c>
      <c r="BJ175" s="31">
        <f t="shared" si="76"/>
        <v>0</v>
      </c>
      <c r="BK175" s="31">
        <f t="shared" si="77"/>
        <v>0</v>
      </c>
      <c r="BL175" s="237">
        <f t="shared" si="78"/>
        <v>0</v>
      </c>
      <c r="BM175" s="31">
        <f t="shared" si="79"/>
        <v>0</v>
      </c>
      <c r="BN175" s="237">
        <f t="shared" si="80"/>
        <v>0</v>
      </c>
    </row>
    <row r="176" spans="1:66" x14ac:dyDescent="0.25">
      <c r="A176" s="159" t="s">
        <v>1860</v>
      </c>
      <c r="B176" s="182" t="str">
        <f>VLOOKUP(A176,kurspris!$A$1:$B$894,2,FALSE)</f>
        <v>Envariabelanalys 1</v>
      </c>
      <c r="C176" s="37"/>
      <c r="D176" s="31" t="s">
        <v>483</v>
      </c>
      <c r="F176" s="59">
        <v>2019</v>
      </c>
      <c r="Q176" s="237">
        <v>1</v>
      </c>
      <c r="R176" s="40">
        <v>0.85</v>
      </c>
      <c r="S176" s="313">
        <f t="shared" si="54"/>
        <v>0.85</v>
      </c>
      <c r="T176" s="31">
        <f>VLOOKUP(A176,'Ansvar kurs'!$A$1:$C$1027,2,FALSE)</f>
        <v>5730</v>
      </c>
      <c r="U176" s="31" t="str">
        <f>VLOOKUP(T176,Orgenheter!$A$1:$C$165,2,FALSE)</f>
        <v>Inst för MA och MA statistik</v>
      </c>
      <c r="V176" s="31" t="str">
        <f>VLOOKUP(T176,Orgenheter!$A$1:$C$165,3,FALSE)</f>
        <v>TekNat</v>
      </c>
      <c r="W176" s="37" t="str">
        <f>VLOOKUP(D176,Program!$A$1:$B$34,2,FALSE)</f>
        <v>Ämneslärarprogrammet - Gy</v>
      </c>
      <c r="X176" s="42">
        <f>VLOOKUP(A176,kurspris!$A$1:$Q$815,15,FALSE)</f>
        <v>19473</v>
      </c>
      <c r="Y176" s="42">
        <f>VLOOKUP(A176,kurspris!$A$1:$Q$815,16,FALSE)</f>
        <v>34806</v>
      </c>
      <c r="Z176" s="42">
        <f t="shared" si="55"/>
        <v>49058.1</v>
      </c>
      <c r="AA176" s="42">
        <f>VLOOKUP(A176,kurspris!$A$1:$Q$815,17,FALSE)</f>
        <v>21800</v>
      </c>
      <c r="AB176" s="42">
        <f t="shared" si="56"/>
        <v>21800</v>
      </c>
      <c r="AC176" s="42">
        <f t="shared" si="57"/>
        <v>70858.100000000006</v>
      </c>
      <c r="AD176" s="31">
        <f>VLOOKUP($A176,kurspris!$A$1:$Q$852,3,FALSE)</f>
        <v>0</v>
      </c>
      <c r="AE176" s="31">
        <f>VLOOKUP($A176,kurspris!$A$1:$Q$852,4,FALSE)</f>
        <v>0</v>
      </c>
      <c r="AF176" s="31">
        <f>VLOOKUP($A176,kurspris!$A$1:$Q$852,5,FALSE)</f>
        <v>0</v>
      </c>
      <c r="AG176" s="31">
        <f>VLOOKUP($A176,kurspris!$A$1:$Q$852,6,FALSE)</f>
        <v>0</v>
      </c>
      <c r="AH176" s="31">
        <f>VLOOKUP($A176,kurspris!$A$1:$Q$852,7,FALSE)</f>
        <v>0</v>
      </c>
      <c r="AI176" s="31">
        <f>VLOOKUP($A176,kurspris!$A$1:$Q$852,8,FALSE)</f>
        <v>0.5</v>
      </c>
      <c r="AJ176" s="31">
        <f>VLOOKUP($A176,kurspris!$A$1:$Q$852,9,FALSE)</f>
        <v>0</v>
      </c>
      <c r="AK176" s="31">
        <f>VLOOKUP($A176,kurspris!$A$1:$Q$852,10,FALSE)</f>
        <v>0.5</v>
      </c>
      <c r="AL176" s="31">
        <f>VLOOKUP($A176,kurspris!$A$1:$Q$852,11,FALSE)</f>
        <v>0</v>
      </c>
      <c r="AM176" s="31">
        <f>VLOOKUP($A176,kurspris!$A$1:$Q$852,12,FALSE)</f>
        <v>0</v>
      </c>
      <c r="AN176" s="31">
        <f>VLOOKUP($A176,kurspris!$A$1:$Q$852,13,FALSE)</f>
        <v>0</v>
      </c>
      <c r="AO176" s="31">
        <f>VLOOKUP($A176,kurspris!$A$1:$Q$852,14,FALSE)</f>
        <v>0</v>
      </c>
      <c r="AP176" s="59" t="s">
        <v>2216</v>
      </c>
      <c r="AR176" s="31">
        <f t="shared" si="58"/>
        <v>0</v>
      </c>
      <c r="AS176" s="237">
        <f t="shared" si="59"/>
        <v>0</v>
      </c>
      <c r="AT176" s="31">
        <f t="shared" si="60"/>
        <v>0</v>
      </c>
      <c r="AU176" s="237">
        <f t="shared" si="61"/>
        <v>0</v>
      </c>
      <c r="AV176" s="31">
        <f t="shared" si="62"/>
        <v>0</v>
      </c>
      <c r="AW176" s="31">
        <f t="shared" si="63"/>
        <v>0</v>
      </c>
      <c r="AX176" s="31">
        <f t="shared" si="64"/>
        <v>0</v>
      </c>
      <c r="AY176" s="237">
        <f t="shared" si="65"/>
        <v>0</v>
      </c>
      <c r="AZ176" s="214">
        <f t="shared" si="66"/>
        <v>0</v>
      </c>
      <c r="BA176" s="237">
        <f t="shared" si="67"/>
        <v>0</v>
      </c>
      <c r="BB176" s="31">
        <f t="shared" si="68"/>
        <v>0.5</v>
      </c>
      <c r="BC176" s="237">
        <f t="shared" si="69"/>
        <v>0.42499999999999999</v>
      </c>
      <c r="BD176" s="31">
        <f t="shared" si="70"/>
        <v>0</v>
      </c>
      <c r="BE176" s="237">
        <f t="shared" si="71"/>
        <v>0</v>
      </c>
      <c r="BF176" s="31">
        <f t="shared" si="72"/>
        <v>0.5</v>
      </c>
      <c r="BG176" s="237">
        <f t="shared" si="73"/>
        <v>0.42499999999999999</v>
      </c>
      <c r="BH176" s="31">
        <f t="shared" si="74"/>
        <v>0</v>
      </c>
      <c r="BI176" s="237">
        <f t="shared" si="75"/>
        <v>0</v>
      </c>
      <c r="BJ176" s="31">
        <f t="shared" si="76"/>
        <v>0</v>
      </c>
      <c r="BK176" s="31">
        <f t="shared" si="77"/>
        <v>0</v>
      </c>
      <c r="BL176" s="237">
        <f t="shared" si="78"/>
        <v>0</v>
      </c>
      <c r="BM176" s="31">
        <f t="shared" si="79"/>
        <v>0</v>
      </c>
      <c r="BN176" s="237">
        <f t="shared" si="80"/>
        <v>0</v>
      </c>
    </row>
    <row r="177" spans="1:66" x14ac:dyDescent="0.25">
      <c r="A177" s="159" t="s">
        <v>1860</v>
      </c>
      <c r="B177" s="182" t="str">
        <f>VLOOKUP(A177,kurspris!$A$1:$B$894,2,FALSE)</f>
        <v>Envariabelanalys 1</v>
      </c>
      <c r="C177" s="37"/>
      <c r="D177" s="31" t="s">
        <v>117</v>
      </c>
      <c r="F177" s="59">
        <v>2019</v>
      </c>
      <c r="Q177" s="237">
        <v>0.5</v>
      </c>
      <c r="R177" s="40">
        <v>0.8</v>
      </c>
      <c r="S177" s="313">
        <f t="shared" si="54"/>
        <v>0.4</v>
      </c>
      <c r="T177" s="31">
        <f>VLOOKUP(A177,'Ansvar kurs'!$A$1:$C$1027,2,FALSE)</f>
        <v>5730</v>
      </c>
      <c r="U177" s="31" t="str">
        <f>VLOOKUP(T177,Orgenheter!$A$1:$C$165,2,FALSE)</f>
        <v>Inst för MA och MA statistik</v>
      </c>
      <c r="V177" s="31" t="str">
        <f>VLOOKUP(T177,Orgenheter!$A$1:$C$165,3,FALSE)</f>
        <v>TekNat</v>
      </c>
      <c r="W177" s="37" t="str">
        <f>VLOOKUP(D177,Program!$A$1:$B$34,2,FALSE)</f>
        <v>Fristående och övriga kurser</v>
      </c>
      <c r="X177" s="42">
        <f>VLOOKUP(A177,kurspris!$A$1:$Q$815,15,FALSE)</f>
        <v>19473</v>
      </c>
      <c r="Y177" s="42">
        <f>VLOOKUP(A177,kurspris!$A$1:$Q$815,16,FALSE)</f>
        <v>34806</v>
      </c>
      <c r="Z177" s="42">
        <f t="shared" si="55"/>
        <v>23658.9</v>
      </c>
      <c r="AA177" s="42">
        <f>VLOOKUP(A177,kurspris!$A$1:$Q$815,17,FALSE)</f>
        <v>21800</v>
      </c>
      <c r="AB177" s="42">
        <f t="shared" si="56"/>
        <v>10900</v>
      </c>
      <c r="AC177" s="42">
        <f t="shared" si="57"/>
        <v>34558.9</v>
      </c>
      <c r="AD177" s="31">
        <f>VLOOKUP($A177,kurspris!$A$1:$Q$852,3,FALSE)</f>
        <v>0</v>
      </c>
      <c r="AE177" s="31">
        <f>VLOOKUP($A177,kurspris!$A$1:$Q$852,4,FALSE)</f>
        <v>0</v>
      </c>
      <c r="AF177" s="31">
        <f>VLOOKUP($A177,kurspris!$A$1:$Q$852,5,FALSE)</f>
        <v>0</v>
      </c>
      <c r="AG177" s="31">
        <f>VLOOKUP($A177,kurspris!$A$1:$Q$852,6,FALSE)</f>
        <v>0</v>
      </c>
      <c r="AH177" s="31">
        <f>VLOOKUP($A177,kurspris!$A$1:$Q$852,7,FALSE)</f>
        <v>0</v>
      </c>
      <c r="AI177" s="31">
        <f>VLOOKUP($A177,kurspris!$A$1:$Q$852,8,FALSE)</f>
        <v>0.5</v>
      </c>
      <c r="AJ177" s="31">
        <f>VLOOKUP($A177,kurspris!$A$1:$Q$852,9,FALSE)</f>
        <v>0</v>
      </c>
      <c r="AK177" s="31">
        <f>VLOOKUP($A177,kurspris!$A$1:$Q$852,10,FALSE)</f>
        <v>0.5</v>
      </c>
      <c r="AL177" s="31">
        <f>VLOOKUP($A177,kurspris!$A$1:$Q$852,11,FALSE)</f>
        <v>0</v>
      </c>
      <c r="AM177" s="31">
        <f>VLOOKUP($A177,kurspris!$A$1:$Q$852,12,FALSE)</f>
        <v>0</v>
      </c>
      <c r="AN177" s="31">
        <f>VLOOKUP($A177,kurspris!$A$1:$Q$852,13,FALSE)</f>
        <v>0</v>
      </c>
      <c r="AO177" s="31">
        <f>VLOOKUP($A177,kurspris!$A$1:$Q$852,14,FALSE)</f>
        <v>0</v>
      </c>
      <c r="AP177" s="59" t="s">
        <v>2216</v>
      </c>
      <c r="AR177" s="31">
        <f t="shared" si="58"/>
        <v>0</v>
      </c>
      <c r="AS177" s="237">
        <f t="shared" si="59"/>
        <v>0</v>
      </c>
      <c r="AT177" s="31">
        <f t="shared" si="60"/>
        <v>0</v>
      </c>
      <c r="AU177" s="237">
        <f t="shared" si="61"/>
        <v>0</v>
      </c>
      <c r="AV177" s="31">
        <f t="shared" si="62"/>
        <v>0</v>
      </c>
      <c r="AW177" s="31">
        <f t="shared" si="63"/>
        <v>0</v>
      </c>
      <c r="AX177" s="31">
        <f t="shared" si="64"/>
        <v>0</v>
      </c>
      <c r="AY177" s="237">
        <f t="shared" si="65"/>
        <v>0</v>
      </c>
      <c r="AZ177" s="214">
        <f t="shared" si="66"/>
        <v>0</v>
      </c>
      <c r="BA177" s="237">
        <f t="shared" si="67"/>
        <v>0</v>
      </c>
      <c r="BB177" s="31">
        <f t="shared" si="68"/>
        <v>0.25</v>
      </c>
      <c r="BC177" s="237">
        <f t="shared" si="69"/>
        <v>0.2</v>
      </c>
      <c r="BD177" s="31">
        <f t="shared" si="70"/>
        <v>0</v>
      </c>
      <c r="BE177" s="237">
        <f t="shared" si="71"/>
        <v>0</v>
      </c>
      <c r="BF177" s="31">
        <f t="shared" si="72"/>
        <v>0.25</v>
      </c>
      <c r="BG177" s="237">
        <f t="shared" si="73"/>
        <v>0.2</v>
      </c>
      <c r="BH177" s="31">
        <f t="shared" si="74"/>
        <v>0</v>
      </c>
      <c r="BI177" s="237">
        <f t="shared" si="75"/>
        <v>0</v>
      </c>
      <c r="BJ177" s="31">
        <f t="shared" si="76"/>
        <v>0</v>
      </c>
      <c r="BK177" s="31">
        <f t="shared" si="77"/>
        <v>0</v>
      </c>
      <c r="BL177" s="237">
        <f t="shared" si="78"/>
        <v>0</v>
      </c>
      <c r="BM177" s="31">
        <f t="shared" si="79"/>
        <v>0</v>
      </c>
      <c r="BN177" s="237">
        <f t="shared" si="80"/>
        <v>0</v>
      </c>
    </row>
    <row r="178" spans="1:66" x14ac:dyDescent="0.25">
      <c r="A178" s="159" t="s">
        <v>1861</v>
      </c>
      <c r="B178" s="182" t="str">
        <f>VLOOKUP(A178,kurspris!$A$1:$B$894,2,FALSE)</f>
        <v>Matematiska metoder</v>
      </c>
      <c r="C178" s="37"/>
      <c r="D178" s="31" t="s">
        <v>483</v>
      </c>
      <c r="F178" s="59">
        <v>2019</v>
      </c>
      <c r="Q178" s="237">
        <v>1.25</v>
      </c>
      <c r="R178" s="40">
        <v>0.85</v>
      </c>
      <c r="S178" s="313">
        <f t="shared" si="54"/>
        <v>1.0625</v>
      </c>
      <c r="T178" s="31">
        <f>VLOOKUP(A178,'Ansvar kurs'!$A$1:$C$1027,2,FALSE)</f>
        <v>5730</v>
      </c>
      <c r="U178" s="31" t="str">
        <f>VLOOKUP(T178,Orgenheter!$A$1:$C$165,2,FALSE)</f>
        <v>Inst för MA och MA statistik</v>
      </c>
      <c r="V178" s="31" t="str">
        <f>VLOOKUP(T178,Orgenheter!$A$1:$C$165,3,FALSE)</f>
        <v>TekNat</v>
      </c>
      <c r="W178" s="37" t="str">
        <f>VLOOKUP(D178,Program!$A$1:$B$34,2,FALSE)</f>
        <v>Ämneslärarprogrammet - Gy</v>
      </c>
      <c r="X178" s="42">
        <f>VLOOKUP(A178,kurspris!$A$1:$Q$815,15,FALSE)</f>
        <v>19473</v>
      </c>
      <c r="Y178" s="42">
        <f>VLOOKUP(A178,kurspris!$A$1:$Q$815,16,FALSE)</f>
        <v>34806</v>
      </c>
      <c r="Z178" s="42">
        <f t="shared" si="55"/>
        <v>61322.625</v>
      </c>
      <c r="AA178" s="42">
        <f>VLOOKUP(A178,kurspris!$A$1:$Q$815,17,FALSE)</f>
        <v>21800</v>
      </c>
      <c r="AB178" s="42">
        <f t="shared" si="56"/>
        <v>27250</v>
      </c>
      <c r="AC178" s="42">
        <f t="shared" si="57"/>
        <v>88572.625</v>
      </c>
      <c r="AD178" s="31">
        <f>VLOOKUP($A178,kurspris!$A$1:$Q$852,3,FALSE)</f>
        <v>0</v>
      </c>
      <c r="AE178" s="31">
        <f>VLOOKUP($A178,kurspris!$A$1:$Q$852,4,FALSE)</f>
        <v>0</v>
      </c>
      <c r="AF178" s="31">
        <f>VLOOKUP($A178,kurspris!$A$1:$Q$852,5,FALSE)</f>
        <v>0</v>
      </c>
      <c r="AG178" s="31">
        <f>VLOOKUP($A178,kurspris!$A$1:$Q$852,6,FALSE)</f>
        <v>0</v>
      </c>
      <c r="AH178" s="31">
        <f>VLOOKUP($A178,kurspris!$A$1:$Q$852,7,FALSE)</f>
        <v>0</v>
      </c>
      <c r="AI178" s="31">
        <f>VLOOKUP($A178,kurspris!$A$1:$Q$852,8,FALSE)</f>
        <v>1</v>
      </c>
      <c r="AJ178" s="31">
        <f>VLOOKUP($A178,kurspris!$A$1:$Q$852,9,FALSE)</f>
        <v>0</v>
      </c>
      <c r="AK178" s="31">
        <f>VLOOKUP($A178,kurspris!$A$1:$Q$852,10,FALSE)</f>
        <v>0</v>
      </c>
      <c r="AL178" s="31">
        <f>VLOOKUP($A178,kurspris!$A$1:$Q$852,11,FALSE)</f>
        <v>0</v>
      </c>
      <c r="AM178" s="31">
        <f>VLOOKUP($A178,kurspris!$A$1:$Q$852,12,FALSE)</f>
        <v>0</v>
      </c>
      <c r="AN178" s="31">
        <f>VLOOKUP($A178,kurspris!$A$1:$Q$852,13,FALSE)</f>
        <v>0</v>
      </c>
      <c r="AO178" s="31">
        <f>VLOOKUP($A178,kurspris!$A$1:$Q$852,14,FALSE)</f>
        <v>0</v>
      </c>
      <c r="AP178" s="59" t="s">
        <v>2216</v>
      </c>
      <c r="AQ178" s="59"/>
      <c r="AR178" s="31">
        <f t="shared" si="58"/>
        <v>0</v>
      </c>
      <c r="AS178" s="237">
        <f t="shared" si="59"/>
        <v>0</v>
      </c>
      <c r="AT178" s="31">
        <f t="shared" si="60"/>
        <v>0</v>
      </c>
      <c r="AU178" s="237">
        <f t="shared" si="61"/>
        <v>0</v>
      </c>
      <c r="AV178" s="31">
        <f t="shared" si="62"/>
        <v>0</v>
      </c>
      <c r="AW178" s="31">
        <f t="shared" si="63"/>
        <v>0</v>
      </c>
      <c r="AX178" s="31">
        <f t="shared" si="64"/>
        <v>0</v>
      </c>
      <c r="AY178" s="237">
        <f t="shared" si="65"/>
        <v>0</v>
      </c>
      <c r="AZ178" s="214">
        <f t="shared" si="66"/>
        <v>0</v>
      </c>
      <c r="BA178" s="237">
        <f t="shared" si="67"/>
        <v>0</v>
      </c>
      <c r="BB178" s="31">
        <f t="shared" si="68"/>
        <v>1.25</v>
      </c>
      <c r="BC178" s="237">
        <f t="shared" si="69"/>
        <v>1.0625</v>
      </c>
      <c r="BD178" s="31">
        <f t="shared" si="70"/>
        <v>0</v>
      </c>
      <c r="BE178" s="237">
        <f t="shared" si="71"/>
        <v>0</v>
      </c>
      <c r="BF178" s="31">
        <f t="shared" si="72"/>
        <v>0</v>
      </c>
      <c r="BG178" s="237">
        <f t="shared" si="73"/>
        <v>0</v>
      </c>
      <c r="BH178" s="31">
        <f t="shared" si="74"/>
        <v>0</v>
      </c>
      <c r="BI178" s="237">
        <f t="shared" si="75"/>
        <v>0</v>
      </c>
      <c r="BJ178" s="31">
        <f t="shared" si="76"/>
        <v>0</v>
      </c>
      <c r="BK178" s="31">
        <f t="shared" si="77"/>
        <v>0</v>
      </c>
      <c r="BL178" s="237">
        <f t="shared" si="78"/>
        <v>0</v>
      </c>
      <c r="BM178" s="31">
        <f t="shared" si="79"/>
        <v>0</v>
      </c>
      <c r="BN178" s="237">
        <f t="shared" si="80"/>
        <v>0</v>
      </c>
    </row>
    <row r="179" spans="1:66" x14ac:dyDescent="0.25">
      <c r="A179" s="159" t="s">
        <v>1861</v>
      </c>
      <c r="B179" s="182" t="str">
        <f>VLOOKUP(A179,kurspris!$A$1:$B$894,2,FALSE)</f>
        <v>Matematiska metoder</v>
      </c>
      <c r="C179" s="37"/>
      <c r="D179" s="31" t="s">
        <v>117</v>
      </c>
      <c r="F179" s="59">
        <v>2019</v>
      </c>
      <c r="Q179" s="237">
        <v>0.75</v>
      </c>
      <c r="R179" s="40">
        <v>0.8</v>
      </c>
      <c r="S179" s="313">
        <f t="shared" si="54"/>
        <v>0.60000000000000009</v>
      </c>
      <c r="T179" s="31">
        <f>VLOOKUP(A179,'Ansvar kurs'!$A$1:$C$1027,2,FALSE)</f>
        <v>5730</v>
      </c>
      <c r="U179" s="31" t="str">
        <f>VLOOKUP(T179,Orgenheter!$A$1:$C$165,2,FALSE)</f>
        <v>Inst för MA och MA statistik</v>
      </c>
      <c r="V179" s="31" t="str">
        <f>VLOOKUP(T179,Orgenheter!$A$1:$C$165,3,FALSE)</f>
        <v>TekNat</v>
      </c>
      <c r="W179" s="37" t="str">
        <f>VLOOKUP(D179,Program!$A$1:$B$34,2,FALSE)</f>
        <v>Fristående och övriga kurser</v>
      </c>
      <c r="X179" s="42">
        <f>VLOOKUP(A179,kurspris!$A$1:$Q$815,15,FALSE)</f>
        <v>19473</v>
      </c>
      <c r="Y179" s="42">
        <f>VLOOKUP(A179,kurspris!$A$1:$Q$815,16,FALSE)</f>
        <v>34806</v>
      </c>
      <c r="Z179" s="42">
        <f t="shared" si="55"/>
        <v>35488.350000000006</v>
      </c>
      <c r="AA179" s="42">
        <f>VLOOKUP(A179,kurspris!$A$1:$Q$815,17,FALSE)</f>
        <v>21800</v>
      </c>
      <c r="AB179" s="42">
        <f t="shared" si="56"/>
        <v>16350</v>
      </c>
      <c r="AC179" s="42">
        <f t="shared" si="57"/>
        <v>51838.350000000006</v>
      </c>
      <c r="AD179" s="31">
        <f>VLOOKUP($A179,kurspris!$A$1:$Q$852,3,FALSE)</f>
        <v>0</v>
      </c>
      <c r="AE179" s="31">
        <f>VLOOKUP($A179,kurspris!$A$1:$Q$852,4,FALSE)</f>
        <v>0</v>
      </c>
      <c r="AF179" s="31">
        <f>VLOOKUP($A179,kurspris!$A$1:$Q$852,5,FALSE)</f>
        <v>0</v>
      </c>
      <c r="AG179" s="31">
        <f>VLOOKUP($A179,kurspris!$A$1:$Q$852,6,FALSE)</f>
        <v>0</v>
      </c>
      <c r="AH179" s="31">
        <f>VLOOKUP($A179,kurspris!$A$1:$Q$852,7,FALSE)</f>
        <v>0</v>
      </c>
      <c r="AI179" s="31">
        <f>VLOOKUP($A179,kurspris!$A$1:$Q$852,8,FALSE)</f>
        <v>1</v>
      </c>
      <c r="AJ179" s="31">
        <f>VLOOKUP($A179,kurspris!$A$1:$Q$852,9,FALSE)</f>
        <v>0</v>
      </c>
      <c r="AK179" s="31">
        <f>VLOOKUP($A179,kurspris!$A$1:$Q$852,10,FALSE)</f>
        <v>0</v>
      </c>
      <c r="AL179" s="31">
        <f>VLOOKUP($A179,kurspris!$A$1:$Q$852,11,FALSE)</f>
        <v>0</v>
      </c>
      <c r="AM179" s="31">
        <f>VLOOKUP($A179,kurspris!$A$1:$Q$852,12,FALSE)</f>
        <v>0</v>
      </c>
      <c r="AN179" s="31">
        <f>VLOOKUP($A179,kurspris!$A$1:$Q$852,13,FALSE)</f>
        <v>0</v>
      </c>
      <c r="AO179" s="31">
        <f>VLOOKUP($A179,kurspris!$A$1:$Q$852,14,FALSE)</f>
        <v>0</v>
      </c>
      <c r="AP179" s="59" t="s">
        <v>2216</v>
      </c>
      <c r="AR179" s="31">
        <f t="shared" si="58"/>
        <v>0</v>
      </c>
      <c r="AS179" s="237">
        <f t="shared" si="59"/>
        <v>0</v>
      </c>
      <c r="AT179" s="31">
        <f t="shared" si="60"/>
        <v>0</v>
      </c>
      <c r="AU179" s="237">
        <f t="shared" si="61"/>
        <v>0</v>
      </c>
      <c r="AV179" s="31">
        <f t="shared" si="62"/>
        <v>0</v>
      </c>
      <c r="AW179" s="31">
        <f t="shared" si="63"/>
        <v>0</v>
      </c>
      <c r="AX179" s="31">
        <f t="shared" si="64"/>
        <v>0</v>
      </c>
      <c r="AY179" s="237">
        <f t="shared" si="65"/>
        <v>0</v>
      </c>
      <c r="AZ179" s="214">
        <f t="shared" si="66"/>
        <v>0</v>
      </c>
      <c r="BA179" s="237">
        <f t="shared" si="67"/>
        <v>0</v>
      </c>
      <c r="BB179" s="31">
        <f t="shared" si="68"/>
        <v>0.75</v>
      </c>
      <c r="BC179" s="237">
        <f t="shared" si="69"/>
        <v>0.60000000000000009</v>
      </c>
      <c r="BD179" s="31">
        <f t="shared" si="70"/>
        <v>0</v>
      </c>
      <c r="BE179" s="237">
        <f t="shared" si="71"/>
        <v>0</v>
      </c>
      <c r="BF179" s="31">
        <f t="shared" si="72"/>
        <v>0</v>
      </c>
      <c r="BG179" s="237">
        <f t="shared" si="73"/>
        <v>0</v>
      </c>
      <c r="BH179" s="31">
        <f t="shared" si="74"/>
        <v>0</v>
      </c>
      <c r="BI179" s="237">
        <f t="shared" si="75"/>
        <v>0</v>
      </c>
      <c r="BJ179" s="31">
        <f t="shared" si="76"/>
        <v>0</v>
      </c>
      <c r="BK179" s="31">
        <f t="shared" si="77"/>
        <v>0</v>
      </c>
      <c r="BL179" s="237">
        <f t="shared" si="78"/>
        <v>0</v>
      </c>
      <c r="BM179" s="31">
        <f t="shared" si="79"/>
        <v>0</v>
      </c>
      <c r="BN179" s="237">
        <f t="shared" si="80"/>
        <v>0</v>
      </c>
    </row>
    <row r="180" spans="1:66" x14ac:dyDescent="0.25">
      <c r="A180" s="159" t="s">
        <v>1957</v>
      </c>
      <c r="B180" s="182" t="str">
        <f>VLOOKUP(A180,kurspris!$A$1:$B$894,2,FALSE)</f>
        <v>Diskret matematik</v>
      </c>
      <c r="C180" s="37"/>
      <c r="D180" s="31" t="s">
        <v>483</v>
      </c>
      <c r="F180" s="59">
        <v>2019</v>
      </c>
      <c r="Q180" s="237">
        <v>2</v>
      </c>
      <c r="R180" s="40">
        <v>0.85</v>
      </c>
      <c r="S180" s="313">
        <f t="shared" si="54"/>
        <v>1.7</v>
      </c>
      <c r="T180" s="31">
        <f>VLOOKUP(A180,'Ansvar kurs'!$A$1:$C$1027,2,FALSE)</f>
        <v>5730</v>
      </c>
      <c r="U180" s="31" t="str">
        <f>VLOOKUP(T180,Orgenheter!$A$1:$C$165,2,FALSE)</f>
        <v>Inst för MA och MA statistik</v>
      </c>
      <c r="V180" s="31" t="str">
        <f>VLOOKUP(T180,Orgenheter!$A$1:$C$165,3,FALSE)</f>
        <v>TekNat</v>
      </c>
      <c r="W180" s="37" t="str">
        <f>VLOOKUP(D180,Program!$A$1:$B$34,2,FALSE)</f>
        <v>Ämneslärarprogrammet - Gy</v>
      </c>
      <c r="X180" s="42">
        <f>VLOOKUP(A180,kurspris!$A$1:$Q$815,15,FALSE)</f>
        <v>19473</v>
      </c>
      <c r="Y180" s="42">
        <f>VLOOKUP(A180,kurspris!$A$1:$Q$815,16,FALSE)</f>
        <v>34806</v>
      </c>
      <c r="Z180" s="42">
        <f t="shared" si="55"/>
        <v>98116.2</v>
      </c>
      <c r="AA180" s="42">
        <f>VLOOKUP(A180,kurspris!$A$1:$Q$815,17,FALSE)</f>
        <v>21800</v>
      </c>
      <c r="AB180" s="42">
        <f t="shared" si="56"/>
        <v>43600</v>
      </c>
      <c r="AC180" s="42">
        <f t="shared" si="57"/>
        <v>141716.20000000001</v>
      </c>
      <c r="AD180" s="31">
        <f>VLOOKUP($A180,kurspris!$A$1:$Q$852,3,FALSE)</f>
        <v>0</v>
      </c>
      <c r="AE180" s="31">
        <f>VLOOKUP($A180,kurspris!$A$1:$Q$852,4,FALSE)</f>
        <v>0</v>
      </c>
      <c r="AF180" s="31">
        <f>VLOOKUP($A180,kurspris!$A$1:$Q$852,5,FALSE)</f>
        <v>0</v>
      </c>
      <c r="AG180" s="31">
        <f>VLOOKUP($A180,kurspris!$A$1:$Q$852,6,FALSE)</f>
        <v>0</v>
      </c>
      <c r="AH180" s="31">
        <f>VLOOKUP($A180,kurspris!$A$1:$Q$852,7,FALSE)</f>
        <v>0</v>
      </c>
      <c r="AI180" s="31">
        <f>VLOOKUP($A180,kurspris!$A$1:$Q$852,8,FALSE)</f>
        <v>0.5</v>
      </c>
      <c r="AJ180" s="31">
        <f>VLOOKUP($A180,kurspris!$A$1:$Q$852,9,FALSE)</f>
        <v>0</v>
      </c>
      <c r="AK180" s="31">
        <f>VLOOKUP($A180,kurspris!$A$1:$Q$852,10,FALSE)</f>
        <v>0.5</v>
      </c>
      <c r="AL180" s="31">
        <f>VLOOKUP($A180,kurspris!$A$1:$Q$852,11,FALSE)</f>
        <v>0</v>
      </c>
      <c r="AM180" s="31">
        <f>VLOOKUP($A180,kurspris!$A$1:$Q$852,12,FALSE)</f>
        <v>0</v>
      </c>
      <c r="AN180" s="31">
        <f>VLOOKUP($A180,kurspris!$A$1:$Q$852,13,FALSE)</f>
        <v>0</v>
      </c>
      <c r="AO180" s="31">
        <f>VLOOKUP($A180,kurspris!$A$1:$Q$852,14,FALSE)</f>
        <v>0</v>
      </c>
      <c r="AP180" s="59" t="s">
        <v>2216</v>
      </c>
      <c r="AQ180" s="59"/>
      <c r="AR180" s="31">
        <f t="shared" si="58"/>
        <v>0</v>
      </c>
      <c r="AS180" s="237">
        <f t="shared" si="59"/>
        <v>0</v>
      </c>
      <c r="AT180" s="31">
        <f t="shared" si="60"/>
        <v>0</v>
      </c>
      <c r="AU180" s="237">
        <f t="shared" si="61"/>
        <v>0</v>
      </c>
      <c r="AV180" s="31">
        <f t="shared" si="62"/>
        <v>0</v>
      </c>
      <c r="AW180" s="31">
        <f t="shared" si="63"/>
        <v>0</v>
      </c>
      <c r="AX180" s="31">
        <f t="shared" si="64"/>
        <v>0</v>
      </c>
      <c r="AY180" s="237">
        <f t="shared" si="65"/>
        <v>0</v>
      </c>
      <c r="AZ180" s="214">
        <f t="shared" si="66"/>
        <v>0</v>
      </c>
      <c r="BA180" s="237">
        <f t="shared" si="67"/>
        <v>0</v>
      </c>
      <c r="BB180" s="31">
        <f t="shared" si="68"/>
        <v>1</v>
      </c>
      <c r="BC180" s="237">
        <f t="shared" si="69"/>
        <v>0.85</v>
      </c>
      <c r="BD180" s="31">
        <f t="shared" si="70"/>
        <v>0</v>
      </c>
      <c r="BE180" s="237">
        <f t="shared" si="71"/>
        <v>0</v>
      </c>
      <c r="BF180" s="31">
        <f t="shared" si="72"/>
        <v>1</v>
      </c>
      <c r="BG180" s="237">
        <f t="shared" si="73"/>
        <v>0.85</v>
      </c>
      <c r="BH180" s="31">
        <f t="shared" si="74"/>
        <v>0</v>
      </c>
      <c r="BI180" s="237">
        <f t="shared" si="75"/>
        <v>0</v>
      </c>
      <c r="BJ180" s="31">
        <f t="shared" si="76"/>
        <v>0</v>
      </c>
      <c r="BK180" s="31">
        <f t="shared" si="77"/>
        <v>0</v>
      </c>
      <c r="BL180" s="237">
        <f t="shared" si="78"/>
        <v>0</v>
      </c>
      <c r="BM180" s="31">
        <f t="shared" si="79"/>
        <v>0</v>
      </c>
      <c r="BN180" s="237">
        <f t="shared" si="80"/>
        <v>0</v>
      </c>
    </row>
    <row r="181" spans="1:66" x14ac:dyDescent="0.25">
      <c r="A181" s="159" t="s">
        <v>1957</v>
      </c>
      <c r="B181" s="182" t="str">
        <f>VLOOKUP(A181,kurspris!$A$1:$B$894,2,FALSE)</f>
        <v>Diskret matematik</v>
      </c>
      <c r="C181" s="37"/>
      <c r="D181" s="31" t="s">
        <v>116</v>
      </c>
      <c r="F181" s="59">
        <v>2019</v>
      </c>
      <c r="Q181" s="237">
        <v>0.125</v>
      </c>
      <c r="R181" s="40">
        <v>0.85</v>
      </c>
      <c r="S181" s="313">
        <f t="shared" si="54"/>
        <v>0.10625</v>
      </c>
      <c r="T181" s="31">
        <f>VLOOKUP(A181,'Ansvar kurs'!$A$1:$C$1027,2,FALSE)</f>
        <v>5730</v>
      </c>
      <c r="U181" s="31" t="str">
        <f>VLOOKUP(T181,Orgenheter!$A$1:$C$165,2,FALSE)</f>
        <v>Inst för MA och MA statistik</v>
      </c>
      <c r="V181" s="31" t="str">
        <f>VLOOKUP(T181,Orgenheter!$A$1:$C$165,3,FALSE)</f>
        <v>TekNat</v>
      </c>
      <c r="W181" s="37" t="str">
        <f>VLOOKUP(D181,Program!$A$1:$B$34,2,FALSE)</f>
        <v>Lärarprogram långa - före ht11</v>
      </c>
      <c r="X181" s="42">
        <f>VLOOKUP(A181,kurspris!$A$1:$Q$815,15,FALSE)</f>
        <v>19473</v>
      </c>
      <c r="Y181" s="42">
        <f>VLOOKUP(A181,kurspris!$A$1:$Q$815,16,FALSE)</f>
        <v>34806</v>
      </c>
      <c r="Z181" s="42">
        <f t="shared" si="55"/>
        <v>6132.2624999999998</v>
      </c>
      <c r="AA181" s="42">
        <f>VLOOKUP(A181,kurspris!$A$1:$Q$815,17,FALSE)</f>
        <v>21800</v>
      </c>
      <c r="AB181" s="42">
        <f t="shared" si="56"/>
        <v>2725</v>
      </c>
      <c r="AC181" s="42">
        <f t="shared" si="57"/>
        <v>8857.2625000000007</v>
      </c>
      <c r="AD181" s="31">
        <f>VLOOKUP($A181,kurspris!$A$1:$Q$852,3,FALSE)</f>
        <v>0</v>
      </c>
      <c r="AE181" s="31">
        <f>VLOOKUP($A181,kurspris!$A$1:$Q$852,4,FALSE)</f>
        <v>0</v>
      </c>
      <c r="AF181" s="31">
        <f>VLOOKUP($A181,kurspris!$A$1:$Q$852,5,FALSE)</f>
        <v>0</v>
      </c>
      <c r="AG181" s="31">
        <f>VLOOKUP($A181,kurspris!$A$1:$Q$852,6,FALSE)</f>
        <v>0</v>
      </c>
      <c r="AH181" s="31">
        <f>VLOOKUP($A181,kurspris!$A$1:$Q$852,7,FALSE)</f>
        <v>0</v>
      </c>
      <c r="AI181" s="31">
        <f>VLOOKUP($A181,kurspris!$A$1:$Q$852,8,FALSE)</f>
        <v>0.5</v>
      </c>
      <c r="AJ181" s="31">
        <f>VLOOKUP($A181,kurspris!$A$1:$Q$852,9,FALSE)</f>
        <v>0</v>
      </c>
      <c r="AK181" s="31">
        <f>VLOOKUP($A181,kurspris!$A$1:$Q$852,10,FALSE)</f>
        <v>0.5</v>
      </c>
      <c r="AL181" s="31">
        <f>VLOOKUP($A181,kurspris!$A$1:$Q$852,11,FALSE)</f>
        <v>0</v>
      </c>
      <c r="AM181" s="31">
        <f>VLOOKUP($A181,kurspris!$A$1:$Q$852,12,FALSE)</f>
        <v>0</v>
      </c>
      <c r="AN181" s="31">
        <f>VLOOKUP($A181,kurspris!$A$1:$Q$852,13,FALSE)</f>
        <v>0</v>
      </c>
      <c r="AO181" s="31">
        <f>VLOOKUP($A181,kurspris!$A$1:$Q$852,14,FALSE)</f>
        <v>0</v>
      </c>
      <c r="AP181" s="59" t="s">
        <v>2216</v>
      </c>
      <c r="AQ181" s="59"/>
      <c r="AR181" s="31">
        <f t="shared" si="58"/>
        <v>0</v>
      </c>
      <c r="AS181" s="237">
        <f t="shared" si="59"/>
        <v>0</v>
      </c>
      <c r="AT181" s="31">
        <f t="shared" si="60"/>
        <v>0</v>
      </c>
      <c r="AU181" s="237">
        <f t="shared" si="61"/>
        <v>0</v>
      </c>
      <c r="AV181" s="31">
        <f t="shared" si="62"/>
        <v>0</v>
      </c>
      <c r="AW181" s="31">
        <f t="shared" si="63"/>
        <v>0</v>
      </c>
      <c r="AX181" s="31">
        <f t="shared" si="64"/>
        <v>0</v>
      </c>
      <c r="AY181" s="237">
        <f t="shared" si="65"/>
        <v>0</v>
      </c>
      <c r="AZ181" s="214">
        <f t="shared" si="66"/>
        <v>0</v>
      </c>
      <c r="BA181" s="237">
        <f t="shared" si="67"/>
        <v>0</v>
      </c>
      <c r="BB181" s="31">
        <f t="shared" si="68"/>
        <v>6.25E-2</v>
      </c>
      <c r="BC181" s="237">
        <f t="shared" si="69"/>
        <v>5.3124999999999999E-2</v>
      </c>
      <c r="BD181" s="31">
        <f t="shared" si="70"/>
        <v>0</v>
      </c>
      <c r="BE181" s="237">
        <f t="shared" si="71"/>
        <v>0</v>
      </c>
      <c r="BF181" s="31">
        <f t="shared" si="72"/>
        <v>6.25E-2</v>
      </c>
      <c r="BG181" s="237">
        <f t="shared" si="73"/>
        <v>5.3124999999999999E-2</v>
      </c>
      <c r="BH181" s="31">
        <f t="shared" si="74"/>
        <v>0</v>
      </c>
      <c r="BI181" s="237">
        <f t="shared" si="75"/>
        <v>0</v>
      </c>
      <c r="BJ181" s="31">
        <f t="shared" si="76"/>
        <v>0</v>
      </c>
      <c r="BK181" s="31">
        <f t="shared" si="77"/>
        <v>0</v>
      </c>
      <c r="BL181" s="237">
        <f t="shared" si="78"/>
        <v>0</v>
      </c>
      <c r="BM181" s="31">
        <f t="shared" si="79"/>
        <v>0</v>
      </c>
      <c r="BN181" s="237">
        <f t="shared" si="80"/>
        <v>0</v>
      </c>
    </row>
    <row r="182" spans="1:66" x14ac:dyDescent="0.25">
      <c r="A182" s="159" t="s">
        <v>1957</v>
      </c>
      <c r="B182" s="182" t="str">
        <f>VLOOKUP(A182,kurspris!$A$1:$B$894,2,FALSE)</f>
        <v>Diskret matematik</v>
      </c>
      <c r="C182" s="37"/>
      <c r="D182" s="31" t="s">
        <v>117</v>
      </c>
      <c r="F182" s="59">
        <v>2019</v>
      </c>
      <c r="Q182" s="237">
        <v>1.125</v>
      </c>
      <c r="R182" s="40">
        <v>0.8</v>
      </c>
      <c r="S182" s="313">
        <f t="shared" si="54"/>
        <v>0.9</v>
      </c>
      <c r="T182" s="31">
        <f>VLOOKUP(A182,'Ansvar kurs'!$A$1:$C$1027,2,FALSE)</f>
        <v>5730</v>
      </c>
      <c r="U182" s="31" t="str">
        <f>VLOOKUP(T182,Orgenheter!$A$1:$C$165,2,FALSE)</f>
        <v>Inst för MA och MA statistik</v>
      </c>
      <c r="V182" s="31" t="str">
        <f>VLOOKUP(T182,Orgenheter!$A$1:$C$165,3,FALSE)</f>
        <v>TekNat</v>
      </c>
      <c r="W182" s="37" t="str">
        <f>VLOOKUP(D182,Program!$A$1:$B$34,2,FALSE)</f>
        <v>Fristående och övriga kurser</v>
      </c>
      <c r="X182" s="42">
        <f>VLOOKUP(A182,kurspris!$A$1:$Q$815,15,FALSE)</f>
        <v>19473</v>
      </c>
      <c r="Y182" s="42">
        <f>VLOOKUP(A182,kurspris!$A$1:$Q$815,16,FALSE)</f>
        <v>34806</v>
      </c>
      <c r="Z182" s="42">
        <f t="shared" si="55"/>
        <v>53232.525000000001</v>
      </c>
      <c r="AA182" s="42">
        <f>VLOOKUP(A182,kurspris!$A$1:$Q$815,17,FALSE)</f>
        <v>21800</v>
      </c>
      <c r="AB182" s="42">
        <f t="shared" si="56"/>
        <v>24525</v>
      </c>
      <c r="AC182" s="42">
        <f t="shared" si="57"/>
        <v>77757.524999999994</v>
      </c>
      <c r="AD182" s="31">
        <f>VLOOKUP($A182,kurspris!$A$1:$Q$852,3,FALSE)</f>
        <v>0</v>
      </c>
      <c r="AE182" s="31">
        <f>VLOOKUP($A182,kurspris!$A$1:$Q$852,4,FALSE)</f>
        <v>0</v>
      </c>
      <c r="AF182" s="31">
        <f>VLOOKUP($A182,kurspris!$A$1:$Q$852,5,FALSE)</f>
        <v>0</v>
      </c>
      <c r="AG182" s="31">
        <f>VLOOKUP($A182,kurspris!$A$1:$Q$852,6,FALSE)</f>
        <v>0</v>
      </c>
      <c r="AH182" s="31">
        <f>VLOOKUP($A182,kurspris!$A$1:$Q$852,7,FALSE)</f>
        <v>0</v>
      </c>
      <c r="AI182" s="31">
        <f>VLOOKUP($A182,kurspris!$A$1:$Q$852,8,FALSE)</f>
        <v>0.5</v>
      </c>
      <c r="AJ182" s="31">
        <f>VLOOKUP($A182,kurspris!$A$1:$Q$852,9,FALSE)</f>
        <v>0</v>
      </c>
      <c r="AK182" s="31">
        <f>VLOOKUP($A182,kurspris!$A$1:$Q$852,10,FALSE)</f>
        <v>0.5</v>
      </c>
      <c r="AL182" s="31">
        <f>VLOOKUP($A182,kurspris!$A$1:$Q$852,11,FALSE)</f>
        <v>0</v>
      </c>
      <c r="AM182" s="31">
        <f>VLOOKUP($A182,kurspris!$A$1:$Q$852,12,FALSE)</f>
        <v>0</v>
      </c>
      <c r="AN182" s="31">
        <f>VLOOKUP($A182,kurspris!$A$1:$Q$852,13,FALSE)</f>
        <v>0</v>
      </c>
      <c r="AO182" s="31">
        <f>VLOOKUP($A182,kurspris!$A$1:$Q$852,14,FALSE)</f>
        <v>0</v>
      </c>
      <c r="AP182" s="59" t="s">
        <v>2216</v>
      </c>
      <c r="AR182" s="31">
        <f t="shared" si="58"/>
        <v>0</v>
      </c>
      <c r="AS182" s="237">
        <f t="shared" si="59"/>
        <v>0</v>
      </c>
      <c r="AT182" s="31">
        <f t="shared" si="60"/>
        <v>0</v>
      </c>
      <c r="AU182" s="237">
        <f t="shared" si="61"/>
        <v>0</v>
      </c>
      <c r="AV182" s="31">
        <f t="shared" si="62"/>
        <v>0</v>
      </c>
      <c r="AW182" s="31">
        <f t="shared" si="63"/>
        <v>0</v>
      </c>
      <c r="AX182" s="31">
        <f t="shared" si="64"/>
        <v>0</v>
      </c>
      <c r="AY182" s="237">
        <f t="shared" si="65"/>
        <v>0</v>
      </c>
      <c r="AZ182" s="214">
        <f t="shared" si="66"/>
        <v>0</v>
      </c>
      <c r="BA182" s="237">
        <f t="shared" si="67"/>
        <v>0</v>
      </c>
      <c r="BB182" s="31">
        <f t="shared" si="68"/>
        <v>0.5625</v>
      </c>
      <c r="BC182" s="237">
        <f t="shared" si="69"/>
        <v>0.45</v>
      </c>
      <c r="BD182" s="31">
        <f t="shared" si="70"/>
        <v>0</v>
      </c>
      <c r="BE182" s="237">
        <f t="shared" si="71"/>
        <v>0</v>
      </c>
      <c r="BF182" s="31">
        <f t="shared" si="72"/>
        <v>0.5625</v>
      </c>
      <c r="BG182" s="237">
        <f t="shared" si="73"/>
        <v>0.45</v>
      </c>
      <c r="BH182" s="31">
        <f t="shared" si="74"/>
        <v>0</v>
      </c>
      <c r="BI182" s="237">
        <f t="shared" si="75"/>
        <v>0</v>
      </c>
      <c r="BJ182" s="31">
        <f t="shared" si="76"/>
        <v>0</v>
      </c>
      <c r="BK182" s="31">
        <f t="shared" si="77"/>
        <v>0</v>
      </c>
      <c r="BL182" s="237">
        <f t="shared" si="78"/>
        <v>0</v>
      </c>
      <c r="BM182" s="31">
        <f t="shared" si="79"/>
        <v>0</v>
      </c>
      <c r="BN182" s="237">
        <f t="shared" si="80"/>
        <v>0</v>
      </c>
    </row>
    <row r="183" spans="1:66" x14ac:dyDescent="0.25">
      <c r="A183" s="159" t="s">
        <v>1958</v>
      </c>
      <c r="B183" s="182" t="str">
        <f>VLOOKUP(A183,kurspris!$A$1:$B$894,2,FALSE)</f>
        <v>Problemlösning och matematiska resonemang</v>
      </c>
      <c r="C183" s="37"/>
      <c r="D183" s="31" t="s">
        <v>483</v>
      </c>
      <c r="F183" s="59">
        <v>2019</v>
      </c>
      <c r="Q183" s="237">
        <v>2</v>
      </c>
      <c r="R183" s="40">
        <v>0.85</v>
      </c>
      <c r="S183" s="313">
        <f t="shared" si="54"/>
        <v>1.7</v>
      </c>
      <c r="T183" s="31">
        <f>VLOOKUP(A183,'Ansvar kurs'!$A$1:$C$1027,2,FALSE)</f>
        <v>5730</v>
      </c>
      <c r="U183" s="31" t="str">
        <f>VLOOKUP(T183,Orgenheter!$A$1:$C$165,2,FALSE)</f>
        <v>Inst för MA och MA statistik</v>
      </c>
      <c r="V183" s="31" t="str">
        <f>VLOOKUP(T183,Orgenheter!$A$1:$C$165,3,FALSE)</f>
        <v>TekNat</v>
      </c>
      <c r="W183" s="37" t="str">
        <f>VLOOKUP(D183,Program!$A$1:$B$34,2,FALSE)</f>
        <v>Ämneslärarprogrammet - Gy</v>
      </c>
      <c r="X183" s="42">
        <f>VLOOKUP(A183,kurspris!$A$1:$Q$815,15,FALSE)</f>
        <v>19473</v>
      </c>
      <c r="Y183" s="42">
        <f>VLOOKUP(A183,kurspris!$A$1:$Q$815,16,FALSE)</f>
        <v>34806</v>
      </c>
      <c r="Z183" s="42">
        <f t="shared" si="55"/>
        <v>98116.2</v>
      </c>
      <c r="AA183" s="42">
        <f>VLOOKUP(A183,kurspris!$A$1:$Q$815,17,FALSE)</f>
        <v>21800</v>
      </c>
      <c r="AB183" s="42">
        <f t="shared" si="56"/>
        <v>43600</v>
      </c>
      <c r="AC183" s="42">
        <f t="shared" si="57"/>
        <v>141716.20000000001</v>
      </c>
      <c r="AD183" s="31">
        <f>VLOOKUP($A183,kurspris!$A$1:$Q$852,3,FALSE)</f>
        <v>0</v>
      </c>
      <c r="AE183" s="31">
        <f>VLOOKUP($A183,kurspris!$A$1:$Q$852,4,FALSE)</f>
        <v>0</v>
      </c>
      <c r="AF183" s="31">
        <f>VLOOKUP($A183,kurspris!$A$1:$Q$852,5,FALSE)</f>
        <v>0</v>
      </c>
      <c r="AG183" s="31">
        <f>VLOOKUP($A183,kurspris!$A$1:$Q$852,6,FALSE)</f>
        <v>0</v>
      </c>
      <c r="AH183" s="31">
        <f>VLOOKUP($A183,kurspris!$A$1:$Q$852,7,FALSE)</f>
        <v>0</v>
      </c>
      <c r="AI183" s="31">
        <f>VLOOKUP($A183,kurspris!$A$1:$Q$852,8,FALSE)</f>
        <v>0.5</v>
      </c>
      <c r="AJ183" s="31">
        <f>VLOOKUP($A183,kurspris!$A$1:$Q$852,9,FALSE)</f>
        <v>0</v>
      </c>
      <c r="AK183" s="31">
        <f>VLOOKUP($A183,kurspris!$A$1:$Q$852,10,FALSE)</f>
        <v>0.5</v>
      </c>
      <c r="AL183" s="31">
        <f>VLOOKUP($A183,kurspris!$A$1:$Q$852,11,FALSE)</f>
        <v>0</v>
      </c>
      <c r="AM183" s="31">
        <f>VLOOKUP($A183,kurspris!$A$1:$Q$852,12,FALSE)</f>
        <v>0</v>
      </c>
      <c r="AN183" s="31">
        <f>VLOOKUP($A183,kurspris!$A$1:$Q$852,13,FALSE)</f>
        <v>0</v>
      </c>
      <c r="AO183" s="31">
        <f>VLOOKUP($A183,kurspris!$A$1:$Q$852,14,FALSE)</f>
        <v>0</v>
      </c>
      <c r="AP183" s="59" t="s">
        <v>2216</v>
      </c>
      <c r="AR183" s="31">
        <f t="shared" si="58"/>
        <v>0</v>
      </c>
      <c r="AS183" s="237">
        <f t="shared" si="59"/>
        <v>0</v>
      </c>
      <c r="AT183" s="31">
        <f t="shared" si="60"/>
        <v>0</v>
      </c>
      <c r="AU183" s="237">
        <f t="shared" si="61"/>
        <v>0</v>
      </c>
      <c r="AV183" s="31">
        <f t="shared" si="62"/>
        <v>0</v>
      </c>
      <c r="AW183" s="31">
        <f t="shared" si="63"/>
        <v>0</v>
      </c>
      <c r="AX183" s="31">
        <f t="shared" si="64"/>
        <v>0</v>
      </c>
      <c r="AY183" s="237">
        <f t="shared" si="65"/>
        <v>0</v>
      </c>
      <c r="AZ183" s="214">
        <f t="shared" si="66"/>
        <v>0</v>
      </c>
      <c r="BA183" s="237">
        <f t="shared" si="67"/>
        <v>0</v>
      </c>
      <c r="BB183" s="31">
        <f t="shared" si="68"/>
        <v>1</v>
      </c>
      <c r="BC183" s="237">
        <f t="shared" si="69"/>
        <v>0.85</v>
      </c>
      <c r="BD183" s="31">
        <f t="shared" si="70"/>
        <v>0</v>
      </c>
      <c r="BE183" s="237">
        <f t="shared" si="71"/>
        <v>0</v>
      </c>
      <c r="BF183" s="31">
        <f t="shared" si="72"/>
        <v>1</v>
      </c>
      <c r="BG183" s="237">
        <f t="shared" si="73"/>
        <v>0.85</v>
      </c>
      <c r="BH183" s="31">
        <f t="shared" si="74"/>
        <v>0</v>
      </c>
      <c r="BI183" s="237">
        <f t="shared" si="75"/>
        <v>0</v>
      </c>
      <c r="BJ183" s="31">
        <f t="shared" si="76"/>
        <v>0</v>
      </c>
      <c r="BK183" s="31">
        <f t="shared" si="77"/>
        <v>0</v>
      </c>
      <c r="BL183" s="237">
        <f t="shared" si="78"/>
        <v>0</v>
      </c>
      <c r="BM183" s="31">
        <f t="shared" si="79"/>
        <v>0</v>
      </c>
      <c r="BN183" s="237">
        <f t="shared" si="80"/>
        <v>0</v>
      </c>
    </row>
    <row r="184" spans="1:66" x14ac:dyDescent="0.25">
      <c r="A184" s="31" t="s">
        <v>1958</v>
      </c>
      <c r="B184" s="182" t="str">
        <f>VLOOKUP(A184,kurspris!$A$1:$B$894,2,FALSE)</f>
        <v>Problemlösning och matematiska resonemang</v>
      </c>
      <c r="C184" s="37"/>
      <c r="D184" s="31" t="s">
        <v>117</v>
      </c>
      <c r="F184" s="59">
        <v>2019</v>
      </c>
      <c r="Q184" s="237">
        <v>0.5</v>
      </c>
      <c r="R184" s="40">
        <v>0.8</v>
      </c>
      <c r="S184" s="313">
        <f t="shared" si="54"/>
        <v>0.4</v>
      </c>
      <c r="T184" s="31">
        <f>VLOOKUP(A184,'Ansvar kurs'!$A$1:$C$1027,2,FALSE)</f>
        <v>5730</v>
      </c>
      <c r="U184" s="31" t="str">
        <f>VLOOKUP(T184,Orgenheter!$A$1:$C$165,2,FALSE)</f>
        <v>Inst för MA och MA statistik</v>
      </c>
      <c r="V184" s="31" t="str">
        <f>VLOOKUP(T184,Orgenheter!$A$1:$C$165,3,FALSE)</f>
        <v>TekNat</v>
      </c>
      <c r="W184" s="37" t="str">
        <f>VLOOKUP(D184,Program!$A$1:$B$34,2,FALSE)</f>
        <v>Fristående och övriga kurser</v>
      </c>
      <c r="X184" s="42">
        <f>VLOOKUP(A184,kurspris!$A$1:$Q$815,15,FALSE)</f>
        <v>19473</v>
      </c>
      <c r="Y184" s="42">
        <f>VLOOKUP(A184,kurspris!$A$1:$Q$815,16,FALSE)</f>
        <v>34806</v>
      </c>
      <c r="Z184" s="42">
        <f t="shared" si="55"/>
        <v>23658.9</v>
      </c>
      <c r="AA184" s="42">
        <f>VLOOKUP(A184,kurspris!$A$1:$Q$815,17,FALSE)</f>
        <v>21800</v>
      </c>
      <c r="AB184" s="42">
        <f t="shared" si="56"/>
        <v>10900</v>
      </c>
      <c r="AC184" s="42">
        <f t="shared" si="57"/>
        <v>34558.9</v>
      </c>
      <c r="AD184" s="31">
        <f>VLOOKUP($A184,kurspris!$A$1:$Q$852,3,FALSE)</f>
        <v>0</v>
      </c>
      <c r="AE184" s="31">
        <f>VLOOKUP($A184,kurspris!$A$1:$Q$852,4,FALSE)</f>
        <v>0</v>
      </c>
      <c r="AF184" s="31">
        <f>VLOOKUP($A184,kurspris!$A$1:$Q$852,5,FALSE)</f>
        <v>0</v>
      </c>
      <c r="AG184" s="31">
        <f>VLOOKUP($A184,kurspris!$A$1:$Q$852,6,FALSE)</f>
        <v>0</v>
      </c>
      <c r="AH184" s="31">
        <f>VLOOKUP($A184,kurspris!$A$1:$Q$852,7,FALSE)</f>
        <v>0</v>
      </c>
      <c r="AI184" s="31">
        <f>VLOOKUP($A184,kurspris!$A$1:$Q$852,8,FALSE)</f>
        <v>0.5</v>
      </c>
      <c r="AJ184" s="31">
        <f>VLOOKUP($A184,kurspris!$A$1:$Q$852,9,FALSE)</f>
        <v>0</v>
      </c>
      <c r="AK184" s="31">
        <f>VLOOKUP($A184,kurspris!$A$1:$Q$852,10,FALSE)</f>
        <v>0.5</v>
      </c>
      <c r="AL184" s="31">
        <f>VLOOKUP($A184,kurspris!$A$1:$Q$852,11,FALSE)</f>
        <v>0</v>
      </c>
      <c r="AM184" s="31">
        <f>VLOOKUP($A184,kurspris!$A$1:$Q$852,12,FALSE)</f>
        <v>0</v>
      </c>
      <c r="AN184" s="31">
        <f>VLOOKUP($A184,kurspris!$A$1:$Q$852,13,FALSE)</f>
        <v>0</v>
      </c>
      <c r="AO184" s="31">
        <f>VLOOKUP($A184,kurspris!$A$1:$Q$852,14,FALSE)</f>
        <v>0</v>
      </c>
      <c r="AP184" s="59" t="s">
        <v>2216</v>
      </c>
      <c r="AQ184" s="59"/>
      <c r="AR184" s="31">
        <f t="shared" si="58"/>
        <v>0</v>
      </c>
      <c r="AS184" s="237">
        <f t="shared" si="59"/>
        <v>0</v>
      </c>
      <c r="AT184" s="31">
        <f t="shared" si="60"/>
        <v>0</v>
      </c>
      <c r="AU184" s="237">
        <f t="shared" si="61"/>
        <v>0</v>
      </c>
      <c r="AV184" s="31">
        <f t="shared" si="62"/>
        <v>0</v>
      </c>
      <c r="AW184" s="31">
        <f t="shared" si="63"/>
        <v>0</v>
      </c>
      <c r="AX184" s="31">
        <f t="shared" si="64"/>
        <v>0</v>
      </c>
      <c r="AY184" s="237">
        <f t="shared" si="65"/>
        <v>0</v>
      </c>
      <c r="AZ184" s="214">
        <f t="shared" si="66"/>
        <v>0</v>
      </c>
      <c r="BA184" s="237">
        <f t="shared" si="67"/>
        <v>0</v>
      </c>
      <c r="BB184" s="31">
        <f t="shared" si="68"/>
        <v>0.25</v>
      </c>
      <c r="BC184" s="237">
        <f t="shared" si="69"/>
        <v>0.2</v>
      </c>
      <c r="BD184" s="31">
        <f t="shared" si="70"/>
        <v>0</v>
      </c>
      <c r="BE184" s="237">
        <f t="shared" si="71"/>
        <v>0</v>
      </c>
      <c r="BF184" s="31">
        <f t="shared" si="72"/>
        <v>0.25</v>
      </c>
      <c r="BG184" s="237">
        <f t="shared" si="73"/>
        <v>0.2</v>
      </c>
      <c r="BH184" s="31">
        <f t="shared" si="74"/>
        <v>0</v>
      </c>
      <c r="BI184" s="237">
        <f t="shared" si="75"/>
        <v>0</v>
      </c>
      <c r="BJ184" s="31">
        <f t="shared" si="76"/>
        <v>0</v>
      </c>
      <c r="BK184" s="31">
        <f t="shared" si="77"/>
        <v>0</v>
      </c>
      <c r="BL184" s="237">
        <f t="shared" si="78"/>
        <v>0</v>
      </c>
      <c r="BM184" s="31">
        <f t="shared" si="79"/>
        <v>0</v>
      </c>
      <c r="BN184" s="237">
        <f t="shared" si="80"/>
        <v>0</v>
      </c>
    </row>
    <row r="185" spans="1:66" x14ac:dyDescent="0.25">
      <c r="A185" s="159" t="s">
        <v>1959</v>
      </c>
      <c r="B185" s="182" t="str">
        <f>VLOOKUP(A185,kurspris!$A$1:$B$894,2,FALSE)</f>
        <v>Differentialekvationer och flervariabelanalys</v>
      </c>
      <c r="C185" s="37"/>
      <c r="D185" s="31" t="s">
        <v>483</v>
      </c>
      <c r="F185" s="59">
        <v>2019</v>
      </c>
      <c r="Q185" s="237">
        <v>1.875</v>
      </c>
      <c r="R185" s="40">
        <v>0.85</v>
      </c>
      <c r="S185" s="313">
        <f t="shared" si="54"/>
        <v>1.59375</v>
      </c>
      <c r="T185" s="31">
        <f>VLOOKUP(A185,'Ansvar kurs'!$A$1:$C$1027,2,FALSE)</f>
        <v>5730</v>
      </c>
      <c r="U185" s="31" t="str">
        <f>VLOOKUP(T185,Orgenheter!$A$1:$C$165,2,FALSE)</f>
        <v>Inst för MA och MA statistik</v>
      </c>
      <c r="V185" s="31" t="str">
        <f>VLOOKUP(T185,Orgenheter!$A$1:$C$165,3,FALSE)</f>
        <v>TekNat</v>
      </c>
      <c r="W185" s="37" t="str">
        <f>VLOOKUP(D185,Program!$A$1:$B$34,2,FALSE)</f>
        <v>Ämneslärarprogrammet - Gy</v>
      </c>
      <c r="X185" s="42">
        <f>VLOOKUP(A185,kurspris!$A$1:$Q$815,15,FALSE)</f>
        <v>19473</v>
      </c>
      <c r="Y185" s="42">
        <f>VLOOKUP(A185,kurspris!$A$1:$Q$815,16,FALSE)</f>
        <v>34806</v>
      </c>
      <c r="Z185" s="42">
        <f t="shared" si="55"/>
        <v>91983.9375</v>
      </c>
      <c r="AA185" s="42">
        <f>VLOOKUP(A185,kurspris!$A$1:$Q$815,17,FALSE)</f>
        <v>21800</v>
      </c>
      <c r="AB185" s="42">
        <f t="shared" si="56"/>
        <v>40875</v>
      </c>
      <c r="AC185" s="42">
        <f t="shared" si="57"/>
        <v>132858.9375</v>
      </c>
      <c r="AD185" s="31">
        <f>VLOOKUP($A185,kurspris!$A$1:$Q$852,3,FALSE)</f>
        <v>0</v>
      </c>
      <c r="AE185" s="31">
        <f>VLOOKUP($A185,kurspris!$A$1:$Q$852,4,FALSE)</f>
        <v>0</v>
      </c>
      <c r="AF185" s="31">
        <f>VLOOKUP($A185,kurspris!$A$1:$Q$852,5,FALSE)</f>
        <v>0</v>
      </c>
      <c r="AG185" s="31">
        <f>VLOOKUP($A185,kurspris!$A$1:$Q$852,6,FALSE)</f>
        <v>0</v>
      </c>
      <c r="AH185" s="31">
        <f>VLOOKUP($A185,kurspris!$A$1:$Q$852,7,FALSE)</f>
        <v>0</v>
      </c>
      <c r="AI185" s="31">
        <f>VLOOKUP($A185,kurspris!$A$1:$Q$852,8,FALSE)</f>
        <v>0.5</v>
      </c>
      <c r="AJ185" s="31">
        <f>VLOOKUP($A185,kurspris!$A$1:$Q$852,9,FALSE)</f>
        <v>0</v>
      </c>
      <c r="AK185" s="31">
        <f>VLOOKUP($A185,kurspris!$A$1:$Q$852,10,FALSE)</f>
        <v>0.5</v>
      </c>
      <c r="AL185" s="31">
        <f>VLOOKUP($A185,kurspris!$A$1:$Q$852,11,FALSE)</f>
        <v>0</v>
      </c>
      <c r="AM185" s="31">
        <f>VLOOKUP($A185,kurspris!$A$1:$Q$852,12,FALSE)</f>
        <v>0</v>
      </c>
      <c r="AN185" s="31">
        <f>VLOOKUP($A185,kurspris!$A$1:$Q$852,13,FALSE)</f>
        <v>0</v>
      </c>
      <c r="AO185" s="31">
        <f>VLOOKUP($A185,kurspris!$A$1:$Q$852,14,FALSE)</f>
        <v>0</v>
      </c>
      <c r="AP185" s="59" t="s">
        <v>2216</v>
      </c>
      <c r="AR185" s="31">
        <f t="shared" si="58"/>
        <v>0</v>
      </c>
      <c r="AS185" s="237">
        <f t="shared" si="59"/>
        <v>0</v>
      </c>
      <c r="AT185" s="31">
        <f t="shared" si="60"/>
        <v>0</v>
      </c>
      <c r="AU185" s="237">
        <f t="shared" si="61"/>
        <v>0</v>
      </c>
      <c r="AV185" s="31">
        <f t="shared" si="62"/>
        <v>0</v>
      </c>
      <c r="AW185" s="31">
        <f t="shared" si="63"/>
        <v>0</v>
      </c>
      <c r="AX185" s="31">
        <f t="shared" si="64"/>
        <v>0</v>
      </c>
      <c r="AY185" s="237">
        <f t="shared" si="65"/>
        <v>0</v>
      </c>
      <c r="AZ185" s="214">
        <f t="shared" si="66"/>
        <v>0</v>
      </c>
      <c r="BA185" s="237">
        <f t="shared" si="67"/>
        <v>0</v>
      </c>
      <c r="BB185" s="31">
        <f t="shared" si="68"/>
        <v>0.9375</v>
      </c>
      <c r="BC185" s="237">
        <f t="shared" si="69"/>
        <v>0.796875</v>
      </c>
      <c r="BD185" s="31">
        <f t="shared" si="70"/>
        <v>0</v>
      </c>
      <c r="BE185" s="237">
        <f t="shared" si="71"/>
        <v>0</v>
      </c>
      <c r="BF185" s="31">
        <f t="shared" si="72"/>
        <v>0.9375</v>
      </c>
      <c r="BG185" s="237">
        <f t="shared" si="73"/>
        <v>0.796875</v>
      </c>
      <c r="BH185" s="31">
        <f t="shared" si="74"/>
        <v>0</v>
      </c>
      <c r="BI185" s="237">
        <f t="shared" si="75"/>
        <v>0</v>
      </c>
      <c r="BJ185" s="31">
        <f t="shared" si="76"/>
        <v>0</v>
      </c>
      <c r="BK185" s="31">
        <f t="shared" si="77"/>
        <v>0</v>
      </c>
      <c r="BL185" s="237">
        <f t="shared" si="78"/>
        <v>0</v>
      </c>
      <c r="BM185" s="31">
        <f t="shared" si="79"/>
        <v>0</v>
      </c>
      <c r="BN185" s="237">
        <f t="shared" si="80"/>
        <v>0</v>
      </c>
    </row>
    <row r="186" spans="1:66" x14ac:dyDescent="0.25">
      <c r="A186" s="159" t="s">
        <v>1959</v>
      </c>
      <c r="B186" s="182" t="str">
        <f>VLOOKUP(A186,kurspris!$A$1:$B$894,2,FALSE)</f>
        <v>Differentialekvationer och flervariabelanalys</v>
      </c>
      <c r="C186" s="37"/>
      <c r="D186" s="31" t="s">
        <v>117</v>
      </c>
      <c r="F186" s="59">
        <v>2019</v>
      </c>
      <c r="Q186" s="237">
        <v>0.625</v>
      </c>
      <c r="R186" s="40">
        <v>0.8</v>
      </c>
      <c r="S186" s="313">
        <f t="shared" si="54"/>
        <v>0.5</v>
      </c>
      <c r="T186" s="31">
        <f>VLOOKUP(A186,'Ansvar kurs'!$A$1:$C$1027,2,FALSE)</f>
        <v>5730</v>
      </c>
      <c r="U186" s="31" t="str">
        <f>VLOOKUP(T186,Orgenheter!$A$1:$C$165,2,FALSE)</f>
        <v>Inst för MA och MA statistik</v>
      </c>
      <c r="V186" s="31" t="str">
        <f>VLOOKUP(T186,Orgenheter!$A$1:$C$165,3,FALSE)</f>
        <v>TekNat</v>
      </c>
      <c r="W186" s="37" t="str">
        <f>VLOOKUP(D186,Program!$A$1:$B$34,2,FALSE)</f>
        <v>Fristående och övriga kurser</v>
      </c>
      <c r="X186" s="42">
        <f>VLOOKUP(A186,kurspris!$A$1:$Q$815,15,FALSE)</f>
        <v>19473</v>
      </c>
      <c r="Y186" s="42">
        <f>VLOOKUP(A186,kurspris!$A$1:$Q$815,16,FALSE)</f>
        <v>34806</v>
      </c>
      <c r="Z186" s="42">
        <f t="shared" si="55"/>
        <v>29573.625</v>
      </c>
      <c r="AA186" s="42">
        <f>VLOOKUP(A186,kurspris!$A$1:$Q$815,17,FALSE)</f>
        <v>21800</v>
      </c>
      <c r="AB186" s="42">
        <f t="shared" si="56"/>
        <v>13625</v>
      </c>
      <c r="AC186" s="42">
        <f t="shared" si="57"/>
        <v>43198.625</v>
      </c>
      <c r="AD186" s="31">
        <f>VLOOKUP($A186,kurspris!$A$1:$Q$852,3,FALSE)</f>
        <v>0</v>
      </c>
      <c r="AE186" s="31">
        <f>VLOOKUP($A186,kurspris!$A$1:$Q$852,4,FALSE)</f>
        <v>0</v>
      </c>
      <c r="AF186" s="31">
        <f>VLOOKUP($A186,kurspris!$A$1:$Q$852,5,FALSE)</f>
        <v>0</v>
      </c>
      <c r="AG186" s="31">
        <f>VLOOKUP($A186,kurspris!$A$1:$Q$852,6,FALSE)</f>
        <v>0</v>
      </c>
      <c r="AH186" s="31">
        <f>VLOOKUP($A186,kurspris!$A$1:$Q$852,7,FALSE)</f>
        <v>0</v>
      </c>
      <c r="AI186" s="31">
        <f>VLOOKUP($A186,kurspris!$A$1:$Q$852,8,FALSE)</f>
        <v>0.5</v>
      </c>
      <c r="AJ186" s="31">
        <f>VLOOKUP($A186,kurspris!$A$1:$Q$852,9,FALSE)</f>
        <v>0</v>
      </c>
      <c r="AK186" s="31">
        <f>VLOOKUP($A186,kurspris!$A$1:$Q$852,10,FALSE)</f>
        <v>0.5</v>
      </c>
      <c r="AL186" s="31">
        <f>VLOOKUP($A186,kurspris!$A$1:$Q$852,11,FALSE)</f>
        <v>0</v>
      </c>
      <c r="AM186" s="31">
        <f>VLOOKUP($A186,kurspris!$A$1:$Q$852,12,FALSE)</f>
        <v>0</v>
      </c>
      <c r="AN186" s="31">
        <f>VLOOKUP($A186,kurspris!$A$1:$Q$852,13,FALSE)</f>
        <v>0</v>
      </c>
      <c r="AO186" s="31">
        <f>VLOOKUP($A186,kurspris!$A$1:$Q$852,14,FALSE)</f>
        <v>0</v>
      </c>
      <c r="AP186" s="59" t="s">
        <v>2216</v>
      </c>
      <c r="AR186" s="31">
        <f t="shared" si="58"/>
        <v>0</v>
      </c>
      <c r="AS186" s="237">
        <f t="shared" si="59"/>
        <v>0</v>
      </c>
      <c r="AT186" s="31">
        <f t="shared" si="60"/>
        <v>0</v>
      </c>
      <c r="AU186" s="237">
        <f t="shared" si="61"/>
        <v>0</v>
      </c>
      <c r="AV186" s="31">
        <f t="shared" si="62"/>
        <v>0</v>
      </c>
      <c r="AW186" s="31">
        <f t="shared" si="63"/>
        <v>0</v>
      </c>
      <c r="AX186" s="31">
        <f t="shared" si="64"/>
        <v>0</v>
      </c>
      <c r="AY186" s="237">
        <f t="shared" si="65"/>
        <v>0</v>
      </c>
      <c r="AZ186" s="214">
        <f t="shared" si="66"/>
        <v>0</v>
      </c>
      <c r="BA186" s="237">
        <f t="shared" si="67"/>
        <v>0</v>
      </c>
      <c r="BB186" s="31">
        <f t="shared" si="68"/>
        <v>0.3125</v>
      </c>
      <c r="BC186" s="237">
        <f t="shared" si="69"/>
        <v>0.25</v>
      </c>
      <c r="BD186" s="31">
        <f t="shared" si="70"/>
        <v>0</v>
      </c>
      <c r="BE186" s="237">
        <f t="shared" si="71"/>
        <v>0</v>
      </c>
      <c r="BF186" s="31">
        <f t="shared" si="72"/>
        <v>0.3125</v>
      </c>
      <c r="BG186" s="237">
        <f t="shared" si="73"/>
        <v>0.25</v>
      </c>
      <c r="BH186" s="31">
        <f t="shared" si="74"/>
        <v>0</v>
      </c>
      <c r="BI186" s="237">
        <f t="shared" si="75"/>
        <v>0</v>
      </c>
      <c r="BJ186" s="31">
        <f t="shared" si="76"/>
        <v>0</v>
      </c>
      <c r="BK186" s="31">
        <f t="shared" si="77"/>
        <v>0</v>
      </c>
      <c r="BL186" s="237">
        <f t="shared" si="78"/>
        <v>0</v>
      </c>
      <c r="BM186" s="31">
        <f t="shared" si="79"/>
        <v>0</v>
      </c>
      <c r="BN186" s="237">
        <f t="shared" si="80"/>
        <v>0</v>
      </c>
    </row>
    <row r="187" spans="1:66" x14ac:dyDescent="0.25">
      <c r="A187" s="159" t="s">
        <v>1941</v>
      </c>
      <c r="B187" s="182" t="str">
        <f>VLOOKUP(A187,kurspris!$A$1:$B$894,2,FALSE)</f>
        <v>Envariabelanalys 2</v>
      </c>
      <c r="C187" s="37"/>
      <c r="D187" s="31" t="s">
        <v>483</v>
      </c>
      <c r="F187" s="59">
        <v>2019</v>
      </c>
      <c r="Q187" s="237">
        <v>1.125</v>
      </c>
      <c r="R187" s="40">
        <v>0.85</v>
      </c>
      <c r="S187" s="313">
        <f t="shared" si="54"/>
        <v>0.95624999999999993</v>
      </c>
      <c r="T187" s="31">
        <f>VLOOKUP(A187,'Ansvar kurs'!$A$1:$C$1027,2,FALSE)</f>
        <v>5730</v>
      </c>
      <c r="U187" s="31" t="str">
        <f>VLOOKUP(T187,Orgenheter!$A$1:$C$165,2,FALSE)</f>
        <v>Inst för MA och MA statistik</v>
      </c>
      <c r="V187" s="31" t="str">
        <f>VLOOKUP(T187,Orgenheter!$A$1:$C$165,3,FALSE)</f>
        <v>TekNat</v>
      </c>
      <c r="W187" s="37" t="str">
        <f>VLOOKUP(D187,Program!$A$1:$B$34,2,FALSE)</f>
        <v>Ämneslärarprogrammet - Gy</v>
      </c>
      <c r="X187" s="42">
        <f>VLOOKUP(A187,kurspris!$A$1:$Q$815,15,FALSE)</f>
        <v>19473</v>
      </c>
      <c r="Y187" s="42">
        <f>VLOOKUP(A187,kurspris!$A$1:$Q$815,16,FALSE)</f>
        <v>34806</v>
      </c>
      <c r="Z187" s="42">
        <f t="shared" si="55"/>
        <v>55190.362499999996</v>
      </c>
      <c r="AA187" s="42">
        <f>VLOOKUP(A187,kurspris!$A$1:$Q$815,17,FALSE)</f>
        <v>21800</v>
      </c>
      <c r="AB187" s="42">
        <f t="shared" si="56"/>
        <v>24525</v>
      </c>
      <c r="AC187" s="42">
        <f t="shared" si="57"/>
        <v>79715.362499999988</v>
      </c>
      <c r="AD187" s="31">
        <f>VLOOKUP($A187,kurspris!$A$1:$Q$852,3,FALSE)</f>
        <v>0</v>
      </c>
      <c r="AE187" s="31">
        <f>VLOOKUP($A187,kurspris!$A$1:$Q$852,4,FALSE)</f>
        <v>0</v>
      </c>
      <c r="AF187" s="31">
        <f>VLOOKUP($A187,kurspris!$A$1:$Q$852,5,FALSE)</f>
        <v>0</v>
      </c>
      <c r="AG187" s="31">
        <f>VLOOKUP($A187,kurspris!$A$1:$Q$852,6,FALSE)</f>
        <v>0</v>
      </c>
      <c r="AH187" s="31">
        <f>VLOOKUP($A187,kurspris!$A$1:$Q$852,7,FALSE)</f>
        <v>0</v>
      </c>
      <c r="AI187" s="31">
        <f>VLOOKUP($A187,kurspris!$A$1:$Q$852,8,FALSE)</f>
        <v>0.5</v>
      </c>
      <c r="AJ187" s="31">
        <f>VLOOKUP($A187,kurspris!$A$1:$Q$852,9,FALSE)</f>
        <v>0</v>
      </c>
      <c r="AK187" s="31">
        <f>VLOOKUP($A187,kurspris!$A$1:$Q$852,10,FALSE)</f>
        <v>0.5</v>
      </c>
      <c r="AL187" s="31">
        <f>VLOOKUP($A187,kurspris!$A$1:$Q$852,11,FALSE)</f>
        <v>0</v>
      </c>
      <c r="AM187" s="31">
        <f>VLOOKUP($A187,kurspris!$A$1:$Q$852,12,FALSE)</f>
        <v>0</v>
      </c>
      <c r="AN187" s="31">
        <f>VLOOKUP($A187,kurspris!$A$1:$Q$852,13,FALSE)</f>
        <v>0</v>
      </c>
      <c r="AO187" s="31">
        <f>VLOOKUP($A187,kurspris!$A$1:$Q$852,14,FALSE)</f>
        <v>0</v>
      </c>
      <c r="AP187" s="59" t="s">
        <v>2216</v>
      </c>
      <c r="AR187" s="31">
        <f t="shared" si="58"/>
        <v>0</v>
      </c>
      <c r="AS187" s="237">
        <f t="shared" si="59"/>
        <v>0</v>
      </c>
      <c r="AT187" s="31">
        <f t="shared" si="60"/>
        <v>0</v>
      </c>
      <c r="AU187" s="237">
        <f t="shared" si="61"/>
        <v>0</v>
      </c>
      <c r="AV187" s="31">
        <f t="shared" si="62"/>
        <v>0</v>
      </c>
      <c r="AW187" s="31">
        <f t="shared" si="63"/>
        <v>0</v>
      </c>
      <c r="AX187" s="31">
        <f t="shared" si="64"/>
        <v>0</v>
      </c>
      <c r="AY187" s="237">
        <f t="shared" si="65"/>
        <v>0</v>
      </c>
      <c r="AZ187" s="214">
        <f t="shared" si="66"/>
        <v>0</v>
      </c>
      <c r="BA187" s="237">
        <f t="shared" si="67"/>
        <v>0</v>
      </c>
      <c r="BB187" s="31">
        <f t="shared" si="68"/>
        <v>0.5625</v>
      </c>
      <c r="BC187" s="237">
        <f t="shared" si="69"/>
        <v>0.47812499999999997</v>
      </c>
      <c r="BD187" s="31">
        <f t="shared" si="70"/>
        <v>0</v>
      </c>
      <c r="BE187" s="237">
        <f t="shared" si="71"/>
        <v>0</v>
      </c>
      <c r="BF187" s="31">
        <f t="shared" si="72"/>
        <v>0.5625</v>
      </c>
      <c r="BG187" s="237">
        <f t="shared" si="73"/>
        <v>0.47812499999999997</v>
      </c>
      <c r="BH187" s="31">
        <f t="shared" si="74"/>
        <v>0</v>
      </c>
      <c r="BI187" s="237">
        <f t="shared" si="75"/>
        <v>0</v>
      </c>
      <c r="BJ187" s="31">
        <f t="shared" si="76"/>
        <v>0</v>
      </c>
      <c r="BK187" s="31">
        <f t="shared" si="77"/>
        <v>0</v>
      </c>
      <c r="BL187" s="237">
        <f t="shared" si="78"/>
        <v>0</v>
      </c>
      <c r="BM187" s="31">
        <f t="shared" si="79"/>
        <v>0</v>
      </c>
      <c r="BN187" s="237">
        <f t="shared" si="80"/>
        <v>0</v>
      </c>
    </row>
    <row r="188" spans="1:66" x14ac:dyDescent="0.25">
      <c r="A188" s="159" t="s">
        <v>1941</v>
      </c>
      <c r="B188" s="182" t="str">
        <f>VLOOKUP(A188,kurspris!$A$1:$B$894,2,FALSE)</f>
        <v>Envariabelanalys 2</v>
      </c>
      <c r="C188" s="37"/>
      <c r="D188" s="31" t="s">
        <v>117</v>
      </c>
      <c r="F188" s="59">
        <v>2019</v>
      </c>
      <c r="Q188" s="237">
        <v>0.5</v>
      </c>
      <c r="R188" s="40">
        <v>0.8</v>
      </c>
      <c r="S188" s="313">
        <f t="shared" si="54"/>
        <v>0.4</v>
      </c>
      <c r="T188" s="31">
        <f>VLOOKUP(A188,'Ansvar kurs'!$A$1:$C$1027,2,FALSE)</f>
        <v>5730</v>
      </c>
      <c r="U188" s="31" t="str">
        <f>VLOOKUP(T188,Orgenheter!$A$1:$C$165,2,FALSE)</f>
        <v>Inst för MA och MA statistik</v>
      </c>
      <c r="V188" s="31" t="str">
        <f>VLOOKUP(T188,Orgenheter!$A$1:$C$165,3,FALSE)</f>
        <v>TekNat</v>
      </c>
      <c r="W188" s="37" t="str">
        <f>VLOOKUP(D188,Program!$A$1:$B$34,2,FALSE)</f>
        <v>Fristående och övriga kurser</v>
      </c>
      <c r="X188" s="42">
        <f>VLOOKUP(A188,kurspris!$A$1:$Q$815,15,FALSE)</f>
        <v>19473</v>
      </c>
      <c r="Y188" s="42">
        <f>VLOOKUP(A188,kurspris!$A$1:$Q$815,16,FALSE)</f>
        <v>34806</v>
      </c>
      <c r="Z188" s="42">
        <f t="shared" si="55"/>
        <v>23658.9</v>
      </c>
      <c r="AA188" s="42">
        <f>VLOOKUP(A188,kurspris!$A$1:$Q$815,17,FALSE)</f>
        <v>21800</v>
      </c>
      <c r="AB188" s="42">
        <f t="shared" si="56"/>
        <v>10900</v>
      </c>
      <c r="AC188" s="42">
        <f t="shared" si="57"/>
        <v>34558.9</v>
      </c>
      <c r="AD188" s="31">
        <f>VLOOKUP($A188,kurspris!$A$1:$Q$852,3,FALSE)</f>
        <v>0</v>
      </c>
      <c r="AE188" s="31">
        <f>VLOOKUP($A188,kurspris!$A$1:$Q$852,4,FALSE)</f>
        <v>0</v>
      </c>
      <c r="AF188" s="31">
        <f>VLOOKUP($A188,kurspris!$A$1:$Q$852,5,FALSE)</f>
        <v>0</v>
      </c>
      <c r="AG188" s="31">
        <f>VLOOKUP($A188,kurspris!$A$1:$Q$852,6,FALSE)</f>
        <v>0</v>
      </c>
      <c r="AH188" s="31">
        <f>VLOOKUP($A188,kurspris!$A$1:$Q$852,7,FALSE)</f>
        <v>0</v>
      </c>
      <c r="AI188" s="31">
        <f>VLOOKUP($A188,kurspris!$A$1:$Q$852,8,FALSE)</f>
        <v>0.5</v>
      </c>
      <c r="AJ188" s="31">
        <f>VLOOKUP($A188,kurspris!$A$1:$Q$852,9,FALSE)</f>
        <v>0</v>
      </c>
      <c r="AK188" s="31">
        <f>VLOOKUP($A188,kurspris!$A$1:$Q$852,10,FALSE)</f>
        <v>0.5</v>
      </c>
      <c r="AL188" s="31">
        <f>VLOOKUP($A188,kurspris!$A$1:$Q$852,11,FALSE)</f>
        <v>0</v>
      </c>
      <c r="AM188" s="31">
        <f>VLOOKUP($A188,kurspris!$A$1:$Q$852,12,FALSE)</f>
        <v>0</v>
      </c>
      <c r="AN188" s="31">
        <f>VLOOKUP($A188,kurspris!$A$1:$Q$852,13,FALSE)</f>
        <v>0</v>
      </c>
      <c r="AO188" s="31">
        <f>VLOOKUP($A188,kurspris!$A$1:$Q$852,14,FALSE)</f>
        <v>0</v>
      </c>
      <c r="AP188" s="59" t="s">
        <v>2216</v>
      </c>
      <c r="AR188" s="31">
        <f t="shared" si="58"/>
        <v>0</v>
      </c>
      <c r="AS188" s="237">
        <f t="shared" si="59"/>
        <v>0</v>
      </c>
      <c r="AT188" s="31">
        <f t="shared" si="60"/>
        <v>0</v>
      </c>
      <c r="AU188" s="237">
        <f t="shared" si="61"/>
        <v>0</v>
      </c>
      <c r="AV188" s="31">
        <f t="shared" si="62"/>
        <v>0</v>
      </c>
      <c r="AW188" s="31">
        <f t="shared" si="63"/>
        <v>0</v>
      </c>
      <c r="AX188" s="31">
        <f t="shared" si="64"/>
        <v>0</v>
      </c>
      <c r="AY188" s="237">
        <f t="shared" si="65"/>
        <v>0</v>
      </c>
      <c r="AZ188" s="214">
        <f t="shared" si="66"/>
        <v>0</v>
      </c>
      <c r="BA188" s="237">
        <f t="shared" si="67"/>
        <v>0</v>
      </c>
      <c r="BB188" s="31">
        <f t="shared" si="68"/>
        <v>0.25</v>
      </c>
      <c r="BC188" s="237">
        <f t="shared" si="69"/>
        <v>0.2</v>
      </c>
      <c r="BD188" s="31">
        <f t="shared" si="70"/>
        <v>0</v>
      </c>
      <c r="BE188" s="237">
        <f t="shared" si="71"/>
        <v>0</v>
      </c>
      <c r="BF188" s="31">
        <f t="shared" si="72"/>
        <v>0.25</v>
      </c>
      <c r="BG188" s="237">
        <f t="shared" si="73"/>
        <v>0.2</v>
      </c>
      <c r="BH188" s="31">
        <f t="shared" si="74"/>
        <v>0</v>
      </c>
      <c r="BI188" s="237">
        <f t="shared" si="75"/>
        <v>0</v>
      </c>
      <c r="BJ188" s="31">
        <f t="shared" si="76"/>
        <v>0</v>
      </c>
      <c r="BK188" s="31">
        <f t="shared" si="77"/>
        <v>0</v>
      </c>
      <c r="BL188" s="237">
        <f t="shared" si="78"/>
        <v>0</v>
      </c>
      <c r="BM188" s="31">
        <f t="shared" si="79"/>
        <v>0</v>
      </c>
      <c r="BN188" s="237">
        <f t="shared" si="80"/>
        <v>0</v>
      </c>
    </row>
    <row r="189" spans="1:66" x14ac:dyDescent="0.25">
      <c r="A189" s="159" t="s">
        <v>1990</v>
      </c>
      <c r="B189" s="182" t="str">
        <f>VLOOKUP(A189,kurspris!$A$1:$B$894,2,FALSE)</f>
        <v>Flervariabelanalys</v>
      </c>
      <c r="C189" s="37"/>
      <c r="D189" s="31" t="s">
        <v>483</v>
      </c>
      <c r="F189" s="59">
        <v>2019</v>
      </c>
      <c r="Q189" s="237">
        <v>0.5</v>
      </c>
      <c r="R189" s="40">
        <v>0.85</v>
      </c>
      <c r="S189" s="313">
        <f t="shared" si="54"/>
        <v>0.42499999999999999</v>
      </c>
      <c r="T189" s="31">
        <f>VLOOKUP(A189,'Ansvar kurs'!$A$1:$C$1027,2,FALSE)</f>
        <v>5730</v>
      </c>
      <c r="U189" s="31" t="str">
        <f>VLOOKUP(T189,Orgenheter!$A$1:$C$165,2,FALSE)</f>
        <v>Inst för MA och MA statistik</v>
      </c>
      <c r="V189" s="31" t="str">
        <f>VLOOKUP(T189,Orgenheter!$A$1:$C$165,3,FALSE)</f>
        <v>TekNat</v>
      </c>
      <c r="W189" s="37" t="str">
        <f>VLOOKUP(D189,Program!$A$1:$B$34,2,FALSE)</f>
        <v>Ämneslärarprogrammet - Gy</v>
      </c>
      <c r="X189" s="42">
        <f>VLOOKUP(A189,kurspris!$A$1:$Q$815,15,FALSE)</f>
        <v>19473</v>
      </c>
      <c r="Y189" s="42">
        <f>VLOOKUP(A189,kurspris!$A$1:$Q$815,16,FALSE)</f>
        <v>34806</v>
      </c>
      <c r="Z189" s="42">
        <f t="shared" si="55"/>
        <v>24529.05</v>
      </c>
      <c r="AA189" s="42">
        <f>VLOOKUP(A189,kurspris!$A$1:$Q$815,17,FALSE)</f>
        <v>21800</v>
      </c>
      <c r="AB189" s="42">
        <f t="shared" si="56"/>
        <v>10900</v>
      </c>
      <c r="AC189" s="42">
        <f t="shared" si="57"/>
        <v>35429.050000000003</v>
      </c>
      <c r="AD189" s="31">
        <f>VLOOKUP($A189,kurspris!$A$1:$Q$852,3,FALSE)</f>
        <v>0</v>
      </c>
      <c r="AE189" s="31">
        <f>VLOOKUP($A189,kurspris!$A$1:$Q$852,4,FALSE)</f>
        <v>0</v>
      </c>
      <c r="AF189" s="31">
        <f>VLOOKUP($A189,kurspris!$A$1:$Q$852,5,FALSE)</f>
        <v>0</v>
      </c>
      <c r="AG189" s="31">
        <f>VLOOKUP($A189,kurspris!$A$1:$Q$852,6,FALSE)</f>
        <v>0</v>
      </c>
      <c r="AH189" s="31">
        <f>VLOOKUP($A189,kurspris!$A$1:$Q$852,7,FALSE)</f>
        <v>0</v>
      </c>
      <c r="AI189" s="31">
        <f>VLOOKUP($A189,kurspris!$A$1:$Q$852,8,FALSE)</f>
        <v>0.5</v>
      </c>
      <c r="AJ189" s="31">
        <f>VLOOKUP($A189,kurspris!$A$1:$Q$852,9,FALSE)</f>
        <v>0</v>
      </c>
      <c r="AK189" s="31">
        <f>VLOOKUP($A189,kurspris!$A$1:$Q$852,10,FALSE)</f>
        <v>0.5</v>
      </c>
      <c r="AL189" s="31">
        <f>VLOOKUP($A189,kurspris!$A$1:$Q$852,11,FALSE)</f>
        <v>0</v>
      </c>
      <c r="AM189" s="31">
        <f>VLOOKUP($A189,kurspris!$A$1:$Q$852,12,FALSE)</f>
        <v>0</v>
      </c>
      <c r="AN189" s="31">
        <f>VLOOKUP($A189,kurspris!$A$1:$Q$852,13,FALSE)</f>
        <v>0</v>
      </c>
      <c r="AO189" s="31">
        <f>VLOOKUP($A189,kurspris!$A$1:$Q$852,14,FALSE)</f>
        <v>0</v>
      </c>
      <c r="AP189" s="59" t="s">
        <v>2216</v>
      </c>
      <c r="AR189" s="31">
        <f t="shared" si="58"/>
        <v>0</v>
      </c>
      <c r="AS189" s="237">
        <f t="shared" si="59"/>
        <v>0</v>
      </c>
      <c r="AT189" s="31">
        <f t="shared" si="60"/>
        <v>0</v>
      </c>
      <c r="AU189" s="237">
        <f t="shared" si="61"/>
        <v>0</v>
      </c>
      <c r="AV189" s="31">
        <f t="shared" si="62"/>
        <v>0</v>
      </c>
      <c r="AW189" s="31">
        <f t="shared" si="63"/>
        <v>0</v>
      </c>
      <c r="AX189" s="31">
        <f t="shared" si="64"/>
        <v>0</v>
      </c>
      <c r="AY189" s="237">
        <f t="shared" si="65"/>
        <v>0</v>
      </c>
      <c r="AZ189" s="214">
        <f t="shared" si="66"/>
        <v>0</v>
      </c>
      <c r="BA189" s="237">
        <f t="shared" si="67"/>
        <v>0</v>
      </c>
      <c r="BB189" s="31">
        <f t="shared" si="68"/>
        <v>0.25</v>
      </c>
      <c r="BC189" s="237">
        <f t="shared" si="69"/>
        <v>0.21249999999999999</v>
      </c>
      <c r="BD189" s="31">
        <f t="shared" si="70"/>
        <v>0</v>
      </c>
      <c r="BE189" s="237">
        <f t="shared" si="71"/>
        <v>0</v>
      </c>
      <c r="BF189" s="31">
        <f t="shared" si="72"/>
        <v>0.25</v>
      </c>
      <c r="BG189" s="237">
        <f t="shared" si="73"/>
        <v>0.21249999999999999</v>
      </c>
      <c r="BH189" s="31">
        <f t="shared" si="74"/>
        <v>0</v>
      </c>
      <c r="BI189" s="237">
        <f t="shared" si="75"/>
        <v>0</v>
      </c>
      <c r="BJ189" s="31">
        <f t="shared" si="76"/>
        <v>0</v>
      </c>
      <c r="BK189" s="31">
        <f t="shared" si="77"/>
        <v>0</v>
      </c>
      <c r="BL189" s="237">
        <f t="shared" si="78"/>
        <v>0</v>
      </c>
      <c r="BM189" s="31">
        <f t="shared" si="79"/>
        <v>0</v>
      </c>
      <c r="BN189" s="237">
        <f t="shared" si="80"/>
        <v>0</v>
      </c>
    </row>
    <row r="190" spans="1:66" x14ac:dyDescent="0.25">
      <c r="A190" s="159" t="s">
        <v>1908</v>
      </c>
      <c r="B190" s="182" t="str">
        <f>VLOOKUP(A190,kurspris!$A$1:$B$894,2,FALSE)</f>
        <v>Matematikens historia</v>
      </c>
      <c r="C190" s="37"/>
      <c r="D190" s="31" t="s">
        <v>483</v>
      </c>
      <c r="F190" s="59">
        <v>2019</v>
      </c>
      <c r="Q190" s="237">
        <v>1.5</v>
      </c>
      <c r="R190" s="40">
        <v>0.85</v>
      </c>
      <c r="S190" s="313">
        <f t="shared" si="54"/>
        <v>1.2749999999999999</v>
      </c>
      <c r="T190" s="31">
        <f>VLOOKUP(A190,'Ansvar kurs'!$A$1:$C$1027,2,FALSE)</f>
        <v>5730</v>
      </c>
      <c r="U190" s="31" t="str">
        <f>VLOOKUP(T190,Orgenheter!$A$1:$C$165,2,FALSE)</f>
        <v>Inst för MA och MA statistik</v>
      </c>
      <c r="V190" s="31" t="str">
        <f>VLOOKUP(T190,Orgenheter!$A$1:$C$165,3,FALSE)</f>
        <v>TekNat</v>
      </c>
      <c r="W190" s="37" t="str">
        <f>VLOOKUP(D190,Program!$A$1:$B$34,2,FALSE)</f>
        <v>Ämneslärarprogrammet - Gy</v>
      </c>
      <c r="X190" s="42">
        <f>VLOOKUP(A190,kurspris!$A$1:$Q$815,15,FALSE)</f>
        <v>19473</v>
      </c>
      <c r="Y190" s="42">
        <f>VLOOKUP(A190,kurspris!$A$1:$Q$815,16,FALSE)</f>
        <v>34806</v>
      </c>
      <c r="Z190" s="42">
        <f t="shared" si="55"/>
        <v>73587.149999999994</v>
      </c>
      <c r="AA190" s="42">
        <f>VLOOKUP(A190,kurspris!$A$1:$Q$815,17,FALSE)</f>
        <v>21800</v>
      </c>
      <c r="AB190" s="42">
        <f t="shared" si="56"/>
        <v>32700</v>
      </c>
      <c r="AC190" s="42">
        <f t="shared" si="57"/>
        <v>106287.15</v>
      </c>
      <c r="AD190" s="31">
        <f>VLOOKUP($A190,kurspris!$A$1:$Q$852,3,FALSE)</f>
        <v>0</v>
      </c>
      <c r="AE190" s="31">
        <f>VLOOKUP($A190,kurspris!$A$1:$Q$852,4,FALSE)</f>
        <v>0</v>
      </c>
      <c r="AF190" s="31">
        <f>VLOOKUP($A190,kurspris!$A$1:$Q$852,5,FALSE)</f>
        <v>0</v>
      </c>
      <c r="AG190" s="31">
        <f>VLOOKUP($A190,kurspris!$A$1:$Q$852,6,FALSE)</f>
        <v>0</v>
      </c>
      <c r="AH190" s="31">
        <f>VLOOKUP($A190,kurspris!$A$1:$Q$852,7,FALSE)</f>
        <v>0</v>
      </c>
      <c r="AI190" s="31">
        <f>VLOOKUP($A190,kurspris!$A$1:$Q$852,8,FALSE)</f>
        <v>1</v>
      </c>
      <c r="AJ190" s="31">
        <f>VLOOKUP($A190,kurspris!$A$1:$Q$852,9,FALSE)</f>
        <v>0</v>
      </c>
      <c r="AK190" s="31">
        <f>VLOOKUP($A190,kurspris!$A$1:$Q$852,10,FALSE)</f>
        <v>0</v>
      </c>
      <c r="AL190" s="31">
        <f>VLOOKUP($A190,kurspris!$A$1:$Q$852,11,FALSE)</f>
        <v>0</v>
      </c>
      <c r="AM190" s="31">
        <f>VLOOKUP($A190,kurspris!$A$1:$Q$852,12,FALSE)</f>
        <v>0</v>
      </c>
      <c r="AN190" s="31">
        <f>VLOOKUP($A190,kurspris!$A$1:$Q$852,13,FALSE)</f>
        <v>0</v>
      </c>
      <c r="AO190" s="31">
        <f>VLOOKUP($A190,kurspris!$A$1:$Q$852,14,FALSE)</f>
        <v>0</v>
      </c>
      <c r="AP190" s="59" t="s">
        <v>2216</v>
      </c>
      <c r="AR190" s="31">
        <f t="shared" si="58"/>
        <v>0</v>
      </c>
      <c r="AS190" s="237">
        <f t="shared" si="59"/>
        <v>0</v>
      </c>
      <c r="AT190" s="31">
        <f t="shared" si="60"/>
        <v>0</v>
      </c>
      <c r="AU190" s="237">
        <f t="shared" si="61"/>
        <v>0</v>
      </c>
      <c r="AV190" s="31">
        <f t="shared" si="62"/>
        <v>0</v>
      </c>
      <c r="AW190" s="31">
        <f t="shared" si="63"/>
        <v>0</v>
      </c>
      <c r="AX190" s="31">
        <f t="shared" si="64"/>
        <v>0</v>
      </c>
      <c r="AY190" s="237">
        <f t="shared" si="65"/>
        <v>0</v>
      </c>
      <c r="AZ190" s="214">
        <f t="shared" si="66"/>
        <v>0</v>
      </c>
      <c r="BA190" s="237">
        <f t="shared" si="67"/>
        <v>0</v>
      </c>
      <c r="BB190" s="31">
        <f t="shared" si="68"/>
        <v>1.5</v>
      </c>
      <c r="BC190" s="237">
        <f t="shared" si="69"/>
        <v>1.2749999999999999</v>
      </c>
      <c r="BD190" s="31">
        <f t="shared" si="70"/>
        <v>0</v>
      </c>
      <c r="BE190" s="237">
        <f t="shared" si="71"/>
        <v>0</v>
      </c>
      <c r="BF190" s="31">
        <f t="shared" si="72"/>
        <v>0</v>
      </c>
      <c r="BG190" s="237">
        <f t="shared" si="73"/>
        <v>0</v>
      </c>
      <c r="BH190" s="31">
        <f t="shared" si="74"/>
        <v>0</v>
      </c>
      <c r="BI190" s="237">
        <f t="shared" si="75"/>
        <v>0</v>
      </c>
      <c r="BJ190" s="31">
        <f t="shared" si="76"/>
        <v>0</v>
      </c>
      <c r="BK190" s="31">
        <f t="shared" si="77"/>
        <v>0</v>
      </c>
      <c r="BL190" s="237">
        <f t="shared" si="78"/>
        <v>0</v>
      </c>
      <c r="BM190" s="31">
        <f t="shared" si="79"/>
        <v>0</v>
      </c>
      <c r="BN190" s="237">
        <f t="shared" si="80"/>
        <v>0</v>
      </c>
    </row>
    <row r="191" spans="1:66" x14ac:dyDescent="0.25">
      <c r="A191" s="159" t="s">
        <v>1908</v>
      </c>
      <c r="B191" s="182" t="str">
        <f>VLOOKUP(A191,kurspris!$A$1:$B$894,2,FALSE)</f>
        <v>Matematikens historia</v>
      </c>
      <c r="C191" s="37"/>
      <c r="D191" s="31" t="s">
        <v>117</v>
      </c>
      <c r="F191" s="59">
        <v>2019</v>
      </c>
      <c r="Q191" s="237">
        <v>0.5</v>
      </c>
      <c r="R191" s="40">
        <v>0.8</v>
      </c>
      <c r="S191" s="313">
        <f t="shared" si="54"/>
        <v>0.4</v>
      </c>
      <c r="T191" s="31">
        <f>VLOOKUP(A191,'Ansvar kurs'!$A$1:$C$1027,2,FALSE)</f>
        <v>5730</v>
      </c>
      <c r="U191" s="31" t="str">
        <f>VLOOKUP(T191,Orgenheter!$A$1:$C$165,2,FALSE)</f>
        <v>Inst för MA och MA statistik</v>
      </c>
      <c r="V191" s="31" t="str">
        <f>VLOOKUP(T191,Orgenheter!$A$1:$C$165,3,FALSE)</f>
        <v>TekNat</v>
      </c>
      <c r="W191" s="37" t="str">
        <f>VLOOKUP(D191,Program!$A$1:$B$34,2,FALSE)</f>
        <v>Fristående och övriga kurser</v>
      </c>
      <c r="X191" s="42">
        <f>VLOOKUP(A191,kurspris!$A$1:$Q$815,15,FALSE)</f>
        <v>19473</v>
      </c>
      <c r="Y191" s="42">
        <f>VLOOKUP(A191,kurspris!$A$1:$Q$815,16,FALSE)</f>
        <v>34806</v>
      </c>
      <c r="Z191" s="42">
        <f t="shared" si="55"/>
        <v>23658.9</v>
      </c>
      <c r="AA191" s="42">
        <f>VLOOKUP(A191,kurspris!$A$1:$Q$815,17,FALSE)</f>
        <v>21800</v>
      </c>
      <c r="AB191" s="42">
        <f t="shared" si="56"/>
        <v>10900</v>
      </c>
      <c r="AC191" s="42">
        <f t="shared" si="57"/>
        <v>34558.9</v>
      </c>
      <c r="AD191" s="31">
        <f>VLOOKUP($A191,kurspris!$A$1:$Q$852,3,FALSE)</f>
        <v>0</v>
      </c>
      <c r="AE191" s="31">
        <f>VLOOKUP($A191,kurspris!$A$1:$Q$852,4,FALSE)</f>
        <v>0</v>
      </c>
      <c r="AF191" s="31">
        <f>VLOOKUP($A191,kurspris!$A$1:$Q$852,5,FALSE)</f>
        <v>0</v>
      </c>
      <c r="AG191" s="31">
        <f>VLOOKUP($A191,kurspris!$A$1:$Q$852,6,FALSE)</f>
        <v>0</v>
      </c>
      <c r="AH191" s="31">
        <f>VLOOKUP($A191,kurspris!$A$1:$Q$852,7,FALSE)</f>
        <v>0</v>
      </c>
      <c r="AI191" s="31">
        <f>VLOOKUP($A191,kurspris!$A$1:$Q$852,8,FALSE)</f>
        <v>1</v>
      </c>
      <c r="AJ191" s="31">
        <f>VLOOKUP($A191,kurspris!$A$1:$Q$852,9,FALSE)</f>
        <v>0</v>
      </c>
      <c r="AK191" s="31">
        <f>VLOOKUP($A191,kurspris!$A$1:$Q$852,10,FALSE)</f>
        <v>0</v>
      </c>
      <c r="AL191" s="31">
        <f>VLOOKUP($A191,kurspris!$A$1:$Q$852,11,FALSE)</f>
        <v>0</v>
      </c>
      <c r="AM191" s="31">
        <f>VLOOKUP($A191,kurspris!$A$1:$Q$852,12,FALSE)</f>
        <v>0</v>
      </c>
      <c r="AN191" s="31">
        <f>VLOOKUP($A191,kurspris!$A$1:$Q$852,13,FALSE)</f>
        <v>0</v>
      </c>
      <c r="AO191" s="31">
        <f>VLOOKUP($A191,kurspris!$A$1:$Q$852,14,FALSE)</f>
        <v>0</v>
      </c>
      <c r="AP191" s="59" t="s">
        <v>2216</v>
      </c>
      <c r="AR191" s="31">
        <f t="shared" si="58"/>
        <v>0</v>
      </c>
      <c r="AS191" s="237">
        <f t="shared" si="59"/>
        <v>0</v>
      </c>
      <c r="AT191" s="31">
        <f t="shared" si="60"/>
        <v>0</v>
      </c>
      <c r="AU191" s="237">
        <f t="shared" si="61"/>
        <v>0</v>
      </c>
      <c r="AV191" s="31">
        <f t="shared" si="62"/>
        <v>0</v>
      </c>
      <c r="AW191" s="31">
        <f t="shared" si="63"/>
        <v>0</v>
      </c>
      <c r="AX191" s="31">
        <f t="shared" si="64"/>
        <v>0</v>
      </c>
      <c r="AY191" s="237">
        <f t="shared" si="65"/>
        <v>0</v>
      </c>
      <c r="AZ191" s="214">
        <f t="shared" si="66"/>
        <v>0</v>
      </c>
      <c r="BA191" s="237">
        <f t="shared" si="67"/>
        <v>0</v>
      </c>
      <c r="BB191" s="31">
        <f t="shared" si="68"/>
        <v>0.5</v>
      </c>
      <c r="BC191" s="237">
        <f t="shared" si="69"/>
        <v>0.4</v>
      </c>
      <c r="BD191" s="31">
        <f t="shared" si="70"/>
        <v>0</v>
      </c>
      <c r="BE191" s="237">
        <f t="shared" si="71"/>
        <v>0</v>
      </c>
      <c r="BF191" s="31">
        <f t="shared" si="72"/>
        <v>0</v>
      </c>
      <c r="BG191" s="237">
        <f t="shared" si="73"/>
        <v>0</v>
      </c>
      <c r="BH191" s="31">
        <f t="shared" si="74"/>
        <v>0</v>
      </c>
      <c r="BI191" s="237">
        <f t="shared" si="75"/>
        <v>0</v>
      </c>
      <c r="BJ191" s="31">
        <f t="shared" si="76"/>
        <v>0</v>
      </c>
      <c r="BK191" s="31">
        <f t="shared" si="77"/>
        <v>0</v>
      </c>
      <c r="BL191" s="237">
        <f t="shared" si="78"/>
        <v>0</v>
      </c>
      <c r="BM191" s="31">
        <f t="shared" si="79"/>
        <v>0</v>
      </c>
      <c r="BN191" s="237">
        <f t="shared" si="80"/>
        <v>0</v>
      </c>
    </row>
    <row r="192" spans="1:66" x14ac:dyDescent="0.25">
      <c r="A192" s="159" t="s">
        <v>1960</v>
      </c>
      <c r="B192" s="182" t="str">
        <f>VLOOKUP(A192,kurspris!$A$1:$B$894,2,FALSE)</f>
        <v>Att undervisa i matematik (VFU)</v>
      </c>
      <c r="C192" s="37"/>
      <c r="D192" s="31" t="s">
        <v>483</v>
      </c>
      <c r="F192" s="59">
        <v>2019</v>
      </c>
      <c r="Q192" s="237">
        <v>1.6</v>
      </c>
      <c r="R192" s="40">
        <v>0.85</v>
      </c>
      <c r="S192" s="313">
        <f t="shared" si="54"/>
        <v>1.36</v>
      </c>
      <c r="T192" s="31">
        <f>VLOOKUP(A192,'Ansvar kurs'!$A$1:$C$1027,2,FALSE)</f>
        <v>5730</v>
      </c>
      <c r="U192" s="31" t="str">
        <f>VLOOKUP(T192,Orgenheter!$A$1:$C$165,2,FALSE)</f>
        <v>Inst för MA och MA statistik</v>
      </c>
      <c r="V192" s="31" t="str">
        <f>VLOOKUP(T192,Orgenheter!$A$1:$C$165,3,FALSE)</f>
        <v>TekNat</v>
      </c>
      <c r="W192" s="37" t="str">
        <f>VLOOKUP(D192,Program!$A$1:$B$34,2,FALSE)</f>
        <v>Ämneslärarprogrammet - Gy</v>
      </c>
      <c r="X192" s="42">
        <f>VLOOKUP(A192,kurspris!$A$1:$Q$815,15,FALSE)</f>
        <v>21634</v>
      </c>
      <c r="Y192" s="42">
        <f>VLOOKUP(A192,kurspris!$A$1:$Q$815,16,FALSE)</f>
        <v>26986</v>
      </c>
      <c r="Z192" s="42">
        <f t="shared" si="55"/>
        <v>71315.360000000001</v>
      </c>
      <c r="AA192" s="42">
        <f>VLOOKUP(A192,kurspris!$A$1:$Q$815,17,FALSE)</f>
        <v>3400</v>
      </c>
      <c r="AB192" s="42">
        <f t="shared" si="56"/>
        <v>5440</v>
      </c>
      <c r="AC192" s="42">
        <f t="shared" si="57"/>
        <v>76755.360000000001</v>
      </c>
      <c r="AD192" s="31">
        <f>VLOOKUP($A192,kurspris!$A$1:$Q$852,3,FALSE)</f>
        <v>0</v>
      </c>
      <c r="AE192" s="31">
        <f>VLOOKUP($A192,kurspris!$A$1:$Q$852,4,FALSE)</f>
        <v>0</v>
      </c>
      <c r="AF192" s="31">
        <f>VLOOKUP($A192,kurspris!$A$1:$Q$852,5,FALSE)</f>
        <v>0</v>
      </c>
      <c r="AG192" s="31">
        <f>VLOOKUP($A192,kurspris!$A$1:$Q$852,6,FALSE)</f>
        <v>0</v>
      </c>
      <c r="AH192" s="31">
        <f>VLOOKUP($A192,kurspris!$A$1:$Q$852,7,FALSE)</f>
        <v>0</v>
      </c>
      <c r="AI192" s="31">
        <f>VLOOKUP($A192,kurspris!$A$1:$Q$852,8,FALSE)</f>
        <v>0</v>
      </c>
      <c r="AJ192" s="31">
        <f>VLOOKUP($A192,kurspris!$A$1:$Q$852,9,FALSE)</f>
        <v>0</v>
      </c>
      <c r="AK192" s="31">
        <f>VLOOKUP($A192,kurspris!$A$1:$Q$852,10,FALSE)</f>
        <v>0</v>
      </c>
      <c r="AL192" s="31">
        <f>VLOOKUP($A192,kurspris!$A$1:$Q$852,11,FALSE)</f>
        <v>1</v>
      </c>
      <c r="AM192" s="31">
        <f>VLOOKUP($A192,kurspris!$A$1:$Q$852,12,FALSE)</f>
        <v>0</v>
      </c>
      <c r="AN192" s="31">
        <f>VLOOKUP($A192,kurspris!$A$1:$Q$852,13,FALSE)</f>
        <v>0</v>
      </c>
      <c r="AO192" s="31">
        <f>VLOOKUP($A192,kurspris!$A$1:$Q$852,14,FALSE)</f>
        <v>0</v>
      </c>
      <c r="AP192" s="59" t="s">
        <v>2216</v>
      </c>
      <c r="AR192" s="31">
        <f t="shared" si="58"/>
        <v>0</v>
      </c>
      <c r="AS192" s="237">
        <f t="shared" si="59"/>
        <v>0</v>
      </c>
      <c r="AT192" s="31">
        <f t="shared" si="60"/>
        <v>0</v>
      </c>
      <c r="AU192" s="237">
        <f t="shared" si="61"/>
        <v>0</v>
      </c>
      <c r="AV192" s="31">
        <f t="shared" si="62"/>
        <v>0</v>
      </c>
      <c r="AW192" s="31">
        <f t="shared" si="63"/>
        <v>0</v>
      </c>
      <c r="AX192" s="31">
        <f t="shared" si="64"/>
        <v>0</v>
      </c>
      <c r="AY192" s="237">
        <f t="shared" si="65"/>
        <v>0</v>
      </c>
      <c r="AZ192" s="214">
        <f t="shared" si="66"/>
        <v>0</v>
      </c>
      <c r="BA192" s="237">
        <f t="shared" si="67"/>
        <v>0</v>
      </c>
      <c r="BB192" s="31">
        <f t="shared" si="68"/>
        <v>0</v>
      </c>
      <c r="BC192" s="237">
        <f t="shared" si="69"/>
        <v>0</v>
      </c>
      <c r="BD192" s="31">
        <f t="shared" si="70"/>
        <v>0</v>
      </c>
      <c r="BE192" s="237">
        <f t="shared" si="71"/>
        <v>0</v>
      </c>
      <c r="BF192" s="31">
        <f t="shared" si="72"/>
        <v>0</v>
      </c>
      <c r="BG192" s="237">
        <f t="shared" si="73"/>
        <v>0</v>
      </c>
      <c r="BH192" s="31">
        <f t="shared" si="74"/>
        <v>1.6</v>
      </c>
      <c r="BI192" s="237">
        <f t="shared" si="75"/>
        <v>1.36</v>
      </c>
      <c r="BJ192" s="31">
        <f t="shared" si="76"/>
        <v>0</v>
      </c>
      <c r="BK192" s="31">
        <f t="shared" si="77"/>
        <v>0</v>
      </c>
      <c r="BL192" s="237">
        <f t="shared" si="78"/>
        <v>0</v>
      </c>
      <c r="BM192" s="31">
        <f t="shared" si="79"/>
        <v>0</v>
      </c>
      <c r="BN192" s="237">
        <f t="shared" si="80"/>
        <v>0</v>
      </c>
    </row>
    <row r="193" spans="1:66" x14ac:dyDescent="0.25">
      <c r="A193" s="159" t="s">
        <v>1991</v>
      </c>
      <c r="B193" s="182" t="str">
        <f>VLOOKUP(A193,kurspris!$A$1:$B$894,2,FALSE)</f>
        <v>Differentialekvationer</v>
      </c>
      <c r="C193" s="37"/>
      <c r="D193" s="31" t="s">
        <v>483</v>
      </c>
      <c r="F193" s="59">
        <v>2019</v>
      </c>
      <c r="Q193" s="237">
        <v>0.25</v>
      </c>
      <c r="R193" s="40">
        <v>0.85</v>
      </c>
      <c r="S193" s="313">
        <f t="shared" si="54"/>
        <v>0.21249999999999999</v>
      </c>
      <c r="T193" s="31">
        <f>VLOOKUP(A193,'Ansvar kurs'!$A$1:$C$1027,2,FALSE)</f>
        <v>5730</v>
      </c>
      <c r="U193" s="31" t="str">
        <f>VLOOKUP(T193,Orgenheter!$A$1:$C$165,2,FALSE)</f>
        <v>Inst för MA och MA statistik</v>
      </c>
      <c r="V193" s="31" t="str">
        <f>VLOOKUP(T193,Orgenheter!$A$1:$C$165,3,FALSE)</f>
        <v>TekNat</v>
      </c>
      <c r="W193" s="37" t="str">
        <f>VLOOKUP(D193,Program!$A$1:$B$34,2,FALSE)</f>
        <v>Ämneslärarprogrammet - Gy</v>
      </c>
      <c r="X193" s="42">
        <f>VLOOKUP(A193,kurspris!$A$1:$Q$815,15,FALSE)</f>
        <v>19473</v>
      </c>
      <c r="Y193" s="42">
        <f>VLOOKUP(A193,kurspris!$A$1:$Q$815,16,FALSE)</f>
        <v>34806</v>
      </c>
      <c r="Z193" s="42">
        <f t="shared" si="55"/>
        <v>12264.525</v>
      </c>
      <c r="AA193" s="42">
        <f>VLOOKUP(A193,kurspris!$A$1:$Q$815,17,FALSE)</f>
        <v>21800</v>
      </c>
      <c r="AB193" s="42">
        <f t="shared" si="56"/>
        <v>5450</v>
      </c>
      <c r="AC193" s="42">
        <f t="shared" si="57"/>
        <v>17714.525000000001</v>
      </c>
      <c r="AD193" s="31">
        <f>VLOOKUP($A193,kurspris!$A$1:$Q$852,3,FALSE)</f>
        <v>0</v>
      </c>
      <c r="AE193" s="31">
        <f>VLOOKUP($A193,kurspris!$A$1:$Q$852,4,FALSE)</f>
        <v>0</v>
      </c>
      <c r="AF193" s="31">
        <f>VLOOKUP($A193,kurspris!$A$1:$Q$852,5,FALSE)</f>
        <v>0</v>
      </c>
      <c r="AG193" s="31">
        <f>VLOOKUP($A193,kurspris!$A$1:$Q$852,6,FALSE)</f>
        <v>0</v>
      </c>
      <c r="AH193" s="31">
        <f>VLOOKUP($A193,kurspris!$A$1:$Q$852,7,FALSE)</f>
        <v>0</v>
      </c>
      <c r="AI193" s="31">
        <f>VLOOKUP($A193,kurspris!$A$1:$Q$852,8,FALSE)</f>
        <v>0.5</v>
      </c>
      <c r="AJ193" s="31">
        <f>VLOOKUP($A193,kurspris!$A$1:$Q$852,9,FALSE)</f>
        <v>0</v>
      </c>
      <c r="AK193" s="31">
        <f>VLOOKUP($A193,kurspris!$A$1:$Q$852,10,FALSE)</f>
        <v>0.5</v>
      </c>
      <c r="AL193" s="31">
        <f>VLOOKUP($A193,kurspris!$A$1:$Q$852,11,FALSE)</f>
        <v>0</v>
      </c>
      <c r="AM193" s="31">
        <f>VLOOKUP($A193,kurspris!$A$1:$Q$852,12,FALSE)</f>
        <v>0</v>
      </c>
      <c r="AN193" s="31">
        <f>VLOOKUP($A193,kurspris!$A$1:$Q$852,13,FALSE)</f>
        <v>0</v>
      </c>
      <c r="AO193" s="31">
        <f>VLOOKUP($A193,kurspris!$A$1:$Q$852,14,FALSE)</f>
        <v>0</v>
      </c>
      <c r="AP193" s="59" t="s">
        <v>2216</v>
      </c>
      <c r="AR193" s="31">
        <f t="shared" si="58"/>
        <v>0</v>
      </c>
      <c r="AS193" s="237">
        <f t="shared" si="59"/>
        <v>0</v>
      </c>
      <c r="AT193" s="31">
        <f t="shared" si="60"/>
        <v>0</v>
      </c>
      <c r="AU193" s="237">
        <f t="shared" si="61"/>
        <v>0</v>
      </c>
      <c r="AV193" s="31">
        <f t="shared" si="62"/>
        <v>0</v>
      </c>
      <c r="AW193" s="31">
        <f t="shared" si="63"/>
        <v>0</v>
      </c>
      <c r="AX193" s="31">
        <f t="shared" si="64"/>
        <v>0</v>
      </c>
      <c r="AY193" s="237">
        <f t="shared" si="65"/>
        <v>0</v>
      </c>
      <c r="AZ193" s="214">
        <f t="shared" si="66"/>
        <v>0</v>
      </c>
      <c r="BA193" s="237">
        <f t="shared" si="67"/>
        <v>0</v>
      </c>
      <c r="BB193" s="31">
        <f t="shared" si="68"/>
        <v>0.125</v>
      </c>
      <c r="BC193" s="237">
        <f t="shared" si="69"/>
        <v>0.10625</v>
      </c>
      <c r="BD193" s="31">
        <f t="shared" si="70"/>
        <v>0</v>
      </c>
      <c r="BE193" s="237">
        <f t="shared" si="71"/>
        <v>0</v>
      </c>
      <c r="BF193" s="31">
        <f t="shared" si="72"/>
        <v>0.125</v>
      </c>
      <c r="BG193" s="237">
        <f t="shared" si="73"/>
        <v>0.10625</v>
      </c>
      <c r="BH193" s="31">
        <f t="shared" si="74"/>
        <v>0</v>
      </c>
      <c r="BI193" s="237">
        <f t="shared" si="75"/>
        <v>0</v>
      </c>
      <c r="BJ193" s="31">
        <f t="shared" si="76"/>
        <v>0</v>
      </c>
      <c r="BK193" s="31">
        <f t="shared" si="77"/>
        <v>0</v>
      </c>
      <c r="BL193" s="237">
        <f t="shared" si="78"/>
        <v>0</v>
      </c>
      <c r="BM193" s="31">
        <f t="shared" si="79"/>
        <v>0</v>
      </c>
      <c r="BN193" s="237">
        <f t="shared" si="80"/>
        <v>0</v>
      </c>
    </row>
    <row r="194" spans="1:66" x14ac:dyDescent="0.25">
      <c r="A194" s="159" t="s">
        <v>1962</v>
      </c>
      <c r="B194" s="182" t="str">
        <f>VLOOKUP(A194,kurspris!$A$1:$B$894,2,FALSE)</f>
        <v>Examensarbete för ämneslärarexamen - Matematik</v>
      </c>
      <c r="C194" s="37"/>
      <c r="D194" s="31" t="s">
        <v>482</v>
      </c>
      <c r="F194" s="59">
        <v>2019</v>
      </c>
      <c r="Q194" s="237">
        <v>0.125</v>
      </c>
      <c r="R194" s="40">
        <v>0.85</v>
      </c>
      <c r="S194" s="313">
        <f t="shared" ref="S194:S257" si="81">Q194*R194</f>
        <v>0.10625</v>
      </c>
      <c r="T194" s="31">
        <f>VLOOKUP(A194,'Ansvar kurs'!$A$1:$C$1027,2,FALSE)</f>
        <v>5740</v>
      </c>
      <c r="U194" s="31" t="str">
        <f>VLOOKUP(T194,Orgenheter!$A$1:$C$165,2,FALSE)</f>
        <v>NMD</v>
      </c>
      <c r="V194" s="31" t="str">
        <f>VLOOKUP(T194,Orgenheter!$A$1:$C$165,3,FALSE)</f>
        <v>TekNat</v>
      </c>
      <c r="W194" s="37" t="str">
        <f>VLOOKUP(D194,Program!$A$1:$B$34,2,FALSE)</f>
        <v>Ämneslärarprogrammet - åk 7-9</v>
      </c>
      <c r="X194" s="42">
        <f>VLOOKUP(A194,kurspris!$A$1:$Q$815,15,FALSE)</f>
        <v>19473</v>
      </c>
      <c r="Y194" s="42">
        <f>VLOOKUP(A194,kurspris!$A$1:$Q$815,16,FALSE)</f>
        <v>34806</v>
      </c>
      <c r="Z194" s="42">
        <f t="shared" ref="Z194:Z257" si="82">X194*Q194+S194*Y194</f>
        <v>6132.2624999999998</v>
      </c>
      <c r="AA194" s="42">
        <f>VLOOKUP(A194,kurspris!$A$1:$Q$815,17,FALSE)</f>
        <v>21800</v>
      </c>
      <c r="AB194" s="42">
        <f t="shared" ref="AB194:AB257" si="83">AA194*Q194</f>
        <v>2725</v>
      </c>
      <c r="AC194" s="42">
        <f t="shared" ref="AC194:AC257" si="84">Z194+AB194</f>
        <v>8857.2625000000007</v>
      </c>
      <c r="AD194" s="31">
        <f>VLOOKUP($A194,kurspris!$A$1:$Q$852,3,FALSE)</f>
        <v>0</v>
      </c>
      <c r="AE194" s="31">
        <f>VLOOKUP($A194,kurspris!$A$1:$Q$852,4,FALSE)</f>
        <v>0</v>
      </c>
      <c r="AF194" s="31">
        <f>VLOOKUP($A194,kurspris!$A$1:$Q$852,5,FALSE)</f>
        <v>0</v>
      </c>
      <c r="AG194" s="31">
        <f>VLOOKUP($A194,kurspris!$A$1:$Q$852,6,FALSE)</f>
        <v>0</v>
      </c>
      <c r="AH194" s="31">
        <f>VLOOKUP($A194,kurspris!$A$1:$Q$852,7,FALSE)</f>
        <v>0</v>
      </c>
      <c r="AI194" s="31">
        <f>VLOOKUP($A194,kurspris!$A$1:$Q$852,8,FALSE)</f>
        <v>1</v>
      </c>
      <c r="AJ194" s="31">
        <f>VLOOKUP($A194,kurspris!$A$1:$Q$852,9,FALSE)</f>
        <v>0</v>
      </c>
      <c r="AK194" s="31">
        <f>VLOOKUP($A194,kurspris!$A$1:$Q$852,10,FALSE)</f>
        <v>0</v>
      </c>
      <c r="AL194" s="31">
        <f>VLOOKUP($A194,kurspris!$A$1:$Q$852,11,FALSE)</f>
        <v>0</v>
      </c>
      <c r="AM194" s="31">
        <f>VLOOKUP($A194,kurspris!$A$1:$Q$852,12,FALSE)</f>
        <v>0</v>
      </c>
      <c r="AN194" s="31">
        <f>VLOOKUP($A194,kurspris!$A$1:$Q$852,13,FALSE)</f>
        <v>0</v>
      </c>
      <c r="AO194" s="31">
        <f>VLOOKUP($A194,kurspris!$A$1:$Q$852,14,FALSE)</f>
        <v>0</v>
      </c>
      <c r="AP194" s="59" t="s">
        <v>2216</v>
      </c>
      <c r="AR194" s="31">
        <f t="shared" ref="AR194:AR257" si="85">$Q194*AD194</f>
        <v>0</v>
      </c>
      <c r="AS194" s="237">
        <f t="shared" ref="AS194:AS257" si="86">$S194*AD194</f>
        <v>0</v>
      </c>
      <c r="AT194" s="31">
        <f t="shared" ref="AT194:AT257" si="87">$Q194*AE194</f>
        <v>0</v>
      </c>
      <c r="AU194" s="237">
        <f t="shared" ref="AU194:AU257" si="88">$S194*AE194</f>
        <v>0</v>
      </c>
      <c r="AV194" s="31">
        <f t="shared" ref="AV194:AV257" si="89">$Q194*AF194</f>
        <v>0</v>
      </c>
      <c r="AW194" s="31">
        <f t="shared" ref="AW194:AW257" si="90">$S194*AF194</f>
        <v>0</v>
      </c>
      <c r="AX194" s="31">
        <f t="shared" ref="AX194:AX257" si="91">$Q194*AG194</f>
        <v>0</v>
      </c>
      <c r="AY194" s="237">
        <f t="shared" ref="AY194:AY257" si="92">$S194*AG194</f>
        <v>0</v>
      </c>
      <c r="AZ194" s="214">
        <f t="shared" ref="AZ194:AZ257" si="93">$Q194*AH194</f>
        <v>0</v>
      </c>
      <c r="BA194" s="237">
        <f t="shared" ref="BA194:BA257" si="94">$S194*AH194</f>
        <v>0</v>
      </c>
      <c r="BB194" s="31">
        <f t="shared" ref="BB194:BB257" si="95">$Q194*AI194</f>
        <v>0.125</v>
      </c>
      <c r="BC194" s="237">
        <f t="shared" ref="BC194:BC257" si="96">$S194*AI194</f>
        <v>0.10625</v>
      </c>
      <c r="BD194" s="31">
        <f t="shared" ref="BD194:BD257" si="97">$Q194*AJ194</f>
        <v>0</v>
      </c>
      <c r="BE194" s="237">
        <f t="shared" ref="BE194:BE257" si="98">$S194*AJ194</f>
        <v>0</v>
      </c>
      <c r="BF194" s="31">
        <f t="shared" ref="BF194:BF257" si="99">$Q194*AK194</f>
        <v>0</v>
      </c>
      <c r="BG194" s="237">
        <f t="shared" ref="BG194:BG257" si="100">$S194*AK194</f>
        <v>0</v>
      </c>
      <c r="BH194" s="31">
        <f t="shared" ref="BH194:BH257" si="101">$Q194*AL194</f>
        <v>0</v>
      </c>
      <c r="BI194" s="237">
        <f t="shared" ref="BI194:BI257" si="102">$S194*AL194</f>
        <v>0</v>
      </c>
      <c r="BJ194" s="31">
        <f t="shared" ref="BJ194:BJ257" si="103">$Q194*AM194</f>
        <v>0</v>
      </c>
      <c r="BK194" s="31">
        <f t="shared" ref="BK194:BK257" si="104">$Q194*AN194</f>
        <v>0</v>
      </c>
      <c r="BL194" s="237">
        <f t="shared" ref="BL194:BL257" si="105">$S194*AN194</f>
        <v>0</v>
      </c>
      <c r="BM194" s="31">
        <f t="shared" ref="BM194:BM257" si="106">$Q194*AO194</f>
        <v>0</v>
      </c>
      <c r="BN194" s="237">
        <f t="shared" ref="BN194:BN257" si="107">$S194*AO194</f>
        <v>0</v>
      </c>
    </row>
    <row r="195" spans="1:66" x14ac:dyDescent="0.25">
      <c r="A195" s="31" t="s">
        <v>1962</v>
      </c>
      <c r="B195" s="182" t="str">
        <f>VLOOKUP(A195,kurspris!$A$1:$B$894,2,FALSE)</f>
        <v>Examensarbete för ämneslärarexamen - Matematik</v>
      </c>
      <c r="D195" s="31" t="s">
        <v>483</v>
      </c>
      <c r="F195" s="59">
        <v>2019</v>
      </c>
      <c r="Q195" s="237">
        <v>0.375</v>
      </c>
      <c r="R195" s="40">
        <v>0.85</v>
      </c>
      <c r="S195" s="313">
        <f t="shared" si="81"/>
        <v>0.31874999999999998</v>
      </c>
      <c r="T195" s="31">
        <f>VLOOKUP(A195,'Ansvar kurs'!$A$1:$C$1027,2,FALSE)</f>
        <v>5740</v>
      </c>
      <c r="U195" s="31" t="str">
        <f>VLOOKUP(T195,Orgenheter!$A$1:$C$165,2,FALSE)</f>
        <v>NMD</v>
      </c>
      <c r="V195" s="31" t="str">
        <f>VLOOKUP(T195,Orgenheter!$A$1:$C$165,3,FALSE)</f>
        <v>TekNat</v>
      </c>
      <c r="W195" s="37" t="str">
        <f>VLOOKUP(D195,Program!$A$1:$B$34,2,FALSE)</f>
        <v>Ämneslärarprogrammet - Gy</v>
      </c>
      <c r="X195" s="42">
        <f>VLOOKUP(A195,kurspris!$A$1:$Q$815,15,FALSE)</f>
        <v>19473</v>
      </c>
      <c r="Y195" s="42">
        <f>VLOOKUP(A195,kurspris!$A$1:$Q$815,16,FALSE)</f>
        <v>34806</v>
      </c>
      <c r="Z195" s="42">
        <f t="shared" si="82"/>
        <v>18396.787499999999</v>
      </c>
      <c r="AA195" s="42">
        <f>VLOOKUP(A195,kurspris!$A$1:$Q$815,17,FALSE)</f>
        <v>21800</v>
      </c>
      <c r="AB195" s="42">
        <f t="shared" si="83"/>
        <v>8175</v>
      </c>
      <c r="AC195" s="42">
        <f t="shared" si="84"/>
        <v>26571.787499999999</v>
      </c>
      <c r="AD195" s="31">
        <f>VLOOKUP($A195,kurspris!$A$1:$Q$852,3,FALSE)</f>
        <v>0</v>
      </c>
      <c r="AE195" s="31">
        <f>VLOOKUP($A195,kurspris!$A$1:$Q$852,4,FALSE)</f>
        <v>0</v>
      </c>
      <c r="AF195" s="31">
        <f>VLOOKUP($A195,kurspris!$A$1:$Q$852,5,FALSE)</f>
        <v>0</v>
      </c>
      <c r="AG195" s="31">
        <f>VLOOKUP($A195,kurspris!$A$1:$Q$852,6,FALSE)</f>
        <v>0</v>
      </c>
      <c r="AH195" s="31">
        <f>VLOOKUP($A195,kurspris!$A$1:$Q$852,7,FALSE)</f>
        <v>0</v>
      </c>
      <c r="AI195" s="31">
        <f>VLOOKUP($A195,kurspris!$A$1:$Q$852,8,FALSE)</f>
        <v>1</v>
      </c>
      <c r="AJ195" s="31">
        <f>VLOOKUP($A195,kurspris!$A$1:$Q$852,9,FALSE)</f>
        <v>0</v>
      </c>
      <c r="AK195" s="31">
        <f>VLOOKUP($A195,kurspris!$A$1:$Q$852,10,FALSE)</f>
        <v>0</v>
      </c>
      <c r="AL195" s="31">
        <f>VLOOKUP($A195,kurspris!$A$1:$Q$852,11,FALSE)</f>
        <v>0</v>
      </c>
      <c r="AM195" s="31">
        <f>VLOOKUP($A195,kurspris!$A$1:$Q$852,12,FALSE)</f>
        <v>0</v>
      </c>
      <c r="AN195" s="31">
        <f>VLOOKUP($A195,kurspris!$A$1:$Q$852,13,FALSE)</f>
        <v>0</v>
      </c>
      <c r="AO195" s="31">
        <f>VLOOKUP($A195,kurspris!$A$1:$Q$852,14,FALSE)</f>
        <v>0</v>
      </c>
      <c r="AP195" s="59" t="s">
        <v>2216</v>
      </c>
      <c r="AR195" s="31">
        <f t="shared" si="85"/>
        <v>0</v>
      </c>
      <c r="AS195" s="237">
        <f t="shared" si="86"/>
        <v>0</v>
      </c>
      <c r="AT195" s="31">
        <f t="shared" si="87"/>
        <v>0</v>
      </c>
      <c r="AU195" s="237">
        <f t="shared" si="88"/>
        <v>0</v>
      </c>
      <c r="AV195" s="31">
        <f t="shared" si="89"/>
        <v>0</v>
      </c>
      <c r="AW195" s="31">
        <f t="shared" si="90"/>
        <v>0</v>
      </c>
      <c r="AX195" s="31">
        <f t="shared" si="91"/>
        <v>0</v>
      </c>
      <c r="AY195" s="237">
        <f t="shared" si="92"/>
        <v>0</v>
      </c>
      <c r="AZ195" s="214">
        <f t="shared" si="93"/>
        <v>0</v>
      </c>
      <c r="BA195" s="237">
        <f t="shared" si="94"/>
        <v>0</v>
      </c>
      <c r="BB195" s="31">
        <f t="shared" si="95"/>
        <v>0.375</v>
      </c>
      <c r="BC195" s="237">
        <f t="shared" si="96"/>
        <v>0.31874999999999998</v>
      </c>
      <c r="BD195" s="31">
        <f t="shared" si="97"/>
        <v>0</v>
      </c>
      <c r="BE195" s="237">
        <f t="shared" si="98"/>
        <v>0</v>
      </c>
      <c r="BF195" s="31">
        <f t="shared" si="99"/>
        <v>0</v>
      </c>
      <c r="BG195" s="237">
        <f t="shared" si="100"/>
        <v>0</v>
      </c>
      <c r="BH195" s="31">
        <f t="shared" si="101"/>
        <v>0</v>
      </c>
      <c r="BI195" s="237">
        <f t="shared" si="102"/>
        <v>0</v>
      </c>
      <c r="BJ195" s="31">
        <f t="shared" si="103"/>
        <v>0</v>
      </c>
      <c r="BK195" s="31">
        <f t="shared" si="104"/>
        <v>0</v>
      </c>
      <c r="BL195" s="237">
        <f t="shared" si="105"/>
        <v>0</v>
      </c>
      <c r="BM195" s="31">
        <f t="shared" si="106"/>
        <v>0</v>
      </c>
      <c r="BN195" s="237">
        <f t="shared" si="107"/>
        <v>0</v>
      </c>
    </row>
    <row r="196" spans="1:66" x14ac:dyDescent="0.25">
      <c r="A196" s="31" t="s">
        <v>1962</v>
      </c>
      <c r="B196" s="182" t="str">
        <f>VLOOKUP(A196,kurspris!$A$1:$B$894,2,FALSE)</f>
        <v>Examensarbete för ämneslärarexamen - Matematik</v>
      </c>
      <c r="D196" s="31" t="s">
        <v>117</v>
      </c>
      <c r="F196" s="59">
        <v>2019</v>
      </c>
      <c r="Q196" s="237">
        <v>0.125</v>
      </c>
      <c r="R196" s="40">
        <v>0.8</v>
      </c>
      <c r="S196" s="313">
        <f t="shared" si="81"/>
        <v>0.1</v>
      </c>
      <c r="T196" s="31">
        <f>VLOOKUP(A196,'Ansvar kurs'!$A$1:$C$1027,2,FALSE)</f>
        <v>5740</v>
      </c>
      <c r="U196" s="31" t="str">
        <f>VLOOKUP(T196,Orgenheter!$A$1:$C$165,2,FALSE)</f>
        <v>NMD</v>
      </c>
      <c r="V196" s="31" t="str">
        <f>VLOOKUP(T196,Orgenheter!$A$1:$C$165,3,FALSE)</f>
        <v>TekNat</v>
      </c>
      <c r="W196" s="37" t="str">
        <f>VLOOKUP(D196,Program!$A$1:$B$34,2,FALSE)</f>
        <v>Fristående och övriga kurser</v>
      </c>
      <c r="X196" s="42">
        <f>VLOOKUP(A196,kurspris!$A$1:$Q$815,15,FALSE)</f>
        <v>19473</v>
      </c>
      <c r="Y196" s="42">
        <f>VLOOKUP(A196,kurspris!$A$1:$Q$815,16,FALSE)</f>
        <v>34806</v>
      </c>
      <c r="Z196" s="42">
        <f t="shared" si="82"/>
        <v>5914.7250000000004</v>
      </c>
      <c r="AA196" s="42">
        <f>VLOOKUP(A196,kurspris!$A$1:$Q$815,17,FALSE)</f>
        <v>21800</v>
      </c>
      <c r="AB196" s="42">
        <f t="shared" si="83"/>
        <v>2725</v>
      </c>
      <c r="AC196" s="42">
        <f t="shared" si="84"/>
        <v>8639.7250000000004</v>
      </c>
      <c r="AD196" s="31">
        <f>VLOOKUP($A196,kurspris!$A$1:$Q$852,3,FALSE)</f>
        <v>0</v>
      </c>
      <c r="AE196" s="31">
        <f>VLOOKUP($A196,kurspris!$A$1:$Q$852,4,FALSE)</f>
        <v>0</v>
      </c>
      <c r="AF196" s="31">
        <f>VLOOKUP($A196,kurspris!$A$1:$Q$852,5,FALSE)</f>
        <v>0</v>
      </c>
      <c r="AG196" s="31">
        <f>VLOOKUP($A196,kurspris!$A$1:$Q$852,6,FALSE)</f>
        <v>0</v>
      </c>
      <c r="AH196" s="31">
        <f>VLOOKUP($A196,kurspris!$A$1:$Q$852,7,FALSE)</f>
        <v>0</v>
      </c>
      <c r="AI196" s="31">
        <f>VLOOKUP($A196,kurspris!$A$1:$Q$852,8,FALSE)</f>
        <v>1</v>
      </c>
      <c r="AJ196" s="31">
        <f>VLOOKUP($A196,kurspris!$A$1:$Q$852,9,FALSE)</f>
        <v>0</v>
      </c>
      <c r="AK196" s="31">
        <f>VLOOKUP($A196,kurspris!$A$1:$Q$852,10,FALSE)</f>
        <v>0</v>
      </c>
      <c r="AL196" s="31">
        <f>VLOOKUP($A196,kurspris!$A$1:$Q$852,11,FALSE)</f>
        <v>0</v>
      </c>
      <c r="AM196" s="31">
        <f>VLOOKUP($A196,kurspris!$A$1:$Q$852,12,FALSE)</f>
        <v>0</v>
      </c>
      <c r="AN196" s="31">
        <f>VLOOKUP($A196,kurspris!$A$1:$Q$852,13,FALSE)</f>
        <v>0</v>
      </c>
      <c r="AO196" s="31">
        <f>VLOOKUP($A196,kurspris!$A$1:$Q$852,14,FALSE)</f>
        <v>0</v>
      </c>
      <c r="AP196" s="59" t="s">
        <v>2216</v>
      </c>
      <c r="AR196" s="31">
        <f t="shared" si="85"/>
        <v>0</v>
      </c>
      <c r="AS196" s="237">
        <f t="shared" si="86"/>
        <v>0</v>
      </c>
      <c r="AT196" s="31">
        <f t="shared" si="87"/>
        <v>0</v>
      </c>
      <c r="AU196" s="237">
        <f t="shared" si="88"/>
        <v>0</v>
      </c>
      <c r="AV196" s="31">
        <f t="shared" si="89"/>
        <v>0</v>
      </c>
      <c r="AW196" s="31">
        <f t="shared" si="90"/>
        <v>0</v>
      </c>
      <c r="AX196" s="31">
        <f t="shared" si="91"/>
        <v>0</v>
      </c>
      <c r="AY196" s="237">
        <f t="shared" si="92"/>
        <v>0</v>
      </c>
      <c r="AZ196" s="214">
        <f t="shared" si="93"/>
        <v>0</v>
      </c>
      <c r="BA196" s="237">
        <f t="shared" si="94"/>
        <v>0</v>
      </c>
      <c r="BB196" s="31">
        <f t="shared" si="95"/>
        <v>0.125</v>
      </c>
      <c r="BC196" s="237">
        <f t="shared" si="96"/>
        <v>0.1</v>
      </c>
      <c r="BD196" s="31">
        <f t="shared" si="97"/>
        <v>0</v>
      </c>
      <c r="BE196" s="237">
        <f t="shared" si="98"/>
        <v>0</v>
      </c>
      <c r="BF196" s="31">
        <f t="shared" si="99"/>
        <v>0</v>
      </c>
      <c r="BG196" s="237">
        <f t="shared" si="100"/>
        <v>0</v>
      </c>
      <c r="BH196" s="31">
        <f t="shared" si="101"/>
        <v>0</v>
      </c>
      <c r="BI196" s="237">
        <f t="shared" si="102"/>
        <v>0</v>
      </c>
      <c r="BJ196" s="31">
        <f t="shared" si="103"/>
        <v>0</v>
      </c>
      <c r="BK196" s="31">
        <f t="shared" si="104"/>
        <v>0</v>
      </c>
      <c r="BL196" s="237">
        <f t="shared" si="105"/>
        <v>0</v>
      </c>
      <c r="BM196" s="31">
        <f t="shared" si="106"/>
        <v>0</v>
      </c>
      <c r="BN196" s="237">
        <f t="shared" si="107"/>
        <v>0</v>
      </c>
    </row>
    <row r="197" spans="1:66" x14ac:dyDescent="0.25">
      <c r="A197" s="159" t="s">
        <v>1349</v>
      </c>
      <c r="B197" s="182" t="str">
        <f>VLOOKUP(A197,kurspris!$A$1:$B$894,2,FALSE)</f>
        <v>Matematik 1 för förskoleklass och grundskolans årskurs 1-3</v>
      </c>
      <c r="C197" s="37"/>
      <c r="D197" s="31" t="s">
        <v>486</v>
      </c>
      <c r="F197" s="59">
        <v>2019</v>
      </c>
      <c r="Q197" s="237">
        <v>5.75</v>
      </c>
      <c r="R197" s="40">
        <v>0.85</v>
      </c>
      <c r="S197" s="313">
        <f t="shared" si="81"/>
        <v>4.8875000000000002</v>
      </c>
      <c r="T197" s="31">
        <f>VLOOKUP(A197,'Ansvar kurs'!$A$1:$C$1027,2,FALSE)</f>
        <v>5740</v>
      </c>
      <c r="U197" s="31" t="str">
        <f>VLOOKUP(T197,Orgenheter!$A$1:$C$165,2,FALSE)</f>
        <v>NMD</v>
      </c>
      <c r="V197" s="31" t="str">
        <f>VLOOKUP(T197,Orgenheter!$A$1:$C$165,3,FALSE)</f>
        <v>TekNat</v>
      </c>
      <c r="W197" s="37" t="str">
        <f>VLOOKUP(D197,Program!$A$1:$B$34,2,FALSE)</f>
        <v>Grundlärarprogrammet - förskoleklass och åk 1-3</v>
      </c>
      <c r="X197" s="42">
        <f>VLOOKUP(A197,kurspris!$A$1:$Q$815,15,FALSE)</f>
        <v>19473</v>
      </c>
      <c r="Y197" s="42">
        <f>VLOOKUP(A197,kurspris!$A$1:$Q$815,16,FALSE)</f>
        <v>34806</v>
      </c>
      <c r="Z197" s="42">
        <f t="shared" si="82"/>
        <v>282084.07500000001</v>
      </c>
      <c r="AA197" s="42">
        <f>VLOOKUP(A197,kurspris!$A$1:$Q$815,17,FALSE)</f>
        <v>21800</v>
      </c>
      <c r="AB197" s="42">
        <f t="shared" si="83"/>
        <v>125350</v>
      </c>
      <c r="AC197" s="42">
        <f t="shared" si="84"/>
        <v>407434.07500000001</v>
      </c>
      <c r="AD197" s="31">
        <f>VLOOKUP($A197,kurspris!$A$1:$Q$852,3,FALSE)</f>
        <v>0</v>
      </c>
      <c r="AE197" s="31">
        <f>VLOOKUP($A197,kurspris!$A$1:$Q$852,4,FALSE)</f>
        <v>0</v>
      </c>
      <c r="AF197" s="31">
        <f>VLOOKUP($A197,kurspris!$A$1:$Q$852,5,FALSE)</f>
        <v>0</v>
      </c>
      <c r="AG197" s="31">
        <f>VLOOKUP($A197,kurspris!$A$1:$Q$852,6,FALSE)</f>
        <v>0</v>
      </c>
      <c r="AH197" s="31">
        <f>VLOOKUP($A197,kurspris!$A$1:$Q$852,7,FALSE)</f>
        <v>0</v>
      </c>
      <c r="AI197" s="31">
        <f>VLOOKUP($A197,kurspris!$A$1:$Q$852,8,FALSE)</f>
        <v>1</v>
      </c>
      <c r="AJ197" s="31">
        <f>VLOOKUP($A197,kurspris!$A$1:$Q$852,9,FALSE)</f>
        <v>0</v>
      </c>
      <c r="AK197" s="31">
        <f>VLOOKUP($A197,kurspris!$A$1:$Q$852,10,FALSE)</f>
        <v>0</v>
      </c>
      <c r="AL197" s="31">
        <f>VLOOKUP($A197,kurspris!$A$1:$Q$852,11,FALSE)</f>
        <v>0</v>
      </c>
      <c r="AM197" s="31">
        <f>VLOOKUP($A197,kurspris!$A$1:$Q$852,12,FALSE)</f>
        <v>0</v>
      </c>
      <c r="AN197" s="31">
        <f>VLOOKUP($A197,kurspris!$A$1:$Q$852,13,FALSE)</f>
        <v>0</v>
      </c>
      <c r="AO197" s="31">
        <f>VLOOKUP($A197,kurspris!$A$1:$Q$852,14,FALSE)</f>
        <v>0</v>
      </c>
      <c r="AP197" s="59" t="s">
        <v>2216</v>
      </c>
      <c r="AR197" s="31">
        <f t="shared" si="85"/>
        <v>0</v>
      </c>
      <c r="AS197" s="237">
        <f t="shared" si="86"/>
        <v>0</v>
      </c>
      <c r="AT197" s="31">
        <f t="shared" si="87"/>
        <v>0</v>
      </c>
      <c r="AU197" s="237">
        <f t="shared" si="88"/>
        <v>0</v>
      </c>
      <c r="AV197" s="31">
        <f t="shared" si="89"/>
        <v>0</v>
      </c>
      <c r="AW197" s="31">
        <f t="shared" si="90"/>
        <v>0</v>
      </c>
      <c r="AX197" s="31">
        <f t="shared" si="91"/>
        <v>0</v>
      </c>
      <c r="AY197" s="237">
        <f t="shared" si="92"/>
        <v>0</v>
      </c>
      <c r="AZ197" s="214">
        <f t="shared" si="93"/>
        <v>0</v>
      </c>
      <c r="BA197" s="237">
        <f t="shared" si="94"/>
        <v>0</v>
      </c>
      <c r="BB197" s="31">
        <f t="shared" si="95"/>
        <v>5.75</v>
      </c>
      <c r="BC197" s="237">
        <f t="shared" si="96"/>
        <v>4.8875000000000002</v>
      </c>
      <c r="BD197" s="31">
        <f t="shared" si="97"/>
        <v>0</v>
      </c>
      <c r="BE197" s="237">
        <f t="shared" si="98"/>
        <v>0</v>
      </c>
      <c r="BF197" s="31">
        <f t="shared" si="99"/>
        <v>0</v>
      </c>
      <c r="BG197" s="237">
        <f t="shared" si="100"/>
        <v>0</v>
      </c>
      <c r="BH197" s="31">
        <f t="shared" si="101"/>
        <v>0</v>
      </c>
      <c r="BI197" s="237">
        <f t="shared" si="102"/>
        <v>0</v>
      </c>
      <c r="BJ197" s="31">
        <f t="shared" si="103"/>
        <v>0</v>
      </c>
      <c r="BK197" s="31">
        <f t="shared" si="104"/>
        <v>0</v>
      </c>
      <c r="BL197" s="237">
        <f t="shared" si="105"/>
        <v>0</v>
      </c>
      <c r="BM197" s="31">
        <f t="shared" si="106"/>
        <v>0</v>
      </c>
      <c r="BN197" s="237">
        <f t="shared" si="107"/>
        <v>0</v>
      </c>
    </row>
    <row r="198" spans="1:66" x14ac:dyDescent="0.25">
      <c r="A198" s="31" t="s">
        <v>1449</v>
      </c>
      <c r="B198" s="182" t="str">
        <f>VLOOKUP(A198,kurspris!$A$1:$B$894,2,FALSE)</f>
        <v>Matematik 3 för förskoleklass och grundskolans årskurs 1-3</v>
      </c>
      <c r="D198" s="31" t="s">
        <v>486</v>
      </c>
      <c r="F198" s="59">
        <v>2019</v>
      </c>
      <c r="Q198" s="237">
        <v>5.25</v>
      </c>
      <c r="R198" s="40">
        <v>0.85</v>
      </c>
      <c r="S198" s="313">
        <f t="shared" si="81"/>
        <v>4.4624999999999995</v>
      </c>
      <c r="T198" s="31">
        <f>VLOOKUP(A198,'Ansvar kurs'!$A$1:$C$1027,2,FALSE)</f>
        <v>5740</v>
      </c>
      <c r="U198" s="31" t="str">
        <f>VLOOKUP(T198,Orgenheter!$A$1:$C$165,2,FALSE)</f>
        <v>NMD</v>
      </c>
      <c r="V198" s="31" t="str">
        <f>VLOOKUP(T198,Orgenheter!$A$1:$C$165,3,FALSE)</f>
        <v>TekNat</v>
      </c>
      <c r="W198" s="37" t="str">
        <f>VLOOKUP(D198,Program!$A$1:$B$34,2,FALSE)</f>
        <v>Grundlärarprogrammet - förskoleklass och åk 1-3</v>
      </c>
      <c r="X198" s="42">
        <f>VLOOKUP(A198,kurspris!$A$1:$Q$815,15,FALSE)</f>
        <v>19473</v>
      </c>
      <c r="Y198" s="42">
        <f>VLOOKUP(A198,kurspris!$A$1:$Q$815,16,FALSE)</f>
        <v>34806</v>
      </c>
      <c r="Z198" s="42">
        <f t="shared" si="82"/>
        <v>257555.02499999999</v>
      </c>
      <c r="AA198" s="42">
        <f>VLOOKUP(A198,kurspris!$A$1:$Q$815,17,FALSE)</f>
        <v>21800</v>
      </c>
      <c r="AB198" s="42">
        <f t="shared" si="83"/>
        <v>114450</v>
      </c>
      <c r="AC198" s="42">
        <f t="shared" si="84"/>
        <v>372005.02500000002</v>
      </c>
      <c r="AD198" s="31">
        <f>VLOOKUP($A198,kurspris!$A$1:$Q$852,3,FALSE)</f>
        <v>0</v>
      </c>
      <c r="AE198" s="31">
        <f>VLOOKUP($A198,kurspris!$A$1:$Q$852,4,FALSE)</f>
        <v>0</v>
      </c>
      <c r="AF198" s="31">
        <f>VLOOKUP($A198,kurspris!$A$1:$Q$852,5,FALSE)</f>
        <v>0</v>
      </c>
      <c r="AG198" s="31">
        <f>VLOOKUP($A198,kurspris!$A$1:$Q$852,6,FALSE)</f>
        <v>0</v>
      </c>
      <c r="AH198" s="31">
        <f>VLOOKUP($A198,kurspris!$A$1:$Q$852,7,FALSE)</f>
        <v>0</v>
      </c>
      <c r="AI198" s="31">
        <f>VLOOKUP($A198,kurspris!$A$1:$Q$852,8,FALSE)</f>
        <v>1</v>
      </c>
      <c r="AJ198" s="31">
        <f>VLOOKUP($A198,kurspris!$A$1:$Q$852,9,FALSE)</f>
        <v>0</v>
      </c>
      <c r="AK198" s="31">
        <f>VLOOKUP($A198,kurspris!$A$1:$Q$852,10,FALSE)</f>
        <v>0</v>
      </c>
      <c r="AL198" s="31">
        <f>VLOOKUP($A198,kurspris!$A$1:$Q$852,11,FALSE)</f>
        <v>0</v>
      </c>
      <c r="AM198" s="31">
        <f>VLOOKUP($A198,kurspris!$A$1:$Q$852,12,FALSE)</f>
        <v>0</v>
      </c>
      <c r="AN198" s="31">
        <f>VLOOKUP($A198,kurspris!$A$1:$Q$852,13,FALSE)</f>
        <v>0</v>
      </c>
      <c r="AO198" s="31">
        <f>VLOOKUP($A198,kurspris!$A$1:$Q$852,14,FALSE)</f>
        <v>0</v>
      </c>
      <c r="AP198" s="59" t="s">
        <v>2216</v>
      </c>
      <c r="AR198" s="31">
        <f t="shared" si="85"/>
        <v>0</v>
      </c>
      <c r="AS198" s="237">
        <f t="shared" si="86"/>
        <v>0</v>
      </c>
      <c r="AT198" s="31">
        <f t="shared" si="87"/>
        <v>0</v>
      </c>
      <c r="AU198" s="237">
        <f t="shared" si="88"/>
        <v>0</v>
      </c>
      <c r="AV198" s="31">
        <f t="shared" si="89"/>
        <v>0</v>
      </c>
      <c r="AW198" s="31">
        <f t="shared" si="90"/>
        <v>0</v>
      </c>
      <c r="AX198" s="31">
        <f t="shared" si="91"/>
        <v>0</v>
      </c>
      <c r="AY198" s="237">
        <f t="shared" si="92"/>
        <v>0</v>
      </c>
      <c r="AZ198" s="214">
        <f t="shared" si="93"/>
        <v>0</v>
      </c>
      <c r="BA198" s="237">
        <f t="shared" si="94"/>
        <v>0</v>
      </c>
      <c r="BB198" s="31">
        <f t="shared" si="95"/>
        <v>5.25</v>
      </c>
      <c r="BC198" s="237">
        <f t="shared" si="96"/>
        <v>4.4624999999999995</v>
      </c>
      <c r="BD198" s="31">
        <f t="shared" si="97"/>
        <v>0</v>
      </c>
      <c r="BE198" s="237">
        <f t="shared" si="98"/>
        <v>0</v>
      </c>
      <c r="BF198" s="31">
        <f t="shared" si="99"/>
        <v>0</v>
      </c>
      <c r="BG198" s="237">
        <f t="shared" si="100"/>
        <v>0</v>
      </c>
      <c r="BH198" s="31">
        <f t="shared" si="101"/>
        <v>0</v>
      </c>
      <c r="BI198" s="237">
        <f t="shared" si="102"/>
        <v>0</v>
      </c>
      <c r="BJ198" s="31">
        <f t="shared" si="103"/>
        <v>0</v>
      </c>
      <c r="BK198" s="31">
        <f t="shared" si="104"/>
        <v>0</v>
      </c>
      <c r="BL198" s="237">
        <f t="shared" si="105"/>
        <v>0</v>
      </c>
      <c r="BM198" s="31">
        <f t="shared" si="106"/>
        <v>0</v>
      </c>
      <c r="BN198" s="237">
        <f t="shared" si="107"/>
        <v>0</v>
      </c>
    </row>
    <row r="199" spans="1:66" x14ac:dyDescent="0.25">
      <c r="A199" s="31" t="s">
        <v>1451</v>
      </c>
      <c r="B199" s="182" t="str">
        <f>VLOOKUP(A199,kurspris!$A$1:$B$894,2,FALSE)</f>
        <v>Matematik 4 för förskoleklass och grundskolans årskurs 1-3</v>
      </c>
      <c r="D199" s="31" t="s">
        <v>486</v>
      </c>
      <c r="F199" s="59">
        <v>2019</v>
      </c>
      <c r="Q199" s="237">
        <v>4</v>
      </c>
      <c r="R199" s="40">
        <v>0.85</v>
      </c>
      <c r="S199" s="313">
        <f t="shared" si="81"/>
        <v>3.4</v>
      </c>
      <c r="T199" s="31">
        <f>VLOOKUP(A199,'Ansvar kurs'!$A$1:$C$1027,2,FALSE)</f>
        <v>5740</v>
      </c>
      <c r="U199" s="31" t="str">
        <f>VLOOKUP(T199,Orgenheter!$A$1:$C$165,2,FALSE)</f>
        <v>NMD</v>
      </c>
      <c r="V199" s="31" t="str">
        <f>VLOOKUP(T199,Orgenheter!$A$1:$C$165,3,FALSE)</f>
        <v>TekNat</v>
      </c>
      <c r="W199" s="37" t="str">
        <f>VLOOKUP(D199,Program!$A$1:$B$34,2,FALSE)</f>
        <v>Grundlärarprogrammet - förskoleklass och åk 1-3</v>
      </c>
      <c r="X199" s="42">
        <f>VLOOKUP(A199,kurspris!$A$1:$Q$815,15,FALSE)</f>
        <v>19473</v>
      </c>
      <c r="Y199" s="42">
        <f>VLOOKUP(A199,kurspris!$A$1:$Q$815,16,FALSE)</f>
        <v>34806</v>
      </c>
      <c r="Z199" s="42">
        <f t="shared" si="82"/>
        <v>196232.4</v>
      </c>
      <c r="AA199" s="42">
        <f>VLOOKUP(A199,kurspris!$A$1:$Q$815,17,FALSE)</f>
        <v>21800</v>
      </c>
      <c r="AB199" s="42">
        <f t="shared" si="83"/>
        <v>87200</v>
      </c>
      <c r="AC199" s="42">
        <f t="shared" si="84"/>
        <v>283432.40000000002</v>
      </c>
      <c r="AD199" s="31">
        <f>VLOOKUP($A199,kurspris!$A$1:$Q$852,3,FALSE)</f>
        <v>0</v>
      </c>
      <c r="AE199" s="31">
        <f>VLOOKUP($A199,kurspris!$A$1:$Q$852,4,FALSE)</f>
        <v>0</v>
      </c>
      <c r="AF199" s="31">
        <f>VLOOKUP($A199,kurspris!$A$1:$Q$852,5,FALSE)</f>
        <v>0</v>
      </c>
      <c r="AG199" s="31">
        <f>VLOOKUP($A199,kurspris!$A$1:$Q$852,6,FALSE)</f>
        <v>0</v>
      </c>
      <c r="AH199" s="31">
        <f>VLOOKUP($A199,kurspris!$A$1:$Q$852,7,FALSE)</f>
        <v>0</v>
      </c>
      <c r="AI199" s="31">
        <f>VLOOKUP($A199,kurspris!$A$1:$Q$852,8,FALSE)</f>
        <v>1</v>
      </c>
      <c r="AJ199" s="31">
        <f>VLOOKUP($A199,kurspris!$A$1:$Q$852,9,FALSE)</f>
        <v>0</v>
      </c>
      <c r="AK199" s="31">
        <f>VLOOKUP($A199,kurspris!$A$1:$Q$852,10,FALSE)</f>
        <v>0</v>
      </c>
      <c r="AL199" s="31">
        <f>VLOOKUP($A199,kurspris!$A$1:$Q$852,11,FALSE)</f>
        <v>0</v>
      </c>
      <c r="AM199" s="31">
        <f>VLOOKUP($A199,kurspris!$A$1:$Q$852,12,FALSE)</f>
        <v>0</v>
      </c>
      <c r="AN199" s="31">
        <f>VLOOKUP($A199,kurspris!$A$1:$Q$852,13,FALSE)</f>
        <v>0</v>
      </c>
      <c r="AO199" s="31">
        <f>VLOOKUP($A199,kurspris!$A$1:$Q$852,14,FALSE)</f>
        <v>0</v>
      </c>
      <c r="AP199" s="59" t="s">
        <v>2216</v>
      </c>
      <c r="AR199" s="31">
        <f t="shared" si="85"/>
        <v>0</v>
      </c>
      <c r="AS199" s="237">
        <f t="shared" si="86"/>
        <v>0</v>
      </c>
      <c r="AT199" s="31">
        <f t="shared" si="87"/>
        <v>0</v>
      </c>
      <c r="AU199" s="237">
        <f t="shared" si="88"/>
        <v>0</v>
      </c>
      <c r="AV199" s="31">
        <f t="shared" si="89"/>
        <v>0</v>
      </c>
      <c r="AW199" s="31">
        <f t="shared" si="90"/>
        <v>0</v>
      </c>
      <c r="AX199" s="31">
        <f t="shared" si="91"/>
        <v>0</v>
      </c>
      <c r="AY199" s="237">
        <f t="shared" si="92"/>
        <v>0</v>
      </c>
      <c r="AZ199" s="214">
        <f t="shared" si="93"/>
        <v>0</v>
      </c>
      <c r="BA199" s="237">
        <f t="shared" si="94"/>
        <v>0</v>
      </c>
      <c r="BB199" s="31">
        <f t="shared" si="95"/>
        <v>4</v>
      </c>
      <c r="BC199" s="237">
        <f t="shared" si="96"/>
        <v>3.4</v>
      </c>
      <c r="BD199" s="31">
        <f t="shared" si="97"/>
        <v>0</v>
      </c>
      <c r="BE199" s="237">
        <f t="shared" si="98"/>
        <v>0</v>
      </c>
      <c r="BF199" s="31">
        <f t="shared" si="99"/>
        <v>0</v>
      </c>
      <c r="BG199" s="237">
        <f t="shared" si="100"/>
        <v>0</v>
      </c>
      <c r="BH199" s="31">
        <f t="shared" si="101"/>
        <v>0</v>
      </c>
      <c r="BI199" s="237">
        <f t="shared" si="102"/>
        <v>0</v>
      </c>
      <c r="BJ199" s="31">
        <f t="shared" si="103"/>
        <v>0</v>
      </c>
      <c r="BK199" s="31">
        <f t="shared" si="104"/>
        <v>0</v>
      </c>
      <c r="BL199" s="237">
        <f t="shared" si="105"/>
        <v>0</v>
      </c>
      <c r="BM199" s="31">
        <f t="shared" si="106"/>
        <v>0</v>
      </c>
      <c r="BN199" s="237">
        <f t="shared" si="107"/>
        <v>0</v>
      </c>
    </row>
    <row r="200" spans="1:66" x14ac:dyDescent="0.25">
      <c r="A200" s="159" t="s">
        <v>1453</v>
      </c>
      <c r="B200" s="182" t="str">
        <f>VLOOKUP(A200,kurspris!$A$1:$B$894,2,FALSE)</f>
        <v>Matematik 2 för grundskolans årskurs 4-6</v>
      </c>
      <c r="C200" s="37"/>
      <c r="D200" s="31" t="s">
        <v>524</v>
      </c>
      <c r="F200" s="59">
        <v>2019</v>
      </c>
      <c r="Q200" s="237">
        <v>2.625</v>
      </c>
      <c r="R200" s="40">
        <v>0.85</v>
      </c>
      <c r="S200" s="313">
        <f t="shared" si="81"/>
        <v>2.2312499999999997</v>
      </c>
      <c r="T200" s="31">
        <f>VLOOKUP(A200,'Ansvar kurs'!$A$1:$C$1027,2,FALSE)</f>
        <v>5740</v>
      </c>
      <c r="U200" s="31" t="str">
        <f>VLOOKUP(T200,Orgenheter!$A$1:$C$165,2,FALSE)</f>
        <v>NMD</v>
      </c>
      <c r="V200" s="31" t="str">
        <f>VLOOKUP(T200,Orgenheter!$A$1:$C$165,3,FALSE)</f>
        <v>TekNat</v>
      </c>
      <c r="W200" s="37" t="str">
        <f>VLOOKUP(D200,Program!$A$1:$B$34,2,FALSE)</f>
        <v>Grundlärarprogrammet - grundskolans åk 4-6</v>
      </c>
      <c r="X200" s="42">
        <f>VLOOKUP(A200,kurspris!$A$1:$Q$815,15,FALSE)</f>
        <v>19473</v>
      </c>
      <c r="Y200" s="42">
        <f>VLOOKUP(A200,kurspris!$A$1:$Q$815,16,FALSE)</f>
        <v>34806</v>
      </c>
      <c r="Z200" s="42">
        <f t="shared" si="82"/>
        <v>128777.5125</v>
      </c>
      <c r="AA200" s="42">
        <f>VLOOKUP(A200,kurspris!$A$1:$Q$815,17,FALSE)</f>
        <v>21800</v>
      </c>
      <c r="AB200" s="42">
        <f t="shared" si="83"/>
        <v>57225</v>
      </c>
      <c r="AC200" s="42">
        <f t="shared" si="84"/>
        <v>186002.51250000001</v>
      </c>
      <c r="AD200" s="31">
        <f>VLOOKUP($A200,kurspris!$A$1:$Q$852,3,FALSE)</f>
        <v>0</v>
      </c>
      <c r="AE200" s="31">
        <f>VLOOKUP($A200,kurspris!$A$1:$Q$852,4,FALSE)</f>
        <v>0</v>
      </c>
      <c r="AF200" s="31">
        <f>VLOOKUP($A200,kurspris!$A$1:$Q$852,5,FALSE)</f>
        <v>0</v>
      </c>
      <c r="AG200" s="31">
        <f>VLOOKUP($A200,kurspris!$A$1:$Q$852,6,FALSE)</f>
        <v>0</v>
      </c>
      <c r="AH200" s="31">
        <f>VLOOKUP($A200,kurspris!$A$1:$Q$852,7,FALSE)</f>
        <v>0</v>
      </c>
      <c r="AI200" s="31">
        <f>VLOOKUP($A200,kurspris!$A$1:$Q$852,8,FALSE)</f>
        <v>1</v>
      </c>
      <c r="AJ200" s="31">
        <f>VLOOKUP($A200,kurspris!$A$1:$Q$852,9,FALSE)</f>
        <v>0</v>
      </c>
      <c r="AK200" s="31">
        <f>VLOOKUP($A200,kurspris!$A$1:$Q$852,10,FALSE)</f>
        <v>0</v>
      </c>
      <c r="AL200" s="31">
        <f>VLOOKUP($A200,kurspris!$A$1:$Q$852,11,FALSE)</f>
        <v>0</v>
      </c>
      <c r="AM200" s="31">
        <f>VLOOKUP($A200,kurspris!$A$1:$Q$852,12,FALSE)</f>
        <v>0</v>
      </c>
      <c r="AN200" s="31">
        <f>VLOOKUP($A200,kurspris!$A$1:$Q$852,13,FALSE)</f>
        <v>0</v>
      </c>
      <c r="AO200" s="31">
        <f>VLOOKUP($A200,kurspris!$A$1:$Q$852,14,FALSE)</f>
        <v>0</v>
      </c>
      <c r="AP200" s="59" t="s">
        <v>2216</v>
      </c>
      <c r="AR200" s="31">
        <f t="shared" si="85"/>
        <v>0</v>
      </c>
      <c r="AS200" s="237">
        <f t="shared" si="86"/>
        <v>0</v>
      </c>
      <c r="AT200" s="31">
        <f t="shared" si="87"/>
        <v>0</v>
      </c>
      <c r="AU200" s="237">
        <f t="shared" si="88"/>
        <v>0</v>
      </c>
      <c r="AV200" s="31">
        <f t="shared" si="89"/>
        <v>0</v>
      </c>
      <c r="AW200" s="31">
        <f t="shared" si="90"/>
        <v>0</v>
      </c>
      <c r="AX200" s="31">
        <f t="shared" si="91"/>
        <v>0</v>
      </c>
      <c r="AY200" s="237">
        <f t="shared" si="92"/>
        <v>0</v>
      </c>
      <c r="AZ200" s="214">
        <f t="shared" si="93"/>
        <v>0</v>
      </c>
      <c r="BA200" s="237">
        <f t="shared" si="94"/>
        <v>0</v>
      </c>
      <c r="BB200" s="31">
        <f t="shared" si="95"/>
        <v>2.625</v>
      </c>
      <c r="BC200" s="237">
        <f t="shared" si="96"/>
        <v>2.2312499999999997</v>
      </c>
      <c r="BD200" s="31">
        <f t="shared" si="97"/>
        <v>0</v>
      </c>
      <c r="BE200" s="237">
        <f t="shared" si="98"/>
        <v>0</v>
      </c>
      <c r="BF200" s="31">
        <f t="shared" si="99"/>
        <v>0</v>
      </c>
      <c r="BG200" s="237">
        <f t="shared" si="100"/>
        <v>0</v>
      </c>
      <c r="BH200" s="31">
        <f t="shared" si="101"/>
        <v>0</v>
      </c>
      <c r="BI200" s="237">
        <f t="shared" si="102"/>
        <v>0</v>
      </c>
      <c r="BJ200" s="31">
        <f t="shared" si="103"/>
        <v>0</v>
      </c>
      <c r="BK200" s="31">
        <f t="shared" si="104"/>
        <v>0</v>
      </c>
      <c r="BL200" s="237">
        <f t="shared" si="105"/>
        <v>0</v>
      </c>
      <c r="BM200" s="31">
        <f t="shared" si="106"/>
        <v>0</v>
      </c>
      <c r="BN200" s="237">
        <f t="shared" si="107"/>
        <v>0</v>
      </c>
    </row>
    <row r="201" spans="1:66" x14ac:dyDescent="0.25">
      <c r="A201" s="159" t="s">
        <v>1455</v>
      </c>
      <c r="B201" s="182" t="str">
        <f>VLOOKUP(A201,kurspris!$A$1:$B$894,2,FALSE)</f>
        <v>Matematik 3 för grundskolans årskurs 4-6</v>
      </c>
      <c r="C201" s="37"/>
      <c r="D201" s="31" t="s">
        <v>524</v>
      </c>
      <c r="F201" s="59">
        <v>2019</v>
      </c>
      <c r="Q201" s="237">
        <v>2.75</v>
      </c>
      <c r="R201" s="40">
        <v>0.85</v>
      </c>
      <c r="S201" s="313">
        <f t="shared" si="81"/>
        <v>2.3374999999999999</v>
      </c>
      <c r="T201" s="31">
        <f>VLOOKUP(A201,'Ansvar kurs'!$A$1:$C$1027,2,FALSE)</f>
        <v>5740</v>
      </c>
      <c r="U201" s="31" t="str">
        <f>VLOOKUP(T201,Orgenheter!$A$1:$C$165,2,FALSE)</f>
        <v>NMD</v>
      </c>
      <c r="V201" s="31" t="str">
        <f>VLOOKUP(T201,Orgenheter!$A$1:$C$165,3,FALSE)</f>
        <v>TekNat</v>
      </c>
      <c r="W201" s="37" t="str">
        <f>VLOOKUP(D201,Program!$A$1:$B$34,2,FALSE)</f>
        <v>Grundlärarprogrammet - grundskolans åk 4-6</v>
      </c>
      <c r="X201" s="42">
        <f>VLOOKUP(A201,kurspris!$A$1:$Q$815,15,FALSE)</f>
        <v>19473</v>
      </c>
      <c r="Y201" s="42">
        <f>VLOOKUP(A201,kurspris!$A$1:$Q$815,16,FALSE)</f>
        <v>34806</v>
      </c>
      <c r="Z201" s="42">
        <f t="shared" si="82"/>
        <v>134909.77499999999</v>
      </c>
      <c r="AA201" s="42">
        <f>VLOOKUP(A201,kurspris!$A$1:$Q$815,17,FALSE)</f>
        <v>21800</v>
      </c>
      <c r="AB201" s="42">
        <f t="shared" si="83"/>
        <v>59950</v>
      </c>
      <c r="AC201" s="42">
        <f t="shared" si="84"/>
        <v>194859.77499999999</v>
      </c>
      <c r="AD201" s="31">
        <f>VLOOKUP($A201,kurspris!$A$1:$Q$852,3,FALSE)</f>
        <v>0</v>
      </c>
      <c r="AE201" s="31">
        <f>VLOOKUP($A201,kurspris!$A$1:$Q$852,4,FALSE)</f>
        <v>0</v>
      </c>
      <c r="AF201" s="31">
        <f>VLOOKUP($A201,kurspris!$A$1:$Q$852,5,FALSE)</f>
        <v>0</v>
      </c>
      <c r="AG201" s="31">
        <f>VLOOKUP($A201,kurspris!$A$1:$Q$852,6,FALSE)</f>
        <v>0</v>
      </c>
      <c r="AH201" s="31">
        <f>VLOOKUP($A201,kurspris!$A$1:$Q$852,7,FALSE)</f>
        <v>0</v>
      </c>
      <c r="AI201" s="31">
        <f>VLOOKUP($A201,kurspris!$A$1:$Q$852,8,FALSE)</f>
        <v>1</v>
      </c>
      <c r="AJ201" s="31">
        <f>VLOOKUP($A201,kurspris!$A$1:$Q$852,9,FALSE)</f>
        <v>0</v>
      </c>
      <c r="AK201" s="31">
        <f>VLOOKUP($A201,kurspris!$A$1:$Q$852,10,FALSE)</f>
        <v>0</v>
      </c>
      <c r="AL201" s="31">
        <f>VLOOKUP($A201,kurspris!$A$1:$Q$852,11,FALSE)</f>
        <v>0</v>
      </c>
      <c r="AM201" s="31">
        <f>VLOOKUP($A201,kurspris!$A$1:$Q$852,12,FALSE)</f>
        <v>0</v>
      </c>
      <c r="AN201" s="31">
        <f>VLOOKUP($A201,kurspris!$A$1:$Q$852,13,FALSE)</f>
        <v>0</v>
      </c>
      <c r="AO201" s="31">
        <f>VLOOKUP($A201,kurspris!$A$1:$Q$852,14,FALSE)</f>
        <v>0</v>
      </c>
      <c r="AP201" s="59" t="s">
        <v>2216</v>
      </c>
      <c r="AR201" s="31">
        <f t="shared" si="85"/>
        <v>0</v>
      </c>
      <c r="AS201" s="237">
        <f t="shared" si="86"/>
        <v>0</v>
      </c>
      <c r="AT201" s="31">
        <f t="shared" si="87"/>
        <v>0</v>
      </c>
      <c r="AU201" s="237">
        <f t="shared" si="88"/>
        <v>0</v>
      </c>
      <c r="AV201" s="31">
        <f t="shared" si="89"/>
        <v>0</v>
      </c>
      <c r="AW201" s="31">
        <f t="shared" si="90"/>
        <v>0</v>
      </c>
      <c r="AX201" s="31">
        <f t="shared" si="91"/>
        <v>0</v>
      </c>
      <c r="AY201" s="237">
        <f t="shared" si="92"/>
        <v>0</v>
      </c>
      <c r="AZ201" s="214">
        <f t="shared" si="93"/>
        <v>0</v>
      </c>
      <c r="BA201" s="237">
        <f t="shared" si="94"/>
        <v>0</v>
      </c>
      <c r="BB201" s="31">
        <f t="shared" si="95"/>
        <v>2.75</v>
      </c>
      <c r="BC201" s="237">
        <f t="shared" si="96"/>
        <v>2.3374999999999999</v>
      </c>
      <c r="BD201" s="31">
        <f t="shared" si="97"/>
        <v>0</v>
      </c>
      <c r="BE201" s="237">
        <f t="shared" si="98"/>
        <v>0</v>
      </c>
      <c r="BF201" s="31">
        <f t="shared" si="99"/>
        <v>0</v>
      </c>
      <c r="BG201" s="237">
        <f t="shared" si="100"/>
        <v>0</v>
      </c>
      <c r="BH201" s="31">
        <f t="shared" si="101"/>
        <v>0</v>
      </c>
      <c r="BI201" s="237">
        <f t="shared" si="102"/>
        <v>0</v>
      </c>
      <c r="BJ201" s="31">
        <f t="shared" si="103"/>
        <v>0</v>
      </c>
      <c r="BK201" s="31">
        <f t="shared" si="104"/>
        <v>0</v>
      </c>
      <c r="BL201" s="237">
        <f t="shared" si="105"/>
        <v>0</v>
      </c>
      <c r="BM201" s="31">
        <f t="shared" si="106"/>
        <v>0</v>
      </c>
      <c r="BN201" s="237">
        <f t="shared" si="107"/>
        <v>0</v>
      </c>
    </row>
    <row r="202" spans="1:66" x14ac:dyDescent="0.25">
      <c r="A202" s="159" t="s">
        <v>1457</v>
      </c>
      <c r="B202" s="182" t="str">
        <f>VLOOKUP(A202,kurspris!$A$1:$B$894,2,FALSE)</f>
        <v>Matematik 4 för grundskolans årskurs 4-6</v>
      </c>
      <c r="C202" s="37"/>
      <c r="D202" s="31" t="s">
        <v>524</v>
      </c>
      <c r="F202" s="59">
        <v>2019</v>
      </c>
      <c r="Q202" s="237">
        <v>3.5</v>
      </c>
      <c r="R202" s="40">
        <v>0.85</v>
      </c>
      <c r="S202" s="313">
        <f t="shared" si="81"/>
        <v>2.9750000000000001</v>
      </c>
      <c r="T202" s="31">
        <f>VLOOKUP(A202,'Ansvar kurs'!$A$1:$C$1027,2,FALSE)</f>
        <v>5740</v>
      </c>
      <c r="U202" s="31" t="str">
        <f>VLOOKUP(T202,Orgenheter!$A$1:$C$165,2,FALSE)</f>
        <v>NMD</v>
      </c>
      <c r="V202" s="31" t="str">
        <f>VLOOKUP(T202,Orgenheter!$A$1:$C$165,3,FALSE)</f>
        <v>TekNat</v>
      </c>
      <c r="W202" s="37" t="str">
        <f>VLOOKUP(D202,Program!$A$1:$B$34,2,FALSE)</f>
        <v>Grundlärarprogrammet - grundskolans åk 4-6</v>
      </c>
      <c r="X202" s="42">
        <f>VLOOKUP(A202,kurspris!$A$1:$Q$815,15,FALSE)</f>
        <v>19473</v>
      </c>
      <c r="Y202" s="42">
        <f>VLOOKUP(A202,kurspris!$A$1:$Q$815,16,FALSE)</f>
        <v>34806</v>
      </c>
      <c r="Z202" s="42">
        <f t="shared" si="82"/>
        <v>171703.35</v>
      </c>
      <c r="AA202" s="42">
        <f>VLOOKUP(A202,kurspris!$A$1:$Q$815,17,FALSE)</f>
        <v>21800</v>
      </c>
      <c r="AB202" s="42">
        <f t="shared" si="83"/>
        <v>76300</v>
      </c>
      <c r="AC202" s="42">
        <f t="shared" si="84"/>
        <v>248003.35</v>
      </c>
      <c r="AD202" s="31">
        <f>VLOOKUP($A202,kurspris!$A$1:$Q$852,3,FALSE)</f>
        <v>0</v>
      </c>
      <c r="AE202" s="31">
        <f>VLOOKUP($A202,kurspris!$A$1:$Q$852,4,FALSE)</f>
        <v>0</v>
      </c>
      <c r="AF202" s="31">
        <f>VLOOKUP($A202,kurspris!$A$1:$Q$852,5,FALSE)</f>
        <v>0</v>
      </c>
      <c r="AG202" s="31">
        <f>VLOOKUP($A202,kurspris!$A$1:$Q$852,6,FALSE)</f>
        <v>0</v>
      </c>
      <c r="AH202" s="31">
        <f>VLOOKUP($A202,kurspris!$A$1:$Q$852,7,FALSE)</f>
        <v>0</v>
      </c>
      <c r="AI202" s="31">
        <f>VLOOKUP($A202,kurspris!$A$1:$Q$852,8,FALSE)</f>
        <v>1</v>
      </c>
      <c r="AJ202" s="31">
        <f>VLOOKUP($A202,kurspris!$A$1:$Q$852,9,FALSE)</f>
        <v>0</v>
      </c>
      <c r="AK202" s="31">
        <f>VLOOKUP($A202,kurspris!$A$1:$Q$852,10,FALSE)</f>
        <v>0</v>
      </c>
      <c r="AL202" s="31">
        <f>VLOOKUP($A202,kurspris!$A$1:$Q$852,11,FALSE)</f>
        <v>0</v>
      </c>
      <c r="AM202" s="31">
        <f>VLOOKUP($A202,kurspris!$A$1:$Q$852,12,FALSE)</f>
        <v>0</v>
      </c>
      <c r="AN202" s="31">
        <f>VLOOKUP($A202,kurspris!$A$1:$Q$852,13,FALSE)</f>
        <v>0</v>
      </c>
      <c r="AO202" s="31">
        <f>VLOOKUP($A202,kurspris!$A$1:$Q$852,14,FALSE)</f>
        <v>0</v>
      </c>
      <c r="AP202" s="59" t="s">
        <v>2216</v>
      </c>
      <c r="AR202" s="31">
        <f t="shared" si="85"/>
        <v>0</v>
      </c>
      <c r="AS202" s="237">
        <f t="shared" si="86"/>
        <v>0</v>
      </c>
      <c r="AT202" s="31">
        <f t="shared" si="87"/>
        <v>0</v>
      </c>
      <c r="AU202" s="237">
        <f t="shared" si="88"/>
        <v>0</v>
      </c>
      <c r="AV202" s="31">
        <f t="shared" si="89"/>
        <v>0</v>
      </c>
      <c r="AW202" s="31">
        <f t="shared" si="90"/>
        <v>0</v>
      </c>
      <c r="AX202" s="31">
        <f t="shared" si="91"/>
        <v>0</v>
      </c>
      <c r="AY202" s="237">
        <f t="shared" si="92"/>
        <v>0</v>
      </c>
      <c r="AZ202" s="214">
        <f t="shared" si="93"/>
        <v>0</v>
      </c>
      <c r="BA202" s="237">
        <f t="shared" si="94"/>
        <v>0</v>
      </c>
      <c r="BB202" s="31">
        <f t="shared" si="95"/>
        <v>3.5</v>
      </c>
      <c r="BC202" s="237">
        <f t="shared" si="96"/>
        <v>2.9750000000000001</v>
      </c>
      <c r="BD202" s="31">
        <f t="shared" si="97"/>
        <v>0</v>
      </c>
      <c r="BE202" s="237">
        <f t="shared" si="98"/>
        <v>0</v>
      </c>
      <c r="BF202" s="31">
        <f t="shared" si="99"/>
        <v>0</v>
      </c>
      <c r="BG202" s="237">
        <f t="shared" si="100"/>
        <v>0</v>
      </c>
      <c r="BH202" s="31">
        <f t="shared" si="101"/>
        <v>0</v>
      </c>
      <c r="BI202" s="237">
        <f t="shared" si="102"/>
        <v>0</v>
      </c>
      <c r="BJ202" s="31">
        <f t="shared" si="103"/>
        <v>0</v>
      </c>
      <c r="BK202" s="31">
        <f t="shared" si="104"/>
        <v>0</v>
      </c>
      <c r="BL202" s="237">
        <f t="shared" si="105"/>
        <v>0</v>
      </c>
      <c r="BM202" s="31">
        <f t="shared" si="106"/>
        <v>0</v>
      </c>
      <c r="BN202" s="237">
        <f t="shared" si="107"/>
        <v>0</v>
      </c>
    </row>
    <row r="203" spans="1:66" x14ac:dyDescent="0.25">
      <c r="A203" s="159" t="s">
        <v>1557</v>
      </c>
      <c r="B203" s="182" t="str">
        <f>VLOOKUP(A203,kurspris!$A$1:$B$894,2,FALSE)</f>
        <v>Matematik för förskolan</v>
      </c>
      <c r="C203" s="37"/>
      <c r="D203" s="31" t="s">
        <v>484</v>
      </c>
      <c r="F203" s="59">
        <v>2019</v>
      </c>
      <c r="Q203" s="237">
        <v>10.375</v>
      </c>
      <c r="R203" s="40">
        <v>0.85</v>
      </c>
      <c r="S203" s="313">
        <f t="shared" si="81"/>
        <v>8.8187499999999996</v>
      </c>
      <c r="T203" s="31">
        <f>VLOOKUP(A203,'Ansvar kurs'!$A$1:$C$1027,2,FALSE)</f>
        <v>5740</v>
      </c>
      <c r="U203" s="31" t="str">
        <f>VLOOKUP(T203,Orgenheter!$A$1:$C$165,2,FALSE)</f>
        <v>NMD</v>
      </c>
      <c r="V203" s="31" t="str">
        <f>VLOOKUP(T203,Orgenheter!$A$1:$C$165,3,FALSE)</f>
        <v>TekNat</v>
      </c>
      <c r="W203" s="37" t="str">
        <f>VLOOKUP(D203,Program!$A$1:$B$34,2,FALSE)</f>
        <v>Förskollärarprogrammet</v>
      </c>
      <c r="X203" s="42">
        <f>VLOOKUP(A203,kurspris!$A$1:$Q$815,15,FALSE)</f>
        <v>19473</v>
      </c>
      <c r="Y203" s="42">
        <f>VLOOKUP(A203,kurspris!$A$1:$Q$815,16,FALSE)</f>
        <v>34806</v>
      </c>
      <c r="Z203" s="42">
        <f t="shared" si="82"/>
        <v>508977.78749999998</v>
      </c>
      <c r="AA203" s="42">
        <f>VLOOKUP(A203,kurspris!$A$1:$Q$815,17,FALSE)</f>
        <v>21800</v>
      </c>
      <c r="AB203" s="42">
        <f t="shared" si="83"/>
        <v>226175</v>
      </c>
      <c r="AC203" s="42">
        <f t="shared" si="84"/>
        <v>735152.78749999998</v>
      </c>
      <c r="AD203" s="31">
        <f>VLOOKUP($A203,kurspris!$A$1:$Q$852,3,FALSE)</f>
        <v>0</v>
      </c>
      <c r="AE203" s="31">
        <f>VLOOKUP($A203,kurspris!$A$1:$Q$852,4,FALSE)</f>
        <v>0</v>
      </c>
      <c r="AF203" s="31">
        <f>VLOOKUP($A203,kurspris!$A$1:$Q$852,5,FALSE)</f>
        <v>0</v>
      </c>
      <c r="AG203" s="31">
        <f>VLOOKUP($A203,kurspris!$A$1:$Q$852,6,FALSE)</f>
        <v>0</v>
      </c>
      <c r="AH203" s="31">
        <f>VLOOKUP($A203,kurspris!$A$1:$Q$852,7,FALSE)</f>
        <v>0</v>
      </c>
      <c r="AI203" s="31">
        <f>VLOOKUP($A203,kurspris!$A$1:$Q$852,8,FALSE)</f>
        <v>1</v>
      </c>
      <c r="AJ203" s="31">
        <f>VLOOKUP($A203,kurspris!$A$1:$Q$852,9,FALSE)</f>
        <v>0</v>
      </c>
      <c r="AK203" s="31">
        <f>VLOOKUP($A203,kurspris!$A$1:$Q$852,10,FALSE)</f>
        <v>0</v>
      </c>
      <c r="AL203" s="31">
        <f>VLOOKUP($A203,kurspris!$A$1:$Q$852,11,FALSE)</f>
        <v>0</v>
      </c>
      <c r="AM203" s="31">
        <f>VLOOKUP($A203,kurspris!$A$1:$Q$852,12,FALSE)</f>
        <v>0</v>
      </c>
      <c r="AN203" s="31">
        <f>VLOOKUP($A203,kurspris!$A$1:$Q$852,13,FALSE)</f>
        <v>0</v>
      </c>
      <c r="AO203" s="31">
        <f>VLOOKUP($A203,kurspris!$A$1:$Q$852,14,FALSE)</f>
        <v>0</v>
      </c>
      <c r="AP203" s="59" t="s">
        <v>2216</v>
      </c>
      <c r="AR203" s="31">
        <f t="shared" si="85"/>
        <v>0</v>
      </c>
      <c r="AS203" s="237">
        <f t="shared" si="86"/>
        <v>0</v>
      </c>
      <c r="AT203" s="31">
        <f t="shared" si="87"/>
        <v>0</v>
      </c>
      <c r="AU203" s="237">
        <f t="shared" si="88"/>
        <v>0</v>
      </c>
      <c r="AV203" s="31">
        <f t="shared" si="89"/>
        <v>0</v>
      </c>
      <c r="AW203" s="31">
        <f t="shared" si="90"/>
        <v>0</v>
      </c>
      <c r="AX203" s="31">
        <f t="shared" si="91"/>
        <v>0</v>
      </c>
      <c r="AY203" s="237">
        <f t="shared" si="92"/>
        <v>0</v>
      </c>
      <c r="AZ203" s="214">
        <f t="shared" si="93"/>
        <v>0</v>
      </c>
      <c r="BA203" s="237">
        <f t="shared" si="94"/>
        <v>0</v>
      </c>
      <c r="BB203" s="31">
        <f t="shared" si="95"/>
        <v>10.375</v>
      </c>
      <c r="BC203" s="237">
        <f t="shared" si="96"/>
        <v>8.8187499999999996</v>
      </c>
      <c r="BD203" s="31">
        <f t="shared" si="97"/>
        <v>0</v>
      </c>
      <c r="BE203" s="237">
        <f t="shared" si="98"/>
        <v>0</v>
      </c>
      <c r="BF203" s="31">
        <f t="shared" si="99"/>
        <v>0</v>
      </c>
      <c r="BG203" s="237">
        <f t="shared" si="100"/>
        <v>0</v>
      </c>
      <c r="BH203" s="31">
        <f t="shared" si="101"/>
        <v>0</v>
      </c>
      <c r="BI203" s="237">
        <f t="shared" si="102"/>
        <v>0</v>
      </c>
      <c r="BJ203" s="31">
        <f t="shared" si="103"/>
        <v>0</v>
      </c>
      <c r="BK203" s="31">
        <f t="shared" si="104"/>
        <v>0</v>
      </c>
      <c r="BL203" s="237">
        <f t="shared" si="105"/>
        <v>0</v>
      </c>
      <c r="BM203" s="31">
        <f t="shared" si="106"/>
        <v>0</v>
      </c>
      <c r="BN203" s="237">
        <f t="shared" si="107"/>
        <v>0</v>
      </c>
    </row>
    <row r="204" spans="1:66" x14ac:dyDescent="0.25">
      <c r="A204" s="159" t="s">
        <v>1634</v>
      </c>
      <c r="B204" s="182" t="str">
        <f>VLOOKUP(A204,kurspris!$A$1:$B$894,2,FALSE)</f>
        <v>Matematik 2 för lärande och undervisning för förskoleklass och grundskolans årskurs 1-3</v>
      </c>
      <c r="C204" s="37"/>
      <c r="D204" s="31" t="s">
        <v>117</v>
      </c>
      <c r="F204" s="59">
        <v>2019</v>
      </c>
      <c r="Q204" s="237">
        <v>1</v>
      </c>
      <c r="R204" s="40">
        <v>0.8</v>
      </c>
      <c r="S204" s="313">
        <f t="shared" si="81"/>
        <v>0.8</v>
      </c>
      <c r="T204" s="31">
        <f>VLOOKUP(A204,'Ansvar kurs'!$A$1:$C$1027,2,FALSE)</f>
        <v>5740</v>
      </c>
      <c r="U204" s="31" t="str">
        <f>VLOOKUP(T204,Orgenheter!$A$1:$C$165,2,FALSE)</f>
        <v>NMD</v>
      </c>
      <c r="V204" s="31" t="str">
        <f>VLOOKUP(T204,Orgenheter!$A$1:$C$165,3,FALSE)</f>
        <v>TekNat</v>
      </c>
      <c r="W204" s="37" t="str">
        <f>VLOOKUP(D204,Program!$A$1:$B$34,2,FALSE)</f>
        <v>Fristående och övriga kurser</v>
      </c>
      <c r="X204" s="42">
        <f>VLOOKUP(A204,kurspris!$A$1:$Q$815,15,FALSE)</f>
        <v>19473</v>
      </c>
      <c r="Y204" s="42">
        <f>VLOOKUP(A204,kurspris!$A$1:$Q$815,16,FALSE)</f>
        <v>34806</v>
      </c>
      <c r="Z204" s="42">
        <f t="shared" si="82"/>
        <v>47317.8</v>
      </c>
      <c r="AA204" s="42">
        <f>VLOOKUP(A204,kurspris!$A$1:$Q$815,17,FALSE)</f>
        <v>21800</v>
      </c>
      <c r="AB204" s="42">
        <f t="shared" si="83"/>
        <v>21800</v>
      </c>
      <c r="AC204" s="42">
        <f t="shared" si="84"/>
        <v>69117.8</v>
      </c>
      <c r="AD204" s="31">
        <f>VLOOKUP($A204,kurspris!$A$1:$Q$852,3,FALSE)</f>
        <v>0</v>
      </c>
      <c r="AE204" s="31">
        <f>VLOOKUP($A204,kurspris!$A$1:$Q$852,4,FALSE)</f>
        <v>0</v>
      </c>
      <c r="AF204" s="31">
        <f>VLOOKUP($A204,kurspris!$A$1:$Q$852,5,FALSE)</f>
        <v>0</v>
      </c>
      <c r="AG204" s="31">
        <f>VLOOKUP($A204,kurspris!$A$1:$Q$852,6,FALSE)</f>
        <v>0</v>
      </c>
      <c r="AH204" s="31">
        <f>VLOOKUP($A204,kurspris!$A$1:$Q$852,7,FALSE)</f>
        <v>0</v>
      </c>
      <c r="AI204" s="31">
        <f>VLOOKUP($A204,kurspris!$A$1:$Q$852,8,FALSE)</f>
        <v>1</v>
      </c>
      <c r="AJ204" s="31">
        <f>VLOOKUP($A204,kurspris!$A$1:$Q$852,9,FALSE)</f>
        <v>0</v>
      </c>
      <c r="AK204" s="31">
        <f>VLOOKUP($A204,kurspris!$A$1:$Q$852,10,FALSE)</f>
        <v>0</v>
      </c>
      <c r="AL204" s="31">
        <f>VLOOKUP($A204,kurspris!$A$1:$Q$852,11,FALSE)</f>
        <v>0</v>
      </c>
      <c r="AM204" s="31">
        <f>VLOOKUP($A204,kurspris!$A$1:$Q$852,12,FALSE)</f>
        <v>0</v>
      </c>
      <c r="AN204" s="31">
        <f>VLOOKUP($A204,kurspris!$A$1:$Q$852,13,FALSE)</f>
        <v>0</v>
      </c>
      <c r="AO204" s="31">
        <f>VLOOKUP($A204,kurspris!$A$1:$Q$852,14,FALSE)</f>
        <v>0</v>
      </c>
      <c r="AP204" s="59" t="s">
        <v>2216</v>
      </c>
      <c r="AR204" s="31">
        <f t="shared" si="85"/>
        <v>0</v>
      </c>
      <c r="AS204" s="237">
        <f t="shared" si="86"/>
        <v>0</v>
      </c>
      <c r="AT204" s="31">
        <f t="shared" si="87"/>
        <v>0</v>
      </c>
      <c r="AU204" s="237">
        <f t="shared" si="88"/>
        <v>0</v>
      </c>
      <c r="AV204" s="31">
        <f t="shared" si="89"/>
        <v>0</v>
      </c>
      <c r="AW204" s="31">
        <f t="shared" si="90"/>
        <v>0</v>
      </c>
      <c r="AX204" s="31">
        <f t="shared" si="91"/>
        <v>0</v>
      </c>
      <c r="AY204" s="237">
        <f t="shared" si="92"/>
        <v>0</v>
      </c>
      <c r="AZ204" s="214">
        <f t="shared" si="93"/>
        <v>0</v>
      </c>
      <c r="BA204" s="237">
        <f t="shared" si="94"/>
        <v>0</v>
      </c>
      <c r="BB204" s="31">
        <f t="shared" si="95"/>
        <v>1</v>
      </c>
      <c r="BC204" s="237">
        <f t="shared" si="96"/>
        <v>0.8</v>
      </c>
      <c r="BD204" s="31">
        <f t="shared" si="97"/>
        <v>0</v>
      </c>
      <c r="BE204" s="237">
        <f t="shared" si="98"/>
        <v>0</v>
      </c>
      <c r="BF204" s="31">
        <f t="shared" si="99"/>
        <v>0</v>
      </c>
      <c r="BG204" s="237">
        <f t="shared" si="100"/>
        <v>0</v>
      </c>
      <c r="BH204" s="31">
        <f t="shared" si="101"/>
        <v>0</v>
      </c>
      <c r="BI204" s="237">
        <f t="shared" si="102"/>
        <v>0</v>
      </c>
      <c r="BJ204" s="31">
        <f t="shared" si="103"/>
        <v>0</v>
      </c>
      <c r="BK204" s="31">
        <f t="shared" si="104"/>
        <v>0</v>
      </c>
      <c r="BL204" s="237">
        <f t="shared" si="105"/>
        <v>0</v>
      </c>
      <c r="BM204" s="31">
        <f t="shared" si="106"/>
        <v>0</v>
      </c>
      <c r="BN204" s="237">
        <f t="shared" si="107"/>
        <v>0</v>
      </c>
    </row>
    <row r="205" spans="1:66" x14ac:dyDescent="0.25">
      <c r="A205" s="159" t="s">
        <v>1635</v>
      </c>
      <c r="B205" s="182" t="str">
        <f>VLOOKUP(A205,kurspris!$A$1:$B$894,2,FALSE)</f>
        <v>Matematik 2 för lärande och undervisning för grundskolans årskurs 4-6</v>
      </c>
      <c r="C205" s="37"/>
      <c r="D205" s="31" t="s">
        <v>117</v>
      </c>
      <c r="F205" s="59">
        <v>2019</v>
      </c>
      <c r="Q205" s="237">
        <v>1.25</v>
      </c>
      <c r="R205" s="40">
        <v>0.8</v>
      </c>
      <c r="S205" s="313">
        <f t="shared" si="81"/>
        <v>1</v>
      </c>
      <c r="T205" s="31">
        <f>VLOOKUP(A205,'Ansvar kurs'!$A$1:$C$1027,2,FALSE)</f>
        <v>5740</v>
      </c>
      <c r="U205" s="31" t="str">
        <f>VLOOKUP(T205,Orgenheter!$A$1:$C$165,2,FALSE)</f>
        <v>NMD</v>
      </c>
      <c r="V205" s="31" t="str">
        <f>VLOOKUP(T205,Orgenheter!$A$1:$C$165,3,FALSE)</f>
        <v>TekNat</v>
      </c>
      <c r="W205" s="37" t="str">
        <f>VLOOKUP(D205,Program!$A$1:$B$34,2,FALSE)</f>
        <v>Fristående och övriga kurser</v>
      </c>
      <c r="X205" s="42">
        <f>VLOOKUP(A205,kurspris!$A$1:$Q$815,15,FALSE)</f>
        <v>19473</v>
      </c>
      <c r="Y205" s="42">
        <f>VLOOKUP(A205,kurspris!$A$1:$Q$815,16,FALSE)</f>
        <v>34806</v>
      </c>
      <c r="Z205" s="42">
        <f t="shared" si="82"/>
        <v>59147.25</v>
      </c>
      <c r="AA205" s="42">
        <f>VLOOKUP(A205,kurspris!$A$1:$Q$815,17,FALSE)</f>
        <v>21800</v>
      </c>
      <c r="AB205" s="42">
        <f t="shared" si="83"/>
        <v>27250</v>
      </c>
      <c r="AC205" s="42">
        <f t="shared" si="84"/>
        <v>86397.25</v>
      </c>
      <c r="AD205" s="31">
        <f>VLOOKUP($A205,kurspris!$A$1:$Q$852,3,FALSE)</f>
        <v>0</v>
      </c>
      <c r="AE205" s="31">
        <f>VLOOKUP($A205,kurspris!$A$1:$Q$852,4,FALSE)</f>
        <v>0</v>
      </c>
      <c r="AF205" s="31">
        <f>VLOOKUP($A205,kurspris!$A$1:$Q$852,5,FALSE)</f>
        <v>0</v>
      </c>
      <c r="AG205" s="31">
        <f>VLOOKUP($A205,kurspris!$A$1:$Q$852,6,FALSE)</f>
        <v>0</v>
      </c>
      <c r="AH205" s="31">
        <f>VLOOKUP($A205,kurspris!$A$1:$Q$852,7,FALSE)</f>
        <v>0</v>
      </c>
      <c r="AI205" s="31">
        <f>VLOOKUP($A205,kurspris!$A$1:$Q$852,8,FALSE)</f>
        <v>1</v>
      </c>
      <c r="AJ205" s="31">
        <f>VLOOKUP($A205,kurspris!$A$1:$Q$852,9,FALSE)</f>
        <v>0</v>
      </c>
      <c r="AK205" s="31">
        <f>VLOOKUP($A205,kurspris!$A$1:$Q$852,10,FALSE)</f>
        <v>0</v>
      </c>
      <c r="AL205" s="31">
        <f>VLOOKUP($A205,kurspris!$A$1:$Q$852,11,FALSE)</f>
        <v>0</v>
      </c>
      <c r="AM205" s="31">
        <f>VLOOKUP($A205,kurspris!$A$1:$Q$852,12,FALSE)</f>
        <v>0</v>
      </c>
      <c r="AN205" s="31">
        <f>VLOOKUP($A205,kurspris!$A$1:$Q$852,13,FALSE)</f>
        <v>0</v>
      </c>
      <c r="AO205" s="31">
        <f>VLOOKUP($A205,kurspris!$A$1:$Q$852,14,FALSE)</f>
        <v>0</v>
      </c>
      <c r="AP205" s="59" t="s">
        <v>2216</v>
      </c>
      <c r="AR205" s="31">
        <f t="shared" si="85"/>
        <v>0</v>
      </c>
      <c r="AS205" s="237">
        <f t="shared" si="86"/>
        <v>0</v>
      </c>
      <c r="AT205" s="31">
        <f t="shared" si="87"/>
        <v>0</v>
      </c>
      <c r="AU205" s="237">
        <f t="shared" si="88"/>
        <v>0</v>
      </c>
      <c r="AV205" s="31">
        <f t="shared" si="89"/>
        <v>0</v>
      </c>
      <c r="AW205" s="31">
        <f t="shared" si="90"/>
        <v>0</v>
      </c>
      <c r="AX205" s="31">
        <f t="shared" si="91"/>
        <v>0</v>
      </c>
      <c r="AY205" s="237">
        <f t="shared" si="92"/>
        <v>0</v>
      </c>
      <c r="AZ205" s="214">
        <f t="shared" si="93"/>
        <v>0</v>
      </c>
      <c r="BA205" s="237">
        <f t="shared" si="94"/>
        <v>0</v>
      </c>
      <c r="BB205" s="31">
        <f t="shared" si="95"/>
        <v>1.25</v>
      </c>
      <c r="BC205" s="237">
        <f t="shared" si="96"/>
        <v>1</v>
      </c>
      <c r="BD205" s="31">
        <f t="shared" si="97"/>
        <v>0</v>
      </c>
      <c r="BE205" s="237">
        <f t="shared" si="98"/>
        <v>0</v>
      </c>
      <c r="BF205" s="31">
        <f t="shared" si="99"/>
        <v>0</v>
      </c>
      <c r="BG205" s="237">
        <f t="shared" si="100"/>
        <v>0</v>
      </c>
      <c r="BH205" s="31">
        <f t="shared" si="101"/>
        <v>0</v>
      </c>
      <c r="BI205" s="237">
        <f t="shared" si="102"/>
        <v>0</v>
      </c>
      <c r="BJ205" s="31">
        <f t="shared" si="103"/>
        <v>0</v>
      </c>
      <c r="BK205" s="31">
        <f t="shared" si="104"/>
        <v>0</v>
      </c>
      <c r="BL205" s="237">
        <f t="shared" si="105"/>
        <v>0</v>
      </c>
      <c r="BM205" s="31">
        <f t="shared" si="106"/>
        <v>0</v>
      </c>
      <c r="BN205" s="237">
        <f t="shared" si="107"/>
        <v>0</v>
      </c>
    </row>
    <row r="206" spans="1:66" x14ac:dyDescent="0.25">
      <c r="A206" s="182" t="s">
        <v>1632</v>
      </c>
      <c r="B206" s="182" t="str">
        <f>VLOOKUP(A206,kurspris!$A$1:$B$894,2,FALSE)</f>
        <v>Matematik 1 för lärande och undervisning för förskoleklass och grundskolans årskurs 1-6</v>
      </c>
      <c r="C206" s="37"/>
      <c r="D206" s="31" t="s">
        <v>84</v>
      </c>
      <c r="F206" s="59">
        <v>2019</v>
      </c>
      <c r="Q206" s="237">
        <v>0.5</v>
      </c>
      <c r="R206" s="40">
        <v>0.85</v>
      </c>
      <c r="S206" s="313">
        <f t="shared" si="81"/>
        <v>0.42499999999999999</v>
      </c>
      <c r="T206" s="31">
        <f>VLOOKUP(A206,'Ansvar kurs'!$A$1:$C$1027,2,FALSE)</f>
        <v>5740</v>
      </c>
      <c r="U206" s="31" t="str">
        <f>VLOOKUP(T206,Orgenheter!$A$1:$C$165,2,FALSE)</f>
        <v>NMD</v>
      </c>
      <c r="V206" s="31" t="str">
        <f>VLOOKUP(T206,Orgenheter!$A$1:$C$165,3,FALSE)</f>
        <v>TekNat</v>
      </c>
      <c r="W206" s="37" t="str">
        <f>VLOOKUP(D206,Program!$A$1:$B$34,2,FALSE)</f>
        <v>VAL-projektet</v>
      </c>
      <c r="X206" s="42">
        <f>VLOOKUP(A206,kurspris!$A$1:$Q$815,15,FALSE)</f>
        <v>19473</v>
      </c>
      <c r="Y206" s="42">
        <f>VLOOKUP(A206,kurspris!$A$1:$Q$815,16,FALSE)</f>
        <v>34806</v>
      </c>
      <c r="Z206" s="42">
        <f t="shared" si="82"/>
        <v>24529.05</v>
      </c>
      <c r="AA206" s="42">
        <f>VLOOKUP(A206,kurspris!$A$1:$Q$815,17,FALSE)</f>
        <v>21800</v>
      </c>
      <c r="AB206" s="42">
        <f t="shared" si="83"/>
        <v>10900</v>
      </c>
      <c r="AC206" s="42">
        <f t="shared" si="84"/>
        <v>35429.050000000003</v>
      </c>
      <c r="AD206" s="31">
        <f>VLOOKUP($A206,kurspris!$A$1:$Q$852,3,FALSE)</f>
        <v>0</v>
      </c>
      <c r="AE206" s="31">
        <f>VLOOKUP($A206,kurspris!$A$1:$Q$852,4,FALSE)</f>
        <v>0</v>
      </c>
      <c r="AF206" s="31">
        <f>VLOOKUP($A206,kurspris!$A$1:$Q$852,5,FALSE)</f>
        <v>0</v>
      </c>
      <c r="AG206" s="31">
        <f>VLOOKUP($A206,kurspris!$A$1:$Q$852,6,FALSE)</f>
        <v>0</v>
      </c>
      <c r="AH206" s="31">
        <f>VLOOKUP($A206,kurspris!$A$1:$Q$852,7,FALSE)</f>
        <v>0</v>
      </c>
      <c r="AI206" s="31">
        <f>VLOOKUP($A206,kurspris!$A$1:$Q$852,8,FALSE)</f>
        <v>1</v>
      </c>
      <c r="AJ206" s="31">
        <f>VLOOKUP($A206,kurspris!$A$1:$Q$852,9,FALSE)</f>
        <v>0</v>
      </c>
      <c r="AK206" s="31">
        <f>VLOOKUP($A206,kurspris!$A$1:$Q$852,10,FALSE)</f>
        <v>0</v>
      </c>
      <c r="AL206" s="31">
        <f>VLOOKUP($A206,kurspris!$A$1:$Q$852,11,FALSE)</f>
        <v>0</v>
      </c>
      <c r="AM206" s="31">
        <f>VLOOKUP($A206,kurspris!$A$1:$Q$852,12,FALSE)</f>
        <v>0</v>
      </c>
      <c r="AN206" s="31">
        <f>VLOOKUP($A206,kurspris!$A$1:$Q$852,13,FALSE)</f>
        <v>0</v>
      </c>
      <c r="AO206" s="31">
        <f>VLOOKUP($A206,kurspris!$A$1:$Q$852,14,FALSE)</f>
        <v>0</v>
      </c>
      <c r="AP206" s="59" t="s">
        <v>2216</v>
      </c>
      <c r="AR206" s="31">
        <f t="shared" si="85"/>
        <v>0</v>
      </c>
      <c r="AS206" s="237">
        <f t="shared" si="86"/>
        <v>0</v>
      </c>
      <c r="AT206" s="31">
        <f t="shared" si="87"/>
        <v>0</v>
      </c>
      <c r="AU206" s="237">
        <f t="shared" si="88"/>
        <v>0</v>
      </c>
      <c r="AV206" s="31">
        <f t="shared" si="89"/>
        <v>0</v>
      </c>
      <c r="AW206" s="31">
        <f t="shared" si="90"/>
        <v>0</v>
      </c>
      <c r="AX206" s="31">
        <f t="shared" si="91"/>
        <v>0</v>
      </c>
      <c r="AY206" s="237">
        <f t="shared" si="92"/>
        <v>0</v>
      </c>
      <c r="AZ206" s="214">
        <f t="shared" si="93"/>
        <v>0</v>
      </c>
      <c r="BA206" s="237">
        <f t="shared" si="94"/>
        <v>0</v>
      </c>
      <c r="BB206" s="31">
        <f t="shared" si="95"/>
        <v>0.5</v>
      </c>
      <c r="BC206" s="237">
        <f t="shared" si="96"/>
        <v>0.42499999999999999</v>
      </c>
      <c r="BD206" s="31">
        <f t="shared" si="97"/>
        <v>0</v>
      </c>
      <c r="BE206" s="237">
        <f t="shared" si="98"/>
        <v>0</v>
      </c>
      <c r="BF206" s="31">
        <f t="shared" si="99"/>
        <v>0</v>
      </c>
      <c r="BG206" s="237">
        <f t="shared" si="100"/>
        <v>0</v>
      </c>
      <c r="BH206" s="31">
        <f t="shared" si="101"/>
        <v>0</v>
      </c>
      <c r="BI206" s="237">
        <f t="shared" si="102"/>
        <v>0</v>
      </c>
      <c r="BJ206" s="31">
        <f t="shared" si="103"/>
        <v>0</v>
      </c>
      <c r="BK206" s="31">
        <f t="shared" si="104"/>
        <v>0</v>
      </c>
      <c r="BL206" s="237">
        <f t="shared" si="105"/>
        <v>0</v>
      </c>
      <c r="BM206" s="31">
        <f t="shared" si="106"/>
        <v>0</v>
      </c>
      <c r="BN206" s="237">
        <f t="shared" si="107"/>
        <v>0</v>
      </c>
    </row>
    <row r="207" spans="1:66" x14ac:dyDescent="0.25">
      <c r="A207" s="31" t="s">
        <v>1632</v>
      </c>
      <c r="B207" s="182" t="str">
        <f>VLOOKUP(A207,kurspris!$A$1:$B$894,2,FALSE)</f>
        <v>Matematik 1 för lärande och undervisning för förskoleklass och grundskolans årskurs 1-6</v>
      </c>
      <c r="D207" s="31" t="s">
        <v>117</v>
      </c>
      <c r="F207" s="59">
        <v>2019</v>
      </c>
      <c r="Q207" s="237">
        <v>2</v>
      </c>
      <c r="R207" s="40">
        <v>0.8</v>
      </c>
      <c r="S207" s="313">
        <f t="shared" si="81"/>
        <v>1.6</v>
      </c>
      <c r="T207" s="31">
        <f>VLOOKUP(A207,'Ansvar kurs'!$A$1:$C$1027,2,FALSE)</f>
        <v>5740</v>
      </c>
      <c r="U207" s="31" t="str">
        <f>VLOOKUP(T207,Orgenheter!$A$1:$C$165,2,FALSE)</f>
        <v>NMD</v>
      </c>
      <c r="V207" s="31" t="str">
        <f>VLOOKUP(T207,Orgenheter!$A$1:$C$165,3,FALSE)</f>
        <v>TekNat</v>
      </c>
      <c r="W207" s="37" t="str">
        <f>VLOOKUP(D207,Program!$A$1:$B$34,2,FALSE)</f>
        <v>Fristående och övriga kurser</v>
      </c>
      <c r="X207" s="42">
        <f>VLOOKUP(A207,kurspris!$A$1:$Q$815,15,FALSE)</f>
        <v>19473</v>
      </c>
      <c r="Y207" s="42">
        <f>VLOOKUP(A207,kurspris!$A$1:$Q$815,16,FALSE)</f>
        <v>34806</v>
      </c>
      <c r="Z207" s="42">
        <f t="shared" si="82"/>
        <v>94635.6</v>
      </c>
      <c r="AA207" s="42">
        <f>VLOOKUP(A207,kurspris!$A$1:$Q$815,17,FALSE)</f>
        <v>21800</v>
      </c>
      <c r="AB207" s="42">
        <f t="shared" si="83"/>
        <v>43600</v>
      </c>
      <c r="AC207" s="42">
        <f t="shared" si="84"/>
        <v>138235.6</v>
      </c>
      <c r="AD207" s="31">
        <f>VLOOKUP($A207,kurspris!$A$1:$Q$852,3,FALSE)</f>
        <v>0</v>
      </c>
      <c r="AE207" s="31">
        <f>VLOOKUP($A207,kurspris!$A$1:$Q$852,4,FALSE)</f>
        <v>0</v>
      </c>
      <c r="AF207" s="31">
        <f>VLOOKUP($A207,kurspris!$A$1:$Q$852,5,FALSE)</f>
        <v>0</v>
      </c>
      <c r="AG207" s="31">
        <f>VLOOKUP($A207,kurspris!$A$1:$Q$852,6,FALSE)</f>
        <v>0</v>
      </c>
      <c r="AH207" s="31">
        <f>VLOOKUP($A207,kurspris!$A$1:$Q$852,7,FALSE)</f>
        <v>0</v>
      </c>
      <c r="AI207" s="31">
        <f>VLOOKUP($A207,kurspris!$A$1:$Q$852,8,FALSE)</f>
        <v>1</v>
      </c>
      <c r="AJ207" s="31">
        <f>VLOOKUP($A207,kurspris!$A$1:$Q$852,9,FALSE)</f>
        <v>0</v>
      </c>
      <c r="AK207" s="31">
        <f>VLOOKUP($A207,kurspris!$A$1:$Q$852,10,FALSE)</f>
        <v>0</v>
      </c>
      <c r="AL207" s="31">
        <f>VLOOKUP($A207,kurspris!$A$1:$Q$852,11,FALSE)</f>
        <v>0</v>
      </c>
      <c r="AM207" s="31">
        <f>VLOOKUP($A207,kurspris!$A$1:$Q$852,12,FALSE)</f>
        <v>0</v>
      </c>
      <c r="AN207" s="31">
        <f>VLOOKUP($A207,kurspris!$A$1:$Q$852,13,FALSE)</f>
        <v>0</v>
      </c>
      <c r="AO207" s="31">
        <f>VLOOKUP($A207,kurspris!$A$1:$Q$852,14,FALSE)</f>
        <v>0</v>
      </c>
      <c r="AP207" s="59" t="s">
        <v>2216</v>
      </c>
      <c r="AR207" s="31">
        <f t="shared" si="85"/>
        <v>0</v>
      </c>
      <c r="AS207" s="237">
        <f t="shared" si="86"/>
        <v>0</v>
      </c>
      <c r="AT207" s="31">
        <f t="shared" si="87"/>
        <v>0</v>
      </c>
      <c r="AU207" s="237">
        <f t="shared" si="88"/>
        <v>0</v>
      </c>
      <c r="AV207" s="31">
        <f t="shared" si="89"/>
        <v>0</v>
      </c>
      <c r="AW207" s="31">
        <f t="shared" si="90"/>
        <v>0</v>
      </c>
      <c r="AX207" s="31">
        <f t="shared" si="91"/>
        <v>0</v>
      </c>
      <c r="AY207" s="237">
        <f t="shared" si="92"/>
        <v>0</v>
      </c>
      <c r="AZ207" s="214">
        <f t="shared" si="93"/>
        <v>0</v>
      </c>
      <c r="BA207" s="237">
        <f t="shared" si="94"/>
        <v>0</v>
      </c>
      <c r="BB207" s="31">
        <f t="shared" si="95"/>
        <v>2</v>
      </c>
      <c r="BC207" s="237">
        <f t="shared" si="96"/>
        <v>1.6</v>
      </c>
      <c r="BD207" s="31">
        <f t="shared" si="97"/>
        <v>0</v>
      </c>
      <c r="BE207" s="237">
        <f t="shared" si="98"/>
        <v>0</v>
      </c>
      <c r="BF207" s="31">
        <f t="shared" si="99"/>
        <v>0</v>
      </c>
      <c r="BG207" s="237">
        <f t="shared" si="100"/>
        <v>0</v>
      </c>
      <c r="BH207" s="31">
        <f t="shared" si="101"/>
        <v>0</v>
      </c>
      <c r="BI207" s="237">
        <f t="shared" si="102"/>
        <v>0</v>
      </c>
      <c r="BJ207" s="31">
        <f t="shared" si="103"/>
        <v>0</v>
      </c>
      <c r="BK207" s="31">
        <f t="shared" si="104"/>
        <v>0</v>
      </c>
      <c r="BL207" s="237">
        <f t="shared" si="105"/>
        <v>0</v>
      </c>
      <c r="BM207" s="31">
        <f t="shared" si="106"/>
        <v>0</v>
      </c>
      <c r="BN207" s="237">
        <f t="shared" si="107"/>
        <v>0</v>
      </c>
    </row>
    <row r="208" spans="1:66" x14ac:dyDescent="0.25">
      <c r="A208" s="31" t="s">
        <v>1931</v>
      </c>
      <c r="B208" s="182" t="str">
        <f>VLOOKUP(A208,kurspris!$A$1:$B$894,2,FALSE)</f>
        <v>Matematikdidaktik 1 för grundskolans åk 7-9 och gymnasiet</v>
      </c>
      <c r="D208" s="31" t="s">
        <v>483</v>
      </c>
      <c r="F208" s="59">
        <v>2019</v>
      </c>
      <c r="Q208" s="237">
        <v>1.375</v>
      </c>
      <c r="R208" s="40">
        <v>0.85</v>
      </c>
      <c r="S208" s="313">
        <f t="shared" si="81"/>
        <v>1.16875</v>
      </c>
      <c r="T208" s="31">
        <f>VLOOKUP(A208,'Ansvar kurs'!$A$1:$C$1027,2,FALSE)</f>
        <v>5740</v>
      </c>
      <c r="U208" s="31" t="str">
        <f>VLOOKUP(T208,Orgenheter!$A$1:$C$165,2,FALSE)</f>
        <v>NMD</v>
      </c>
      <c r="V208" s="31" t="str">
        <f>VLOOKUP(T208,Orgenheter!$A$1:$C$165,3,FALSE)</f>
        <v>TekNat</v>
      </c>
      <c r="W208" s="37" t="str">
        <f>VLOOKUP(D208,Program!$A$1:$B$34,2,FALSE)</f>
        <v>Ämneslärarprogrammet - Gy</v>
      </c>
      <c r="X208" s="42">
        <f>VLOOKUP(A208,kurspris!$A$1:$Q$815,15,FALSE)</f>
        <v>19473</v>
      </c>
      <c r="Y208" s="42">
        <f>VLOOKUP(A208,kurspris!$A$1:$Q$815,16,FALSE)</f>
        <v>34806</v>
      </c>
      <c r="Z208" s="42">
        <f t="shared" si="82"/>
        <v>67454.887499999997</v>
      </c>
      <c r="AA208" s="42">
        <f>VLOOKUP(A208,kurspris!$A$1:$Q$815,17,FALSE)</f>
        <v>21800</v>
      </c>
      <c r="AB208" s="42">
        <f t="shared" si="83"/>
        <v>29975</v>
      </c>
      <c r="AC208" s="42">
        <f t="shared" si="84"/>
        <v>97429.887499999997</v>
      </c>
      <c r="AD208" s="31">
        <f>VLOOKUP($A208,kurspris!$A$1:$Q$852,3,FALSE)</f>
        <v>0</v>
      </c>
      <c r="AE208" s="31">
        <f>VLOOKUP($A208,kurspris!$A$1:$Q$852,4,FALSE)</f>
        <v>0</v>
      </c>
      <c r="AF208" s="31">
        <f>VLOOKUP($A208,kurspris!$A$1:$Q$852,5,FALSE)</f>
        <v>0</v>
      </c>
      <c r="AG208" s="31">
        <f>VLOOKUP($A208,kurspris!$A$1:$Q$852,6,FALSE)</f>
        <v>0</v>
      </c>
      <c r="AH208" s="31">
        <f>VLOOKUP($A208,kurspris!$A$1:$Q$852,7,FALSE)</f>
        <v>0</v>
      </c>
      <c r="AI208" s="31">
        <f>VLOOKUP($A208,kurspris!$A$1:$Q$852,8,FALSE)</f>
        <v>1</v>
      </c>
      <c r="AJ208" s="31">
        <f>VLOOKUP($A208,kurspris!$A$1:$Q$852,9,FALSE)</f>
        <v>0</v>
      </c>
      <c r="AK208" s="31">
        <f>VLOOKUP($A208,kurspris!$A$1:$Q$852,10,FALSE)</f>
        <v>0</v>
      </c>
      <c r="AL208" s="31">
        <f>VLOOKUP($A208,kurspris!$A$1:$Q$852,11,FALSE)</f>
        <v>0</v>
      </c>
      <c r="AM208" s="31">
        <f>VLOOKUP($A208,kurspris!$A$1:$Q$852,12,FALSE)</f>
        <v>0</v>
      </c>
      <c r="AN208" s="31">
        <f>VLOOKUP($A208,kurspris!$A$1:$Q$852,13,FALSE)</f>
        <v>0</v>
      </c>
      <c r="AO208" s="31">
        <f>VLOOKUP($A208,kurspris!$A$1:$Q$852,14,FALSE)</f>
        <v>0</v>
      </c>
      <c r="AP208" s="59" t="s">
        <v>2216</v>
      </c>
      <c r="AR208" s="31">
        <f t="shared" si="85"/>
        <v>0</v>
      </c>
      <c r="AS208" s="237">
        <f t="shared" si="86"/>
        <v>0</v>
      </c>
      <c r="AT208" s="31">
        <f t="shared" si="87"/>
        <v>0</v>
      </c>
      <c r="AU208" s="237">
        <f t="shared" si="88"/>
        <v>0</v>
      </c>
      <c r="AV208" s="31">
        <f t="shared" si="89"/>
        <v>0</v>
      </c>
      <c r="AW208" s="31">
        <f t="shared" si="90"/>
        <v>0</v>
      </c>
      <c r="AX208" s="31">
        <f t="shared" si="91"/>
        <v>0</v>
      </c>
      <c r="AY208" s="237">
        <f t="shared" si="92"/>
        <v>0</v>
      </c>
      <c r="AZ208" s="214">
        <f t="shared" si="93"/>
        <v>0</v>
      </c>
      <c r="BA208" s="237">
        <f t="shared" si="94"/>
        <v>0</v>
      </c>
      <c r="BB208" s="31">
        <f t="shared" si="95"/>
        <v>1.375</v>
      </c>
      <c r="BC208" s="237">
        <f t="shared" si="96"/>
        <v>1.16875</v>
      </c>
      <c r="BD208" s="31">
        <f t="shared" si="97"/>
        <v>0</v>
      </c>
      <c r="BE208" s="237">
        <f t="shared" si="98"/>
        <v>0</v>
      </c>
      <c r="BF208" s="31">
        <f t="shared" si="99"/>
        <v>0</v>
      </c>
      <c r="BG208" s="237">
        <f t="shared" si="100"/>
        <v>0</v>
      </c>
      <c r="BH208" s="31">
        <f t="shared" si="101"/>
        <v>0</v>
      </c>
      <c r="BI208" s="237">
        <f t="shared" si="102"/>
        <v>0</v>
      </c>
      <c r="BJ208" s="31">
        <f t="shared" si="103"/>
        <v>0</v>
      </c>
      <c r="BK208" s="31">
        <f t="shared" si="104"/>
        <v>0</v>
      </c>
      <c r="BL208" s="237">
        <f t="shared" si="105"/>
        <v>0</v>
      </c>
      <c r="BM208" s="31">
        <f t="shared" si="106"/>
        <v>0</v>
      </c>
      <c r="BN208" s="237">
        <f t="shared" si="107"/>
        <v>0</v>
      </c>
    </row>
    <row r="209" spans="1:66" x14ac:dyDescent="0.25">
      <c r="A209" s="31" t="s">
        <v>1931</v>
      </c>
      <c r="B209" s="182" t="str">
        <f>VLOOKUP(A209,kurspris!$A$1:$B$894,2,FALSE)</f>
        <v>Matematikdidaktik 1 för grundskolans åk 7-9 och gymnasiet</v>
      </c>
      <c r="D209" s="31" t="s">
        <v>117</v>
      </c>
      <c r="F209" s="59">
        <v>2019</v>
      </c>
      <c r="Q209" s="237">
        <v>0.5</v>
      </c>
      <c r="R209" s="40">
        <v>0.8</v>
      </c>
      <c r="S209" s="313">
        <f t="shared" si="81"/>
        <v>0.4</v>
      </c>
      <c r="T209" s="31">
        <f>VLOOKUP(A209,'Ansvar kurs'!$A$1:$C$1027,2,FALSE)</f>
        <v>5740</v>
      </c>
      <c r="U209" s="31" t="str">
        <f>VLOOKUP(T209,Orgenheter!$A$1:$C$165,2,FALSE)</f>
        <v>NMD</v>
      </c>
      <c r="V209" s="31" t="str">
        <f>VLOOKUP(T209,Orgenheter!$A$1:$C$165,3,FALSE)</f>
        <v>TekNat</v>
      </c>
      <c r="W209" s="37" t="str">
        <f>VLOOKUP(D209,Program!$A$1:$B$34,2,FALSE)</f>
        <v>Fristående och övriga kurser</v>
      </c>
      <c r="X209" s="42">
        <f>VLOOKUP(A209,kurspris!$A$1:$Q$815,15,FALSE)</f>
        <v>19473</v>
      </c>
      <c r="Y209" s="42">
        <f>VLOOKUP(A209,kurspris!$A$1:$Q$815,16,FALSE)</f>
        <v>34806</v>
      </c>
      <c r="Z209" s="42">
        <f t="shared" si="82"/>
        <v>23658.9</v>
      </c>
      <c r="AA209" s="42">
        <f>VLOOKUP(A209,kurspris!$A$1:$Q$815,17,FALSE)</f>
        <v>21800</v>
      </c>
      <c r="AB209" s="42">
        <f t="shared" si="83"/>
        <v>10900</v>
      </c>
      <c r="AC209" s="42">
        <f t="shared" si="84"/>
        <v>34558.9</v>
      </c>
      <c r="AD209" s="31">
        <f>VLOOKUP($A209,kurspris!$A$1:$Q$852,3,FALSE)</f>
        <v>0</v>
      </c>
      <c r="AE209" s="31">
        <f>VLOOKUP($A209,kurspris!$A$1:$Q$852,4,FALSE)</f>
        <v>0</v>
      </c>
      <c r="AF209" s="31">
        <f>VLOOKUP($A209,kurspris!$A$1:$Q$852,5,FALSE)</f>
        <v>0</v>
      </c>
      <c r="AG209" s="31">
        <f>VLOOKUP($A209,kurspris!$A$1:$Q$852,6,FALSE)</f>
        <v>0</v>
      </c>
      <c r="AH209" s="31">
        <f>VLOOKUP($A209,kurspris!$A$1:$Q$852,7,FALSE)</f>
        <v>0</v>
      </c>
      <c r="AI209" s="31">
        <f>VLOOKUP($A209,kurspris!$A$1:$Q$852,8,FALSE)</f>
        <v>1</v>
      </c>
      <c r="AJ209" s="31">
        <f>VLOOKUP($A209,kurspris!$A$1:$Q$852,9,FALSE)</f>
        <v>0</v>
      </c>
      <c r="AK209" s="31">
        <f>VLOOKUP($A209,kurspris!$A$1:$Q$852,10,FALSE)</f>
        <v>0</v>
      </c>
      <c r="AL209" s="31">
        <f>VLOOKUP($A209,kurspris!$A$1:$Q$852,11,FALSE)</f>
        <v>0</v>
      </c>
      <c r="AM209" s="31">
        <f>VLOOKUP($A209,kurspris!$A$1:$Q$852,12,FALSE)</f>
        <v>0</v>
      </c>
      <c r="AN209" s="31">
        <f>VLOOKUP($A209,kurspris!$A$1:$Q$852,13,FALSE)</f>
        <v>0</v>
      </c>
      <c r="AO209" s="31">
        <f>VLOOKUP($A209,kurspris!$A$1:$Q$852,14,FALSE)</f>
        <v>0</v>
      </c>
      <c r="AP209" s="59" t="s">
        <v>2216</v>
      </c>
      <c r="AR209" s="31">
        <f t="shared" si="85"/>
        <v>0</v>
      </c>
      <c r="AS209" s="237">
        <f t="shared" si="86"/>
        <v>0</v>
      </c>
      <c r="AT209" s="31">
        <f t="shared" si="87"/>
        <v>0</v>
      </c>
      <c r="AU209" s="237">
        <f t="shared" si="88"/>
        <v>0</v>
      </c>
      <c r="AV209" s="31">
        <f t="shared" si="89"/>
        <v>0</v>
      </c>
      <c r="AW209" s="31">
        <f t="shared" si="90"/>
        <v>0</v>
      </c>
      <c r="AX209" s="31">
        <f t="shared" si="91"/>
        <v>0</v>
      </c>
      <c r="AY209" s="237">
        <f t="shared" si="92"/>
        <v>0</v>
      </c>
      <c r="AZ209" s="214">
        <f t="shared" si="93"/>
        <v>0</v>
      </c>
      <c r="BA209" s="237">
        <f t="shared" si="94"/>
        <v>0</v>
      </c>
      <c r="BB209" s="31">
        <f t="shared" si="95"/>
        <v>0.5</v>
      </c>
      <c r="BC209" s="237">
        <f t="shared" si="96"/>
        <v>0.4</v>
      </c>
      <c r="BD209" s="31">
        <f t="shared" si="97"/>
        <v>0</v>
      </c>
      <c r="BE209" s="237">
        <f t="shared" si="98"/>
        <v>0</v>
      </c>
      <c r="BF209" s="31">
        <f t="shared" si="99"/>
        <v>0</v>
      </c>
      <c r="BG209" s="237">
        <f t="shared" si="100"/>
        <v>0</v>
      </c>
      <c r="BH209" s="31">
        <f t="shared" si="101"/>
        <v>0</v>
      </c>
      <c r="BI209" s="237">
        <f t="shared" si="102"/>
        <v>0</v>
      </c>
      <c r="BJ209" s="31">
        <f t="shared" si="103"/>
        <v>0</v>
      </c>
      <c r="BK209" s="31">
        <f t="shared" si="104"/>
        <v>0</v>
      </c>
      <c r="BL209" s="237">
        <f t="shared" si="105"/>
        <v>0</v>
      </c>
      <c r="BM209" s="31">
        <f t="shared" si="106"/>
        <v>0</v>
      </c>
      <c r="BN209" s="237">
        <f t="shared" si="107"/>
        <v>0</v>
      </c>
    </row>
    <row r="210" spans="1:66" x14ac:dyDescent="0.25">
      <c r="A210" s="31" t="s">
        <v>1940</v>
      </c>
      <c r="B210" s="182" t="str">
        <f>VLOOKUP(A210,kurspris!$A$1:$B$894,2,FALSE)</f>
        <v>Matematikdidaktik 2 för grundskolans åk 7-9 och gymnasiet</v>
      </c>
      <c r="D210" s="31" t="s">
        <v>483</v>
      </c>
      <c r="F210" s="59">
        <v>2019</v>
      </c>
      <c r="Q210" s="237">
        <v>1.25</v>
      </c>
      <c r="R210" s="40">
        <v>0.85</v>
      </c>
      <c r="S210" s="313">
        <f t="shared" si="81"/>
        <v>1.0625</v>
      </c>
      <c r="T210" s="31">
        <f>VLOOKUP(A210,'Ansvar kurs'!$A$1:$C$1027,2,FALSE)</f>
        <v>5740</v>
      </c>
      <c r="U210" s="31" t="str">
        <f>VLOOKUP(T210,Orgenheter!$A$1:$C$165,2,FALSE)</f>
        <v>NMD</v>
      </c>
      <c r="V210" s="31" t="str">
        <f>VLOOKUP(T210,Orgenheter!$A$1:$C$165,3,FALSE)</f>
        <v>TekNat</v>
      </c>
      <c r="W210" s="37" t="str">
        <f>VLOOKUP(D210,Program!$A$1:$B$34,2,FALSE)</f>
        <v>Ämneslärarprogrammet - Gy</v>
      </c>
      <c r="X210" s="42">
        <f>VLOOKUP(A210,kurspris!$A$1:$Q$815,15,FALSE)</f>
        <v>19473</v>
      </c>
      <c r="Y210" s="42">
        <f>VLOOKUP(A210,kurspris!$A$1:$Q$815,16,FALSE)</f>
        <v>34806</v>
      </c>
      <c r="Z210" s="42">
        <f t="shared" si="82"/>
        <v>61322.625</v>
      </c>
      <c r="AA210" s="42">
        <f>VLOOKUP(A210,kurspris!$A$1:$Q$815,17,FALSE)</f>
        <v>21800</v>
      </c>
      <c r="AB210" s="42">
        <f t="shared" si="83"/>
        <v>27250</v>
      </c>
      <c r="AC210" s="42">
        <f t="shared" si="84"/>
        <v>88572.625</v>
      </c>
      <c r="AD210" s="31">
        <f>VLOOKUP($A210,kurspris!$A$1:$Q$852,3,FALSE)</f>
        <v>0</v>
      </c>
      <c r="AE210" s="31">
        <f>VLOOKUP($A210,kurspris!$A$1:$Q$852,4,FALSE)</f>
        <v>0</v>
      </c>
      <c r="AF210" s="31">
        <f>VLOOKUP($A210,kurspris!$A$1:$Q$852,5,FALSE)</f>
        <v>0</v>
      </c>
      <c r="AG210" s="31">
        <f>VLOOKUP($A210,kurspris!$A$1:$Q$852,6,FALSE)</f>
        <v>0</v>
      </c>
      <c r="AH210" s="31">
        <f>VLOOKUP($A210,kurspris!$A$1:$Q$852,7,FALSE)</f>
        <v>0</v>
      </c>
      <c r="AI210" s="31">
        <f>VLOOKUP($A210,kurspris!$A$1:$Q$852,8,FALSE)</f>
        <v>1</v>
      </c>
      <c r="AJ210" s="31">
        <f>VLOOKUP($A210,kurspris!$A$1:$Q$852,9,FALSE)</f>
        <v>0</v>
      </c>
      <c r="AK210" s="31">
        <f>VLOOKUP($A210,kurspris!$A$1:$Q$852,10,FALSE)</f>
        <v>0</v>
      </c>
      <c r="AL210" s="31">
        <f>VLOOKUP($A210,kurspris!$A$1:$Q$852,11,FALSE)</f>
        <v>0</v>
      </c>
      <c r="AM210" s="31">
        <f>VLOOKUP($A210,kurspris!$A$1:$Q$852,12,FALSE)</f>
        <v>0</v>
      </c>
      <c r="AN210" s="31">
        <f>VLOOKUP($A210,kurspris!$A$1:$Q$852,13,FALSE)</f>
        <v>0</v>
      </c>
      <c r="AO210" s="31">
        <f>VLOOKUP($A210,kurspris!$A$1:$Q$852,14,FALSE)</f>
        <v>0</v>
      </c>
      <c r="AP210" s="59" t="s">
        <v>2216</v>
      </c>
      <c r="AR210" s="31">
        <f t="shared" si="85"/>
        <v>0</v>
      </c>
      <c r="AS210" s="237">
        <f t="shared" si="86"/>
        <v>0</v>
      </c>
      <c r="AT210" s="31">
        <f t="shared" si="87"/>
        <v>0</v>
      </c>
      <c r="AU210" s="237">
        <f t="shared" si="88"/>
        <v>0</v>
      </c>
      <c r="AV210" s="31">
        <f t="shared" si="89"/>
        <v>0</v>
      </c>
      <c r="AW210" s="31">
        <f t="shared" si="90"/>
        <v>0</v>
      </c>
      <c r="AX210" s="31">
        <f t="shared" si="91"/>
        <v>0</v>
      </c>
      <c r="AY210" s="237">
        <f t="shared" si="92"/>
        <v>0</v>
      </c>
      <c r="AZ210" s="214">
        <f t="shared" si="93"/>
        <v>0</v>
      </c>
      <c r="BA210" s="237">
        <f t="shared" si="94"/>
        <v>0</v>
      </c>
      <c r="BB210" s="31">
        <f t="shared" si="95"/>
        <v>1.25</v>
      </c>
      <c r="BC210" s="237">
        <f t="shared" si="96"/>
        <v>1.0625</v>
      </c>
      <c r="BD210" s="31">
        <f t="shared" si="97"/>
        <v>0</v>
      </c>
      <c r="BE210" s="237">
        <f t="shared" si="98"/>
        <v>0</v>
      </c>
      <c r="BF210" s="31">
        <f t="shared" si="99"/>
        <v>0</v>
      </c>
      <c r="BG210" s="237">
        <f t="shared" si="100"/>
        <v>0</v>
      </c>
      <c r="BH210" s="31">
        <f t="shared" si="101"/>
        <v>0</v>
      </c>
      <c r="BI210" s="237">
        <f t="shared" si="102"/>
        <v>0</v>
      </c>
      <c r="BJ210" s="31">
        <f t="shared" si="103"/>
        <v>0</v>
      </c>
      <c r="BK210" s="31">
        <f t="shared" si="104"/>
        <v>0</v>
      </c>
      <c r="BL210" s="237">
        <f t="shared" si="105"/>
        <v>0</v>
      </c>
      <c r="BM210" s="31">
        <f t="shared" si="106"/>
        <v>0</v>
      </c>
      <c r="BN210" s="237">
        <f t="shared" si="107"/>
        <v>0</v>
      </c>
    </row>
    <row r="211" spans="1:66" x14ac:dyDescent="0.25">
      <c r="A211" s="31" t="s">
        <v>1940</v>
      </c>
      <c r="B211" s="182" t="str">
        <f>VLOOKUP(A211,kurspris!$A$1:$B$894,2,FALSE)</f>
        <v>Matematikdidaktik 2 för grundskolans åk 7-9 och gymnasiet</v>
      </c>
      <c r="D211" s="31" t="s">
        <v>117</v>
      </c>
      <c r="F211" s="59">
        <v>2019</v>
      </c>
      <c r="Q211" s="237">
        <v>0.375</v>
      </c>
      <c r="R211" s="40">
        <v>0.8</v>
      </c>
      <c r="S211" s="313">
        <f t="shared" si="81"/>
        <v>0.30000000000000004</v>
      </c>
      <c r="T211" s="31">
        <f>VLOOKUP(A211,'Ansvar kurs'!$A$1:$C$1027,2,FALSE)</f>
        <v>5740</v>
      </c>
      <c r="U211" s="31" t="str">
        <f>VLOOKUP(T211,Orgenheter!$A$1:$C$165,2,FALSE)</f>
        <v>NMD</v>
      </c>
      <c r="V211" s="31" t="str">
        <f>VLOOKUP(T211,Orgenheter!$A$1:$C$165,3,FALSE)</f>
        <v>TekNat</v>
      </c>
      <c r="W211" s="37" t="str">
        <f>VLOOKUP(D211,Program!$A$1:$B$34,2,FALSE)</f>
        <v>Fristående och övriga kurser</v>
      </c>
      <c r="X211" s="42">
        <f>VLOOKUP(A211,kurspris!$A$1:$Q$815,15,FALSE)</f>
        <v>19473</v>
      </c>
      <c r="Y211" s="42">
        <f>VLOOKUP(A211,kurspris!$A$1:$Q$815,16,FALSE)</f>
        <v>34806</v>
      </c>
      <c r="Z211" s="42">
        <f t="shared" si="82"/>
        <v>17744.175000000003</v>
      </c>
      <c r="AA211" s="42">
        <f>VLOOKUP(A211,kurspris!$A$1:$Q$815,17,FALSE)</f>
        <v>21800</v>
      </c>
      <c r="AB211" s="42">
        <f t="shared" si="83"/>
        <v>8175</v>
      </c>
      <c r="AC211" s="42">
        <f t="shared" si="84"/>
        <v>25919.175000000003</v>
      </c>
      <c r="AD211" s="31">
        <f>VLOOKUP($A211,kurspris!$A$1:$Q$852,3,FALSE)</f>
        <v>0</v>
      </c>
      <c r="AE211" s="31">
        <f>VLOOKUP($A211,kurspris!$A$1:$Q$852,4,FALSE)</f>
        <v>0</v>
      </c>
      <c r="AF211" s="31">
        <f>VLOOKUP($A211,kurspris!$A$1:$Q$852,5,FALSE)</f>
        <v>0</v>
      </c>
      <c r="AG211" s="31">
        <f>VLOOKUP($A211,kurspris!$A$1:$Q$852,6,FALSE)</f>
        <v>0</v>
      </c>
      <c r="AH211" s="31">
        <f>VLOOKUP($A211,kurspris!$A$1:$Q$852,7,FALSE)</f>
        <v>0</v>
      </c>
      <c r="AI211" s="31">
        <f>VLOOKUP($A211,kurspris!$A$1:$Q$852,8,FALSE)</f>
        <v>1</v>
      </c>
      <c r="AJ211" s="31">
        <f>VLOOKUP($A211,kurspris!$A$1:$Q$852,9,FALSE)</f>
        <v>0</v>
      </c>
      <c r="AK211" s="31">
        <f>VLOOKUP($A211,kurspris!$A$1:$Q$852,10,FALSE)</f>
        <v>0</v>
      </c>
      <c r="AL211" s="31">
        <f>VLOOKUP($A211,kurspris!$A$1:$Q$852,11,FALSE)</f>
        <v>0</v>
      </c>
      <c r="AM211" s="31">
        <f>VLOOKUP($A211,kurspris!$A$1:$Q$852,12,FALSE)</f>
        <v>0</v>
      </c>
      <c r="AN211" s="31">
        <f>VLOOKUP($A211,kurspris!$A$1:$Q$852,13,FALSE)</f>
        <v>0</v>
      </c>
      <c r="AO211" s="31">
        <f>VLOOKUP($A211,kurspris!$A$1:$Q$852,14,FALSE)</f>
        <v>0</v>
      </c>
      <c r="AP211" s="59" t="s">
        <v>2216</v>
      </c>
      <c r="AR211" s="31">
        <f t="shared" si="85"/>
        <v>0</v>
      </c>
      <c r="AS211" s="237">
        <f t="shared" si="86"/>
        <v>0</v>
      </c>
      <c r="AT211" s="31">
        <f t="shared" si="87"/>
        <v>0</v>
      </c>
      <c r="AU211" s="237">
        <f t="shared" si="88"/>
        <v>0</v>
      </c>
      <c r="AV211" s="31">
        <f t="shared" si="89"/>
        <v>0</v>
      </c>
      <c r="AW211" s="31">
        <f t="shared" si="90"/>
        <v>0</v>
      </c>
      <c r="AX211" s="31">
        <f t="shared" si="91"/>
        <v>0</v>
      </c>
      <c r="AY211" s="237">
        <f t="shared" si="92"/>
        <v>0</v>
      </c>
      <c r="AZ211" s="214">
        <f t="shared" si="93"/>
        <v>0</v>
      </c>
      <c r="BA211" s="237">
        <f t="shared" si="94"/>
        <v>0</v>
      </c>
      <c r="BB211" s="31">
        <f t="shared" si="95"/>
        <v>0.375</v>
      </c>
      <c r="BC211" s="237">
        <f t="shared" si="96"/>
        <v>0.30000000000000004</v>
      </c>
      <c r="BD211" s="31">
        <f t="shared" si="97"/>
        <v>0</v>
      </c>
      <c r="BE211" s="237">
        <f t="shared" si="98"/>
        <v>0</v>
      </c>
      <c r="BF211" s="31">
        <f t="shared" si="99"/>
        <v>0</v>
      </c>
      <c r="BG211" s="237">
        <f t="shared" si="100"/>
        <v>0</v>
      </c>
      <c r="BH211" s="31">
        <f t="shared" si="101"/>
        <v>0</v>
      </c>
      <c r="BI211" s="237">
        <f t="shared" si="102"/>
        <v>0</v>
      </c>
      <c r="BJ211" s="31">
        <f t="shared" si="103"/>
        <v>0</v>
      </c>
      <c r="BK211" s="31">
        <f t="shared" si="104"/>
        <v>0</v>
      </c>
      <c r="BL211" s="237">
        <f t="shared" si="105"/>
        <v>0</v>
      </c>
      <c r="BM211" s="31">
        <f t="shared" si="106"/>
        <v>0</v>
      </c>
      <c r="BN211" s="237">
        <f t="shared" si="107"/>
        <v>0</v>
      </c>
    </row>
    <row r="212" spans="1:66" x14ac:dyDescent="0.25">
      <c r="A212" s="159" t="s">
        <v>1939</v>
      </c>
      <c r="B212" s="182" t="str">
        <f>VLOOKUP(A212,kurspris!$A$1:$B$894,2,FALSE)</f>
        <v>Statistik för lärare</v>
      </c>
      <c r="C212" s="37"/>
      <c r="D212" s="31" t="s">
        <v>483</v>
      </c>
      <c r="F212" s="59">
        <v>2019</v>
      </c>
      <c r="Q212" s="237">
        <v>1.25</v>
      </c>
      <c r="R212" s="40">
        <v>0.85</v>
      </c>
      <c r="S212" s="313">
        <f t="shared" si="81"/>
        <v>1.0625</v>
      </c>
      <c r="T212" s="31">
        <f>VLOOKUP(A212,'Ansvar kurs'!$A$1:$C$1027,2,FALSE)</f>
        <v>5730</v>
      </c>
      <c r="U212" s="31" t="str">
        <f>VLOOKUP(T212,Orgenheter!$A$1:$C$165,2,FALSE)</f>
        <v>Inst för MA och MA statistik</v>
      </c>
      <c r="V212" s="31" t="str">
        <f>VLOOKUP(T212,Orgenheter!$A$1:$C$165,3,FALSE)</f>
        <v>TekNat</v>
      </c>
      <c r="W212" s="37" t="str">
        <f>VLOOKUP(D212,Program!$A$1:$B$34,2,FALSE)</f>
        <v>Ämneslärarprogrammet - Gy</v>
      </c>
      <c r="X212" s="42">
        <f>VLOOKUP(A212,kurspris!$A$1:$Q$815,15,FALSE)</f>
        <v>19473</v>
      </c>
      <c r="Y212" s="42">
        <f>VLOOKUP(A212,kurspris!$A$1:$Q$815,16,FALSE)</f>
        <v>34806</v>
      </c>
      <c r="Z212" s="42">
        <f t="shared" si="82"/>
        <v>61322.625</v>
      </c>
      <c r="AA212" s="42">
        <f>VLOOKUP(A212,kurspris!$A$1:$Q$815,17,FALSE)</f>
        <v>21800</v>
      </c>
      <c r="AB212" s="42">
        <f t="shared" si="83"/>
        <v>27250</v>
      </c>
      <c r="AC212" s="42">
        <f t="shared" si="84"/>
        <v>88572.625</v>
      </c>
      <c r="AD212" s="31">
        <f>VLOOKUP($A212,kurspris!$A$1:$Q$852,3,FALSE)</f>
        <v>0</v>
      </c>
      <c r="AE212" s="31">
        <f>VLOOKUP($A212,kurspris!$A$1:$Q$852,4,FALSE)</f>
        <v>0</v>
      </c>
      <c r="AF212" s="31">
        <f>VLOOKUP($A212,kurspris!$A$1:$Q$852,5,FALSE)</f>
        <v>0</v>
      </c>
      <c r="AG212" s="31">
        <f>VLOOKUP($A212,kurspris!$A$1:$Q$852,6,FALSE)</f>
        <v>0</v>
      </c>
      <c r="AH212" s="31">
        <f>VLOOKUP($A212,kurspris!$A$1:$Q$852,7,FALSE)</f>
        <v>0</v>
      </c>
      <c r="AI212" s="31">
        <f>VLOOKUP($A212,kurspris!$A$1:$Q$852,8,FALSE)</f>
        <v>1</v>
      </c>
      <c r="AJ212" s="31">
        <f>VLOOKUP($A212,kurspris!$A$1:$Q$852,9,FALSE)</f>
        <v>0</v>
      </c>
      <c r="AK212" s="31">
        <f>VLOOKUP($A212,kurspris!$A$1:$Q$852,10,FALSE)</f>
        <v>0</v>
      </c>
      <c r="AL212" s="31">
        <f>VLOOKUP($A212,kurspris!$A$1:$Q$852,11,FALSE)</f>
        <v>0</v>
      </c>
      <c r="AM212" s="31">
        <f>VLOOKUP($A212,kurspris!$A$1:$Q$852,12,FALSE)</f>
        <v>0</v>
      </c>
      <c r="AN212" s="31">
        <f>VLOOKUP($A212,kurspris!$A$1:$Q$852,13,FALSE)</f>
        <v>0</v>
      </c>
      <c r="AO212" s="31">
        <f>VLOOKUP($A212,kurspris!$A$1:$Q$852,14,FALSE)</f>
        <v>0</v>
      </c>
      <c r="AP212" s="59" t="s">
        <v>2216</v>
      </c>
      <c r="AQ212" s="59"/>
      <c r="AR212" s="31">
        <f t="shared" si="85"/>
        <v>0</v>
      </c>
      <c r="AS212" s="237">
        <f t="shared" si="86"/>
        <v>0</v>
      </c>
      <c r="AT212" s="31">
        <f t="shared" si="87"/>
        <v>0</v>
      </c>
      <c r="AU212" s="237">
        <f t="shared" si="88"/>
        <v>0</v>
      </c>
      <c r="AV212" s="31">
        <f t="shared" si="89"/>
        <v>0</v>
      </c>
      <c r="AW212" s="31">
        <f t="shared" si="90"/>
        <v>0</v>
      </c>
      <c r="AX212" s="31">
        <f t="shared" si="91"/>
        <v>0</v>
      </c>
      <c r="AY212" s="237">
        <f t="shared" si="92"/>
        <v>0</v>
      </c>
      <c r="AZ212" s="214">
        <f t="shared" si="93"/>
        <v>0</v>
      </c>
      <c r="BA212" s="237">
        <f t="shared" si="94"/>
        <v>0</v>
      </c>
      <c r="BB212" s="31">
        <f t="shared" si="95"/>
        <v>1.25</v>
      </c>
      <c r="BC212" s="237">
        <f t="shared" si="96"/>
        <v>1.0625</v>
      </c>
      <c r="BD212" s="31">
        <f t="shared" si="97"/>
        <v>0</v>
      </c>
      <c r="BE212" s="237">
        <f t="shared" si="98"/>
        <v>0</v>
      </c>
      <c r="BF212" s="31">
        <f t="shared" si="99"/>
        <v>0</v>
      </c>
      <c r="BG212" s="237">
        <f t="shared" si="100"/>
        <v>0</v>
      </c>
      <c r="BH212" s="31">
        <f t="shared" si="101"/>
        <v>0</v>
      </c>
      <c r="BI212" s="237">
        <f t="shared" si="102"/>
        <v>0</v>
      </c>
      <c r="BJ212" s="31">
        <f t="shared" si="103"/>
        <v>0</v>
      </c>
      <c r="BK212" s="31">
        <f t="shared" si="104"/>
        <v>0</v>
      </c>
      <c r="BL212" s="237">
        <f t="shared" si="105"/>
        <v>0</v>
      </c>
      <c r="BM212" s="31">
        <f t="shared" si="106"/>
        <v>0</v>
      </c>
      <c r="BN212" s="237">
        <f t="shared" si="107"/>
        <v>0</v>
      </c>
    </row>
    <row r="213" spans="1:66" x14ac:dyDescent="0.25">
      <c r="A213" s="159" t="s">
        <v>1939</v>
      </c>
      <c r="B213" s="182" t="str">
        <f>VLOOKUP(A213,kurspris!$A$1:$B$894,2,FALSE)</f>
        <v>Statistik för lärare</v>
      </c>
      <c r="C213" s="37"/>
      <c r="D213" s="31" t="s">
        <v>117</v>
      </c>
      <c r="F213" s="59">
        <v>2019</v>
      </c>
      <c r="Q213" s="237">
        <v>0.375</v>
      </c>
      <c r="R213" s="40">
        <v>0.8</v>
      </c>
      <c r="S213" s="313">
        <f t="shared" si="81"/>
        <v>0.30000000000000004</v>
      </c>
      <c r="T213" s="31">
        <f>VLOOKUP(A213,'Ansvar kurs'!$A$1:$C$1027,2,FALSE)</f>
        <v>5730</v>
      </c>
      <c r="U213" s="31" t="str">
        <f>VLOOKUP(T213,Orgenheter!$A$1:$C$165,2,FALSE)</f>
        <v>Inst för MA och MA statistik</v>
      </c>
      <c r="V213" s="31" t="str">
        <f>VLOOKUP(T213,Orgenheter!$A$1:$C$165,3,FALSE)</f>
        <v>TekNat</v>
      </c>
      <c r="W213" s="37" t="str">
        <f>VLOOKUP(D213,Program!$A$1:$B$34,2,FALSE)</f>
        <v>Fristående och övriga kurser</v>
      </c>
      <c r="X213" s="42">
        <f>VLOOKUP(A213,kurspris!$A$1:$Q$815,15,FALSE)</f>
        <v>19473</v>
      </c>
      <c r="Y213" s="42">
        <f>VLOOKUP(A213,kurspris!$A$1:$Q$815,16,FALSE)</f>
        <v>34806</v>
      </c>
      <c r="Z213" s="42">
        <f t="shared" si="82"/>
        <v>17744.175000000003</v>
      </c>
      <c r="AA213" s="42">
        <f>VLOOKUP(A213,kurspris!$A$1:$Q$815,17,FALSE)</f>
        <v>21800</v>
      </c>
      <c r="AB213" s="42">
        <f t="shared" si="83"/>
        <v>8175</v>
      </c>
      <c r="AC213" s="42">
        <f t="shared" si="84"/>
        <v>25919.175000000003</v>
      </c>
      <c r="AD213" s="31">
        <f>VLOOKUP($A213,kurspris!$A$1:$Q$852,3,FALSE)</f>
        <v>0</v>
      </c>
      <c r="AE213" s="31">
        <f>VLOOKUP($A213,kurspris!$A$1:$Q$852,4,FALSE)</f>
        <v>0</v>
      </c>
      <c r="AF213" s="31">
        <f>VLOOKUP($A213,kurspris!$A$1:$Q$852,5,FALSE)</f>
        <v>0</v>
      </c>
      <c r="AG213" s="31">
        <f>VLOOKUP($A213,kurspris!$A$1:$Q$852,6,FALSE)</f>
        <v>0</v>
      </c>
      <c r="AH213" s="31">
        <f>VLOOKUP($A213,kurspris!$A$1:$Q$852,7,FALSE)</f>
        <v>0</v>
      </c>
      <c r="AI213" s="31">
        <f>VLOOKUP($A213,kurspris!$A$1:$Q$852,8,FALSE)</f>
        <v>1</v>
      </c>
      <c r="AJ213" s="31">
        <f>VLOOKUP($A213,kurspris!$A$1:$Q$852,9,FALSE)</f>
        <v>0</v>
      </c>
      <c r="AK213" s="31">
        <f>VLOOKUP($A213,kurspris!$A$1:$Q$852,10,FALSE)</f>
        <v>0</v>
      </c>
      <c r="AL213" s="31">
        <f>VLOOKUP($A213,kurspris!$A$1:$Q$852,11,FALSE)</f>
        <v>0</v>
      </c>
      <c r="AM213" s="31">
        <f>VLOOKUP($A213,kurspris!$A$1:$Q$852,12,FALSE)</f>
        <v>0</v>
      </c>
      <c r="AN213" s="31">
        <f>VLOOKUP($A213,kurspris!$A$1:$Q$852,13,FALSE)</f>
        <v>0</v>
      </c>
      <c r="AO213" s="31">
        <f>VLOOKUP($A213,kurspris!$A$1:$Q$852,14,FALSE)</f>
        <v>0</v>
      </c>
      <c r="AP213" s="59" t="s">
        <v>2216</v>
      </c>
      <c r="AQ213" s="59"/>
      <c r="AR213" s="31">
        <f t="shared" si="85"/>
        <v>0</v>
      </c>
      <c r="AS213" s="237">
        <f t="shared" si="86"/>
        <v>0</v>
      </c>
      <c r="AT213" s="31">
        <f t="shared" si="87"/>
        <v>0</v>
      </c>
      <c r="AU213" s="237">
        <f t="shared" si="88"/>
        <v>0</v>
      </c>
      <c r="AV213" s="31">
        <f t="shared" si="89"/>
        <v>0</v>
      </c>
      <c r="AW213" s="31">
        <f t="shared" si="90"/>
        <v>0</v>
      </c>
      <c r="AX213" s="31">
        <f t="shared" si="91"/>
        <v>0</v>
      </c>
      <c r="AY213" s="237">
        <f t="shared" si="92"/>
        <v>0</v>
      </c>
      <c r="AZ213" s="214">
        <f t="shared" si="93"/>
        <v>0</v>
      </c>
      <c r="BA213" s="237">
        <f t="shared" si="94"/>
        <v>0</v>
      </c>
      <c r="BB213" s="31">
        <f t="shared" si="95"/>
        <v>0.375</v>
      </c>
      <c r="BC213" s="237">
        <f t="shared" si="96"/>
        <v>0.30000000000000004</v>
      </c>
      <c r="BD213" s="31">
        <f t="shared" si="97"/>
        <v>0</v>
      </c>
      <c r="BE213" s="237">
        <f t="shared" si="98"/>
        <v>0</v>
      </c>
      <c r="BF213" s="31">
        <f t="shared" si="99"/>
        <v>0</v>
      </c>
      <c r="BG213" s="237">
        <f t="shared" si="100"/>
        <v>0</v>
      </c>
      <c r="BH213" s="31">
        <f t="shared" si="101"/>
        <v>0</v>
      </c>
      <c r="BI213" s="237">
        <f t="shared" si="102"/>
        <v>0</v>
      </c>
      <c r="BJ213" s="31">
        <f t="shared" si="103"/>
        <v>0</v>
      </c>
      <c r="BK213" s="31">
        <f t="shared" si="104"/>
        <v>0</v>
      </c>
      <c r="BL213" s="237">
        <f t="shared" si="105"/>
        <v>0</v>
      </c>
      <c r="BM213" s="31">
        <f t="shared" si="106"/>
        <v>0</v>
      </c>
      <c r="BN213" s="237">
        <f t="shared" si="107"/>
        <v>0</v>
      </c>
    </row>
    <row r="214" spans="1:66" x14ac:dyDescent="0.25">
      <c r="A214" s="31" t="s">
        <v>1992</v>
      </c>
      <c r="B214" s="182" t="str">
        <f>VLOOKUP(A214,kurspris!$A$1:$B$894,2,FALSE)</f>
        <v>Statistik för naturvetare</v>
      </c>
      <c r="D214" s="31" t="s">
        <v>483</v>
      </c>
      <c r="F214" s="59">
        <v>2019</v>
      </c>
      <c r="Q214" s="237">
        <v>0.25</v>
      </c>
      <c r="R214" s="40">
        <v>0.85</v>
      </c>
      <c r="S214" s="313">
        <f t="shared" si="81"/>
        <v>0.21249999999999999</v>
      </c>
      <c r="T214" s="31">
        <f>VLOOKUP(A214,'Ansvar kurs'!$A$1:$C$1027,2,FALSE)</f>
        <v>5730</v>
      </c>
      <c r="U214" s="31" t="str">
        <f>VLOOKUP(T214,Orgenheter!$A$1:$C$165,2,FALSE)</f>
        <v>Inst för MA och MA statistik</v>
      </c>
      <c r="V214" s="31" t="str">
        <f>VLOOKUP(T214,Orgenheter!$A$1:$C$165,3,FALSE)</f>
        <v>TekNat</v>
      </c>
      <c r="W214" s="37" t="str">
        <f>VLOOKUP(D214,Program!$A$1:$B$34,2,FALSE)</f>
        <v>Ämneslärarprogrammet - Gy</v>
      </c>
      <c r="X214" s="42">
        <f>VLOOKUP(A214,kurspris!$A$1:$Q$815,15,FALSE)</f>
        <v>19473</v>
      </c>
      <c r="Y214" s="42">
        <f>VLOOKUP(A214,kurspris!$A$1:$Q$815,16,FALSE)</f>
        <v>34806</v>
      </c>
      <c r="Z214" s="42">
        <f t="shared" si="82"/>
        <v>12264.525</v>
      </c>
      <c r="AA214" s="42">
        <f>VLOOKUP(A214,kurspris!$A$1:$Q$815,17,FALSE)</f>
        <v>21800</v>
      </c>
      <c r="AB214" s="42">
        <f t="shared" si="83"/>
        <v>5450</v>
      </c>
      <c r="AC214" s="42">
        <f t="shared" si="84"/>
        <v>17714.525000000001</v>
      </c>
      <c r="AD214" s="31">
        <f>VLOOKUP($A214,kurspris!$A$1:$Q$852,3,FALSE)</f>
        <v>0</v>
      </c>
      <c r="AE214" s="31">
        <f>VLOOKUP($A214,kurspris!$A$1:$Q$852,4,FALSE)</f>
        <v>0</v>
      </c>
      <c r="AF214" s="31">
        <f>VLOOKUP($A214,kurspris!$A$1:$Q$852,5,FALSE)</f>
        <v>0</v>
      </c>
      <c r="AG214" s="31">
        <f>VLOOKUP($A214,kurspris!$A$1:$Q$852,6,FALSE)</f>
        <v>0</v>
      </c>
      <c r="AH214" s="31">
        <f>VLOOKUP($A214,kurspris!$A$1:$Q$852,7,FALSE)</f>
        <v>0</v>
      </c>
      <c r="AI214" s="31">
        <f>VLOOKUP($A214,kurspris!$A$1:$Q$852,8,FALSE)</f>
        <v>0.5</v>
      </c>
      <c r="AJ214" s="31">
        <f>VLOOKUP($A214,kurspris!$A$1:$Q$852,9,FALSE)</f>
        <v>0</v>
      </c>
      <c r="AK214" s="31">
        <f>VLOOKUP($A214,kurspris!$A$1:$Q$852,10,FALSE)</f>
        <v>0.5</v>
      </c>
      <c r="AL214" s="31">
        <f>VLOOKUP($A214,kurspris!$A$1:$Q$852,11,FALSE)</f>
        <v>0</v>
      </c>
      <c r="AM214" s="31">
        <f>VLOOKUP($A214,kurspris!$A$1:$Q$852,12,FALSE)</f>
        <v>0</v>
      </c>
      <c r="AN214" s="31">
        <f>VLOOKUP($A214,kurspris!$A$1:$Q$852,13,FALSE)</f>
        <v>0</v>
      </c>
      <c r="AO214" s="31">
        <f>VLOOKUP($A214,kurspris!$A$1:$Q$852,14,FALSE)</f>
        <v>0</v>
      </c>
      <c r="AP214" s="59" t="s">
        <v>2216</v>
      </c>
      <c r="AR214" s="31">
        <f t="shared" si="85"/>
        <v>0</v>
      </c>
      <c r="AS214" s="237">
        <f t="shared" si="86"/>
        <v>0</v>
      </c>
      <c r="AT214" s="31">
        <f t="shared" si="87"/>
        <v>0</v>
      </c>
      <c r="AU214" s="237">
        <f t="shared" si="88"/>
        <v>0</v>
      </c>
      <c r="AV214" s="31">
        <f t="shared" si="89"/>
        <v>0</v>
      </c>
      <c r="AW214" s="31">
        <f t="shared" si="90"/>
        <v>0</v>
      </c>
      <c r="AX214" s="31">
        <f t="shared" si="91"/>
        <v>0</v>
      </c>
      <c r="AY214" s="237">
        <f t="shared" si="92"/>
        <v>0</v>
      </c>
      <c r="AZ214" s="214">
        <f t="shared" si="93"/>
        <v>0</v>
      </c>
      <c r="BA214" s="237">
        <f t="shared" si="94"/>
        <v>0</v>
      </c>
      <c r="BB214" s="31">
        <f t="shared" si="95"/>
        <v>0.125</v>
      </c>
      <c r="BC214" s="237">
        <f t="shared" si="96"/>
        <v>0.10625</v>
      </c>
      <c r="BD214" s="31">
        <f t="shared" si="97"/>
        <v>0</v>
      </c>
      <c r="BE214" s="237">
        <f t="shared" si="98"/>
        <v>0</v>
      </c>
      <c r="BF214" s="31">
        <f t="shared" si="99"/>
        <v>0.125</v>
      </c>
      <c r="BG214" s="237">
        <f t="shared" si="100"/>
        <v>0.10625</v>
      </c>
      <c r="BH214" s="31">
        <f t="shared" si="101"/>
        <v>0</v>
      </c>
      <c r="BI214" s="237">
        <f t="shared" si="102"/>
        <v>0</v>
      </c>
      <c r="BJ214" s="31">
        <f t="shared" si="103"/>
        <v>0</v>
      </c>
      <c r="BK214" s="31">
        <f t="shared" si="104"/>
        <v>0</v>
      </c>
      <c r="BL214" s="237">
        <f t="shared" si="105"/>
        <v>0</v>
      </c>
      <c r="BM214" s="31">
        <f t="shared" si="106"/>
        <v>0</v>
      </c>
      <c r="BN214" s="237">
        <f t="shared" si="107"/>
        <v>0</v>
      </c>
    </row>
    <row r="215" spans="1:66" x14ac:dyDescent="0.25">
      <c r="A215" s="31" t="s">
        <v>1992</v>
      </c>
      <c r="B215" s="182" t="str">
        <f>VLOOKUP(A215,kurspris!$A$1:$B$894,2,FALSE)</f>
        <v>Statistik för naturvetare</v>
      </c>
      <c r="D215" s="31" t="s">
        <v>117</v>
      </c>
      <c r="F215" s="59">
        <v>2019</v>
      </c>
      <c r="Q215" s="237">
        <v>0.25</v>
      </c>
      <c r="R215" s="40">
        <v>0.8</v>
      </c>
      <c r="S215" s="313">
        <f t="shared" si="81"/>
        <v>0.2</v>
      </c>
      <c r="T215" s="31">
        <f>VLOOKUP(A215,'Ansvar kurs'!$A$1:$C$1027,2,FALSE)</f>
        <v>5730</v>
      </c>
      <c r="U215" s="31" t="str">
        <f>VLOOKUP(T215,Orgenheter!$A$1:$C$165,2,FALSE)</f>
        <v>Inst för MA och MA statistik</v>
      </c>
      <c r="V215" s="31" t="str">
        <f>VLOOKUP(T215,Orgenheter!$A$1:$C$165,3,FALSE)</f>
        <v>TekNat</v>
      </c>
      <c r="W215" s="37" t="str">
        <f>VLOOKUP(D215,Program!$A$1:$B$34,2,FALSE)</f>
        <v>Fristående och övriga kurser</v>
      </c>
      <c r="X215" s="42">
        <f>VLOOKUP(A215,kurspris!$A$1:$Q$815,15,FALSE)</f>
        <v>19473</v>
      </c>
      <c r="Y215" s="42">
        <f>VLOOKUP(A215,kurspris!$A$1:$Q$815,16,FALSE)</f>
        <v>34806</v>
      </c>
      <c r="Z215" s="42">
        <f t="shared" si="82"/>
        <v>11829.45</v>
      </c>
      <c r="AA215" s="42">
        <f>VLOOKUP(A215,kurspris!$A$1:$Q$815,17,FALSE)</f>
        <v>21800</v>
      </c>
      <c r="AB215" s="42">
        <f t="shared" si="83"/>
        <v>5450</v>
      </c>
      <c r="AC215" s="42">
        <f t="shared" si="84"/>
        <v>17279.45</v>
      </c>
      <c r="AD215" s="31">
        <f>VLOOKUP($A215,kurspris!$A$1:$Q$852,3,FALSE)</f>
        <v>0</v>
      </c>
      <c r="AE215" s="31">
        <f>VLOOKUP($A215,kurspris!$A$1:$Q$852,4,FALSE)</f>
        <v>0</v>
      </c>
      <c r="AF215" s="31">
        <f>VLOOKUP($A215,kurspris!$A$1:$Q$852,5,FALSE)</f>
        <v>0</v>
      </c>
      <c r="AG215" s="31">
        <f>VLOOKUP($A215,kurspris!$A$1:$Q$852,6,FALSE)</f>
        <v>0</v>
      </c>
      <c r="AH215" s="31">
        <f>VLOOKUP($A215,kurspris!$A$1:$Q$852,7,FALSE)</f>
        <v>0</v>
      </c>
      <c r="AI215" s="31">
        <f>VLOOKUP($A215,kurspris!$A$1:$Q$852,8,FALSE)</f>
        <v>0.5</v>
      </c>
      <c r="AJ215" s="31">
        <f>VLOOKUP($A215,kurspris!$A$1:$Q$852,9,FALSE)</f>
        <v>0</v>
      </c>
      <c r="AK215" s="31">
        <f>VLOOKUP($A215,kurspris!$A$1:$Q$852,10,FALSE)</f>
        <v>0.5</v>
      </c>
      <c r="AL215" s="31">
        <f>VLOOKUP($A215,kurspris!$A$1:$Q$852,11,FALSE)</f>
        <v>0</v>
      </c>
      <c r="AM215" s="31">
        <f>VLOOKUP($A215,kurspris!$A$1:$Q$852,12,FALSE)</f>
        <v>0</v>
      </c>
      <c r="AN215" s="31">
        <f>VLOOKUP($A215,kurspris!$A$1:$Q$852,13,FALSE)</f>
        <v>0</v>
      </c>
      <c r="AO215" s="31">
        <f>VLOOKUP($A215,kurspris!$A$1:$Q$852,14,FALSE)</f>
        <v>0</v>
      </c>
      <c r="AP215" s="59" t="s">
        <v>2216</v>
      </c>
      <c r="AR215" s="31">
        <f t="shared" si="85"/>
        <v>0</v>
      </c>
      <c r="AS215" s="237">
        <f t="shared" si="86"/>
        <v>0</v>
      </c>
      <c r="AT215" s="31">
        <f t="shared" si="87"/>
        <v>0</v>
      </c>
      <c r="AU215" s="237">
        <f t="shared" si="88"/>
        <v>0</v>
      </c>
      <c r="AV215" s="31">
        <f t="shared" si="89"/>
        <v>0</v>
      </c>
      <c r="AW215" s="31">
        <f t="shared" si="90"/>
        <v>0</v>
      </c>
      <c r="AX215" s="31">
        <f t="shared" si="91"/>
        <v>0</v>
      </c>
      <c r="AY215" s="237">
        <f t="shared" si="92"/>
        <v>0</v>
      </c>
      <c r="AZ215" s="214">
        <f t="shared" si="93"/>
        <v>0</v>
      </c>
      <c r="BA215" s="237">
        <f t="shared" si="94"/>
        <v>0</v>
      </c>
      <c r="BB215" s="31">
        <f t="shared" si="95"/>
        <v>0.125</v>
      </c>
      <c r="BC215" s="237">
        <f t="shared" si="96"/>
        <v>0.1</v>
      </c>
      <c r="BD215" s="31">
        <f t="shared" si="97"/>
        <v>0</v>
      </c>
      <c r="BE215" s="237">
        <f t="shared" si="98"/>
        <v>0</v>
      </c>
      <c r="BF215" s="31">
        <f t="shared" si="99"/>
        <v>0.125</v>
      </c>
      <c r="BG215" s="237">
        <f t="shared" si="100"/>
        <v>0.1</v>
      </c>
      <c r="BH215" s="31">
        <f t="shared" si="101"/>
        <v>0</v>
      </c>
      <c r="BI215" s="237">
        <f t="shared" si="102"/>
        <v>0</v>
      </c>
      <c r="BJ215" s="31">
        <f t="shared" si="103"/>
        <v>0</v>
      </c>
      <c r="BK215" s="31">
        <f t="shared" si="104"/>
        <v>0</v>
      </c>
      <c r="BL215" s="237">
        <f t="shared" si="105"/>
        <v>0</v>
      </c>
      <c r="BM215" s="31">
        <f t="shared" si="106"/>
        <v>0</v>
      </c>
      <c r="BN215" s="237">
        <f t="shared" si="107"/>
        <v>0</v>
      </c>
    </row>
    <row r="216" spans="1:66" x14ac:dyDescent="0.25">
      <c r="A216" s="159" t="s">
        <v>414</v>
      </c>
      <c r="B216" s="182" t="str">
        <f>VLOOKUP(A216,kurspris!$A$1:$B$894,2,FALSE)</f>
        <v>Musik &amp; skapande, kommunikation</v>
      </c>
      <c r="C216" s="37"/>
      <c r="D216" s="31" t="s">
        <v>117</v>
      </c>
      <c r="F216" s="59">
        <v>2019</v>
      </c>
      <c r="Q216" s="237">
        <v>1</v>
      </c>
      <c r="R216" s="40">
        <v>0.8</v>
      </c>
      <c r="S216" s="313">
        <f t="shared" si="81"/>
        <v>0.8</v>
      </c>
      <c r="T216" s="31">
        <f>VLOOKUP(A216,'Ansvar kurs'!$A$1:$C$1027,2,FALSE)</f>
        <v>1650</v>
      </c>
      <c r="U216" s="31" t="str">
        <f>VLOOKUP(T216,Orgenheter!$A$1:$C$165,2,FALSE)</f>
        <v xml:space="preserve">Estetiska ämnen               </v>
      </c>
      <c r="V216" s="31" t="str">
        <f>VLOOKUP(T216,Orgenheter!$A$1:$C$165,3,FALSE)</f>
        <v>Hum</v>
      </c>
      <c r="W216" s="37" t="str">
        <f>VLOOKUP(D216,Program!$A$1:$B$34,2,FALSE)</f>
        <v>Fristående och övriga kurser</v>
      </c>
      <c r="X216" s="42">
        <f>VLOOKUP(A216,kurspris!$A$1:$Q$815,15,FALSE)</f>
        <v>30802</v>
      </c>
      <c r="Y216" s="42">
        <f>VLOOKUP(A216,kurspris!$A$1:$Q$815,16,FALSE)</f>
        <v>63797</v>
      </c>
      <c r="Z216" s="42">
        <f t="shared" si="82"/>
        <v>81839.600000000006</v>
      </c>
      <c r="AA216" s="42">
        <f>VLOOKUP(A216,kurspris!$A$1:$Q$815,17,FALSE)</f>
        <v>70100</v>
      </c>
      <c r="AB216" s="42">
        <f t="shared" si="83"/>
        <v>70100</v>
      </c>
      <c r="AC216" s="42">
        <f t="shared" si="84"/>
        <v>151939.6</v>
      </c>
      <c r="AD216" s="31">
        <f>VLOOKUP($A216,kurspris!$A$1:$Q$852,3,FALSE)</f>
        <v>0</v>
      </c>
      <c r="AE216" s="31">
        <f>VLOOKUP($A216,kurspris!$A$1:$Q$852,4,FALSE)</f>
        <v>0</v>
      </c>
      <c r="AF216" s="31">
        <f>VLOOKUP($A216,kurspris!$A$1:$Q$852,5,FALSE)</f>
        <v>0</v>
      </c>
      <c r="AG216" s="31">
        <f>VLOOKUP($A216,kurspris!$A$1:$Q$852,6,FALSE)</f>
        <v>0</v>
      </c>
      <c r="AH216" s="31">
        <f>VLOOKUP($A216,kurspris!$A$1:$Q$852,7,FALSE)</f>
        <v>1</v>
      </c>
      <c r="AI216" s="31">
        <f>VLOOKUP($A216,kurspris!$A$1:$Q$852,8,FALSE)</f>
        <v>0</v>
      </c>
      <c r="AJ216" s="31">
        <f>VLOOKUP($A216,kurspris!$A$1:$Q$852,9,FALSE)</f>
        <v>0</v>
      </c>
      <c r="AK216" s="31">
        <f>VLOOKUP($A216,kurspris!$A$1:$Q$852,10,FALSE)</f>
        <v>0</v>
      </c>
      <c r="AL216" s="31">
        <f>VLOOKUP($A216,kurspris!$A$1:$Q$852,11,FALSE)</f>
        <v>0</v>
      </c>
      <c r="AM216" s="31">
        <f>VLOOKUP($A216,kurspris!$A$1:$Q$852,12,FALSE)</f>
        <v>0</v>
      </c>
      <c r="AN216" s="31">
        <f>VLOOKUP($A216,kurspris!$A$1:$Q$852,13,FALSE)</f>
        <v>0</v>
      </c>
      <c r="AO216" s="31">
        <f>VLOOKUP($A216,kurspris!$A$1:$Q$852,14,FALSE)</f>
        <v>0</v>
      </c>
      <c r="AP216" s="59" t="s">
        <v>2216</v>
      </c>
      <c r="AQ216" s="59"/>
      <c r="AR216" s="31">
        <f t="shared" si="85"/>
        <v>0</v>
      </c>
      <c r="AS216" s="237">
        <f t="shared" si="86"/>
        <v>0</v>
      </c>
      <c r="AT216" s="31">
        <f t="shared" si="87"/>
        <v>0</v>
      </c>
      <c r="AU216" s="237">
        <f t="shared" si="88"/>
        <v>0</v>
      </c>
      <c r="AV216" s="31">
        <f t="shared" si="89"/>
        <v>0</v>
      </c>
      <c r="AW216" s="31">
        <f t="shared" si="90"/>
        <v>0</v>
      </c>
      <c r="AX216" s="31">
        <f t="shared" si="91"/>
        <v>0</v>
      </c>
      <c r="AY216" s="237">
        <f t="shared" si="92"/>
        <v>0</v>
      </c>
      <c r="AZ216" s="214">
        <f t="shared" si="93"/>
        <v>1</v>
      </c>
      <c r="BA216" s="237">
        <f t="shared" si="94"/>
        <v>0.8</v>
      </c>
      <c r="BB216" s="31">
        <f t="shared" si="95"/>
        <v>0</v>
      </c>
      <c r="BC216" s="237">
        <f t="shared" si="96"/>
        <v>0</v>
      </c>
      <c r="BD216" s="31">
        <f t="shared" si="97"/>
        <v>0</v>
      </c>
      <c r="BE216" s="237">
        <f t="shared" si="98"/>
        <v>0</v>
      </c>
      <c r="BF216" s="31">
        <f t="shared" si="99"/>
        <v>0</v>
      </c>
      <c r="BG216" s="237">
        <f t="shared" si="100"/>
        <v>0</v>
      </c>
      <c r="BH216" s="31">
        <f t="shared" si="101"/>
        <v>0</v>
      </c>
      <c r="BI216" s="237">
        <f t="shared" si="102"/>
        <v>0</v>
      </c>
      <c r="BJ216" s="31">
        <f t="shared" si="103"/>
        <v>0</v>
      </c>
      <c r="BK216" s="31">
        <f t="shared" si="104"/>
        <v>0</v>
      </c>
      <c r="BL216" s="237">
        <f t="shared" si="105"/>
        <v>0</v>
      </c>
      <c r="BM216" s="31">
        <f t="shared" si="106"/>
        <v>0</v>
      </c>
      <c r="BN216" s="237">
        <f t="shared" si="107"/>
        <v>0</v>
      </c>
    </row>
    <row r="217" spans="1:66" x14ac:dyDescent="0.25">
      <c r="A217" s="159" t="s">
        <v>526</v>
      </c>
      <c r="B217" s="182" t="str">
        <f>VLOOKUP(A217,kurspris!$A$1:$B$894,2,FALSE)</f>
        <v>Musik 1b</v>
      </c>
      <c r="C217" s="37"/>
      <c r="D217" s="31" t="s">
        <v>117</v>
      </c>
      <c r="F217" s="59">
        <v>2019</v>
      </c>
      <c r="Q217" s="237">
        <v>2.25</v>
      </c>
      <c r="R217" s="40">
        <v>0.8</v>
      </c>
      <c r="S217" s="313">
        <f t="shared" si="81"/>
        <v>1.8</v>
      </c>
      <c r="T217" s="31">
        <f>VLOOKUP(A217,'Ansvar kurs'!$A$1:$C$1027,2,FALSE)</f>
        <v>1650</v>
      </c>
      <c r="U217" s="31" t="str">
        <f>VLOOKUP(T217,Orgenheter!$A$1:$C$165,2,FALSE)</f>
        <v xml:space="preserve">Estetiska ämnen               </v>
      </c>
      <c r="V217" s="31" t="str">
        <f>VLOOKUP(T217,Orgenheter!$A$1:$C$165,3,FALSE)</f>
        <v>Hum</v>
      </c>
      <c r="W217" s="37" t="str">
        <f>VLOOKUP(D217,Program!$A$1:$B$34,2,FALSE)</f>
        <v>Fristående och övriga kurser</v>
      </c>
      <c r="X217" s="42">
        <f>VLOOKUP(A217,kurspris!$A$1:$Q$815,15,FALSE)</f>
        <v>30802</v>
      </c>
      <c r="Y217" s="42">
        <f>VLOOKUP(A217,kurspris!$A$1:$Q$815,16,FALSE)</f>
        <v>63797</v>
      </c>
      <c r="Z217" s="42">
        <f t="shared" si="82"/>
        <v>184139.1</v>
      </c>
      <c r="AA217" s="42">
        <f>VLOOKUP(A217,kurspris!$A$1:$Q$815,17,FALSE)</f>
        <v>70100</v>
      </c>
      <c r="AB217" s="42">
        <f t="shared" si="83"/>
        <v>157725</v>
      </c>
      <c r="AC217" s="42">
        <f t="shared" si="84"/>
        <v>341864.1</v>
      </c>
      <c r="AD217" s="31">
        <f>VLOOKUP($A217,kurspris!$A$1:$Q$852,3,FALSE)</f>
        <v>0</v>
      </c>
      <c r="AE217" s="31">
        <f>VLOOKUP($A217,kurspris!$A$1:$Q$852,4,FALSE)</f>
        <v>0</v>
      </c>
      <c r="AF217" s="31">
        <f>VLOOKUP($A217,kurspris!$A$1:$Q$852,5,FALSE)</f>
        <v>0</v>
      </c>
      <c r="AG217" s="31">
        <f>VLOOKUP($A217,kurspris!$A$1:$Q$852,6,FALSE)</f>
        <v>0</v>
      </c>
      <c r="AH217" s="31">
        <f>VLOOKUP($A217,kurspris!$A$1:$Q$852,7,FALSE)</f>
        <v>1</v>
      </c>
      <c r="AI217" s="31">
        <f>VLOOKUP($A217,kurspris!$A$1:$Q$852,8,FALSE)</f>
        <v>0</v>
      </c>
      <c r="AJ217" s="31">
        <f>VLOOKUP($A217,kurspris!$A$1:$Q$852,9,FALSE)</f>
        <v>0</v>
      </c>
      <c r="AK217" s="31">
        <f>VLOOKUP($A217,kurspris!$A$1:$Q$852,10,FALSE)</f>
        <v>0</v>
      </c>
      <c r="AL217" s="31">
        <f>VLOOKUP($A217,kurspris!$A$1:$Q$852,11,FALSE)</f>
        <v>0</v>
      </c>
      <c r="AM217" s="31">
        <f>VLOOKUP($A217,kurspris!$A$1:$Q$852,12,FALSE)</f>
        <v>0</v>
      </c>
      <c r="AN217" s="31">
        <f>VLOOKUP($A217,kurspris!$A$1:$Q$852,13,FALSE)</f>
        <v>0</v>
      </c>
      <c r="AO217" s="31">
        <f>VLOOKUP($A217,kurspris!$A$1:$Q$852,14,FALSE)</f>
        <v>0</v>
      </c>
      <c r="AP217" s="59" t="s">
        <v>2216</v>
      </c>
      <c r="AR217" s="31">
        <f t="shared" si="85"/>
        <v>0</v>
      </c>
      <c r="AS217" s="237">
        <f t="shared" si="86"/>
        <v>0</v>
      </c>
      <c r="AT217" s="31">
        <f t="shared" si="87"/>
        <v>0</v>
      </c>
      <c r="AU217" s="237">
        <f t="shared" si="88"/>
        <v>0</v>
      </c>
      <c r="AV217" s="31">
        <f t="shared" si="89"/>
        <v>0</v>
      </c>
      <c r="AW217" s="31">
        <f t="shared" si="90"/>
        <v>0</v>
      </c>
      <c r="AX217" s="31">
        <f t="shared" si="91"/>
        <v>0</v>
      </c>
      <c r="AY217" s="237">
        <f t="shared" si="92"/>
        <v>0</v>
      </c>
      <c r="AZ217" s="214">
        <f t="shared" si="93"/>
        <v>2.25</v>
      </c>
      <c r="BA217" s="237">
        <f t="shared" si="94"/>
        <v>1.8</v>
      </c>
      <c r="BB217" s="31">
        <f t="shared" si="95"/>
        <v>0</v>
      </c>
      <c r="BC217" s="237">
        <f t="shared" si="96"/>
        <v>0</v>
      </c>
      <c r="BD217" s="31">
        <f t="shared" si="97"/>
        <v>0</v>
      </c>
      <c r="BE217" s="237">
        <f t="shared" si="98"/>
        <v>0</v>
      </c>
      <c r="BF217" s="31">
        <f t="shared" si="99"/>
        <v>0</v>
      </c>
      <c r="BG217" s="237">
        <f t="shared" si="100"/>
        <v>0</v>
      </c>
      <c r="BH217" s="31">
        <f t="shared" si="101"/>
        <v>0</v>
      </c>
      <c r="BI217" s="237">
        <f t="shared" si="102"/>
        <v>0</v>
      </c>
      <c r="BJ217" s="31">
        <f t="shared" si="103"/>
        <v>0</v>
      </c>
      <c r="BK217" s="31">
        <f t="shared" si="104"/>
        <v>0</v>
      </c>
      <c r="BL217" s="237">
        <f t="shared" si="105"/>
        <v>0</v>
      </c>
      <c r="BM217" s="31">
        <f t="shared" si="106"/>
        <v>0</v>
      </c>
      <c r="BN217" s="237">
        <f t="shared" si="107"/>
        <v>0</v>
      </c>
    </row>
    <row r="218" spans="1:66" x14ac:dyDescent="0.25">
      <c r="A218" s="159" t="s">
        <v>768</v>
      </c>
      <c r="B218" s="182" t="str">
        <f>VLOOKUP(A218,kurspris!$A$1:$B$894,2,FALSE)</f>
        <v>Musik 1</v>
      </c>
      <c r="C218" s="37"/>
      <c r="D218" s="31" t="s">
        <v>483</v>
      </c>
      <c r="F218" s="59">
        <v>2019</v>
      </c>
      <c r="Q218" s="237">
        <v>2.5</v>
      </c>
      <c r="R218" s="40">
        <v>0.85</v>
      </c>
      <c r="S218" s="313">
        <f t="shared" si="81"/>
        <v>2.125</v>
      </c>
      <c r="T218" s="31">
        <f>VLOOKUP(A218,'Ansvar kurs'!$A$1:$C$1027,2,FALSE)</f>
        <v>1650</v>
      </c>
      <c r="U218" s="31" t="str">
        <f>VLOOKUP(T218,Orgenheter!$A$1:$C$165,2,FALSE)</f>
        <v xml:space="preserve">Estetiska ämnen               </v>
      </c>
      <c r="V218" s="31" t="str">
        <f>VLOOKUP(T218,Orgenheter!$A$1:$C$165,3,FALSE)</f>
        <v>Hum</v>
      </c>
      <c r="W218" s="37" t="str">
        <f>VLOOKUP(D218,Program!$A$1:$B$34,2,FALSE)</f>
        <v>Ämneslärarprogrammet - Gy</v>
      </c>
      <c r="X218" s="42">
        <f>VLOOKUP(A218,kurspris!$A$1:$Q$815,15,FALSE)</f>
        <v>30802</v>
      </c>
      <c r="Y218" s="42">
        <f>VLOOKUP(A218,kurspris!$A$1:$Q$815,16,FALSE)</f>
        <v>63797</v>
      </c>
      <c r="Z218" s="42">
        <f t="shared" si="82"/>
        <v>212573.625</v>
      </c>
      <c r="AA218" s="42">
        <f>VLOOKUP(A218,kurspris!$A$1:$Q$815,17,FALSE)</f>
        <v>70100</v>
      </c>
      <c r="AB218" s="42">
        <f t="shared" si="83"/>
        <v>175250</v>
      </c>
      <c r="AC218" s="42">
        <f t="shared" si="84"/>
        <v>387823.625</v>
      </c>
      <c r="AD218" s="31">
        <f>VLOOKUP($A218,kurspris!$A$1:$Q$852,3,FALSE)</f>
        <v>0</v>
      </c>
      <c r="AE218" s="31">
        <f>VLOOKUP($A218,kurspris!$A$1:$Q$852,4,FALSE)</f>
        <v>0</v>
      </c>
      <c r="AF218" s="31">
        <f>VLOOKUP($A218,kurspris!$A$1:$Q$852,5,FALSE)</f>
        <v>0</v>
      </c>
      <c r="AG218" s="31">
        <f>VLOOKUP($A218,kurspris!$A$1:$Q$852,6,FALSE)</f>
        <v>0</v>
      </c>
      <c r="AH218" s="31">
        <f>VLOOKUP($A218,kurspris!$A$1:$Q$852,7,FALSE)</f>
        <v>1</v>
      </c>
      <c r="AI218" s="31">
        <f>VLOOKUP($A218,kurspris!$A$1:$Q$852,8,FALSE)</f>
        <v>0</v>
      </c>
      <c r="AJ218" s="31">
        <f>VLOOKUP($A218,kurspris!$A$1:$Q$852,9,FALSE)</f>
        <v>0</v>
      </c>
      <c r="AK218" s="31">
        <f>VLOOKUP($A218,kurspris!$A$1:$Q$852,10,FALSE)</f>
        <v>0</v>
      </c>
      <c r="AL218" s="31">
        <f>VLOOKUP($A218,kurspris!$A$1:$Q$852,11,FALSE)</f>
        <v>0</v>
      </c>
      <c r="AM218" s="31">
        <f>VLOOKUP($A218,kurspris!$A$1:$Q$852,12,FALSE)</f>
        <v>0</v>
      </c>
      <c r="AN218" s="31">
        <f>VLOOKUP($A218,kurspris!$A$1:$Q$852,13,FALSE)</f>
        <v>0</v>
      </c>
      <c r="AO218" s="31">
        <f>VLOOKUP($A218,kurspris!$A$1:$Q$852,14,FALSE)</f>
        <v>0</v>
      </c>
      <c r="AP218" s="59" t="s">
        <v>2216</v>
      </c>
      <c r="AR218" s="31">
        <f t="shared" si="85"/>
        <v>0</v>
      </c>
      <c r="AS218" s="237">
        <f t="shared" si="86"/>
        <v>0</v>
      </c>
      <c r="AT218" s="31">
        <f t="shared" si="87"/>
        <v>0</v>
      </c>
      <c r="AU218" s="237">
        <f t="shared" si="88"/>
        <v>0</v>
      </c>
      <c r="AV218" s="31">
        <f t="shared" si="89"/>
        <v>0</v>
      </c>
      <c r="AW218" s="31">
        <f t="shared" si="90"/>
        <v>0</v>
      </c>
      <c r="AX218" s="31">
        <f t="shared" si="91"/>
        <v>0</v>
      </c>
      <c r="AY218" s="237">
        <f t="shared" si="92"/>
        <v>0</v>
      </c>
      <c r="AZ218" s="214">
        <f t="shared" si="93"/>
        <v>2.5</v>
      </c>
      <c r="BA218" s="237">
        <f t="shared" si="94"/>
        <v>2.125</v>
      </c>
      <c r="BB218" s="31">
        <f t="shared" si="95"/>
        <v>0</v>
      </c>
      <c r="BC218" s="237">
        <f t="shared" si="96"/>
        <v>0</v>
      </c>
      <c r="BD218" s="31">
        <f t="shared" si="97"/>
        <v>0</v>
      </c>
      <c r="BE218" s="237">
        <f t="shared" si="98"/>
        <v>0</v>
      </c>
      <c r="BF218" s="31">
        <f t="shared" si="99"/>
        <v>0</v>
      </c>
      <c r="BG218" s="237">
        <f t="shared" si="100"/>
        <v>0</v>
      </c>
      <c r="BH218" s="31">
        <f t="shared" si="101"/>
        <v>0</v>
      </c>
      <c r="BI218" s="237">
        <f t="shared" si="102"/>
        <v>0</v>
      </c>
      <c r="BJ218" s="31">
        <f t="shared" si="103"/>
        <v>0</v>
      </c>
      <c r="BK218" s="31">
        <f t="shared" si="104"/>
        <v>0</v>
      </c>
      <c r="BL218" s="237">
        <f t="shared" si="105"/>
        <v>0</v>
      </c>
      <c r="BM218" s="31">
        <f t="shared" si="106"/>
        <v>0</v>
      </c>
      <c r="BN218" s="237">
        <f t="shared" si="107"/>
        <v>0</v>
      </c>
    </row>
    <row r="219" spans="1:66" x14ac:dyDescent="0.25">
      <c r="A219" s="159" t="s">
        <v>865</v>
      </c>
      <c r="B219" s="182" t="str">
        <f>VLOOKUP(A219,kurspris!$A$1:$B$894,2,FALSE)</f>
        <v>Musik 3</v>
      </c>
      <c r="C219" s="37"/>
      <c r="D219" s="31" t="s">
        <v>483</v>
      </c>
      <c r="F219" s="59">
        <v>2019</v>
      </c>
      <c r="Q219" s="237">
        <v>1.5</v>
      </c>
      <c r="R219" s="40">
        <v>0.85</v>
      </c>
      <c r="S219" s="313">
        <f t="shared" si="81"/>
        <v>1.2749999999999999</v>
      </c>
      <c r="T219" s="31">
        <f>VLOOKUP(A219,'Ansvar kurs'!$A$1:$C$1027,2,FALSE)</f>
        <v>1650</v>
      </c>
      <c r="U219" s="31" t="str">
        <f>VLOOKUP(T219,Orgenheter!$A$1:$C$165,2,FALSE)</f>
        <v xml:space="preserve">Estetiska ämnen               </v>
      </c>
      <c r="V219" s="31" t="str">
        <f>VLOOKUP(T219,Orgenheter!$A$1:$C$165,3,FALSE)</f>
        <v>Hum</v>
      </c>
      <c r="W219" s="37" t="str">
        <f>VLOOKUP(D219,Program!$A$1:$B$34,2,FALSE)</f>
        <v>Ämneslärarprogrammet - Gy</v>
      </c>
      <c r="X219" s="42">
        <f>VLOOKUP(A219,kurspris!$A$1:$Q$815,15,FALSE)</f>
        <v>30802</v>
      </c>
      <c r="Y219" s="42">
        <f>VLOOKUP(A219,kurspris!$A$1:$Q$815,16,FALSE)</f>
        <v>63797</v>
      </c>
      <c r="Z219" s="42">
        <f t="shared" si="82"/>
        <v>127544.17499999999</v>
      </c>
      <c r="AA219" s="42">
        <f>VLOOKUP(A219,kurspris!$A$1:$Q$815,17,FALSE)</f>
        <v>70100</v>
      </c>
      <c r="AB219" s="42">
        <f t="shared" si="83"/>
        <v>105150</v>
      </c>
      <c r="AC219" s="42">
        <f t="shared" si="84"/>
        <v>232694.17499999999</v>
      </c>
      <c r="AD219" s="31">
        <f>VLOOKUP($A219,kurspris!$A$1:$Q$852,3,FALSE)</f>
        <v>0</v>
      </c>
      <c r="AE219" s="31">
        <f>VLOOKUP($A219,kurspris!$A$1:$Q$852,4,FALSE)</f>
        <v>0</v>
      </c>
      <c r="AF219" s="31">
        <f>VLOOKUP($A219,kurspris!$A$1:$Q$852,5,FALSE)</f>
        <v>0</v>
      </c>
      <c r="AG219" s="31">
        <f>VLOOKUP($A219,kurspris!$A$1:$Q$852,6,FALSE)</f>
        <v>0</v>
      </c>
      <c r="AH219" s="31">
        <f>VLOOKUP($A219,kurspris!$A$1:$Q$852,7,FALSE)</f>
        <v>1</v>
      </c>
      <c r="AI219" s="31">
        <f>VLOOKUP($A219,kurspris!$A$1:$Q$852,8,FALSE)</f>
        <v>0</v>
      </c>
      <c r="AJ219" s="31">
        <f>VLOOKUP($A219,kurspris!$A$1:$Q$852,9,FALSE)</f>
        <v>0</v>
      </c>
      <c r="AK219" s="31">
        <f>VLOOKUP($A219,kurspris!$A$1:$Q$852,10,FALSE)</f>
        <v>0</v>
      </c>
      <c r="AL219" s="31">
        <f>VLOOKUP($A219,kurspris!$A$1:$Q$852,11,FALSE)</f>
        <v>0</v>
      </c>
      <c r="AM219" s="31">
        <f>VLOOKUP($A219,kurspris!$A$1:$Q$852,12,FALSE)</f>
        <v>0</v>
      </c>
      <c r="AN219" s="31">
        <f>VLOOKUP($A219,kurspris!$A$1:$Q$852,13,FALSE)</f>
        <v>0</v>
      </c>
      <c r="AO219" s="31">
        <f>VLOOKUP($A219,kurspris!$A$1:$Q$852,14,FALSE)</f>
        <v>0</v>
      </c>
      <c r="AP219" s="59" t="s">
        <v>2216</v>
      </c>
      <c r="AR219" s="31">
        <f t="shared" si="85"/>
        <v>0</v>
      </c>
      <c r="AS219" s="237">
        <f t="shared" si="86"/>
        <v>0</v>
      </c>
      <c r="AT219" s="31">
        <f t="shared" si="87"/>
        <v>0</v>
      </c>
      <c r="AU219" s="237">
        <f t="shared" si="88"/>
        <v>0</v>
      </c>
      <c r="AV219" s="31">
        <f t="shared" si="89"/>
        <v>0</v>
      </c>
      <c r="AW219" s="31">
        <f t="shared" si="90"/>
        <v>0</v>
      </c>
      <c r="AX219" s="31">
        <f t="shared" si="91"/>
        <v>0</v>
      </c>
      <c r="AY219" s="237">
        <f t="shared" si="92"/>
        <v>0</v>
      </c>
      <c r="AZ219" s="214">
        <f t="shared" si="93"/>
        <v>1.5</v>
      </c>
      <c r="BA219" s="237">
        <f t="shared" si="94"/>
        <v>1.2749999999999999</v>
      </c>
      <c r="BB219" s="31">
        <f t="shared" si="95"/>
        <v>0</v>
      </c>
      <c r="BC219" s="237">
        <f t="shared" si="96"/>
        <v>0</v>
      </c>
      <c r="BD219" s="31">
        <f t="shared" si="97"/>
        <v>0</v>
      </c>
      <c r="BE219" s="237">
        <f t="shared" si="98"/>
        <v>0</v>
      </c>
      <c r="BF219" s="31">
        <f t="shared" si="99"/>
        <v>0</v>
      </c>
      <c r="BG219" s="237">
        <f t="shared" si="100"/>
        <v>0</v>
      </c>
      <c r="BH219" s="31">
        <f t="shared" si="101"/>
        <v>0</v>
      </c>
      <c r="BI219" s="237">
        <f t="shared" si="102"/>
        <v>0</v>
      </c>
      <c r="BJ219" s="31">
        <f t="shared" si="103"/>
        <v>0</v>
      </c>
      <c r="BK219" s="31">
        <f t="shared" si="104"/>
        <v>0</v>
      </c>
      <c r="BL219" s="237">
        <f t="shared" si="105"/>
        <v>0</v>
      </c>
      <c r="BM219" s="31">
        <f t="shared" si="106"/>
        <v>0</v>
      </c>
      <c r="BN219" s="237">
        <f t="shared" si="107"/>
        <v>0</v>
      </c>
    </row>
    <row r="220" spans="1:66" x14ac:dyDescent="0.25">
      <c r="A220" s="159" t="s">
        <v>646</v>
      </c>
      <c r="B220" s="182" t="str">
        <f>VLOOKUP(A220,kurspris!$A$1:$B$894,2,FALSE)</f>
        <v>Musik 2b, distans</v>
      </c>
      <c r="C220" s="37"/>
      <c r="D220" s="31" t="s">
        <v>117</v>
      </c>
      <c r="F220" s="59">
        <v>2019</v>
      </c>
      <c r="Q220" s="237">
        <v>1.25</v>
      </c>
      <c r="R220" s="40">
        <v>0.8</v>
      </c>
      <c r="S220" s="313">
        <f t="shared" si="81"/>
        <v>1</v>
      </c>
      <c r="T220" s="31">
        <f>VLOOKUP(A220,'Ansvar kurs'!$A$1:$C$1027,2,FALSE)</f>
        <v>1650</v>
      </c>
      <c r="U220" s="31" t="str">
        <f>VLOOKUP(T220,Orgenheter!$A$1:$C$165,2,FALSE)</f>
        <v xml:space="preserve">Estetiska ämnen               </v>
      </c>
      <c r="V220" s="31" t="str">
        <f>VLOOKUP(T220,Orgenheter!$A$1:$C$165,3,FALSE)</f>
        <v>Hum</v>
      </c>
      <c r="W220" s="37" t="str">
        <f>VLOOKUP(D220,Program!$A$1:$B$34,2,FALSE)</f>
        <v>Fristående och övriga kurser</v>
      </c>
      <c r="X220" s="42">
        <f>VLOOKUP(A220,kurspris!$A$1:$Q$815,15,FALSE)</f>
        <v>30802</v>
      </c>
      <c r="Y220" s="42">
        <f>VLOOKUP(A220,kurspris!$A$1:$Q$815,16,FALSE)</f>
        <v>63797</v>
      </c>
      <c r="Z220" s="42">
        <f t="shared" si="82"/>
        <v>102299.5</v>
      </c>
      <c r="AA220" s="42">
        <f>VLOOKUP(A220,kurspris!$A$1:$Q$815,17,FALSE)</f>
        <v>70100</v>
      </c>
      <c r="AB220" s="42">
        <f t="shared" si="83"/>
        <v>87625</v>
      </c>
      <c r="AC220" s="42">
        <f t="shared" si="84"/>
        <v>189924.5</v>
      </c>
      <c r="AD220" s="31">
        <f>VLOOKUP($A220,kurspris!$A$1:$Q$852,3,FALSE)</f>
        <v>0</v>
      </c>
      <c r="AE220" s="31">
        <f>VLOOKUP($A220,kurspris!$A$1:$Q$852,4,FALSE)</f>
        <v>0</v>
      </c>
      <c r="AF220" s="31">
        <f>VLOOKUP($A220,kurspris!$A$1:$Q$852,5,FALSE)</f>
        <v>0</v>
      </c>
      <c r="AG220" s="31">
        <f>VLOOKUP($A220,kurspris!$A$1:$Q$852,6,FALSE)</f>
        <v>0</v>
      </c>
      <c r="AH220" s="31">
        <f>VLOOKUP($A220,kurspris!$A$1:$Q$852,7,FALSE)</f>
        <v>1</v>
      </c>
      <c r="AI220" s="31">
        <f>VLOOKUP($A220,kurspris!$A$1:$Q$852,8,FALSE)</f>
        <v>0</v>
      </c>
      <c r="AJ220" s="31">
        <f>VLOOKUP($A220,kurspris!$A$1:$Q$852,9,FALSE)</f>
        <v>0</v>
      </c>
      <c r="AK220" s="31">
        <f>VLOOKUP($A220,kurspris!$A$1:$Q$852,10,FALSE)</f>
        <v>0</v>
      </c>
      <c r="AL220" s="31">
        <f>VLOOKUP($A220,kurspris!$A$1:$Q$852,11,FALSE)</f>
        <v>0</v>
      </c>
      <c r="AM220" s="31">
        <f>VLOOKUP($A220,kurspris!$A$1:$Q$852,12,FALSE)</f>
        <v>0</v>
      </c>
      <c r="AN220" s="31">
        <f>VLOOKUP($A220,kurspris!$A$1:$Q$852,13,FALSE)</f>
        <v>0</v>
      </c>
      <c r="AO220" s="31">
        <f>VLOOKUP($A220,kurspris!$A$1:$Q$852,14,FALSE)</f>
        <v>0</v>
      </c>
      <c r="AP220" s="59" t="s">
        <v>2216</v>
      </c>
      <c r="AQ220" s="59"/>
      <c r="AR220" s="31">
        <f t="shared" si="85"/>
        <v>0</v>
      </c>
      <c r="AS220" s="237">
        <f t="shared" si="86"/>
        <v>0</v>
      </c>
      <c r="AT220" s="31">
        <f t="shared" si="87"/>
        <v>0</v>
      </c>
      <c r="AU220" s="237">
        <f t="shared" si="88"/>
        <v>0</v>
      </c>
      <c r="AV220" s="31">
        <f t="shared" si="89"/>
        <v>0</v>
      </c>
      <c r="AW220" s="31">
        <f t="shared" si="90"/>
        <v>0</v>
      </c>
      <c r="AX220" s="31">
        <f t="shared" si="91"/>
        <v>0</v>
      </c>
      <c r="AY220" s="237">
        <f t="shared" si="92"/>
        <v>0</v>
      </c>
      <c r="AZ220" s="214">
        <f t="shared" si="93"/>
        <v>1.25</v>
      </c>
      <c r="BA220" s="237">
        <f t="shared" si="94"/>
        <v>1</v>
      </c>
      <c r="BB220" s="31">
        <f t="shared" si="95"/>
        <v>0</v>
      </c>
      <c r="BC220" s="237">
        <f t="shared" si="96"/>
        <v>0</v>
      </c>
      <c r="BD220" s="31">
        <f t="shared" si="97"/>
        <v>0</v>
      </c>
      <c r="BE220" s="237">
        <f t="shared" si="98"/>
        <v>0</v>
      </c>
      <c r="BF220" s="31">
        <f t="shared" si="99"/>
        <v>0</v>
      </c>
      <c r="BG220" s="237">
        <f t="shared" si="100"/>
        <v>0</v>
      </c>
      <c r="BH220" s="31">
        <f t="shared" si="101"/>
        <v>0</v>
      </c>
      <c r="BI220" s="237">
        <f t="shared" si="102"/>
        <v>0</v>
      </c>
      <c r="BJ220" s="31">
        <f t="shared" si="103"/>
        <v>0</v>
      </c>
      <c r="BK220" s="31">
        <f t="shared" si="104"/>
        <v>0</v>
      </c>
      <c r="BL220" s="237">
        <f t="shared" si="105"/>
        <v>0</v>
      </c>
      <c r="BM220" s="31">
        <f t="shared" si="106"/>
        <v>0</v>
      </c>
      <c r="BN220" s="237">
        <f t="shared" si="107"/>
        <v>0</v>
      </c>
    </row>
    <row r="221" spans="1:66" x14ac:dyDescent="0.25">
      <c r="A221" s="182" t="s">
        <v>1578</v>
      </c>
      <c r="B221" s="182" t="str">
        <f>VLOOKUP(A221,kurspris!$A$1:$B$894,2,FALSE)</f>
        <v>Musik fördjupning 1</v>
      </c>
      <c r="C221" s="37"/>
      <c r="D221" s="31" t="s">
        <v>483</v>
      </c>
      <c r="F221" s="59">
        <v>2019</v>
      </c>
      <c r="Q221" s="237">
        <v>2.5</v>
      </c>
      <c r="R221" s="40">
        <v>0.85</v>
      </c>
      <c r="S221" s="313">
        <f t="shared" si="81"/>
        <v>2.125</v>
      </c>
      <c r="T221" s="31">
        <f>VLOOKUP(A221,'Ansvar kurs'!$A$1:$C$1027,2,FALSE)</f>
        <v>1650</v>
      </c>
      <c r="U221" s="31" t="str">
        <f>VLOOKUP(T221,Orgenheter!$A$1:$C$165,2,FALSE)</f>
        <v xml:space="preserve">Estetiska ämnen               </v>
      </c>
      <c r="V221" s="31" t="str">
        <f>VLOOKUP(T221,Orgenheter!$A$1:$C$165,3,FALSE)</f>
        <v>Hum</v>
      </c>
      <c r="W221" s="37" t="str">
        <f>VLOOKUP(D221,Program!$A$1:$B$34,2,FALSE)</f>
        <v>Ämneslärarprogrammet - Gy</v>
      </c>
      <c r="X221" s="42">
        <f>VLOOKUP(A221,kurspris!$A$1:$Q$815,15,FALSE)</f>
        <v>30802</v>
      </c>
      <c r="Y221" s="42">
        <f>VLOOKUP(A221,kurspris!$A$1:$Q$815,16,FALSE)</f>
        <v>63797</v>
      </c>
      <c r="Z221" s="42">
        <f t="shared" si="82"/>
        <v>212573.625</v>
      </c>
      <c r="AA221" s="42">
        <f>VLOOKUP(A221,kurspris!$A$1:$Q$815,17,FALSE)</f>
        <v>70100</v>
      </c>
      <c r="AB221" s="42">
        <f t="shared" si="83"/>
        <v>175250</v>
      </c>
      <c r="AC221" s="42">
        <f t="shared" si="84"/>
        <v>387823.625</v>
      </c>
      <c r="AD221" s="31">
        <f>VLOOKUP($A221,kurspris!$A$1:$Q$852,3,FALSE)</f>
        <v>0</v>
      </c>
      <c r="AE221" s="31">
        <f>VLOOKUP($A221,kurspris!$A$1:$Q$852,4,FALSE)</f>
        <v>0</v>
      </c>
      <c r="AF221" s="31">
        <f>VLOOKUP($A221,kurspris!$A$1:$Q$852,5,FALSE)</f>
        <v>0</v>
      </c>
      <c r="AG221" s="31">
        <f>VLOOKUP($A221,kurspris!$A$1:$Q$852,6,FALSE)</f>
        <v>0</v>
      </c>
      <c r="AH221" s="31">
        <f>VLOOKUP($A221,kurspris!$A$1:$Q$852,7,FALSE)</f>
        <v>1</v>
      </c>
      <c r="AI221" s="31">
        <f>VLOOKUP($A221,kurspris!$A$1:$Q$852,8,FALSE)</f>
        <v>0</v>
      </c>
      <c r="AJ221" s="31">
        <f>VLOOKUP($A221,kurspris!$A$1:$Q$852,9,FALSE)</f>
        <v>0</v>
      </c>
      <c r="AK221" s="31">
        <f>VLOOKUP($A221,kurspris!$A$1:$Q$852,10,FALSE)</f>
        <v>0</v>
      </c>
      <c r="AL221" s="31">
        <f>VLOOKUP($A221,kurspris!$A$1:$Q$852,11,FALSE)</f>
        <v>0</v>
      </c>
      <c r="AM221" s="31">
        <f>VLOOKUP($A221,kurspris!$A$1:$Q$852,12,FALSE)</f>
        <v>0</v>
      </c>
      <c r="AN221" s="31">
        <f>VLOOKUP($A221,kurspris!$A$1:$Q$852,13,FALSE)</f>
        <v>0</v>
      </c>
      <c r="AO221" s="31">
        <f>VLOOKUP($A221,kurspris!$A$1:$Q$852,14,FALSE)</f>
        <v>0</v>
      </c>
      <c r="AP221" s="59" t="s">
        <v>2216</v>
      </c>
      <c r="AQ221" s="59"/>
      <c r="AR221" s="31">
        <f t="shared" si="85"/>
        <v>0</v>
      </c>
      <c r="AS221" s="237">
        <f t="shared" si="86"/>
        <v>0</v>
      </c>
      <c r="AT221" s="31">
        <f t="shared" si="87"/>
        <v>0</v>
      </c>
      <c r="AU221" s="237">
        <f t="shared" si="88"/>
        <v>0</v>
      </c>
      <c r="AV221" s="31">
        <f t="shared" si="89"/>
        <v>0</v>
      </c>
      <c r="AW221" s="31">
        <f t="shared" si="90"/>
        <v>0</v>
      </c>
      <c r="AX221" s="31">
        <f t="shared" si="91"/>
        <v>0</v>
      </c>
      <c r="AY221" s="237">
        <f t="shared" si="92"/>
        <v>0</v>
      </c>
      <c r="AZ221" s="214">
        <f t="shared" si="93"/>
        <v>2.5</v>
      </c>
      <c r="BA221" s="237">
        <f t="shared" si="94"/>
        <v>2.125</v>
      </c>
      <c r="BB221" s="31">
        <f t="shared" si="95"/>
        <v>0</v>
      </c>
      <c r="BC221" s="237">
        <f t="shared" si="96"/>
        <v>0</v>
      </c>
      <c r="BD221" s="31">
        <f t="shared" si="97"/>
        <v>0</v>
      </c>
      <c r="BE221" s="237">
        <f t="shared" si="98"/>
        <v>0</v>
      </c>
      <c r="BF221" s="31">
        <f t="shared" si="99"/>
        <v>0</v>
      </c>
      <c r="BG221" s="237">
        <f t="shared" si="100"/>
        <v>0</v>
      </c>
      <c r="BH221" s="31">
        <f t="shared" si="101"/>
        <v>0</v>
      </c>
      <c r="BI221" s="237">
        <f t="shared" si="102"/>
        <v>0</v>
      </c>
      <c r="BJ221" s="31">
        <f t="shared" si="103"/>
        <v>0</v>
      </c>
      <c r="BK221" s="31">
        <f t="shared" si="104"/>
        <v>0</v>
      </c>
      <c r="BL221" s="237">
        <f t="shared" si="105"/>
        <v>0</v>
      </c>
      <c r="BM221" s="31">
        <f t="shared" si="106"/>
        <v>0</v>
      </c>
      <c r="BN221" s="237">
        <f t="shared" si="107"/>
        <v>0</v>
      </c>
    </row>
    <row r="222" spans="1:66" x14ac:dyDescent="0.25">
      <c r="A222" s="182" t="s">
        <v>2197</v>
      </c>
      <c r="B222" s="182" t="str">
        <f>VLOOKUP(A222,kurspris!$A$1:$B$894,2,FALSE)</f>
        <v>Musik 1, distans</v>
      </c>
      <c r="C222" s="37"/>
      <c r="D222" s="31" t="s">
        <v>117</v>
      </c>
      <c r="F222" s="59">
        <v>2019</v>
      </c>
      <c r="Q222" s="237">
        <v>1.5</v>
      </c>
      <c r="R222" s="40">
        <v>0.8</v>
      </c>
      <c r="S222" s="313">
        <f t="shared" si="81"/>
        <v>1.2000000000000002</v>
      </c>
      <c r="T222" s="31">
        <f>VLOOKUP(A222,'Ansvar kurs'!$A$1:$C$1027,2,FALSE)</f>
        <v>1650</v>
      </c>
      <c r="U222" s="31" t="str">
        <f>VLOOKUP(T222,Orgenheter!$A$1:$C$165,2,FALSE)</f>
        <v xml:space="preserve">Estetiska ämnen               </v>
      </c>
      <c r="V222" s="31" t="str">
        <f>VLOOKUP(T222,Orgenheter!$A$1:$C$165,3,FALSE)</f>
        <v>Hum</v>
      </c>
      <c r="W222" s="37" t="str">
        <f>VLOOKUP(D222,Program!$A$1:$B$34,2,FALSE)</f>
        <v>Fristående och övriga kurser</v>
      </c>
      <c r="X222" s="42">
        <f>VLOOKUP(A222,kurspris!$A$1:$Q$815,15,FALSE)</f>
        <v>30802</v>
      </c>
      <c r="Y222" s="42">
        <f>VLOOKUP(A222,kurspris!$A$1:$Q$815,16,FALSE)</f>
        <v>63797</v>
      </c>
      <c r="Z222" s="42">
        <f t="shared" si="82"/>
        <v>122759.40000000001</v>
      </c>
      <c r="AA222" s="42">
        <f>VLOOKUP(A222,kurspris!$A$1:$Q$815,17,FALSE)</f>
        <v>70100</v>
      </c>
      <c r="AB222" s="42">
        <f t="shared" si="83"/>
        <v>105150</v>
      </c>
      <c r="AC222" s="42">
        <f t="shared" si="84"/>
        <v>227909.40000000002</v>
      </c>
      <c r="AD222" s="31">
        <f>VLOOKUP($A222,kurspris!$A$1:$Q$852,3,FALSE)</f>
        <v>0</v>
      </c>
      <c r="AE222" s="31">
        <f>VLOOKUP($A222,kurspris!$A$1:$Q$852,4,FALSE)</f>
        <v>0</v>
      </c>
      <c r="AF222" s="31">
        <f>VLOOKUP($A222,kurspris!$A$1:$Q$852,5,FALSE)</f>
        <v>0</v>
      </c>
      <c r="AG222" s="31">
        <f>VLOOKUP($A222,kurspris!$A$1:$Q$852,6,FALSE)</f>
        <v>0</v>
      </c>
      <c r="AH222" s="31">
        <f>VLOOKUP($A222,kurspris!$A$1:$Q$852,7,FALSE)</f>
        <v>1</v>
      </c>
      <c r="AI222" s="31">
        <f>VLOOKUP($A222,kurspris!$A$1:$Q$852,8,FALSE)</f>
        <v>0</v>
      </c>
      <c r="AJ222" s="31">
        <f>VLOOKUP($A222,kurspris!$A$1:$Q$852,9,FALSE)</f>
        <v>0</v>
      </c>
      <c r="AK222" s="31">
        <f>VLOOKUP($A222,kurspris!$A$1:$Q$852,10,FALSE)</f>
        <v>0</v>
      </c>
      <c r="AL222" s="31">
        <f>VLOOKUP($A222,kurspris!$A$1:$Q$852,11,FALSE)</f>
        <v>0</v>
      </c>
      <c r="AM222" s="31">
        <f>VLOOKUP($A222,kurspris!$A$1:$Q$852,12,FALSE)</f>
        <v>0</v>
      </c>
      <c r="AN222" s="31">
        <f>VLOOKUP($A222,kurspris!$A$1:$Q$852,13,FALSE)</f>
        <v>0</v>
      </c>
      <c r="AO222" s="31">
        <f>VLOOKUP($A222,kurspris!$A$1:$Q$852,14,FALSE)</f>
        <v>0</v>
      </c>
      <c r="AP222" s="59" t="s">
        <v>2216</v>
      </c>
      <c r="AR222" s="31">
        <f t="shared" si="85"/>
        <v>0</v>
      </c>
      <c r="AS222" s="237">
        <f t="shared" si="86"/>
        <v>0</v>
      </c>
      <c r="AT222" s="31">
        <f t="shared" si="87"/>
        <v>0</v>
      </c>
      <c r="AU222" s="237">
        <f t="shared" si="88"/>
        <v>0</v>
      </c>
      <c r="AV222" s="31">
        <f t="shared" si="89"/>
        <v>0</v>
      </c>
      <c r="AW222" s="31">
        <f t="shared" si="90"/>
        <v>0</v>
      </c>
      <c r="AX222" s="31">
        <f t="shared" si="91"/>
        <v>0</v>
      </c>
      <c r="AY222" s="237">
        <f t="shared" si="92"/>
        <v>0</v>
      </c>
      <c r="AZ222" s="214">
        <f t="shared" si="93"/>
        <v>1.5</v>
      </c>
      <c r="BA222" s="237">
        <f t="shared" si="94"/>
        <v>1.2000000000000002</v>
      </c>
      <c r="BB222" s="31">
        <f t="shared" si="95"/>
        <v>0</v>
      </c>
      <c r="BC222" s="237">
        <f t="shared" si="96"/>
        <v>0</v>
      </c>
      <c r="BD222" s="31">
        <f t="shared" si="97"/>
        <v>0</v>
      </c>
      <c r="BE222" s="237">
        <f t="shared" si="98"/>
        <v>0</v>
      </c>
      <c r="BF222" s="31">
        <f t="shared" si="99"/>
        <v>0</v>
      </c>
      <c r="BG222" s="237">
        <f t="shared" si="100"/>
        <v>0</v>
      </c>
      <c r="BH222" s="31">
        <f t="shared" si="101"/>
        <v>0</v>
      </c>
      <c r="BI222" s="237">
        <f t="shared" si="102"/>
        <v>0</v>
      </c>
      <c r="BJ222" s="31">
        <f t="shared" si="103"/>
        <v>0</v>
      </c>
      <c r="BK222" s="31">
        <f t="shared" si="104"/>
        <v>0</v>
      </c>
      <c r="BL222" s="237">
        <f t="shared" si="105"/>
        <v>0</v>
      </c>
      <c r="BM222" s="31">
        <f t="shared" si="106"/>
        <v>0</v>
      </c>
      <c r="BN222" s="237">
        <f t="shared" si="107"/>
        <v>0</v>
      </c>
    </row>
    <row r="223" spans="1:66" x14ac:dyDescent="0.25">
      <c r="A223" s="182" t="s">
        <v>2198</v>
      </c>
      <c r="B223" s="182" t="str">
        <f>VLOOKUP(A223,kurspris!$A$1:$B$894,2,FALSE)</f>
        <v>Musik 2, distans</v>
      </c>
      <c r="C223" s="37"/>
      <c r="D223" s="31" t="s">
        <v>117</v>
      </c>
      <c r="F223" s="59">
        <v>2019</v>
      </c>
      <c r="Q223" s="237">
        <v>3.5</v>
      </c>
      <c r="R223" s="40">
        <v>0.8</v>
      </c>
      <c r="S223" s="313">
        <f t="shared" si="81"/>
        <v>2.8000000000000003</v>
      </c>
      <c r="T223" s="31">
        <f>VLOOKUP(A223,'Ansvar kurs'!$A$1:$C$1027,2,FALSE)</f>
        <v>1650</v>
      </c>
      <c r="U223" s="31" t="str">
        <f>VLOOKUP(T223,Orgenheter!$A$1:$C$165,2,FALSE)</f>
        <v xml:space="preserve">Estetiska ämnen               </v>
      </c>
      <c r="V223" s="31" t="str">
        <f>VLOOKUP(T223,Orgenheter!$A$1:$C$165,3,FALSE)</f>
        <v>Hum</v>
      </c>
      <c r="W223" s="37" t="str">
        <f>VLOOKUP(D223,Program!$A$1:$B$34,2,FALSE)</f>
        <v>Fristående och övriga kurser</v>
      </c>
      <c r="X223" s="42">
        <f>VLOOKUP(A223,kurspris!$A$1:$Q$815,15,FALSE)</f>
        <v>30802</v>
      </c>
      <c r="Y223" s="42">
        <f>VLOOKUP(A223,kurspris!$A$1:$Q$815,16,FALSE)</f>
        <v>63797</v>
      </c>
      <c r="Z223" s="42">
        <f t="shared" si="82"/>
        <v>286438.59999999998</v>
      </c>
      <c r="AA223" s="42">
        <f>VLOOKUP(A223,kurspris!$A$1:$Q$815,17,FALSE)</f>
        <v>70100</v>
      </c>
      <c r="AB223" s="42">
        <f t="shared" si="83"/>
        <v>245350</v>
      </c>
      <c r="AC223" s="42">
        <f t="shared" si="84"/>
        <v>531788.6</v>
      </c>
      <c r="AD223" s="31">
        <f>VLOOKUP($A223,kurspris!$A$1:$Q$852,3,FALSE)</f>
        <v>0</v>
      </c>
      <c r="AE223" s="31">
        <f>VLOOKUP($A223,kurspris!$A$1:$Q$852,4,FALSE)</f>
        <v>0</v>
      </c>
      <c r="AF223" s="31">
        <f>VLOOKUP($A223,kurspris!$A$1:$Q$852,5,FALSE)</f>
        <v>0</v>
      </c>
      <c r="AG223" s="31">
        <f>VLOOKUP($A223,kurspris!$A$1:$Q$852,6,FALSE)</f>
        <v>0</v>
      </c>
      <c r="AH223" s="31">
        <f>VLOOKUP($A223,kurspris!$A$1:$Q$852,7,FALSE)</f>
        <v>1</v>
      </c>
      <c r="AI223" s="31">
        <f>VLOOKUP($A223,kurspris!$A$1:$Q$852,8,FALSE)</f>
        <v>0</v>
      </c>
      <c r="AJ223" s="31">
        <f>VLOOKUP($A223,kurspris!$A$1:$Q$852,9,FALSE)</f>
        <v>0</v>
      </c>
      <c r="AK223" s="31">
        <f>VLOOKUP($A223,kurspris!$A$1:$Q$852,10,FALSE)</f>
        <v>0</v>
      </c>
      <c r="AL223" s="31">
        <f>VLOOKUP($A223,kurspris!$A$1:$Q$852,11,FALSE)</f>
        <v>0</v>
      </c>
      <c r="AM223" s="31">
        <f>VLOOKUP($A223,kurspris!$A$1:$Q$852,12,FALSE)</f>
        <v>0</v>
      </c>
      <c r="AN223" s="31">
        <f>VLOOKUP($A223,kurspris!$A$1:$Q$852,13,FALSE)</f>
        <v>0</v>
      </c>
      <c r="AO223" s="31">
        <f>VLOOKUP($A223,kurspris!$A$1:$Q$852,14,FALSE)</f>
        <v>0</v>
      </c>
      <c r="AP223" s="59" t="s">
        <v>2216</v>
      </c>
      <c r="AQ223" s="59"/>
      <c r="AR223" s="31">
        <f t="shared" si="85"/>
        <v>0</v>
      </c>
      <c r="AS223" s="237">
        <f t="shared" si="86"/>
        <v>0</v>
      </c>
      <c r="AT223" s="31">
        <f t="shared" si="87"/>
        <v>0</v>
      </c>
      <c r="AU223" s="237">
        <f t="shared" si="88"/>
        <v>0</v>
      </c>
      <c r="AV223" s="31">
        <f t="shared" si="89"/>
        <v>0</v>
      </c>
      <c r="AW223" s="31">
        <f t="shared" si="90"/>
        <v>0</v>
      </c>
      <c r="AX223" s="31">
        <f t="shared" si="91"/>
        <v>0</v>
      </c>
      <c r="AY223" s="237">
        <f t="shared" si="92"/>
        <v>0</v>
      </c>
      <c r="AZ223" s="214">
        <f t="shared" si="93"/>
        <v>3.5</v>
      </c>
      <c r="BA223" s="237">
        <f t="shared" si="94"/>
        <v>2.8000000000000003</v>
      </c>
      <c r="BB223" s="31">
        <f t="shared" si="95"/>
        <v>0</v>
      </c>
      <c r="BC223" s="237">
        <f t="shared" si="96"/>
        <v>0</v>
      </c>
      <c r="BD223" s="31">
        <f t="shared" si="97"/>
        <v>0</v>
      </c>
      <c r="BE223" s="237">
        <f t="shared" si="98"/>
        <v>0</v>
      </c>
      <c r="BF223" s="31">
        <f t="shared" si="99"/>
        <v>0</v>
      </c>
      <c r="BG223" s="237">
        <f t="shared" si="100"/>
        <v>0</v>
      </c>
      <c r="BH223" s="31">
        <f t="shared" si="101"/>
        <v>0</v>
      </c>
      <c r="BI223" s="237">
        <f t="shared" si="102"/>
        <v>0</v>
      </c>
      <c r="BJ223" s="31">
        <f t="shared" si="103"/>
        <v>0</v>
      </c>
      <c r="BK223" s="31">
        <f t="shared" si="104"/>
        <v>0</v>
      </c>
      <c r="BL223" s="237">
        <f t="shared" si="105"/>
        <v>0</v>
      </c>
      <c r="BM223" s="31">
        <f t="shared" si="106"/>
        <v>0</v>
      </c>
      <c r="BN223" s="237">
        <f t="shared" si="107"/>
        <v>0</v>
      </c>
    </row>
    <row r="224" spans="1:66" x14ac:dyDescent="0.25">
      <c r="A224" s="182" t="s">
        <v>2199</v>
      </c>
      <c r="B224" s="182" t="str">
        <f>VLOOKUP(A224,kurspris!$A$1:$B$894,2,FALSE)</f>
        <v>Musik 3, distans</v>
      </c>
      <c r="C224" s="37"/>
      <c r="D224" s="31" t="s">
        <v>84</v>
      </c>
      <c r="F224" s="59">
        <v>2019</v>
      </c>
      <c r="Q224" s="237">
        <v>0.25</v>
      </c>
      <c r="R224" s="40">
        <v>0.85</v>
      </c>
      <c r="S224" s="313">
        <f t="shared" si="81"/>
        <v>0.21249999999999999</v>
      </c>
      <c r="T224" s="31">
        <f>VLOOKUP(A224,'Ansvar kurs'!$A$1:$C$1027,2,FALSE)</f>
        <v>1650</v>
      </c>
      <c r="U224" s="31" t="str">
        <f>VLOOKUP(T224,Orgenheter!$A$1:$C$165,2,FALSE)</f>
        <v xml:space="preserve">Estetiska ämnen               </v>
      </c>
      <c r="V224" s="31" t="str">
        <f>VLOOKUP(T224,Orgenheter!$A$1:$C$165,3,FALSE)</f>
        <v>Hum</v>
      </c>
      <c r="W224" s="37" t="str">
        <f>VLOOKUP(D224,Program!$A$1:$B$34,2,FALSE)</f>
        <v>VAL-projektet</v>
      </c>
      <c r="X224" s="42">
        <f>VLOOKUP(A224,kurspris!$A$1:$Q$815,15,FALSE)</f>
        <v>30802</v>
      </c>
      <c r="Y224" s="42">
        <f>VLOOKUP(A224,kurspris!$A$1:$Q$815,16,FALSE)</f>
        <v>63797</v>
      </c>
      <c r="Z224" s="42">
        <f t="shared" si="82"/>
        <v>21257.362499999999</v>
      </c>
      <c r="AA224" s="42">
        <f>VLOOKUP(A224,kurspris!$A$1:$Q$815,17,FALSE)</f>
        <v>70100</v>
      </c>
      <c r="AB224" s="42">
        <f t="shared" si="83"/>
        <v>17525</v>
      </c>
      <c r="AC224" s="42">
        <f t="shared" si="84"/>
        <v>38782.362500000003</v>
      </c>
      <c r="AD224" s="31">
        <f>VLOOKUP($A224,kurspris!$A$1:$Q$852,3,FALSE)</f>
        <v>0</v>
      </c>
      <c r="AE224" s="31">
        <f>VLOOKUP($A224,kurspris!$A$1:$Q$852,4,FALSE)</f>
        <v>0</v>
      </c>
      <c r="AF224" s="31">
        <f>VLOOKUP($A224,kurspris!$A$1:$Q$852,5,FALSE)</f>
        <v>0</v>
      </c>
      <c r="AG224" s="31">
        <f>VLOOKUP($A224,kurspris!$A$1:$Q$852,6,FALSE)</f>
        <v>0</v>
      </c>
      <c r="AH224" s="31">
        <f>VLOOKUP($A224,kurspris!$A$1:$Q$852,7,FALSE)</f>
        <v>1</v>
      </c>
      <c r="AI224" s="31">
        <f>VLOOKUP($A224,kurspris!$A$1:$Q$852,8,FALSE)</f>
        <v>0</v>
      </c>
      <c r="AJ224" s="31">
        <f>VLOOKUP($A224,kurspris!$A$1:$Q$852,9,FALSE)</f>
        <v>0</v>
      </c>
      <c r="AK224" s="31">
        <f>VLOOKUP($A224,kurspris!$A$1:$Q$852,10,FALSE)</f>
        <v>0</v>
      </c>
      <c r="AL224" s="31">
        <f>VLOOKUP($A224,kurspris!$A$1:$Q$852,11,FALSE)</f>
        <v>0</v>
      </c>
      <c r="AM224" s="31">
        <f>VLOOKUP($A224,kurspris!$A$1:$Q$852,12,FALSE)</f>
        <v>0</v>
      </c>
      <c r="AN224" s="31">
        <f>VLOOKUP($A224,kurspris!$A$1:$Q$852,13,FALSE)</f>
        <v>0</v>
      </c>
      <c r="AO224" s="31">
        <f>VLOOKUP($A224,kurspris!$A$1:$Q$852,14,FALSE)</f>
        <v>0</v>
      </c>
      <c r="AP224" s="59" t="s">
        <v>2216</v>
      </c>
      <c r="AQ224" s="59"/>
      <c r="AR224" s="31">
        <f t="shared" si="85"/>
        <v>0</v>
      </c>
      <c r="AS224" s="237">
        <f t="shared" si="86"/>
        <v>0</v>
      </c>
      <c r="AT224" s="31">
        <f t="shared" si="87"/>
        <v>0</v>
      </c>
      <c r="AU224" s="237">
        <f t="shared" si="88"/>
        <v>0</v>
      </c>
      <c r="AV224" s="31">
        <f t="shared" si="89"/>
        <v>0</v>
      </c>
      <c r="AW224" s="31">
        <f t="shared" si="90"/>
        <v>0</v>
      </c>
      <c r="AX224" s="31">
        <f t="shared" si="91"/>
        <v>0</v>
      </c>
      <c r="AY224" s="237">
        <f t="shared" si="92"/>
        <v>0</v>
      </c>
      <c r="AZ224" s="214">
        <f t="shared" si="93"/>
        <v>0.25</v>
      </c>
      <c r="BA224" s="237">
        <f t="shared" si="94"/>
        <v>0.21249999999999999</v>
      </c>
      <c r="BB224" s="31">
        <f t="shared" si="95"/>
        <v>0</v>
      </c>
      <c r="BC224" s="237">
        <f t="shared" si="96"/>
        <v>0</v>
      </c>
      <c r="BD224" s="31">
        <f t="shared" si="97"/>
        <v>0</v>
      </c>
      <c r="BE224" s="237">
        <f t="shared" si="98"/>
        <v>0</v>
      </c>
      <c r="BF224" s="31">
        <f t="shared" si="99"/>
        <v>0</v>
      </c>
      <c r="BG224" s="237">
        <f t="shared" si="100"/>
        <v>0</v>
      </c>
      <c r="BH224" s="31">
        <f t="shared" si="101"/>
        <v>0</v>
      </c>
      <c r="BI224" s="237">
        <f t="shared" si="102"/>
        <v>0</v>
      </c>
      <c r="BJ224" s="31">
        <f t="shared" si="103"/>
        <v>0</v>
      </c>
      <c r="BK224" s="31">
        <f t="shared" si="104"/>
        <v>0</v>
      </c>
      <c r="BL224" s="237">
        <f t="shared" si="105"/>
        <v>0</v>
      </c>
      <c r="BM224" s="31">
        <f t="shared" si="106"/>
        <v>0</v>
      </c>
      <c r="BN224" s="237">
        <f t="shared" si="107"/>
        <v>0</v>
      </c>
    </row>
    <row r="225" spans="1:66" x14ac:dyDescent="0.25">
      <c r="A225" s="59" t="s">
        <v>2199</v>
      </c>
      <c r="B225" s="182" t="str">
        <f>VLOOKUP(A225,kurspris!$A$1:$B$894,2,FALSE)</f>
        <v>Musik 3, distans</v>
      </c>
      <c r="C225" s="37"/>
      <c r="D225" s="59" t="s">
        <v>117</v>
      </c>
      <c r="E225" s="62"/>
      <c r="F225" s="59">
        <v>2019</v>
      </c>
      <c r="M225" s="386"/>
      <c r="N225" s="40"/>
      <c r="Q225" s="237">
        <v>0.75</v>
      </c>
      <c r="R225" s="40">
        <v>0.8</v>
      </c>
      <c r="S225" s="313">
        <f t="shared" si="81"/>
        <v>0.60000000000000009</v>
      </c>
      <c r="T225" s="31">
        <f>VLOOKUP(A225,'Ansvar kurs'!$A$1:$C$1027,2,FALSE)</f>
        <v>1650</v>
      </c>
      <c r="U225" s="31" t="str">
        <f>VLOOKUP(T225,Orgenheter!$A$1:$C$165,2,FALSE)</f>
        <v xml:space="preserve">Estetiska ämnen               </v>
      </c>
      <c r="V225" s="31" t="str">
        <f>VLOOKUP(T225,Orgenheter!$A$1:$C$165,3,FALSE)</f>
        <v>Hum</v>
      </c>
      <c r="W225" s="37" t="str">
        <f>VLOOKUP(D225,Program!$A$1:$B$34,2,FALSE)</f>
        <v>Fristående och övriga kurser</v>
      </c>
      <c r="X225" s="42">
        <f>VLOOKUP(A225,kurspris!$A$1:$Q$815,15,FALSE)</f>
        <v>30802</v>
      </c>
      <c r="Y225" s="42">
        <f>VLOOKUP(A225,kurspris!$A$1:$Q$815,16,FALSE)</f>
        <v>63797</v>
      </c>
      <c r="Z225" s="42">
        <f t="shared" si="82"/>
        <v>61379.700000000004</v>
      </c>
      <c r="AA225" s="42">
        <f>VLOOKUP(A225,kurspris!$A$1:$Q$815,17,FALSE)</f>
        <v>70100</v>
      </c>
      <c r="AB225" s="42">
        <f t="shared" si="83"/>
        <v>52575</v>
      </c>
      <c r="AC225" s="42">
        <f t="shared" si="84"/>
        <v>113954.70000000001</v>
      </c>
      <c r="AD225" s="31">
        <f>VLOOKUP($A225,kurspris!$A$1:$Q$852,3,FALSE)</f>
        <v>0</v>
      </c>
      <c r="AE225" s="31">
        <f>VLOOKUP($A225,kurspris!$A$1:$Q$852,4,FALSE)</f>
        <v>0</v>
      </c>
      <c r="AF225" s="31">
        <f>VLOOKUP($A225,kurspris!$A$1:$Q$852,5,FALSE)</f>
        <v>0</v>
      </c>
      <c r="AG225" s="31">
        <f>VLOOKUP($A225,kurspris!$A$1:$Q$852,6,FALSE)</f>
        <v>0</v>
      </c>
      <c r="AH225" s="31">
        <f>VLOOKUP($A225,kurspris!$A$1:$Q$852,7,FALSE)</f>
        <v>1</v>
      </c>
      <c r="AI225" s="31">
        <f>VLOOKUP($A225,kurspris!$A$1:$Q$852,8,FALSE)</f>
        <v>0</v>
      </c>
      <c r="AJ225" s="31">
        <f>VLOOKUP($A225,kurspris!$A$1:$Q$852,9,FALSE)</f>
        <v>0</v>
      </c>
      <c r="AK225" s="31">
        <f>VLOOKUP($A225,kurspris!$A$1:$Q$852,10,FALSE)</f>
        <v>0</v>
      </c>
      <c r="AL225" s="31">
        <f>VLOOKUP($A225,kurspris!$A$1:$Q$852,11,FALSE)</f>
        <v>0</v>
      </c>
      <c r="AM225" s="31">
        <f>VLOOKUP($A225,kurspris!$A$1:$Q$852,12,FALSE)</f>
        <v>0</v>
      </c>
      <c r="AN225" s="31">
        <f>VLOOKUP($A225,kurspris!$A$1:$Q$852,13,FALSE)</f>
        <v>0</v>
      </c>
      <c r="AO225" s="31">
        <f>VLOOKUP($A225,kurspris!$A$1:$Q$852,14,FALSE)</f>
        <v>0</v>
      </c>
      <c r="AP225" s="59" t="s">
        <v>2216</v>
      </c>
      <c r="AR225" s="31">
        <f t="shared" si="85"/>
        <v>0</v>
      </c>
      <c r="AS225" s="237">
        <f t="shared" si="86"/>
        <v>0</v>
      </c>
      <c r="AT225" s="31">
        <f t="shared" si="87"/>
        <v>0</v>
      </c>
      <c r="AU225" s="237">
        <f t="shared" si="88"/>
        <v>0</v>
      </c>
      <c r="AV225" s="31">
        <f t="shared" si="89"/>
        <v>0</v>
      </c>
      <c r="AW225" s="31">
        <f t="shared" si="90"/>
        <v>0</v>
      </c>
      <c r="AX225" s="31">
        <f t="shared" si="91"/>
        <v>0</v>
      </c>
      <c r="AY225" s="237">
        <f t="shared" si="92"/>
        <v>0</v>
      </c>
      <c r="AZ225" s="214">
        <f t="shared" si="93"/>
        <v>0.75</v>
      </c>
      <c r="BA225" s="237">
        <f t="shared" si="94"/>
        <v>0.60000000000000009</v>
      </c>
      <c r="BB225" s="31">
        <f t="shared" si="95"/>
        <v>0</v>
      </c>
      <c r="BC225" s="237">
        <f t="shared" si="96"/>
        <v>0</v>
      </c>
      <c r="BD225" s="31">
        <f t="shared" si="97"/>
        <v>0</v>
      </c>
      <c r="BE225" s="237">
        <f t="shared" si="98"/>
        <v>0</v>
      </c>
      <c r="BF225" s="31">
        <f t="shared" si="99"/>
        <v>0</v>
      </c>
      <c r="BG225" s="237">
        <f t="shared" si="100"/>
        <v>0</v>
      </c>
      <c r="BH225" s="31">
        <f t="shared" si="101"/>
        <v>0</v>
      </c>
      <c r="BI225" s="237">
        <f t="shared" si="102"/>
        <v>0</v>
      </c>
      <c r="BJ225" s="31">
        <f t="shared" si="103"/>
        <v>0</v>
      </c>
      <c r="BK225" s="31">
        <f t="shared" si="104"/>
        <v>0</v>
      </c>
      <c r="BL225" s="237">
        <f t="shared" si="105"/>
        <v>0</v>
      </c>
      <c r="BM225" s="31">
        <f t="shared" si="106"/>
        <v>0</v>
      </c>
      <c r="BN225" s="237">
        <f t="shared" si="107"/>
        <v>0</v>
      </c>
    </row>
    <row r="226" spans="1:66" x14ac:dyDescent="0.25">
      <c r="A226" s="159" t="s">
        <v>2100</v>
      </c>
      <c r="B226" s="182" t="str">
        <f>VLOOKUP(A226,kurspris!$A$1:$B$894,2,FALSE)</f>
        <v>Musik 2</v>
      </c>
      <c r="C226" s="37"/>
      <c r="D226" s="59" t="s">
        <v>483</v>
      </c>
      <c r="E226" s="62"/>
      <c r="F226" s="59">
        <v>2019</v>
      </c>
      <c r="M226" s="386"/>
      <c r="N226" s="40"/>
      <c r="Q226" s="237">
        <v>2</v>
      </c>
      <c r="R226" s="40">
        <v>0.85</v>
      </c>
      <c r="S226" s="313">
        <f t="shared" si="81"/>
        <v>1.7</v>
      </c>
      <c r="T226" s="31">
        <f>VLOOKUP(A226,'Ansvar kurs'!$A$1:$C$1027,2,FALSE)</f>
        <v>1650</v>
      </c>
      <c r="U226" s="31" t="str">
        <f>VLOOKUP(T226,Orgenheter!$A$1:$C$165,2,FALSE)</f>
        <v xml:space="preserve">Estetiska ämnen               </v>
      </c>
      <c r="V226" s="31" t="str">
        <f>VLOOKUP(T226,Orgenheter!$A$1:$C$165,3,FALSE)</f>
        <v>Hum</v>
      </c>
      <c r="W226" s="37" t="str">
        <f>VLOOKUP(D226,Program!$A$1:$B$34,2,FALSE)</f>
        <v>Ämneslärarprogrammet - Gy</v>
      </c>
      <c r="X226" s="42">
        <f>VLOOKUP(A226,kurspris!$A$1:$Q$815,15,FALSE)</f>
        <v>30802</v>
      </c>
      <c r="Y226" s="42">
        <f>VLOOKUP(A226,kurspris!$A$1:$Q$815,16,FALSE)</f>
        <v>63797</v>
      </c>
      <c r="Z226" s="42">
        <f t="shared" ref="Z226" si="108">X226*Q226+S226*Y226</f>
        <v>170058.9</v>
      </c>
      <c r="AA226" s="42">
        <f>VLOOKUP(A226,kurspris!$A$1:$Q$815,17,FALSE)</f>
        <v>70100</v>
      </c>
      <c r="AB226" s="42">
        <f t="shared" ref="AB226" si="109">AA226*Q226</f>
        <v>140200</v>
      </c>
      <c r="AC226" s="42">
        <f t="shared" ref="AC226" si="110">Z226+AB226</f>
        <v>310258.90000000002</v>
      </c>
      <c r="AD226" s="31">
        <f>VLOOKUP($A226,kurspris!$A$1:$Q$852,3,FALSE)</f>
        <v>0</v>
      </c>
      <c r="AE226" s="31">
        <f>VLOOKUP($A226,kurspris!$A$1:$Q$852,4,FALSE)</f>
        <v>0</v>
      </c>
      <c r="AF226" s="31">
        <f>VLOOKUP($A226,kurspris!$A$1:$Q$852,5,FALSE)</f>
        <v>0</v>
      </c>
      <c r="AG226" s="31">
        <f>VLOOKUP($A226,kurspris!$A$1:$Q$852,6,FALSE)</f>
        <v>0</v>
      </c>
      <c r="AH226" s="31">
        <f>VLOOKUP($A226,kurspris!$A$1:$Q$852,7,FALSE)</f>
        <v>1</v>
      </c>
      <c r="AI226" s="31">
        <f>VLOOKUP($A226,kurspris!$A$1:$Q$852,8,FALSE)</f>
        <v>0</v>
      </c>
      <c r="AJ226" s="31">
        <f>VLOOKUP($A226,kurspris!$A$1:$Q$852,9,FALSE)</f>
        <v>0</v>
      </c>
      <c r="AK226" s="31">
        <f>VLOOKUP($A226,kurspris!$A$1:$Q$852,10,FALSE)</f>
        <v>0</v>
      </c>
      <c r="AL226" s="31">
        <f>VLOOKUP($A226,kurspris!$A$1:$Q$852,11,FALSE)</f>
        <v>0</v>
      </c>
      <c r="AM226" s="31">
        <f>VLOOKUP($A226,kurspris!$A$1:$Q$852,12,FALSE)</f>
        <v>0</v>
      </c>
      <c r="AN226" s="31">
        <f>VLOOKUP($A226,kurspris!$A$1:$Q$852,13,FALSE)</f>
        <v>0</v>
      </c>
      <c r="AO226" s="31">
        <f>VLOOKUP($A226,kurspris!$A$1:$Q$852,14,FALSE)</f>
        <v>0</v>
      </c>
      <c r="AP226" s="59" t="s">
        <v>2216</v>
      </c>
      <c r="AR226" s="31">
        <f t="shared" ref="AR226" si="111">$Q226*AD226</f>
        <v>0</v>
      </c>
      <c r="AS226" s="237">
        <f t="shared" ref="AS226" si="112">$S226*AD226</f>
        <v>0</v>
      </c>
      <c r="AT226" s="31">
        <f t="shared" ref="AT226" si="113">$Q226*AE226</f>
        <v>0</v>
      </c>
      <c r="AU226" s="237">
        <f t="shared" ref="AU226" si="114">$S226*AE226</f>
        <v>0</v>
      </c>
      <c r="AV226" s="31">
        <f t="shared" ref="AV226" si="115">$Q226*AF226</f>
        <v>0</v>
      </c>
      <c r="AW226" s="31">
        <f t="shared" ref="AW226" si="116">$S226*AF226</f>
        <v>0</v>
      </c>
      <c r="AX226" s="31">
        <f t="shared" ref="AX226" si="117">$Q226*AG226</f>
        <v>0</v>
      </c>
      <c r="AY226" s="237">
        <f t="shared" ref="AY226" si="118">$S226*AG226</f>
        <v>0</v>
      </c>
      <c r="AZ226" s="214">
        <f t="shared" ref="AZ226" si="119">$Q226*AH226</f>
        <v>2</v>
      </c>
      <c r="BA226" s="237">
        <f t="shared" ref="BA226" si="120">$S226*AH226</f>
        <v>1.7</v>
      </c>
      <c r="BB226" s="31">
        <f t="shared" ref="BB226" si="121">$Q226*AI226</f>
        <v>0</v>
      </c>
      <c r="BC226" s="237">
        <f t="shared" ref="BC226" si="122">$S226*AI226</f>
        <v>0</v>
      </c>
      <c r="BD226" s="31">
        <f t="shared" ref="BD226" si="123">$Q226*AJ226</f>
        <v>0</v>
      </c>
      <c r="BE226" s="237">
        <f t="shared" ref="BE226" si="124">$S226*AJ226</f>
        <v>0</v>
      </c>
      <c r="BF226" s="31">
        <f t="shared" ref="BF226" si="125">$Q226*AK226</f>
        <v>0</v>
      </c>
      <c r="BG226" s="237">
        <f t="shared" ref="BG226" si="126">$S226*AK226</f>
        <v>0</v>
      </c>
      <c r="BH226" s="31">
        <f t="shared" ref="BH226" si="127">$Q226*AL226</f>
        <v>0</v>
      </c>
      <c r="BI226" s="237">
        <f t="shared" ref="BI226" si="128">$S226*AL226</f>
        <v>0</v>
      </c>
      <c r="BJ226" s="31">
        <f t="shared" ref="BJ226" si="129">$Q226*AM226</f>
        <v>0</v>
      </c>
      <c r="BK226" s="31">
        <f t="shared" ref="BK226" si="130">$Q226*AN226</f>
        <v>0</v>
      </c>
      <c r="BL226" s="237">
        <f t="shared" ref="BL226" si="131">$S226*AN226</f>
        <v>0</v>
      </c>
      <c r="BM226" s="31">
        <f t="shared" ref="BM226" si="132">$Q226*AO226</f>
        <v>0</v>
      </c>
      <c r="BN226" s="237">
        <f t="shared" ref="BN226" si="133">$S226*AO226</f>
        <v>0</v>
      </c>
    </row>
    <row r="227" spans="1:66" x14ac:dyDescent="0.25">
      <c r="A227" s="159" t="s">
        <v>2107</v>
      </c>
      <c r="B227" s="182" t="str">
        <f>VLOOKUP(A227,kurspris!$A$1:$B$894,2,FALSE)</f>
        <v>Musik fördjupning 2</v>
      </c>
      <c r="C227" s="37"/>
      <c r="D227" s="31" t="s">
        <v>483</v>
      </c>
      <c r="F227" s="59">
        <v>2019</v>
      </c>
      <c r="Q227" s="237">
        <v>2</v>
      </c>
      <c r="R227" s="40">
        <v>0.85</v>
      </c>
      <c r="S227" s="313">
        <f t="shared" si="81"/>
        <v>1.7</v>
      </c>
      <c r="T227" s="31">
        <f>VLOOKUP(A227,'Ansvar kurs'!$A$1:$C$1027,2,FALSE)</f>
        <v>1650</v>
      </c>
      <c r="U227" s="31" t="str">
        <f>VLOOKUP(T227,Orgenheter!$A$1:$C$165,2,FALSE)</f>
        <v xml:space="preserve">Estetiska ämnen               </v>
      </c>
      <c r="V227" s="31" t="str">
        <f>VLOOKUP(T227,Orgenheter!$A$1:$C$165,3,FALSE)</f>
        <v>Hum</v>
      </c>
      <c r="W227" s="37" t="str">
        <f>VLOOKUP(D227,Program!$A$1:$B$34,2,FALSE)</f>
        <v>Ämneslärarprogrammet - Gy</v>
      </c>
      <c r="X227" s="42">
        <f>VLOOKUP(A227,kurspris!$A$1:$Q$815,15,FALSE)</f>
        <v>30802</v>
      </c>
      <c r="Y227" s="42">
        <f>VLOOKUP(A227,kurspris!$A$1:$Q$815,16,FALSE)</f>
        <v>63797</v>
      </c>
      <c r="Z227" s="42">
        <f t="shared" si="82"/>
        <v>170058.9</v>
      </c>
      <c r="AA227" s="42">
        <f>VLOOKUP(A227,kurspris!$A$1:$Q$815,17,FALSE)</f>
        <v>70100</v>
      </c>
      <c r="AB227" s="42">
        <f t="shared" si="83"/>
        <v>140200</v>
      </c>
      <c r="AC227" s="42">
        <f t="shared" si="84"/>
        <v>310258.90000000002</v>
      </c>
      <c r="AD227" s="31">
        <f>VLOOKUP($A227,kurspris!$A$1:$Q$852,3,FALSE)</f>
        <v>0</v>
      </c>
      <c r="AE227" s="31">
        <f>VLOOKUP($A227,kurspris!$A$1:$Q$852,4,FALSE)</f>
        <v>0</v>
      </c>
      <c r="AF227" s="31">
        <f>VLOOKUP($A227,kurspris!$A$1:$Q$852,5,FALSE)</f>
        <v>0</v>
      </c>
      <c r="AG227" s="31">
        <f>VLOOKUP($A227,kurspris!$A$1:$Q$852,6,FALSE)</f>
        <v>0</v>
      </c>
      <c r="AH227" s="31">
        <f>VLOOKUP($A227,kurspris!$A$1:$Q$852,7,FALSE)</f>
        <v>1</v>
      </c>
      <c r="AI227" s="31">
        <f>VLOOKUP($A227,kurspris!$A$1:$Q$852,8,FALSE)</f>
        <v>0</v>
      </c>
      <c r="AJ227" s="31">
        <f>VLOOKUP($A227,kurspris!$A$1:$Q$852,9,FALSE)</f>
        <v>0</v>
      </c>
      <c r="AK227" s="31">
        <f>VLOOKUP($A227,kurspris!$A$1:$Q$852,10,FALSE)</f>
        <v>0</v>
      </c>
      <c r="AL227" s="31">
        <f>VLOOKUP($A227,kurspris!$A$1:$Q$852,11,FALSE)</f>
        <v>0</v>
      </c>
      <c r="AM227" s="31">
        <f>VLOOKUP($A227,kurspris!$A$1:$Q$852,12,FALSE)</f>
        <v>0</v>
      </c>
      <c r="AN227" s="31">
        <f>VLOOKUP($A227,kurspris!$A$1:$Q$852,13,FALSE)</f>
        <v>0</v>
      </c>
      <c r="AO227" s="31">
        <f>VLOOKUP($A227,kurspris!$A$1:$Q$852,14,FALSE)</f>
        <v>0</v>
      </c>
      <c r="AP227" s="59" t="s">
        <v>2216</v>
      </c>
      <c r="AR227" s="31">
        <f t="shared" si="85"/>
        <v>0</v>
      </c>
      <c r="AS227" s="237">
        <f t="shared" si="86"/>
        <v>0</v>
      </c>
      <c r="AT227" s="31">
        <f t="shared" si="87"/>
        <v>0</v>
      </c>
      <c r="AU227" s="237">
        <f t="shared" si="88"/>
        <v>0</v>
      </c>
      <c r="AV227" s="31">
        <f t="shared" si="89"/>
        <v>0</v>
      </c>
      <c r="AW227" s="31">
        <f t="shared" si="90"/>
        <v>0</v>
      </c>
      <c r="AX227" s="31">
        <f t="shared" si="91"/>
        <v>0</v>
      </c>
      <c r="AY227" s="237">
        <f t="shared" si="92"/>
        <v>0</v>
      </c>
      <c r="AZ227" s="214">
        <f t="shared" si="93"/>
        <v>2</v>
      </c>
      <c r="BA227" s="237">
        <f t="shared" si="94"/>
        <v>1.7</v>
      </c>
      <c r="BB227" s="31">
        <f t="shared" si="95"/>
        <v>0</v>
      </c>
      <c r="BC227" s="237">
        <f t="shared" si="96"/>
        <v>0</v>
      </c>
      <c r="BD227" s="31">
        <f t="shared" si="97"/>
        <v>0</v>
      </c>
      <c r="BE227" s="237">
        <f t="shared" si="98"/>
        <v>0</v>
      </c>
      <c r="BF227" s="31">
        <f t="shared" si="99"/>
        <v>0</v>
      </c>
      <c r="BG227" s="237">
        <f t="shared" si="100"/>
        <v>0</v>
      </c>
      <c r="BH227" s="31">
        <f t="shared" si="101"/>
        <v>0</v>
      </c>
      <c r="BI227" s="237">
        <f t="shared" si="102"/>
        <v>0</v>
      </c>
      <c r="BJ227" s="31">
        <f t="shared" si="103"/>
        <v>0</v>
      </c>
      <c r="BK227" s="31">
        <f t="shared" si="104"/>
        <v>0</v>
      </c>
      <c r="BL227" s="237">
        <f t="shared" si="105"/>
        <v>0</v>
      </c>
      <c r="BM227" s="31">
        <f t="shared" si="106"/>
        <v>0</v>
      </c>
      <c r="BN227" s="237">
        <f t="shared" si="107"/>
        <v>0</v>
      </c>
    </row>
    <row r="228" spans="1:66" x14ac:dyDescent="0.25">
      <c r="A228" s="59" t="s">
        <v>434</v>
      </c>
      <c r="B228" s="182" t="str">
        <f>VLOOKUP(A228,kurspris!$A$1:$B$894,2,FALSE)</f>
        <v>Makroekonomi och arbetsmarknad A23</v>
      </c>
      <c r="C228" s="37"/>
      <c r="D228" s="59" t="s">
        <v>85</v>
      </c>
      <c r="E228" s="62"/>
      <c r="F228" s="59">
        <v>2019</v>
      </c>
      <c r="M228" s="386"/>
      <c r="N228" s="40"/>
      <c r="Q228" s="237">
        <v>3.75</v>
      </c>
      <c r="R228" s="40">
        <v>0.85</v>
      </c>
      <c r="S228" s="313">
        <f t="shared" si="81"/>
        <v>3.1875</v>
      </c>
      <c r="T228" s="31">
        <f>VLOOKUP(A228,'Ansvar kurs'!$A$1:$C$1027,2,FALSE)</f>
        <v>2271</v>
      </c>
      <c r="U228" s="31" t="str">
        <f>VLOOKUP(T228,Orgenheter!$A$1:$C$165,2,FALSE)</f>
        <v xml:space="preserve">Nationalekonomi               </v>
      </c>
      <c r="V228" s="31" t="str">
        <f>VLOOKUP(T228,Orgenheter!$A$1:$C$165,3,FALSE)</f>
        <v>Sam</v>
      </c>
      <c r="W228" s="37" t="str">
        <f>VLOOKUP(D228,Program!$A$1:$B$34,2,FALSE)</f>
        <v>Studie- och yrkesvägledarprogram</v>
      </c>
      <c r="X228" s="42">
        <f>VLOOKUP(A228,kurspris!$A$1:$Q$815,15,FALSE)</f>
        <v>18405</v>
      </c>
      <c r="Y228" s="42">
        <f>VLOOKUP(A228,kurspris!$A$1:$Q$815,16,FALSE)</f>
        <v>15773</v>
      </c>
      <c r="Z228" s="42">
        <f t="shared" si="82"/>
        <v>119295.1875</v>
      </c>
      <c r="AA228" s="42">
        <f>VLOOKUP(A228,kurspris!$A$1:$Q$815,17,FALSE)</f>
        <v>5800</v>
      </c>
      <c r="AB228" s="42">
        <f t="shared" si="83"/>
        <v>21750</v>
      </c>
      <c r="AC228" s="42">
        <f t="shared" si="84"/>
        <v>141045.1875</v>
      </c>
      <c r="AD228" s="31">
        <f>VLOOKUP($A228,kurspris!$A$1:$Q$852,3,FALSE)</f>
        <v>0</v>
      </c>
      <c r="AE228" s="31">
        <f>VLOOKUP($A228,kurspris!$A$1:$Q$852,4,FALSE)</f>
        <v>0</v>
      </c>
      <c r="AF228" s="31">
        <f>VLOOKUP($A228,kurspris!$A$1:$Q$852,5,FALSE)</f>
        <v>0</v>
      </c>
      <c r="AG228" s="31">
        <f>VLOOKUP($A228,kurspris!$A$1:$Q$852,6,FALSE)</f>
        <v>0</v>
      </c>
      <c r="AH228" s="31">
        <f>VLOOKUP($A228,kurspris!$A$1:$Q$852,7,FALSE)</f>
        <v>0</v>
      </c>
      <c r="AI228" s="31">
        <f>VLOOKUP($A228,kurspris!$A$1:$Q$852,8,FALSE)</f>
        <v>0</v>
      </c>
      <c r="AJ228" s="31">
        <f>VLOOKUP($A228,kurspris!$A$1:$Q$852,9,FALSE)</f>
        <v>1</v>
      </c>
      <c r="AK228" s="31">
        <f>VLOOKUP($A228,kurspris!$A$1:$Q$852,10,FALSE)</f>
        <v>0</v>
      </c>
      <c r="AL228" s="31">
        <f>VLOOKUP($A228,kurspris!$A$1:$Q$852,11,FALSE)</f>
        <v>0</v>
      </c>
      <c r="AM228" s="31">
        <f>VLOOKUP($A228,kurspris!$A$1:$Q$852,12,FALSE)</f>
        <v>0</v>
      </c>
      <c r="AN228" s="31">
        <f>VLOOKUP($A228,kurspris!$A$1:$Q$852,13,FALSE)</f>
        <v>0</v>
      </c>
      <c r="AO228" s="31">
        <f>VLOOKUP($A228,kurspris!$A$1:$Q$852,14,FALSE)</f>
        <v>0</v>
      </c>
      <c r="AP228" s="59" t="s">
        <v>2216</v>
      </c>
      <c r="AR228" s="31">
        <f t="shared" si="85"/>
        <v>0</v>
      </c>
      <c r="AS228" s="237">
        <f t="shared" si="86"/>
        <v>0</v>
      </c>
      <c r="AT228" s="31">
        <f t="shared" si="87"/>
        <v>0</v>
      </c>
      <c r="AU228" s="237">
        <f t="shared" si="88"/>
        <v>0</v>
      </c>
      <c r="AV228" s="31">
        <f t="shared" si="89"/>
        <v>0</v>
      </c>
      <c r="AW228" s="31">
        <f t="shared" si="90"/>
        <v>0</v>
      </c>
      <c r="AX228" s="31">
        <f t="shared" si="91"/>
        <v>0</v>
      </c>
      <c r="AY228" s="237">
        <f t="shared" si="92"/>
        <v>0</v>
      </c>
      <c r="AZ228" s="214">
        <f t="shared" si="93"/>
        <v>0</v>
      </c>
      <c r="BA228" s="237">
        <f t="shared" si="94"/>
        <v>0</v>
      </c>
      <c r="BB228" s="31">
        <f t="shared" si="95"/>
        <v>0</v>
      </c>
      <c r="BC228" s="237">
        <f t="shared" si="96"/>
        <v>0</v>
      </c>
      <c r="BD228" s="31">
        <f t="shared" si="97"/>
        <v>3.75</v>
      </c>
      <c r="BE228" s="237">
        <f t="shared" si="98"/>
        <v>3.1875</v>
      </c>
      <c r="BF228" s="31">
        <f t="shared" si="99"/>
        <v>0</v>
      </c>
      <c r="BG228" s="237">
        <f t="shared" si="100"/>
        <v>0</v>
      </c>
      <c r="BH228" s="31">
        <f t="shared" si="101"/>
        <v>0</v>
      </c>
      <c r="BI228" s="237">
        <f t="shared" si="102"/>
        <v>0</v>
      </c>
      <c r="BJ228" s="31">
        <f t="shared" si="103"/>
        <v>0</v>
      </c>
      <c r="BK228" s="31">
        <f t="shared" si="104"/>
        <v>0</v>
      </c>
      <c r="BL228" s="237">
        <f t="shared" si="105"/>
        <v>0</v>
      </c>
      <c r="BM228" s="31">
        <f t="shared" si="106"/>
        <v>0</v>
      </c>
      <c r="BN228" s="237">
        <f t="shared" si="107"/>
        <v>0</v>
      </c>
    </row>
    <row r="229" spans="1:66" x14ac:dyDescent="0.25">
      <c r="A229" s="159" t="s">
        <v>1802</v>
      </c>
      <c r="B229" s="182" t="str">
        <f>VLOOKUP(A229,kurspris!$A$1:$B$894,2,FALSE)</f>
        <v>Att undervisa i naturkunskap (VFU)</v>
      </c>
      <c r="C229" s="37"/>
      <c r="D229" s="31" t="s">
        <v>483</v>
      </c>
      <c r="F229" s="59">
        <v>2019</v>
      </c>
      <c r="Q229" s="237">
        <v>0.1</v>
      </c>
      <c r="R229" s="40">
        <v>0.85</v>
      </c>
      <c r="S229" s="313">
        <f t="shared" si="81"/>
        <v>8.5000000000000006E-2</v>
      </c>
      <c r="T229" s="31">
        <f>VLOOKUP(A229,'Ansvar kurs'!$A$1:$C$1027,2,FALSE)</f>
        <v>5740</v>
      </c>
      <c r="U229" s="31" t="str">
        <f>VLOOKUP(T229,Orgenheter!$A$1:$C$165,2,FALSE)</f>
        <v>NMD</v>
      </c>
      <c r="V229" s="31" t="str">
        <f>VLOOKUP(T229,Orgenheter!$A$1:$C$165,3,FALSE)</f>
        <v>TekNat</v>
      </c>
      <c r="W229" s="37" t="str">
        <f>VLOOKUP(D229,Program!$A$1:$B$34,2,FALSE)</f>
        <v>Ämneslärarprogrammet - Gy</v>
      </c>
      <c r="X229" s="42">
        <f>VLOOKUP(A229,kurspris!$A$1:$Q$815,15,FALSE)</f>
        <v>21634</v>
      </c>
      <c r="Y229" s="42">
        <f>VLOOKUP(A229,kurspris!$A$1:$Q$815,16,FALSE)</f>
        <v>26986</v>
      </c>
      <c r="Z229" s="42">
        <f t="shared" si="82"/>
        <v>4457.21</v>
      </c>
      <c r="AA229" s="42">
        <f>VLOOKUP(A229,kurspris!$A$1:$Q$815,17,FALSE)</f>
        <v>3400</v>
      </c>
      <c r="AB229" s="42">
        <f t="shared" si="83"/>
        <v>340</v>
      </c>
      <c r="AC229" s="42">
        <f t="shared" si="84"/>
        <v>4797.21</v>
      </c>
      <c r="AD229" s="31">
        <f>VLOOKUP($A229,kurspris!$A$1:$Q$852,3,FALSE)</f>
        <v>0</v>
      </c>
      <c r="AE229" s="31">
        <f>VLOOKUP($A229,kurspris!$A$1:$Q$852,4,FALSE)</f>
        <v>0</v>
      </c>
      <c r="AF229" s="31">
        <f>VLOOKUP($A229,kurspris!$A$1:$Q$852,5,FALSE)</f>
        <v>0</v>
      </c>
      <c r="AG229" s="31">
        <f>VLOOKUP($A229,kurspris!$A$1:$Q$852,6,FALSE)</f>
        <v>0</v>
      </c>
      <c r="AH229" s="31">
        <f>VLOOKUP($A229,kurspris!$A$1:$Q$852,7,FALSE)</f>
        <v>0</v>
      </c>
      <c r="AI229" s="31">
        <f>VLOOKUP($A229,kurspris!$A$1:$Q$852,8,FALSE)</f>
        <v>0</v>
      </c>
      <c r="AJ229" s="31">
        <f>VLOOKUP($A229,kurspris!$A$1:$Q$852,9,FALSE)</f>
        <v>0</v>
      </c>
      <c r="AK229" s="31">
        <f>VLOOKUP($A229,kurspris!$A$1:$Q$852,10,FALSE)</f>
        <v>0</v>
      </c>
      <c r="AL229" s="31">
        <f>VLOOKUP($A229,kurspris!$A$1:$Q$852,11,FALSE)</f>
        <v>1</v>
      </c>
      <c r="AM229" s="31">
        <f>VLOOKUP($A229,kurspris!$A$1:$Q$852,12,FALSE)</f>
        <v>0</v>
      </c>
      <c r="AN229" s="31">
        <f>VLOOKUP($A229,kurspris!$A$1:$Q$852,13,FALSE)</f>
        <v>0</v>
      </c>
      <c r="AO229" s="31">
        <f>VLOOKUP($A229,kurspris!$A$1:$Q$852,14,FALSE)</f>
        <v>0</v>
      </c>
      <c r="AP229" s="59" t="s">
        <v>2216</v>
      </c>
      <c r="AR229" s="31">
        <f t="shared" si="85"/>
        <v>0</v>
      </c>
      <c r="AS229" s="237">
        <f t="shared" si="86"/>
        <v>0</v>
      </c>
      <c r="AT229" s="31">
        <f t="shared" si="87"/>
        <v>0</v>
      </c>
      <c r="AU229" s="237">
        <f t="shared" si="88"/>
        <v>0</v>
      </c>
      <c r="AV229" s="31">
        <f t="shared" si="89"/>
        <v>0</v>
      </c>
      <c r="AW229" s="31">
        <f t="shared" si="90"/>
        <v>0</v>
      </c>
      <c r="AX229" s="31">
        <f t="shared" si="91"/>
        <v>0</v>
      </c>
      <c r="AY229" s="237">
        <f t="shared" si="92"/>
        <v>0</v>
      </c>
      <c r="AZ229" s="214">
        <f t="shared" si="93"/>
        <v>0</v>
      </c>
      <c r="BA229" s="237">
        <f t="shared" si="94"/>
        <v>0</v>
      </c>
      <c r="BB229" s="31">
        <f t="shared" si="95"/>
        <v>0</v>
      </c>
      <c r="BC229" s="237">
        <f t="shared" si="96"/>
        <v>0</v>
      </c>
      <c r="BD229" s="31">
        <f t="shared" si="97"/>
        <v>0</v>
      </c>
      <c r="BE229" s="237">
        <f t="shared" si="98"/>
        <v>0</v>
      </c>
      <c r="BF229" s="31">
        <f t="shared" si="99"/>
        <v>0</v>
      </c>
      <c r="BG229" s="237">
        <f t="shared" si="100"/>
        <v>0</v>
      </c>
      <c r="BH229" s="31">
        <f t="shared" si="101"/>
        <v>0.1</v>
      </c>
      <c r="BI229" s="237">
        <f t="shared" si="102"/>
        <v>8.5000000000000006E-2</v>
      </c>
      <c r="BJ229" s="31">
        <f t="shared" si="103"/>
        <v>0</v>
      </c>
      <c r="BK229" s="31">
        <f t="shared" si="104"/>
        <v>0</v>
      </c>
      <c r="BL229" s="237">
        <f t="shared" si="105"/>
        <v>0</v>
      </c>
      <c r="BM229" s="31">
        <f t="shared" si="106"/>
        <v>0</v>
      </c>
      <c r="BN229" s="237">
        <f t="shared" si="107"/>
        <v>0</v>
      </c>
    </row>
    <row r="230" spans="1:66" x14ac:dyDescent="0.25">
      <c r="A230" s="159" t="s">
        <v>2060</v>
      </c>
      <c r="B230" s="182" t="str">
        <f>VLOOKUP(A230,kurspris!$A$1:$B$894,2,FALSE)</f>
        <v>Examensarbete - Naturkunskap</v>
      </c>
      <c r="C230" s="37"/>
      <c r="D230" s="31" t="s">
        <v>483</v>
      </c>
      <c r="F230" s="59">
        <v>2019</v>
      </c>
      <c r="Q230" s="237">
        <v>0.375</v>
      </c>
      <c r="R230" s="40">
        <v>0.85</v>
      </c>
      <c r="S230" s="313">
        <f t="shared" si="81"/>
        <v>0.31874999999999998</v>
      </c>
      <c r="T230" s="31">
        <f>VLOOKUP(A230,'Ansvar kurs'!$A$1:$C$1027,2,FALSE)</f>
        <v>5740</v>
      </c>
      <c r="U230" s="31" t="str">
        <f>VLOOKUP(T230,Orgenheter!$A$1:$C$165,2,FALSE)</f>
        <v>NMD</v>
      </c>
      <c r="V230" s="31" t="str">
        <f>VLOOKUP(T230,Orgenheter!$A$1:$C$165,3,FALSE)</f>
        <v>TekNat</v>
      </c>
      <c r="W230" s="37" t="str">
        <f>VLOOKUP(D230,Program!$A$1:$B$34,2,FALSE)</f>
        <v>Ämneslärarprogrammet - Gy</v>
      </c>
      <c r="X230" s="42">
        <f>VLOOKUP(A230,kurspris!$A$1:$Q$815,15,FALSE)</f>
        <v>19473</v>
      </c>
      <c r="Y230" s="42">
        <f>VLOOKUP(A230,kurspris!$A$1:$Q$815,16,FALSE)</f>
        <v>34806</v>
      </c>
      <c r="Z230" s="42">
        <f t="shared" si="82"/>
        <v>18396.787499999999</v>
      </c>
      <c r="AA230" s="42">
        <f>VLOOKUP(A230,kurspris!$A$1:$Q$815,17,FALSE)</f>
        <v>21800</v>
      </c>
      <c r="AB230" s="42">
        <f t="shared" si="83"/>
        <v>8175</v>
      </c>
      <c r="AC230" s="42">
        <f t="shared" si="84"/>
        <v>26571.787499999999</v>
      </c>
      <c r="AD230" s="31">
        <f>VLOOKUP($A230,kurspris!$A$1:$Q$852,3,FALSE)</f>
        <v>0</v>
      </c>
      <c r="AE230" s="31">
        <f>VLOOKUP($A230,kurspris!$A$1:$Q$852,4,FALSE)</f>
        <v>0</v>
      </c>
      <c r="AF230" s="31">
        <f>VLOOKUP($A230,kurspris!$A$1:$Q$852,5,FALSE)</f>
        <v>0</v>
      </c>
      <c r="AG230" s="31">
        <f>VLOOKUP($A230,kurspris!$A$1:$Q$852,6,FALSE)</f>
        <v>0</v>
      </c>
      <c r="AH230" s="31">
        <f>VLOOKUP($A230,kurspris!$A$1:$Q$852,7,FALSE)</f>
        <v>0</v>
      </c>
      <c r="AI230" s="31">
        <f>VLOOKUP($A230,kurspris!$A$1:$Q$852,8,FALSE)</f>
        <v>1</v>
      </c>
      <c r="AJ230" s="31">
        <f>VLOOKUP($A230,kurspris!$A$1:$Q$852,9,FALSE)</f>
        <v>0</v>
      </c>
      <c r="AK230" s="31">
        <f>VLOOKUP($A230,kurspris!$A$1:$Q$852,10,FALSE)</f>
        <v>0</v>
      </c>
      <c r="AL230" s="31">
        <f>VLOOKUP($A230,kurspris!$A$1:$Q$852,11,FALSE)</f>
        <v>0</v>
      </c>
      <c r="AM230" s="31">
        <f>VLOOKUP($A230,kurspris!$A$1:$Q$852,12,FALSE)</f>
        <v>0</v>
      </c>
      <c r="AN230" s="31">
        <f>VLOOKUP($A230,kurspris!$A$1:$Q$852,13,FALSE)</f>
        <v>0</v>
      </c>
      <c r="AO230" s="31">
        <f>VLOOKUP($A230,kurspris!$A$1:$Q$852,14,FALSE)</f>
        <v>0</v>
      </c>
      <c r="AP230" s="59" t="s">
        <v>2216</v>
      </c>
      <c r="AR230" s="31">
        <f t="shared" si="85"/>
        <v>0</v>
      </c>
      <c r="AS230" s="237">
        <f t="shared" si="86"/>
        <v>0</v>
      </c>
      <c r="AT230" s="31">
        <f t="shared" si="87"/>
        <v>0</v>
      </c>
      <c r="AU230" s="237">
        <f t="shared" si="88"/>
        <v>0</v>
      </c>
      <c r="AV230" s="31">
        <f t="shared" si="89"/>
        <v>0</v>
      </c>
      <c r="AW230" s="31">
        <f t="shared" si="90"/>
        <v>0</v>
      </c>
      <c r="AX230" s="31">
        <f t="shared" si="91"/>
        <v>0</v>
      </c>
      <c r="AY230" s="237">
        <f t="shared" si="92"/>
        <v>0</v>
      </c>
      <c r="AZ230" s="214">
        <f t="shared" si="93"/>
        <v>0</v>
      </c>
      <c r="BA230" s="237">
        <f t="shared" si="94"/>
        <v>0</v>
      </c>
      <c r="BB230" s="31">
        <f t="shared" si="95"/>
        <v>0.375</v>
      </c>
      <c r="BC230" s="237">
        <f t="shared" si="96"/>
        <v>0.31874999999999998</v>
      </c>
      <c r="BD230" s="31">
        <f t="shared" si="97"/>
        <v>0</v>
      </c>
      <c r="BE230" s="237">
        <f t="shared" si="98"/>
        <v>0</v>
      </c>
      <c r="BF230" s="31">
        <f t="shared" si="99"/>
        <v>0</v>
      </c>
      <c r="BG230" s="237">
        <f t="shared" si="100"/>
        <v>0</v>
      </c>
      <c r="BH230" s="31">
        <f t="shared" si="101"/>
        <v>0</v>
      </c>
      <c r="BI230" s="237">
        <f t="shared" si="102"/>
        <v>0</v>
      </c>
      <c r="BJ230" s="31">
        <f t="shared" si="103"/>
        <v>0</v>
      </c>
      <c r="BK230" s="31">
        <f t="shared" si="104"/>
        <v>0</v>
      </c>
      <c r="BL230" s="237">
        <f t="shared" si="105"/>
        <v>0</v>
      </c>
      <c r="BM230" s="31">
        <f t="shared" si="106"/>
        <v>0</v>
      </c>
      <c r="BN230" s="237">
        <f t="shared" si="107"/>
        <v>0</v>
      </c>
    </row>
    <row r="231" spans="1:66" x14ac:dyDescent="0.25">
      <c r="A231" s="159" t="s">
        <v>1803</v>
      </c>
      <c r="B231" s="182" t="str">
        <f>VLOOKUP(A231,kurspris!$A$1:$B$894,2,FALSE)</f>
        <v>Naturkunskapsdidaktik 1 för ämneslärare för gymnasiet</v>
      </c>
      <c r="C231" s="37"/>
      <c r="D231" s="31" t="s">
        <v>483</v>
      </c>
      <c r="F231" s="59">
        <v>2019</v>
      </c>
      <c r="Q231" s="237">
        <v>0.125</v>
      </c>
      <c r="R231" s="40">
        <v>0.85</v>
      </c>
      <c r="S231" s="313">
        <f t="shared" si="81"/>
        <v>0.10625</v>
      </c>
      <c r="T231" s="31">
        <f>VLOOKUP(A231,'Ansvar kurs'!$A$1:$C$1027,2,FALSE)</f>
        <v>5740</v>
      </c>
      <c r="U231" s="31" t="str">
        <f>VLOOKUP(T231,Orgenheter!$A$1:$C$165,2,FALSE)</f>
        <v>NMD</v>
      </c>
      <c r="V231" s="31" t="str">
        <f>VLOOKUP(T231,Orgenheter!$A$1:$C$165,3,FALSE)</f>
        <v>TekNat</v>
      </c>
      <c r="W231" s="37" t="str">
        <f>VLOOKUP(D231,Program!$A$1:$B$34,2,FALSE)</f>
        <v>Ämneslärarprogrammet - Gy</v>
      </c>
      <c r="X231" s="42">
        <f>VLOOKUP(A231,kurspris!$A$1:$Q$815,15,FALSE)</f>
        <v>19473</v>
      </c>
      <c r="Y231" s="42">
        <f>VLOOKUP(A231,kurspris!$A$1:$Q$815,16,FALSE)</f>
        <v>34806</v>
      </c>
      <c r="Z231" s="42">
        <f t="shared" si="82"/>
        <v>6132.2624999999998</v>
      </c>
      <c r="AA231" s="42">
        <f>VLOOKUP(A231,kurspris!$A$1:$Q$815,17,FALSE)</f>
        <v>21800</v>
      </c>
      <c r="AB231" s="42">
        <f t="shared" si="83"/>
        <v>2725</v>
      </c>
      <c r="AC231" s="42">
        <f t="shared" si="84"/>
        <v>8857.2625000000007</v>
      </c>
      <c r="AD231" s="31">
        <f>VLOOKUP($A231,kurspris!$A$1:$Q$852,3,FALSE)</f>
        <v>0</v>
      </c>
      <c r="AE231" s="31">
        <f>VLOOKUP($A231,kurspris!$A$1:$Q$852,4,FALSE)</f>
        <v>0</v>
      </c>
      <c r="AF231" s="31">
        <f>VLOOKUP($A231,kurspris!$A$1:$Q$852,5,FALSE)</f>
        <v>0</v>
      </c>
      <c r="AG231" s="31">
        <f>VLOOKUP($A231,kurspris!$A$1:$Q$852,6,FALSE)</f>
        <v>0</v>
      </c>
      <c r="AH231" s="31">
        <f>VLOOKUP($A231,kurspris!$A$1:$Q$852,7,FALSE)</f>
        <v>0</v>
      </c>
      <c r="AI231" s="31">
        <f>VLOOKUP($A231,kurspris!$A$1:$Q$852,8,FALSE)</f>
        <v>1</v>
      </c>
      <c r="AJ231" s="31">
        <f>VLOOKUP($A231,kurspris!$A$1:$Q$852,9,FALSE)</f>
        <v>0</v>
      </c>
      <c r="AK231" s="31">
        <f>VLOOKUP($A231,kurspris!$A$1:$Q$852,10,FALSE)</f>
        <v>0</v>
      </c>
      <c r="AL231" s="31">
        <f>VLOOKUP($A231,kurspris!$A$1:$Q$852,11,FALSE)</f>
        <v>0</v>
      </c>
      <c r="AM231" s="31">
        <f>VLOOKUP($A231,kurspris!$A$1:$Q$852,12,FALSE)</f>
        <v>0</v>
      </c>
      <c r="AN231" s="31">
        <f>VLOOKUP($A231,kurspris!$A$1:$Q$852,13,FALSE)</f>
        <v>0</v>
      </c>
      <c r="AO231" s="31">
        <f>VLOOKUP($A231,kurspris!$A$1:$Q$852,14,FALSE)</f>
        <v>0</v>
      </c>
      <c r="AP231" s="59" t="s">
        <v>2216</v>
      </c>
      <c r="AR231" s="31">
        <f t="shared" si="85"/>
        <v>0</v>
      </c>
      <c r="AS231" s="237">
        <f t="shared" si="86"/>
        <v>0</v>
      </c>
      <c r="AT231" s="31">
        <f t="shared" si="87"/>
        <v>0</v>
      </c>
      <c r="AU231" s="237">
        <f t="shared" si="88"/>
        <v>0</v>
      </c>
      <c r="AV231" s="31">
        <f t="shared" si="89"/>
        <v>0</v>
      </c>
      <c r="AW231" s="31">
        <f t="shared" si="90"/>
        <v>0</v>
      </c>
      <c r="AX231" s="31">
        <f t="shared" si="91"/>
        <v>0</v>
      </c>
      <c r="AY231" s="237">
        <f t="shared" si="92"/>
        <v>0</v>
      </c>
      <c r="AZ231" s="214">
        <f t="shared" si="93"/>
        <v>0</v>
      </c>
      <c r="BA231" s="237">
        <f t="shared" si="94"/>
        <v>0</v>
      </c>
      <c r="BB231" s="31">
        <f t="shared" si="95"/>
        <v>0.125</v>
      </c>
      <c r="BC231" s="237">
        <f t="shared" si="96"/>
        <v>0.10625</v>
      </c>
      <c r="BD231" s="31">
        <f t="shared" si="97"/>
        <v>0</v>
      </c>
      <c r="BE231" s="237">
        <f t="shared" si="98"/>
        <v>0</v>
      </c>
      <c r="BF231" s="31">
        <f t="shared" si="99"/>
        <v>0</v>
      </c>
      <c r="BG231" s="237">
        <f t="shared" si="100"/>
        <v>0</v>
      </c>
      <c r="BH231" s="31">
        <f t="shared" si="101"/>
        <v>0</v>
      </c>
      <c r="BI231" s="237">
        <f t="shared" si="102"/>
        <v>0</v>
      </c>
      <c r="BJ231" s="31">
        <f t="shared" si="103"/>
        <v>0</v>
      </c>
      <c r="BK231" s="31">
        <f t="shared" si="104"/>
        <v>0</v>
      </c>
      <c r="BL231" s="237">
        <f t="shared" si="105"/>
        <v>0</v>
      </c>
      <c r="BM231" s="31">
        <f t="shared" si="106"/>
        <v>0</v>
      </c>
      <c r="BN231" s="237">
        <f t="shared" si="107"/>
        <v>0</v>
      </c>
    </row>
    <row r="232" spans="1:66" x14ac:dyDescent="0.25">
      <c r="A232" s="159" t="s">
        <v>1803</v>
      </c>
      <c r="B232" s="182" t="str">
        <f>VLOOKUP(A232,kurspris!$A$1:$B$894,2,FALSE)</f>
        <v>Naturkunskapsdidaktik 1 för ämneslärare för gymnasiet</v>
      </c>
      <c r="C232" s="37"/>
      <c r="D232" s="31" t="s">
        <v>117</v>
      </c>
      <c r="F232" s="59">
        <v>2019</v>
      </c>
      <c r="Q232" s="237">
        <v>0.125</v>
      </c>
      <c r="R232" s="40">
        <v>0.8</v>
      </c>
      <c r="S232" s="313">
        <f t="shared" si="81"/>
        <v>0.1</v>
      </c>
      <c r="T232" s="31">
        <f>VLOOKUP(A232,'Ansvar kurs'!$A$1:$C$1027,2,FALSE)</f>
        <v>5740</v>
      </c>
      <c r="U232" s="31" t="str">
        <f>VLOOKUP(T232,Orgenheter!$A$1:$C$165,2,FALSE)</f>
        <v>NMD</v>
      </c>
      <c r="V232" s="31" t="str">
        <f>VLOOKUP(T232,Orgenheter!$A$1:$C$165,3,FALSE)</f>
        <v>TekNat</v>
      </c>
      <c r="W232" s="37" t="str">
        <f>VLOOKUP(D232,Program!$A$1:$B$34,2,FALSE)</f>
        <v>Fristående och övriga kurser</v>
      </c>
      <c r="X232" s="42">
        <f>VLOOKUP(A232,kurspris!$A$1:$Q$815,15,FALSE)</f>
        <v>19473</v>
      </c>
      <c r="Y232" s="42">
        <f>VLOOKUP(A232,kurspris!$A$1:$Q$815,16,FALSE)</f>
        <v>34806</v>
      </c>
      <c r="Z232" s="42">
        <f t="shared" si="82"/>
        <v>5914.7250000000004</v>
      </c>
      <c r="AA232" s="42">
        <f>VLOOKUP(A232,kurspris!$A$1:$Q$815,17,FALSE)</f>
        <v>21800</v>
      </c>
      <c r="AB232" s="42">
        <f t="shared" si="83"/>
        <v>2725</v>
      </c>
      <c r="AC232" s="42">
        <f t="shared" si="84"/>
        <v>8639.7250000000004</v>
      </c>
      <c r="AD232" s="31">
        <f>VLOOKUP($A232,kurspris!$A$1:$Q$852,3,FALSE)</f>
        <v>0</v>
      </c>
      <c r="AE232" s="31">
        <f>VLOOKUP($A232,kurspris!$A$1:$Q$852,4,FALSE)</f>
        <v>0</v>
      </c>
      <c r="AF232" s="31">
        <f>VLOOKUP($A232,kurspris!$A$1:$Q$852,5,FALSE)</f>
        <v>0</v>
      </c>
      <c r="AG232" s="31">
        <f>VLOOKUP($A232,kurspris!$A$1:$Q$852,6,FALSE)</f>
        <v>0</v>
      </c>
      <c r="AH232" s="31">
        <f>VLOOKUP($A232,kurspris!$A$1:$Q$852,7,FALSE)</f>
        <v>0</v>
      </c>
      <c r="AI232" s="31">
        <f>VLOOKUP($A232,kurspris!$A$1:$Q$852,8,FALSE)</f>
        <v>1</v>
      </c>
      <c r="AJ232" s="31">
        <f>VLOOKUP($A232,kurspris!$A$1:$Q$852,9,FALSE)</f>
        <v>0</v>
      </c>
      <c r="AK232" s="31">
        <f>VLOOKUP($A232,kurspris!$A$1:$Q$852,10,FALSE)</f>
        <v>0</v>
      </c>
      <c r="AL232" s="31">
        <f>VLOOKUP($A232,kurspris!$A$1:$Q$852,11,FALSE)</f>
        <v>0</v>
      </c>
      <c r="AM232" s="31">
        <f>VLOOKUP($A232,kurspris!$A$1:$Q$852,12,FALSE)</f>
        <v>0</v>
      </c>
      <c r="AN232" s="31">
        <f>VLOOKUP($A232,kurspris!$A$1:$Q$852,13,FALSE)</f>
        <v>0</v>
      </c>
      <c r="AO232" s="31">
        <f>VLOOKUP($A232,kurspris!$A$1:$Q$852,14,FALSE)</f>
        <v>0</v>
      </c>
      <c r="AP232" s="59" t="s">
        <v>2216</v>
      </c>
      <c r="AR232" s="31">
        <f t="shared" si="85"/>
        <v>0</v>
      </c>
      <c r="AS232" s="237">
        <f t="shared" si="86"/>
        <v>0</v>
      </c>
      <c r="AT232" s="31">
        <f t="shared" si="87"/>
        <v>0</v>
      </c>
      <c r="AU232" s="237">
        <f t="shared" si="88"/>
        <v>0</v>
      </c>
      <c r="AV232" s="31">
        <f t="shared" si="89"/>
        <v>0</v>
      </c>
      <c r="AW232" s="31">
        <f t="shared" si="90"/>
        <v>0</v>
      </c>
      <c r="AX232" s="31">
        <f t="shared" si="91"/>
        <v>0</v>
      </c>
      <c r="AY232" s="237">
        <f t="shared" si="92"/>
        <v>0</v>
      </c>
      <c r="AZ232" s="214">
        <f t="shared" si="93"/>
        <v>0</v>
      </c>
      <c r="BA232" s="237">
        <f t="shared" si="94"/>
        <v>0</v>
      </c>
      <c r="BB232" s="31">
        <f t="shared" si="95"/>
        <v>0.125</v>
      </c>
      <c r="BC232" s="237">
        <f t="shared" si="96"/>
        <v>0.1</v>
      </c>
      <c r="BD232" s="31">
        <f t="shared" si="97"/>
        <v>0</v>
      </c>
      <c r="BE232" s="237">
        <f t="shared" si="98"/>
        <v>0</v>
      </c>
      <c r="BF232" s="31">
        <f t="shared" si="99"/>
        <v>0</v>
      </c>
      <c r="BG232" s="237">
        <f t="shared" si="100"/>
        <v>0</v>
      </c>
      <c r="BH232" s="31">
        <f t="shared" si="101"/>
        <v>0</v>
      </c>
      <c r="BI232" s="237">
        <f t="shared" si="102"/>
        <v>0</v>
      </c>
      <c r="BJ232" s="31">
        <f t="shared" si="103"/>
        <v>0</v>
      </c>
      <c r="BK232" s="31">
        <f t="shared" si="104"/>
        <v>0</v>
      </c>
      <c r="BL232" s="237">
        <f t="shared" si="105"/>
        <v>0</v>
      </c>
      <c r="BM232" s="31">
        <f t="shared" si="106"/>
        <v>0</v>
      </c>
      <c r="BN232" s="237">
        <f t="shared" si="107"/>
        <v>0</v>
      </c>
    </row>
    <row r="233" spans="1:66" x14ac:dyDescent="0.25">
      <c r="A233" s="159" t="s">
        <v>1804</v>
      </c>
      <c r="B233" s="182" t="str">
        <f>VLOOKUP(A233,kurspris!$A$1:$B$894,2,FALSE)</f>
        <v>Naturkunskapsdidaktik 2 för ämneslärare för gymnasiet</v>
      </c>
      <c r="C233" s="37"/>
      <c r="D233" s="31" t="s">
        <v>483</v>
      </c>
      <c r="F233" s="59">
        <v>2019</v>
      </c>
      <c r="Q233" s="237">
        <v>0.125</v>
      </c>
      <c r="R233" s="40">
        <v>0.85</v>
      </c>
      <c r="S233" s="313">
        <f t="shared" si="81"/>
        <v>0.10625</v>
      </c>
      <c r="T233" s="31">
        <f>VLOOKUP(A233,'Ansvar kurs'!$A$1:$C$1027,2,FALSE)</f>
        <v>5740</v>
      </c>
      <c r="U233" s="31" t="str">
        <f>VLOOKUP(T233,Orgenheter!$A$1:$C$165,2,FALSE)</f>
        <v>NMD</v>
      </c>
      <c r="V233" s="31" t="str">
        <f>VLOOKUP(T233,Orgenheter!$A$1:$C$165,3,FALSE)</f>
        <v>TekNat</v>
      </c>
      <c r="W233" s="37" t="str">
        <f>VLOOKUP(D233,Program!$A$1:$B$34,2,FALSE)</f>
        <v>Ämneslärarprogrammet - Gy</v>
      </c>
      <c r="X233" s="42">
        <f>VLOOKUP(A233,kurspris!$A$1:$Q$815,15,FALSE)</f>
        <v>19473</v>
      </c>
      <c r="Y233" s="42">
        <f>VLOOKUP(A233,kurspris!$A$1:$Q$815,16,FALSE)</f>
        <v>34806</v>
      </c>
      <c r="Z233" s="42">
        <f t="shared" si="82"/>
        <v>6132.2624999999998</v>
      </c>
      <c r="AA233" s="42">
        <f>VLOOKUP(A233,kurspris!$A$1:$Q$815,17,FALSE)</f>
        <v>21800</v>
      </c>
      <c r="AB233" s="42">
        <f t="shared" si="83"/>
        <v>2725</v>
      </c>
      <c r="AC233" s="42">
        <f t="shared" si="84"/>
        <v>8857.2625000000007</v>
      </c>
      <c r="AD233" s="31">
        <f>VLOOKUP($A233,kurspris!$A$1:$Q$852,3,FALSE)</f>
        <v>0</v>
      </c>
      <c r="AE233" s="31">
        <f>VLOOKUP($A233,kurspris!$A$1:$Q$852,4,FALSE)</f>
        <v>0</v>
      </c>
      <c r="AF233" s="31">
        <f>VLOOKUP($A233,kurspris!$A$1:$Q$852,5,FALSE)</f>
        <v>0</v>
      </c>
      <c r="AG233" s="31">
        <f>VLOOKUP($A233,kurspris!$A$1:$Q$852,6,FALSE)</f>
        <v>0</v>
      </c>
      <c r="AH233" s="31">
        <f>VLOOKUP($A233,kurspris!$A$1:$Q$852,7,FALSE)</f>
        <v>0</v>
      </c>
      <c r="AI233" s="31">
        <f>VLOOKUP($A233,kurspris!$A$1:$Q$852,8,FALSE)</f>
        <v>1</v>
      </c>
      <c r="AJ233" s="31">
        <f>VLOOKUP($A233,kurspris!$A$1:$Q$852,9,FALSE)</f>
        <v>0</v>
      </c>
      <c r="AK233" s="31">
        <f>VLOOKUP($A233,kurspris!$A$1:$Q$852,10,FALSE)</f>
        <v>0</v>
      </c>
      <c r="AL233" s="31">
        <f>VLOOKUP($A233,kurspris!$A$1:$Q$852,11,FALSE)</f>
        <v>0</v>
      </c>
      <c r="AM233" s="31">
        <f>VLOOKUP($A233,kurspris!$A$1:$Q$852,12,FALSE)</f>
        <v>0</v>
      </c>
      <c r="AN233" s="31">
        <f>VLOOKUP($A233,kurspris!$A$1:$Q$852,13,FALSE)</f>
        <v>0</v>
      </c>
      <c r="AO233" s="31">
        <f>VLOOKUP($A233,kurspris!$A$1:$Q$852,14,FALSE)</f>
        <v>0</v>
      </c>
      <c r="AP233" s="59" t="s">
        <v>2216</v>
      </c>
      <c r="AR233" s="31">
        <f t="shared" si="85"/>
        <v>0</v>
      </c>
      <c r="AS233" s="237">
        <f t="shared" si="86"/>
        <v>0</v>
      </c>
      <c r="AT233" s="31">
        <f t="shared" si="87"/>
        <v>0</v>
      </c>
      <c r="AU233" s="237">
        <f t="shared" si="88"/>
        <v>0</v>
      </c>
      <c r="AV233" s="31">
        <f t="shared" si="89"/>
        <v>0</v>
      </c>
      <c r="AW233" s="31">
        <f t="shared" si="90"/>
        <v>0</v>
      </c>
      <c r="AX233" s="31">
        <f t="shared" si="91"/>
        <v>0</v>
      </c>
      <c r="AY233" s="237">
        <f t="shared" si="92"/>
        <v>0</v>
      </c>
      <c r="AZ233" s="214">
        <f t="shared" si="93"/>
        <v>0</v>
      </c>
      <c r="BA233" s="237">
        <f t="shared" si="94"/>
        <v>0</v>
      </c>
      <c r="BB233" s="31">
        <f t="shared" si="95"/>
        <v>0.125</v>
      </c>
      <c r="BC233" s="237">
        <f t="shared" si="96"/>
        <v>0.10625</v>
      </c>
      <c r="BD233" s="31">
        <f t="shared" si="97"/>
        <v>0</v>
      </c>
      <c r="BE233" s="237">
        <f t="shared" si="98"/>
        <v>0</v>
      </c>
      <c r="BF233" s="31">
        <f t="shared" si="99"/>
        <v>0</v>
      </c>
      <c r="BG233" s="237">
        <f t="shared" si="100"/>
        <v>0</v>
      </c>
      <c r="BH233" s="31">
        <f t="shared" si="101"/>
        <v>0</v>
      </c>
      <c r="BI233" s="237">
        <f t="shared" si="102"/>
        <v>0</v>
      </c>
      <c r="BJ233" s="31">
        <f t="shared" si="103"/>
        <v>0</v>
      </c>
      <c r="BK233" s="31">
        <f t="shared" si="104"/>
        <v>0</v>
      </c>
      <c r="BL233" s="237">
        <f t="shared" si="105"/>
        <v>0</v>
      </c>
      <c r="BM233" s="31">
        <f t="shared" si="106"/>
        <v>0</v>
      </c>
      <c r="BN233" s="237">
        <f t="shared" si="107"/>
        <v>0</v>
      </c>
    </row>
    <row r="234" spans="1:66" x14ac:dyDescent="0.25">
      <c r="A234" s="159" t="s">
        <v>1804</v>
      </c>
      <c r="B234" s="182" t="str">
        <f>VLOOKUP(A234,kurspris!$A$1:$B$894,2,FALSE)</f>
        <v>Naturkunskapsdidaktik 2 för ämneslärare för gymnasiet</v>
      </c>
      <c r="C234" s="37"/>
      <c r="D234" s="31" t="s">
        <v>117</v>
      </c>
      <c r="F234" s="59">
        <v>2019</v>
      </c>
      <c r="Q234" s="237">
        <v>0.125</v>
      </c>
      <c r="R234" s="40">
        <v>0.8</v>
      </c>
      <c r="S234" s="313">
        <f t="shared" si="81"/>
        <v>0.1</v>
      </c>
      <c r="T234" s="31">
        <f>VLOOKUP(A234,'Ansvar kurs'!$A$1:$C$1027,2,FALSE)</f>
        <v>5740</v>
      </c>
      <c r="U234" s="31" t="str">
        <f>VLOOKUP(T234,Orgenheter!$A$1:$C$165,2,FALSE)</f>
        <v>NMD</v>
      </c>
      <c r="V234" s="31" t="str">
        <f>VLOOKUP(T234,Orgenheter!$A$1:$C$165,3,FALSE)</f>
        <v>TekNat</v>
      </c>
      <c r="W234" s="37" t="str">
        <f>VLOOKUP(D234,Program!$A$1:$B$34,2,FALSE)</f>
        <v>Fristående och övriga kurser</v>
      </c>
      <c r="X234" s="42">
        <f>VLOOKUP(A234,kurspris!$A$1:$Q$815,15,FALSE)</f>
        <v>19473</v>
      </c>
      <c r="Y234" s="42">
        <f>VLOOKUP(A234,kurspris!$A$1:$Q$815,16,FALSE)</f>
        <v>34806</v>
      </c>
      <c r="Z234" s="42">
        <f t="shared" si="82"/>
        <v>5914.7250000000004</v>
      </c>
      <c r="AA234" s="42">
        <f>VLOOKUP(A234,kurspris!$A$1:$Q$815,17,FALSE)</f>
        <v>21800</v>
      </c>
      <c r="AB234" s="42">
        <f t="shared" si="83"/>
        <v>2725</v>
      </c>
      <c r="AC234" s="42">
        <f t="shared" si="84"/>
        <v>8639.7250000000004</v>
      </c>
      <c r="AD234" s="31">
        <f>VLOOKUP($A234,kurspris!$A$1:$Q$852,3,FALSE)</f>
        <v>0</v>
      </c>
      <c r="AE234" s="31">
        <f>VLOOKUP($A234,kurspris!$A$1:$Q$852,4,FALSE)</f>
        <v>0</v>
      </c>
      <c r="AF234" s="31">
        <f>VLOOKUP($A234,kurspris!$A$1:$Q$852,5,FALSE)</f>
        <v>0</v>
      </c>
      <c r="AG234" s="31">
        <f>VLOOKUP($A234,kurspris!$A$1:$Q$852,6,FALSE)</f>
        <v>0</v>
      </c>
      <c r="AH234" s="31">
        <f>VLOOKUP($A234,kurspris!$A$1:$Q$852,7,FALSE)</f>
        <v>0</v>
      </c>
      <c r="AI234" s="31">
        <f>VLOOKUP($A234,kurspris!$A$1:$Q$852,8,FALSE)</f>
        <v>1</v>
      </c>
      <c r="AJ234" s="31">
        <f>VLOOKUP($A234,kurspris!$A$1:$Q$852,9,FALSE)</f>
        <v>0</v>
      </c>
      <c r="AK234" s="31">
        <f>VLOOKUP($A234,kurspris!$A$1:$Q$852,10,FALSE)</f>
        <v>0</v>
      </c>
      <c r="AL234" s="31">
        <f>VLOOKUP($A234,kurspris!$A$1:$Q$852,11,FALSE)</f>
        <v>0</v>
      </c>
      <c r="AM234" s="31">
        <f>VLOOKUP($A234,kurspris!$A$1:$Q$852,12,FALSE)</f>
        <v>0</v>
      </c>
      <c r="AN234" s="31">
        <f>VLOOKUP($A234,kurspris!$A$1:$Q$852,13,FALSE)</f>
        <v>0</v>
      </c>
      <c r="AO234" s="31">
        <f>VLOOKUP($A234,kurspris!$A$1:$Q$852,14,FALSE)</f>
        <v>0</v>
      </c>
      <c r="AP234" s="59" t="s">
        <v>2216</v>
      </c>
      <c r="AR234" s="31">
        <f t="shared" si="85"/>
        <v>0</v>
      </c>
      <c r="AS234" s="237">
        <f t="shared" si="86"/>
        <v>0</v>
      </c>
      <c r="AT234" s="31">
        <f t="shared" si="87"/>
        <v>0</v>
      </c>
      <c r="AU234" s="237">
        <f t="shared" si="88"/>
        <v>0</v>
      </c>
      <c r="AV234" s="31">
        <f t="shared" si="89"/>
        <v>0</v>
      </c>
      <c r="AW234" s="31">
        <f t="shared" si="90"/>
        <v>0</v>
      </c>
      <c r="AX234" s="31">
        <f t="shared" si="91"/>
        <v>0</v>
      </c>
      <c r="AY234" s="237">
        <f t="shared" si="92"/>
        <v>0</v>
      </c>
      <c r="AZ234" s="214">
        <f t="shared" si="93"/>
        <v>0</v>
      </c>
      <c r="BA234" s="237">
        <f t="shared" si="94"/>
        <v>0</v>
      </c>
      <c r="BB234" s="31">
        <f t="shared" si="95"/>
        <v>0.125</v>
      </c>
      <c r="BC234" s="237">
        <f t="shared" si="96"/>
        <v>0.1</v>
      </c>
      <c r="BD234" s="31">
        <f t="shared" si="97"/>
        <v>0</v>
      </c>
      <c r="BE234" s="237">
        <f t="shared" si="98"/>
        <v>0</v>
      </c>
      <c r="BF234" s="31">
        <f t="shared" si="99"/>
        <v>0</v>
      </c>
      <c r="BG234" s="237">
        <f t="shared" si="100"/>
        <v>0</v>
      </c>
      <c r="BH234" s="31">
        <f t="shared" si="101"/>
        <v>0</v>
      </c>
      <c r="BI234" s="237">
        <f t="shared" si="102"/>
        <v>0</v>
      </c>
      <c r="BJ234" s="31">
        <f t="shared" si="103"/>
        <v>0</v>
      </c>
      <c r="BK234" s="31">
        <f t="shared" si="104"/>
        <v>0</v>
      </c>
      <c r="BL234" s="237">
        <f t="shared" si="105"/>
        <v>0</v>
      </c>
      <c r="BM234" s="31">
        <f t="shared" si="106"/>
        <v>0</v>
      </c>
      <c r="BN234" s="237">
        <f t="shared" si="107"/>
        <v>0</v>
      </c>
    </row>
    <row r="235" spans="1:66" x14ac:dyDescent="0.25">
      <c r="A235" s="159" t="s">
        <v>1564</v>
      </c>
      <c r="B235" s="182" t="str">
        <f>VLOOKUP(A235,kurspris!$A$1:$B$894,2,FALSE)</f>
        <v>Matematik, naturvetenskap och utomhuspedagogik för fritidshem</v>
      </c>
      <c r="C235" s="37"/>
      <c r="D235" s="31" t="s">
        <v>485</v>
      </c>
      <c r="F235" s="59">
        <v>2019</v>
      </c>
      <c r="Q235" s="237">
        <v>3.25</v>
      </c>
      <c r="R235" s="40">
        <v>0.85</v>
      </c>
      <c r="S235" s="313">
        <f t="shared" si="81"/>
        <v>2.7624999999999997</v>
      </c>
      <c r="T235" s="31">
        <f>VLOOKUP(A235,'Ansvar kurs'!$A$1:$C$1027,2,FALSE)</f>
        <v>5740</v>
      </c>
      <c r="U235" s="31" t="str">
        <f>VLOOKUP(T235,Orgenheter!$A$1:$C$165,2,FALSE)</f>
        <v>NMD</v>
      </c>
      <c r="V235" s="31" t="str">
        <f>VLOOKUP(T235,Orgenheter!$A$1:$C$165,3,FALSE)</f>
        <v>TekNat</v>
      </c>
      <c r="W235" s="37" t="str">
        <f>VLOOKUP(D235,Program!$A$1:$B$34,2,FALSE)</f>
        <v>Grundlärarprogrammet - fritidshem</v>
      </c>
      <c r="X235" s="42">
        <f>VLOOKUP(A235,kurspris!$A$1:$Q$815,15,FALSE)</f>
        <v>19473</v>
      </c>
      <c r="Y235" s="42">
        <f>VLOOKUP(A235,kurspris!$A$1:$Q$815,16,FALSE)</f>
        <v>34806</v>
      </c>
      <c r="Z235" s="42">
        <f t="shared" si="82"/>
        <v>159438.82500000001</v>
      </c>
      <c r="AA235" s="42">
        <f>VLOOKUP(A235,kurspris!$A$1:$Q$815,17,FALSE)</f>
        <v>21800</v>
      </c>
      <c r="AB235" s="42">
        <f t="shared" si="83"/>
        <v>70850</v>
      </c>
      <c r="AC235" s="42">
        <f t="shared" si="84"/>
        <v>230288.82500000001</v>
      </c>
      <c r="AD235" s="31">
        <f>VLOOKUP($A235,kurspris!$A$1:$Q$852,3,FALSE)</f>
        <v>0</v>
      </c>
      <c r="AE235" s="31">
        <f>VLOOKUP($A235,kurspris!$A$1:$Q$852,4,FALSE)</f>
        <v>0</v>
      </c>
      <c r="AF235" s="31">
        <f>VLOOKUP($A235,kurspris!$A$1:$Q$852,5,FALSE)</f>
        <v>0</v>
      </c>
      <c r="AG235" s="31">
        <f>VLOOKUP($A235,kurspris!$A$1:$Q$852,6,FALSE)</f>
        <v>0</v>
      </c>
      <c r="AH235" s="31">
        <f>VLOOKUP($A235,kurspris!$A$1:$Q$852,7,FALSE)</f>
        <v>0</v>
      </c>
      <c r="AI235" s="31">
        <f>VLOOKUP($A235,kurspris!$A$1:$Q$852,8,FALSE)</f>
        <v>1</v>
      </c>
      <c r="AJ235" s="31">
        <f>VLOOKUP($A235,kurspris!$A$1:$Q$852,9,FALSE)</f>
        <v>0</v>
      </c>
      <c r="AK235" s="31">
        <f>VLOOKUP($A235,kurspris!$A$1:$Q$852,10,FALSE)</f>
        <v>0</v>
      </c>
      <c r="AL235" s="31">
        <f>VLOOKUP($A235,kurspris!$A$1:$Q$852,11,FALSE)</f>
        <v>0</v>
      </c>
      <c r="AM235" s="31">
        <f>VLOOKUP($A235,kurspris!$A$1:$Q$852,12,FALSE)</f>
        <v>0</v>
      </c>
      <c r="AN235" s="31">
        <f>VLOOKUP($A235,kurspris!$A$1:$Q$852,13,FALSE)</f>
        <v>0</v>
      </c>
      <c r="AO235" s="31">
        <f>VLOOKUP($A235,kurspris!$A$1:$Q$852,14,FALSE)</f>
        <v>0</v>
      </c>
      <c r="AP235" s="59" t="s">
        <v>2216</v>
      </c>
      <c r="AR235" s="31">
        <f t="shared" si="85"/>
        <v>0</v>
      </c>
      <c r="AS235" s="237">
        <f t="shared" si="86"/>
        <v>0</v>
      </c>
      <c r="AT235" s="31">
        <f t="shared" si="87"/>
        <v>0</v>
      </c>
      <c r="AU235" s="237">
        <f t="shared" si="88"/>
        <v>0</v>
      </c>
      <c r="AV235" s="31">
        <f t="shared" si="89"/>
        <v>0</v>
      </c>
      <c r="AW235" s="31">
        <f t="shared" si="90"/>
        <v>0</v>
      </c>
      <c r="AX235" s="31">
        <f t="shared" si="91"/>
        <v>0</v>
      </c>
      <c r="AY235" s="237">
        <f t="shared" si="92"/>
        <v>0</v>
      </c>
      <c r="AZ235" s="214">
        <f t="shared" si="93"/>
        <v>0</v>
      </c>
      <c r="BA235" s="237">
        <f t="shared" si="94"/>
        <v>0</v>
      </c>
      <c r="BB235" s="31">
        <f t="shared" si="95"/>
        <v>3.25</v>
      </c>
      <c r="BC235" s="237">
        <f t="shared" si="96"/>
        <v>2.7624999999999997</v>
      </c>
      <c r="BD235" s="31">
        <f t="shared" si="97"/>
        <v>0</v>
      </c>
      <c r="BE235" s="237">
        <f t="shared" si="98"/>
        <v>0</v>
      </c>
      <c r="BF235" s="31">
        <f t="shared" si="99"/>
        <v>0</v>
      </c>
      <c r="BG235" s="237">
        <f t="shared" si="100"/>
        <v>0</v>
      </c>
      <c r="BH235" s="31">
        <f t="shared" si="101"/>
        <v>0</v>
      </c>
      <c r="BI235" s="237">
        <f t="shared" si="102"/>
        <v>0</v>
      </c>
      <c r="BJ235" s="31">
        <f t="shared" si="103"/>
        <v>0</v>
      </c>
      <c r="BK235" s="31">
        <f t="shared" si="104"/>
        <v>0</v>
      </c>
      <c r="BL235" s="237">
        <f t="shared" si="105"/>
        <v>0</v>
      </c>
      <c r="BM235" s="31">
        <f t="shared" si="106"/>
        <v>0</v>
      </c>
      <c r="BN235" s="237">
        <f t="shared" si="107"/>
        <v>0</v>
      </c>
    </row>
    <row r="236" spans="1:66" x14ac:dyDescent="0.25">
      <c r="A236" s="159" t="s">
        <v>1562</v>
      </c>
      <c r="B236" s="182" t="str">
        <f>VLOOKUP(A236,kurspris!$A$1:$B$894,2,FALSE)</f>
        <v>Naturorientering och teknik för förskoleklass och grundskolans årskurs 1-3</v>
      </c>
      <c r="C236" s="37"/>
      <c r="D236" s="31" t="s">
        <v>486</v>
      </c>
      <c r="F236" s="59">
        <v>2019</v>
      </c>
      <c r="Q236" s="237">
        <v>9.75</v>
      </c>
      <c r="R236" s="40">
        <v>0.85</v>
      </c>
      <c r="S236" s="313">
        <f t="shared" si="81"/>
        <v>8.2874999999999996</v>
      </c>
      <c r="T236" s="31">
        <f>VLOOKUP(A236,'Ansvar kurs'!$A$1:$C$1027,2,FALSE)</f>
        <v>5740</v>
      </c>
      <c r="U236" s="31" t="str">
        <f>VLOOKUP(T236,Orgenheter!$A$1:$C$165,2,FALSE)</f>
        <v>NMD</v>
      </c>
      <c r="V236" s="31" t="str">
        <f>VLOOKUP(T236,Orgenheter!$A$1:$C$165,3,FALSE)</f>
        <v>TekNat</v>
      </c>
      <c r="W236" s="37" t="str">
        <f>VLOOKUP(D236,Program!$A$1:$B$34,2,FALSE)</f>
        <v>Grundlärarprogrammet - förskoleklass och åk 1-3</v>
      </c>
      <c r="X236" s="42">
        <f>VLOOKUP(A236,kurspris!$A$1:$Q$815,15,FALSE)</f>
        <v>19473</v>
      </c>
      <c r="Y236" s="42">
        <f>VLOOKUP(A236,kurspris!$A$1:$Q$815,16,FALSE)</f>
        <v>34806</v>
      </c>
      <c r="Z236" s="42">
        <f t="shared" si="82"/>
        <v>478316.47499999998</v>
      </c>
      <c r="AA236" s="42">
        <f>VLOOKUP(A236,kurspris!$A$1:$Q$815,17,FALSE)</f>
        <v>21800</v>
      </c>
      <c r="AB236" s="42">
        <f t="shared" si="83"/>
        <v>212550</v>
      </c>
      <c r="AC236" s="42">
        <f t="shared" si="84"/>
        <v>690866.47499999998</v>
      </c>
      <c r="AD236" s="31">
        <f>VLOOKUP($A236,kurspris!$A$1:$Q$852,3,FALSE)</f>
        <v>0</v>
      </c>
      <c r="AE236" s="31">
        <f>VLOOKUP($A236,kurspris!$A$1:$Q$852,4,FALSE)</f>
        <v>0</v>
      </c>
      <c r="AF236" s="31">
        <f>VLOOKUP($A236,kurspris!$A$1:$Q$852,5,FALSE)</f>
        <v>0</v>
      </c>
      <c r="AG236" s="31">
        <f>VLOOKUP($A236,kurspris!$A$1:$Q$852,6,FALSE)</f>
        <v>0</v>
      </c>
      <c r="AH236" s="31">
        <f>VLOOKUP($A236,kurspris!$A$1:$Q$852,7,FALSE)</f>
        <v>0</v>
      </c>
      <c r="AI236" s="31">
        <f>VLOOKUP($A236,kurspris!$A$1:$Q$852,8,FALSE)</f>
        <v>1</v>
      </c>
      <c r="AJ236" s="31">
        <f>VLOOKUP($A236,kurspris!$A$1:$Q$852,9,FALSE)</f>
        <v>0</v>
      </c>
      <c r="AK236" s="31">
        <f>VLOOKUP($A236,kurspris!$A$1:$Q$852,10,FALSE)</f>
        <v>0</v>
      </c>
      <c r="AL236" s="31">
        <f>VLOOKUP($A236,kurspris!$A$1:$Q$852,11,FALSE)</f>
        <v>0</v>
      </c>
      <c r="AM236" s="31">
        <f>VLOOKUP($A236,kurspris!$A$1:$Q$852,12,FALSE)</f>
        <v>0</v>
      </c>
      <c r="AN236" s="31">
        <f>VLOOKUP($A236,kurspris!$A$1:$Q$852,13,FALSE)</f>
        <v>0</v>
      </c>
      <c r="AO236" s="31">
        <f>VLOOKUP($A236,kurspris!$A$1:$Q$852,14,FALSE)</f>
        <v>0</v>
      </c>
      <c r="AP236" s="59" t="s">
        <v>2216</v>
      </c>
      <c r="AQ236" s="59"/>
      <c r="AR236" s="31">
        <f t="shared" si="85"/>
        <v>0</v>
      </c>
      <c r="AS236" s="237">
        <f t="shared" si="86"/>
        <v>0</v>
      </c>
      <c r="AT236" s="31">
        <f t="shared" si="87"/>
        <v>0</v>
      </c>
      <c r="AU236" s="237">
        <f t="shared" si="88"/>
        <v>0</v>
      </c>
      <c r="AV236" s="31">
        <f t="shared" si="89"/>
        <v>0</v>
      </c>
      <c r="AW236" s="31">
        <f t="shared" si="90"/>
        <v>0</v>
      </c>
      <c r="AX236" s="31">
        <f t="shared" si="91"/>
        <v>0</v>
      </c>
      <c r="AY236" s="237">
        <f t="shared" si="92"/>
        <v>0</v>
      </c>
      <c r="AZ236" s="214">
        <f t="shared" si="93"/>
        <v>0</v>
      </c>
      <c r="BA236" s="237">
        <f t="shared" si="94"/>
        <v>0</v>
      </c>
      <c r="BB236" s="31">
        <f t="shared" si="95"/>
        <v>9.75</v>
      </c>
      <c r="BC236" s="237">
        <f t="shared" si="96"/>
        <v>8.2874999999999996</v>
      </c>
      <c r="BD236" s="31">
        <f t="shared" si="97"/>
        <v>0</v>
      </c>
      <c r="BE236" s="237">
        <f t="shared" si="98"/>
        <v>0</v>
      </c>
      <c r="BF236" s="31">
        <f t="shared" si="99"/>
        <v>0</v>
      </c>
      <c r="BG236" s="237">
        <f t="shared" si="100"/>
        <v>0</v>
      </c>
      <c r="BH236" s="31">
        <f t="shared" si="101"/>
        <v>0</v>
      </c>
      <c r="BI236" s="237">
        <f t="shared" si="102"/>
        <v>0</v>
      </c>
      <c r="BJ236" s="31">
        <f t="shared" si="103"/>
        <v>0</v>
      </c>
      <c r="BK236" s="31">
        <f t="shared" si="104"/>
        <v>0</v>
      </c>
      <c r="BL236" s="237">
        <f t="shared" si="105"/>
        <v>0</v>
      </c>
      <c r="BM236" s="31">
        <f t="shared" si="106"/>
        <v>0</v>
      </c>
      <c r="BN236" s="237">
        <f t="shared" si="107"/>
        <v>0</v>
      </c>
    </row>
    <row r="237" spans="1:66" x14ac:dyDescent="0.25">
      <c r="A237" s="31" t="s">
        <v>1565</v>
      </c>
      <c r="B237" s="182" t="str">
        <f>VLOOKUP(A237,kurspris!$A$1:$B$894,2,FALSE)</f>
        <v>Naturorientering och teknik för förskoleklass och grundskolans årskurs 4-6</v>
      </c>
      <c r="D237" s="31" t="s">
        <v>524</v>
      </c>
      <c r="F237" s="59">
        <v>2019</v>
      </c>
      <c r="Q237" s="237">
        <v>5.5</v>
      </c>
      <c r="R237" s="40">
        <v>0.85</v>
      </c>
      <c r="S237" s="313">
        <f t="shared" si="81"/>
        <v>4.6749999999999998</v>
      </c>
      <c r="T237" s="31">
        <f>VLOOKUP(A237,'Ansvar kurs'!$A$1:$C$1027,2,FALSE)</f>
        <v>5740</v>
      </c>
      <c r="U237" s="31" t="str">
        <f>VLOOKUP(T237,Orgenheter!$A$1:$C$165,2,FALSE)</f>
        <v>NMD</v>
      </c>
      <c r="V237" s="31" t="str">
        <f>VLOOKUP(T237,Orgenheter!$A$1:$C$165,3,FALSE)</f>
        <v>TekNat</v>
      </c>
      <c r="W237" s="37" t="str">
        <f>VLOOKUP(D237,Program!$A$1:$B$34,2,FALSE)</f>
        <v>Grundlärarprogrammet - grundskolans åk 4-6</v>
      </c>
      <c r="X237" s="42">
        <f>VLOOKUP(A237,kurspris!$A$1:$Q$815,15,FALSE)</f>
        <v>19473</v>
      </c>
      <c r="Y237" s="42">
        <f>VLOOKUP(A237,kurspris!$A$1:$Q$815,16,FALSE)</f>
        <v>34806</v>
      </c>
      <c r="Z237" s="42">
        <f t="shared" si="82"/>
        <v>269819.55</v>
      </c>
      <c r="AA237" s="42">
        <f>VLOOKUP(A237,kurspris!$A$1:$Q$815,17,FALSE)</f>
        <v>21800</v>
      </c>
      <c r="AB237" s="42">
        <f t="shared" si="83"/>
        <v>119900</v>
      </c>
      <c r="AC237" s="42">
        <f t="shared" si="84"/>
        <v>389719.55</v>
      </c>
      <c r="AD237" s="31">
        <f>VLOOKUP($A237,kurspris!$A$1:$Q$852,3,FALSE)</f>
        <v>0</v>
      </c>
      <c r="AE237" s="31">
        <f>VLOOKUP($A237,kurspris!$A$1:$Q$852,4,FALSE)</f>
        <v>0</v>
      </c>
      <c r="AF237" s="31">
        <f>VLOOKUP($A237,kurspris!$A$1:$Q$852,5,FALSE)</f>
        <v>0</v>
      </c>
      <c r="AG237" s="31">
        <f>VLOOKUP($A237,kurspris!$A$1:$Q$852,6,FALSE)</f>
        <v>0</v>
      </c>
      <c r="AH237" s="31">
        <f>VLOOKUP($A237,kurspris!$A$1:$Q$852,7,FALSE)</f>
        <v>0</v>
      </c>
      <c r="AI237" s="31">
        <f>VLOOKUP($A237,kurspris!$A$1:$Q$852,8,FALSE)</f>
        <v>1</v>
      </c>
      <c r="AJ237" s="31">
        <f>VLOOKUP($A237,kurspris!$A$1:$Q$852,9,FALSE)</f>
        <v>0</v>
      </c>
      <c r="AK237" s="31">
        <f>VLOOKUP($A237,kurspris!$A$1:$Q$852,10,FALSE)</f>
        <v>0</v>
      </c>
      <c r="AL237" s="31">
        <f>VLOOKUP($A237,kurspris!$A$1:$Q$852,11,FALSE)</f>
        <v>0</v>
      </c>
      <c r="AM237" s="31">
        <f>VLOOKUP($A237,kurspris!$A$1:$Q$852,12,FALSE)</f>
        <v>0</v>
      </c>
      <c r="AN237" s="31">
        <f>VLOOKUP($A237,kurspris!$A$1:$Q$852,13,FALSE)</f>
        <v>0</v>
      </c>
      <c r="AO237" s="31">
        <f>VLOOKUP($A237,kurspris!$A$1:$Q$852,14,FALSE)</f>
        <v>0</v>
      </c>
      <c r="AP237" s="59" t="s">
        <v>2216</v>
      </c>
      <c r="AR237" s="31">
        <f t="shared" si="85"/>
        <v>0</v>
      </c>
      <c r="AS237" s="237">
        <f t="shared" si="86"/>
        <v>0</v>
      </c>
      <c r="AT237" s="31">
        <f t="shared" si="87"/>
        <v>0</v>
      </c>
      <c r="AU237" s="237">
        <f t="shared" si="88"/>
        <v>0</v>
      </c>
      <c r="AV237" s="31">
        <f t="shared" si="89"/>
        <v>0</v>
      </c>
      <c r="AW237" s="31">
        <f t="shared" si="90"/>
        <v>0</v>
      </c>
      <c r="AX237" s="31">
        <f t="shared" si="91"/>
        <v>0</v>
      </c>
      <c r="AY237" s="237">
        <f t="shared" si="92"/>
        <v>0</v>
      </c>
      <c r="AZ237" s="214">
        <f t="shared" si="93"/>
        <v>0</v>
      </c>
      <c r="BA237" s="237">
        <f t="shared" si="94"/>
        <v>0</v>
      </c>
      <c r="BB237" s="31">
        <f t="shared" si="95"/>
        <v>5.5</v>
      </c>
      <c r="BC237" s="237">
        <f t="shared" si="96"/>
        <v>4.6749999999999998</v>
      </c>
      <c r="BD237" s="31">
        <f t="shared" si="97"/>
        <v>0</v>
      </c>
      <c r="BE237" s="237">
        <f t="shared" si="98"/>
        <v>0</v>
      </c>
      <c r="BF237" s="31">
        <f t="shared" si="99"/>
        <v>0</v>
      </c>
      <c r="BG237" s="237">
        <f t="shared" si="100"/>
        <v>0</v>
      </c>
      <c r="BH237" s="31">
        <f t="shared" si="101"/>
        <v>0</v>
      </c>
      <c r="BI237" s="237">
        <f t="shared" si="102"/>
        <v>0</v>
      </c>
      <c r="BJ237" s="31">
        <f t="shared" si="103"/>
        <v>0</v>
      </c>
      <c r="BK237" s="31">
        <f t="shared" si="104"/>
        <v>0</v>
      </c>
      <c r="BL237" s="237">
        <f t="shared" si="105"/>
        <v>0</v>
      </c>
      <c r="BM237" s="31">
        <f t="shared" si="106"/>
        <v>0</v>
      </c>
      <c r="BN237" s="237">
        <f t="shared" si="107"/>
        <v>0</v>
      </c>
    </row>
    <row r="238" spans="1:66" x14ac:dyDescent="0.25">
      <c r="A238" s="31" t="s">
        <v>1826</v>
      </c>
      <c r="B238" s="182" t="str">
        <f>VLOOKUP(A238,kurspris!$A$1:$B$894,2,FALSE)</f>
        <v>Utomhuspedagogik, naturvetenskap och matematik i förskola, fritidshem och grundskola</v>
      </c>
      <c r="D238" s="31" t="s">
        <v>117</v>
      </c>
      <c r="F238" s="59">
        <v>2019</v>
      </c>
      <c r="Q238" s="237">
        <v>0.375</v>
      </c>
      <c r="R238" s="40">
        <v>0.8</v>
      </c>
      <c r="S238" s="313">
        <f t="shared" si="81"/>
        <v>0.30000000000000004</v>
      </c>
      <c r="T238" s="31">
        <f>VLOOKUP(A238,'Ansvar kurs'!$A$1:$C$1027,2,FALSE)</f>
        <v>5740</v>
      </c>
      <c r="U238" s="31" t="str">
        <f>VLOOKUP(T238,Orgenheter!$A$1:$C$165,2,FALSE)</f>
        <v>NMD</v>
      </c>
      <c r="V238" s="31" t="str">
        <f>VLOOKUP(T238,Orgenheter!$A$1:$C$165,3,FALSE)</f>
        <v>TekNat</v>
      </c>
      <c r="W238" s="37" t="str">
        <f>VLOOKUP(D238,Program!$A$1:$B$34,2,FALSE)</f>
        <v>Fristående och övriga kurser</v>
      </c>
      <c r="X238" s="42">
        <f>VLOOKUP(A238,kurspris!$A$1:$Q$815,15,FALSE)</f>
        <v>19473</v>
      </c>
      <c r="Y238" s="42">
        <f>VLOOKUP(A238,kurspris!$A$1:$Q$815,16,FALSE)</f>
        <v>34806</v>
      </c>
      <c r="Z238" s="42">
        <f t="shared" si="82"/>
        <v>17744.175000000003</v>
      </c>
      <c r="AA238" s="42">
        <f>VLOOKUP(A238,kurspris!$A$1:$Q$815,17,FALSE)</f>
        <v>21800</v>
      </c>
      <c r="AB238" s="42">
        <f t="shared" si="83"/>
        <v>8175</v>
      </c>
      <c r="AC238" s="42">
        <f t="shared" si="84"/>
        <v>25919.175000000003</v>
      </c>
      <c r="AD238" s="31">
        <f>VLOOKUP($A238,kurspris!$A$1:$Q$852,3,FALSE)</f>
        <v>0</v>
      </c>
      <c r="AE238" s="31">
        <f>VLOOKUP($A238,kurspris!$A$1:$Q$852,4,FALSE)</f>
        <v>0</v>
      </c>
      <c r="AF238" s="31">
        <f>VLOOKUP($A238,kurspris!$A$1:$Q$852,5,FALSE)</f>
        <v>0</v>
      </c>
      <c r="AG238" s="31">
        <f>VLOOKUP($A238,kurspris!$A$1:$Q$852,6,FALSE)</f>
        <v>0</v>
      </c>
      <c r="AH238" s="31">
        <f>VLOOKUP($A238,kurspris!$A$1:$Q$852,7,FALSE)</f>
        <v>0</v>
      </c>
      <c r="AI238" s="31">
        <f>VLOOKUP($A238,kurspris!$A$1:$Q$852,8,FALSE)</f>
        <v>1</v>
      </c>
      <c r="AJ238" s="31">
        <f>VLOOKUP($A238,kurspris!$A$1:$Q$852,9,FALSE)</f>
        <v>0</v>
      </c>
      <c r="AK238" s="31">
        <f>VLOOKUP($A238,kurspris!$A$1:$Q$852,10,FALSE)</f>
        <v>0</v>
      </c>
      <c r="AL238" s="31">
        <f>VLOOKUP($A238,kurspris!$A$1:$Q$852,11,FALSE)</f>
        <v>0</v>
      </c>
      <c r="AM238" s="31">
        <f>VLOOKUP($A238,kurspris!$A$1:$Q$852,12,FALSE)</f>
        <v>0</v>
      </c>
      <c r="AN238" s="31">
        <f>VLOOKUP($A238,kurspris!$A$1:$Q$852,13,FALSE)</f>
        <v>0</v>
      </c>
      <c r="AO238" s="31">
        <f>VLOOKUP($A238,kurspris!$A$1:$Q$852,14,FALSE)</f>
        <v>0</v>
      </c>
      <c r="AP238" s="59" t="s">
        <v>2216</v>
      </c>
      <c r="AR238" s="31">
        <f t="shared" si="85"/>
        <v>0</v>
      </c>
      <c r="AS238" s="237">
        <f t="shared" si="86"/>
        <v>0</v>
      </c>
      <c r="AT238" s="31">
        <f t="shared" si="87"/>
        <v>0</v>
      </c>
      <c r="AU238" s="237">
        <f t="shared" si="88"/>
        <v>0</v>
      </c>
      <c r="AV238" s="31">
        <f t="shared" si="89"/>
        <v>0</v>
      </c>
      <c r="AW238" s="31">
        <f t="shared" si="90"/>
        <v>0</v>
      </c>
      <c r="AX238" s="31">
        <f t="shared" si="91"/>
        <v>0</v>
      </c>
      <c r="AY238" s="237">
        <f t="shared" si="92"/>
        <v>0</v>
      </c>
      <c r="AZ238" s="214">
        <f t="shared" si="93"/>
        <v>0</v>
      </c>
      <c r="BA238" s="237">
        <f t="shared" si="94"/>
        <v>0</v>
      </c>
      <c r="BB238" s="31">
        <f t="shared" si="95"/>
        <v>0.375</v>
      </c>
      <c r="BC238" s="237">
        <f t="shared" si="96"/>
        <v>0.30000000000000004</v>
      </c>
      <c r="BD238" s="31">
        <f t="shared" si="97"/>
        <v>0</v>
      </c>
      <c r="BE238" s="237">
        <f t="shared" si="98"/>
        <v>0</v>
      </c>
      <c r="BF238" s="31">
        <f t="shared" si="99"/>
        <v>0</v>
      </c>
      <c r="BG238" s="237">
        <f t="shared" si="100"/>
        <v>0</v>
      </c>
      <c r="BH238" s="31">
        <f t="shared" si="101"/>
        <v>0</v>
      </c>
      <c r="BI238" s="237">
        <f t="shared" si="102"/>
        <v>0</v>
      </c>
      <c r="BJ238" s="31">
        <f t="shared" si="103"/>
        <v>0</v>
      </c>
      <c r="BK238" s="31">
        <f t="shared" si="104"/>
        <v>0</v>
      </c>
      <c r="BL238" s="237">
        <f t="shared" si="105"/>
        <v>0</v>
      </c>
      <c r="BM238" s="31">
        <f t="shared" si="106"/>
        <v>0</v>
      </c>
      <c r="BN238" s="237">
        <f t="shared" si="107"/>
        <v>0</v>
      </c>
    </row>
    <row r="239" spans="1:66" x14ac:dyDescent="0.25">
      <c r="A239" s="159" t="s">
        <v>1862</v>
      </c>
      <c r="B239" s="182" t="str">
        <f>VLOOKUP(A239,kurspris!$A$1:$B$894,2,FALSE)</f>
        <v>Naturvetenskap och teknik i förskolan</v>
      </c>
      <c r="C239" s="37"/>
      <c r="D239" s="31" t="s">
        <v>484</v>
      </c>
      <c r="F239" s="59">
        <v>2019</v>
      </c>
      <c r="Q239" s="237">
        <v>13.25</v>
      </c>
      <c r="R239" s="40">
        <v>0.85</v>
      </c>
      <c r="S239" s="313">
        <f t="shared" si="81"/>
        <v>11.262499999999999</v>
      </c>
      <c r="T239" s="31">
        <f>VLOOKUP(A239,'Ansvar kurs'!$A$1:$C$1027,2,FALSE)</f>
        <v>5740</v>
      </c>
      <c r="U239" s="31" t="str">
        <f>VLOOKUP(T239,Orgenheter!$A$1:$C$165,2,FALSE)</f>
        <v>NMD</v>
      </c>
      <c r="V239" s="31" t="str">
        <f>VLOOKUP(T239,Orgenheter!$A$1:$C$165,3,FALSE)</f>
        <v>TekNat</v>
      </c>
      <c r="W239" s="37" t="str">
        <f>VLOOKUP(D239,Program!$A$1:$B$34,2,FALSE)</f>
        <v>Förskollärarprogrammet</v>
      </c>
      <c r="X239" s="42">
        <f>VLOOKUP(A239,kurspris!$A$1:$Q$815,15,FALSE)</f>
        <v>19473</v>
      </c>
      <c r="Y239" s="42">
        <f>VLOOKUP(A239,kurspris!$A$1:$Q$815,16,FALSE)</f>
        <v>34806</v>
      </c>
      <c r="Z239" s="42">
        <f t="shared" si="82"/>
        <v>650019.82499999995</v>
      </c>
      <c r="AA239" s="42">
        <f>VLOOKUP(A239,kurspris!$A$1:$Q$815,17,FALSE)</f>
        <v>21800</v>
      </c>
      <c r="AB239" s="42">
        <f t="shared" si="83"/>
        <v>288850</v>
      </c>
      <c r="AC239" s="42">
        <f t="shared" si="84"/>
        <v>938869.82499999995</v>
      </c>
      <c r="AD239" s="31">
        <f>VLOOKUP($A239,kurspris!$A$1:$Q$852,3,FALSE)</f>
        <v>0</v>
      </c>
      <c r="AE239" s="31">
        <f>VLOOKUP($A239,kurspris!$A$1:$Q$852,4,FALSE)</f>
        <v>0</v>
      </c>
      <c r="AF239" s="31">
        <f>VLOOKUP($A239,kurspris!$A$1:$Q$852,5,FALSE)</f>
        <v>0</v>
      </c>
      <c r="AG239" s="31">
        <f>VLOOKUP($A239,kurspris!$A$1:$Q$852,6,FALSE)</f>
        <v>0</v>
      </c>
      <c r="AH239" s="31">
        <f>VLOOKUP($A239,kurspris!$A$1:$Q$852,7,FALSE)</f>
        <v>0</v>
      </c>
      <c r="AI239" s="31">
        <f>VLOOKUP($A239,kurspris!$A$1:$Q$852,8,FALSE)</f>
        <v>1</v>
      </c>
      <c r="AJ239" s="31">
        <f>VLOOKUP($A239,kurspris!$A$1:$Q$852,9,FALSE)</f>
        <v>0</v>
      </c>
      <c r="AK239" s="31">
        <f>VLOOKUP($A239,kurspris!$A$1:$Q$852,10,FALSE)</f>
        <v>0</v>
      </c>
      <c r="AL239" s="31">
        <f>VLOOKUP($A239,kurspris!$A$1:$Q$852,11,FALSE)</f>
        <v>0</v>
      </c>
      <c r="AM239" s="31">
        <f>VLOOKUP($A239,kurspris!$A$1:$Q$852,12,FALSE)</f>
        <v>0</v>
      </c>
      <c r="AN239" s="31">
        <f>VLOOKUP($A239,kurspris!$A$1:$Q$852,13,FALSE)</f>
        <v>0</v>
      </c>
      <c r="AO239" s="31">
        <f>VLOOKUP($A239,kurspris!$A$1:$Q$852,14,FALSE)</f>
        <v>0</v>
      </c>
      <c r="AP239" s="59" t="s">
        <v>2216</v>
      </c>
      <c r="AQ239" s="59"/>
      <c r="AR239" s="31">
        <f t="shared" si="85"/>
        <v>0</v>
      </c>
      <c r="AS239" s="237">
        <f t="shared" si="86"/>
        <v>0</v>
      </c>
      <c r="AT239" s="31">
        <f t="shared" si="87"/>
        <v>0</v>
      </c>
      <c r="AU239" s="237">
        <f t="shared" si="88"/>
        <v>0</v>
      </c>
      <c r="AV239" s="31">
        <f t="shared" si="89"/>
        <v>0</v>
      </c>
      <c r="AW239" s="31">
        <f t="shared" si="90"/>
        <v>0</v>
      </c>
      <c r="AX239" s="31">
        <f t="shared" si="91"/>
        <v>0</v>
      </c>
      <c r="AY239" s="237">
        <f t="shared" si="92"/>
        <v>0</v>
      </c>
      <c r="AZ239" s="214">
        <f t="shared" si="93"/>
        <v>0</v>
      </c>
      <c r="BA239" s="237">
        <f t="shared" si="94"/>
        <v>0</v>
      </c>
      <c r="BB239" s="31">
        <f t="shared" si="95"/>
        <v>13.25</v>
      </c>
      <c r="BC239" s="237">
        <f t="shared" si="96"/>
        <v>11.262499999999999</v>
      </c>
      <c r="BD239" s="31">
        <f t="shared" si="97"/>
        <v>0</v>
      </c>
      <c r="BE239" s="237">
        <f t="shared" si="98"/>
        <v>0</v>
      </c>
      <c r="BF239" s="31">
        <f t="shared" si="99"/>
        <v>0</v>
      </c>
      <c r="BG239" s="237">
        <f t="shared" si="100"/>
        <v>0</v>
      </c>
      <c r="BH239" s="31">
        <f t="shared" si="101"/>
        <v>0</v>
      </c>
      <c r="BI239" s="237">
        <f t="shared" si="102"/>
        <v>0</v>
      </c>
      <c r="BJ239" s="31">
        <f t="shared" si="103"/>
        <v>0</v>
      </c>
      <c r="BK239" s="31">
        <f t="shared" si="104"/>
        <v>0</v>
      </c>
      <c r="BL239" s="237">
        <f t="shared" si="105"/>
        <v>0</v>
      </c>
      <c r="BM239" s="31">
        <f t="shared" si="106"/>
        <v>0</v>
      </c>
      <c r="BN239" s="237">
        <f t="shared" si="107"/>
        <v>0</v>
      </c>
    </row>
    <row r="240" spans="1:66" x14ac:dyDescent="0.25">
      <c r="A240" s="31" t="s">
        <v>2152</v>
      </c>
      <c r="B240" s="182" t="str">
        <f>VLOOKUP(A240,kurspris!$A$1:$B$894,2,FALSE)</f>
        <v>Utomhuspedagogik och naturvetenskap - Sommar</v>
      </c>
      <c r="D240" s="31" t="s">
        <v>117</v>
      </c>
      <c r="F240" s="59">
        <v>2019</v>
      </c>
      <c r="Q240" s="237">
        <v>2.125</v>
      </c>
      <c r="R240" s="40">
        <v>0.8</v>
      </c>
      <c r="S240" s="313">
        <f t="shared" si="81"/>
        <v>1.7000000000000002</v>
      </c>
      <c r="T240" s="31">
        <f>VLOOKUP(A240,'Ansvar kurs'!$A$1:$C$1027,2,FALSE)</f>
        <v>5740</v>
      </c>
      <c r="U240" s="31" t="str">
        <f>VLOOKUP(T240,Orgenheter!$A$1:$C$165,2,FALSE)</f>
        <v>NMD</v>
      </c>
      <c r="V240" s="31" t="str">
        <f>VLOOKUP(T240,Orgenheter!$A$1:$C$165,3,FALSE)</f>
        <v>TekNat</v>
      </c>
      <c r="W240" s="37" t="str">
        <f>VLOOKUP(D240,Program!$A$1:$B$34,2,FALSE)</f>
        <v>Fristående och övriga kurser</v>
      </c>
      <c r="X240" s="42">
        <f>VLOOKUP(A240,kurspris!$A$1:$Q$815,15,FALSE)</f>
        <v>19473</v>
      </c>
      <c r="Y240" s="42">
        <f>VLOOKUP(A240,kurspris!$A$1:$Q$815,16,FALSE)</f>
        <v>34806</v>
      </c>
      <c r="Z240" s="42">
        <f t="shared" si="82"/>
        <v>100550.32500000001</v>
      </c>
      <c r="AA240" s="42">
        <f>VLOOKUP(A240,kurspris!$A$1:$Q$815,17,FALSE)</f>
        <v>21800</v>
      </c>
      <c r="AB240" s="42">
        <f t="shared" si="83"/>
        <v>46325</v>
      </c>
      <c r="AC240" s="42">
        <f t="shared" si="84"/>
        <v>146875.32500000001</v>
      </c>
      <c r="AD240" s="31">
        <f>VLOOKUP($A240,kurspris!$A$1:$Q$852,3,FALSE)</f>
        <v>0</v>
      </c>
      <c r="AE240" s="31">
        <f>VLOOKUP($A240,kurspris!$A$1:$Q$852,4,FALSE)</f>
        <v>0</v>
      </c>
      <c r="AF240" s="31">
        <f>VLOOKUP($A240,kurspris!$A$1:$Q$852,5,FALSE)</f>
        <v>0</v>
      </c>
      <c r="AG240" s="31">
        <f>VLOOKUP($A240,kurspris!$A$1:$Q$852,6,FALSE)</f>
        <v>0</v>
      </c>
      <c r="AH240" s="31">
        <f>VLOOKUP($A240,kurspris!$A$1:$Q$852,7,FALSE)</f>
        <v>0</v>
      </c>
      <c r="AI240" s="31">
        <f>VLOOKUP($A240,kurspris!$A$1:$Q$852,8,FALSE)</f>
        <v>1</v>
      </c>
      <c r="AJ240" s="31">
        <f>VLOOKUP($A240,kurspris!$A$1:$Q$852,9,FALSE)</f>
        <v>0</v>
      </c>
      <c r="AK240" s="31">
        <f>VLOOKUP($A240,kurspris!$A$1:$Q$852,10,FALSE)</f>
        <v>0</v>
      </c>
      <c r="AL240" s="31">
        <f>VLOOKUP($A240,kurspris!$A$1:$Q$852,11,FALSE)</f>
        <v>0</v>
      </c>
      <c r="AM240" s="31">
        <f>VLOOKUP($A240,kurspris!$A$1:$Q$852,12,FALSE)</f>
        <v>0</v>
      </c>
      <c r="AN240" s="31">
        <f>VLOOKUP($A240,kurspris!$A$1:$Q$852,13,FALSE)</f>
        <v>0</v>
      </c>
      <c r="AO240" s="31">
        <f>VLOOKUP($A240,kurspris!$A$1:$Q$852,14,FALSE)</f>
        <v>0</v>
      </c>
      <c r="AP240" s="59" t="s">
        <v>2216</v>
      </c>
      <c r="AR240" s="31">
        <f t="shared" si="85"/>
        <v>0</v>
      </c>
      <c r="AS240" s="237">
        <f t="shared" si="86"/>
        <v>0</v>
      </c>
      <c r="AT240" s="31">
        <f t="shared" si="87"/>
        <v>0</v>
      </c>
      <c r="AU240" s="237">
        <f t="shared" si="88"/>
        <v>0</v>
      </c>
      <c r="AV240" s="31">
        <f t="shared" si="89"/>
        <v>0</v>
      </c>
      <c r="AW240" s="31">
        <f t="shared" si="90"/>
        <v>0</v>
      </c>
      <c r="AX240" s="31">
        <f t="shared" si="91"/>
        <v>0</v>
      </c>
      <c r="AY240" s="237">
        <f t="shared" si="92"/>
        <v>0</v>
      </c>
      <c r="AZ240" s="214">
        <f t="shared" si="93"/>
        <v>0</v>
      </c>
      <c r="BA240" s="237">
        <f t="shared" si="94"/>
        <v>0</v>
      </c>
      <c r="BB240" s="31">
        <f t="shared" si="95"/>
        <v>2.125</v>
      </c>
      <c r="BC240" s="237">
        <f t="shared" si="96"/>
        <v>1.7000000000000002</v>
      </c>
      <c r="BD240" s="31">
        <f t="shared" si="97"/>
        <v>0</v>
      </c>
      <c r="BE240" s="237">
        <f t="shared" si="98"/>
        <v>0</v>
      </c>
      <c r="BF240" s="31">
        <f t="shared" si="99"/>
        <v>0</v>
      </c>
      <c r="BG240" s="237">
        <f t="shared" si="100"/>
        <v>0</v>
      </c>
      <c r="BH240" s="31">
        <f t="shared" si="101"/>
        <v>0</v>
      </c>
      <c r="BI240" s="237">
        <f t="shared" si="102"/>
        <v>0</v>
      </c>
      <c r="BJ240" s="31">
        <f t="shared" si="103"/>
        <v>0</v>
      </c>
      <c r="BK240" s="31">
        <f t="shared" si="104"/>
        <v>0</v>
      </c>
      <c r="BL240" s="237">
        <f t="shared" si="105"/>
        <v>0</v>
      </c>
      <c r="BM240" s="31">
        <f t="shared" si="106"/>
        <v>0</v>
      </c>
      <c r="BN240" s="237">
        <f t="shared" si="107"/>
        <v>0</v>
      </c>
    </row>
    <row r="241" spans="1:66" x14ac:dyDescent="0.25">
      <c r="A241" s="31" t="s">
        <v>140</v>
      </c>
      <c r="B241" s="182" t="str">
        <f>VLOOKUP(A241,kurspris!$A$1:$B$894,2,FALSE)</f>
        <v>Examensarbete för Studie- och yrkesvägledarprogrammet</v>
      </c>
      <c r="D241" s="31" t="s">
        <v>85</v>
      </c>
      <c r="F241" s="59">
        <v>2019</v>
      </c>
      <c r="Q241" s="237">
        <v>18.5</v>
      </c>
      <c r="R241" s="40">
        <v>0.85</v>
      </c>
      <c r="S241" s="313">
        <f t="shared" si="81"/>
        <v>15.725</v>
      </c>
      <c r="T241" s="31">
        <f>VLOOKUP(A241,'Ansvar kurs'!$A$1:$C$1027,2,FALSE)</f>
        <v>2193</v>
      </c>
      <c r="U241" s="31" t="str">
        <f>VLOOKUP(T241,Orgenheter!$A$1:$C$165,2,FALSE)</f>
        <v xml:space="preserve">TUV </v>
      </c>
      <c r="V241" s="31" t="str">
        <f>VLOOKUP(T241,Orgenheter!$A$1:$C$165,3,FALSE)</f>
        <v>Sam</v>
      </c>
      <c r="W241" s="37" t="str">
        <f>VLOOKUP(D241,Program!$A$1:$B$34,2,FALSE)</f>
        <v>Studie- och yrkesvägledarprogram</v>
      </c>
      <c r="X241" s="42">
        <f>VLOOKUP(A241,kurspris!$A$1:$Q$815,15,FALSE)</f>
        <v>18405</v>
      </c>
      <c r="Y241" s="42">
        <f>VLOOKUP(A241,kurspris!$A$1:$Q$815,16,FALSE)</f>
        <v>15773</v>
      </c>
      <c r="Z241" s="42">
        <f t="shared" si="82"/>
        <v>588522.92500000005</v>
      </c>
      <c r="AA241" s="42">
        <f>VLOOKUP(A241,kurspris!$A$1:$Q$815,17,FALSE)</f>
        <v>5800</v>
      </c>
      <c r="AB241" s="42">
        <f t="shared" si="83"/>
        <v>107300</v>
      </c>
      <c r="AC241" s="42">
        <f t="shared" si="84"/>
        <v>695822.92500000005</v>
      </c>
      <c r="AD241" s="31">
        <f>VLOOKUP($A241,kurspris!$A$1:$Q$852,3,FALSE)</f>
        <v>0</v>
      </c>
      <c r="AE241" s="31">
        <f>VLOOKUP($A241,kurspris!$A$1:$Q$852,4,FALSE)</f>
        <v>0</v>
      </c>
      <c r="AF241" s="31">
        <f>VLOOKUP($A241,kurspris!$A$1:$Q$852,5,FALSE)</f>
        <v>0</v>
      </c>
      <c r="AG241" s="31">
        <f>VLOOKUP($A241,kurspris!$A$1:$Q$852,6,FALSE)</f>
        <v>0</v>
      </c>
      <c r="AH241" s="31">
        <f>VLOOKUP($A241,kurspris!$A$1:$Q$852,7,FALSE)</f>
        <v>0</v>
      </c>
      <c r="AI241" s="31">
        <f>VLOOKUP($A241,kurspris!$A$1:$Q$852,8,FALSE)</f>
        <v>0</v>
      </c>
      <c r="AJ241" s="31">
        <f>VLOOKUP($A241,kurspris!$A$1:$Q$852,9,FALSE)</f>
        <v>1</v>
      </c>
      <c r="AK241" s="31">
        <f>VLOOKUP($A241,kurspris!$A$1:$Q$852,10,FALSE)</f>
        <v>0</v>
      </c>
      <c r="AL241" s="31">
        <f>VLOOKUP($A241,kurspris!$A$1:$Q$852,11,FALSE)</f>
        <v>0</v>
      </c>
      <c r="AM241" s="31">
        <f>VLOOKUP($A241,kurspris!$A$1:$Q$852,12,FALSE)</f>
        <v>0</v>
      </c>
      <c r="AN241" s="31">
        <f>VLOOKUP($A241,kurspris!$A$1:$Q$852,13,FALSE)</f>
        <v>0</v>
      </c>
      <c r="AO241" s="31">
        <f>VLOOKUP($A241,kurspris!$A$1:$Q$852,14,FALSE)</f>
        <v>0</v>
      </c>
      <c r="AP241" s="59" t="s">
        <v>2216</v>
      </c>
      <c r="AR241" s="31">
        <f t="shared" si="85"/>
        <v>0</v>
      </c>
      <c r="AS241" s="237">
        <f t="shared" si="86"/>
        <v>0</v>
      </c>
      <c r="AT241" s="31">
        <f t="shared" si="87"/>
        <v>0</v>
      </c>
      <c r="AU241" s="237">
        <f t="shared" si="88"/>
        <v>0</v>
      </c>
      <c r="AV241" s="31">
        <f t="shared" si="89"/>
        <v>0</v>
      </c>
      <c r="AW241" s="31">
        <f t="shared" si="90"/>
        <v>0</v>
      </c>
      <c r="AX241" s="31">
        <f t="shared" si="91"/>
        <v>0</v>
      </c>
      <c r="AY241" s="237">
        <f t="shared" si="92"/>
        <v>0</v>
      </c>
      <c r="AZ241" s="214">
        <f t="shared" si="93"/>
        <v>0</v>
      </c>
      <c r="BA241" s="237">
        <f t="shared" si="94"/>
        <v>0</v>
      </c>
      <c r="BB241" s="31">
        <f t="shared" si="95"/>
        <v>0</v>
      </c>
      <c r="BC241" s="237">
        <f t="shared" si="96"/>
        <v>0</v>
      </c>
      <c r="BD241" s="31">
        <f t="shared" si="97"/>
        <v>18.5</v>
      </c>
      <c r="BE241" s="237">
        <f t="shared" si="98"/>
        <v>15.725</v>
      </c>
      <c r="BF241" s="31">
        <f t="shared" si="99"/>
        <v>0</v>
      </c>
      <c r="BG241" s="237">
        <f t="shared" si="100"/>
        <v>0</v>
      </c>
      <c r="BH241" s="31">
        <f t="shared" si="101"/>
        <v>0</v>
      </c>
      <c r="BI241" s="237">
        <f t="shared" si="102"/>
        <v>0</v>
      </c>
      <c r="BJ241" s="31">
        <f t="shared" si="103"/>
        <v>0</v>
      </c>
      <c r="BK241" s="31">
        <f t="shared" si="104"/>
        <v>0</v>
      </c>
      <c r="BL241" s="237">
        <f t="shared" si="105"/>
        <v>0</v>
      </c>
      <c r="BM241" s="31">
        <f t="shared" si="106"/>
        <v>0</v>
      </c>
      <c r="BN241" s="237">
        <f t="shared" si="107"/>
        <v>0</v>
      </c>
    </row>
    <row r="242" spans="1:66" x14ac:dyDescent="0.25">
      <c r="A242" s="159" t="s">
        <v>506</v>
      </c>
      <c r="B242" s="182" t="str">
        <f>VLOOKUP(A242,kurspris!$A$1:$B$894,2,FALSE)</f>
        <v>Grupprocesser och samverkan ur ett fritidshemsperspektiv</v>
      </c>
      <c r="C242" s="37"/>
      <c r="D242" s="31" t="s">
        <v>485</v>
      </c>
      <c r="F242" s="59">
        <v>2019</v>
      </c>
      <c r="Q242" s="237">
        <v>3.125</v>
      </c>
      <c r="R242" s="40">
        <v>0.85</v>
      </c>
      <c r="S242" s="313">
        <f t="shared" si="81"/>
        <v>2.65625</v>
      </c>
      <c r="T242" s="31">
        <f>VLOOKUP(A242,'Ansvar kurs'!$A$1:$C$1027,2,FALSE)</f>
        <v>2193</v>
      </c>
      <c r="U242" s="31" t="str">
        <f>VLOOKUP(T242,Orgenheter!$A$1:$C$165,2,FALSE)</f>
        <v xml:space="preserve">TUV </v>
      </c>
      <c r="V242" s="31" t="str">
        <f>VLOOKUP(T242,Orgenheter!$A$1:$C$165,3,FALSE)</f>
        <v>Sam</v>
      </c>
      <c r="W242" s="37" t="str">
        <f>VLOOKUP(D242,Program!$A$1:$B$34,2,FALSE)</f>
        <v>Grundlärarprogrammet - fritidshem</v>
      </c>
      <c r="X242" s="42">
        <f>VLOOKUP(A242,kurspris!$A$1:$Q$815,15,FALSE)</f>
        <v>18405</v>
      </c>
      <c r="Y242" s="42">
        <f>VLOOKUP(A242,kurspris!$A$1:$Q$815,16,FALSE)</f>
        <v>15773</v>
      </c>
      <c r="Z242" s="42">
        <f t="shared" si="82"/>
        <v>99412.65625</v>
      </c>
      <c r="AA242" s="42">
        <f>VLOOKUP(A242,kurspris!$A$1:$Q$815,17,FALSE)</f>
        <v>5800</v>
      </c>
      <c r="AB242" s="42">
        <f t="shared" si="83"/>
        <v>18125</v>
      </c>
      <c r="AC242" s="42">
        <f t="shared" si="84"/>
        <v>117537.65625</v>
      </c>
      <c r="AD242" s="31">
        <f>VLOOKUP($A242,kurspris!$A$1:$Q$852,3,FALSE)</f>
        <v>0</v>
      </c>
      <c r="AE242" s="31">
        <f>VLOOKUP($A242,kurspris!$A$1:$Q$852,4,FALSE)</f>
        <v>0</v>
      </c>
      <c r="AF242" s="31">
        <f>VLOOKUP($A242,kurspris!$A$1:$Q$852,5,FALSE)</f>
        <v>0</v>
      </c>
      <c r="AG242" s="31">
        <f>VLOOKUP($A242,kurspris!$A$1:$Q$852,6,FALSE)</f>
        <v>0</v>
      </c>
      <c r="AH242" s="31">
        <f>VLOOKUP($A242,kurspris!$A$1:$Q$852,7,FALSE)</f>
        <v>0</v>
      </c>
      <c r="AI242" s="31">
        <f>VLOOKUP($A242,kurspris!$A$1:$Q$852,8,FALSE)</f>
        <v>0</v>
      </c>
      <c r="AJ242" s="31">
        <f>VLOOKUP($A242,kurspris!$A$1:$Q$852,9,FALSE)</f>
        <v>1</v>
      </c>
      <c r="AK242" s="31">
        <f>VLOOKUP($A242,kurspris!$A$1:$Q$852,10,FALSE)</f>
        <v>0</v>
      </c>
      <c r="AL242" s="31">
        <f>VLOOKUP($A242,kurspris!$A$1:$Q$852,11,FALSE)</f>
        <v>0</v>
      </c>
      <c r="AM242" s="31">
        <f>VLOOKUP($A242,kurspris!$A$1:$Q$852,12,FALSE)</f>
        <v>0</v>
      </c>
      <c r="AN242" s="31">
        <f>VLOOKUP($A242,kurspris!$A$1:$Q$852,13,FALSE)</f>
        <v>0</v>
      </c>
      <c r="AO242" s="31">
        <f>VLOOKUP($A242,kurspris!$A$1:$Q$852,14,FALSE)</f>
        <v>0</v>
      </c>
      <c r="AP242" s="59" t="s">
        <v>2216</v>
      </c>
      <c r="AR242" s="31">
        <f t="shared" si="85"/>
        <v>0</v>
      </c>
      <c r="AS242" s="237">
        <f t="shared" si="86"/>
        <v>0</v>
      </c>
      <c r="AT242" s="31">
        <f t="shared" si="87"/>
        <v>0</v>
      </c>
      <c r="AU242" s="237">
        <f t="shared" si="88"/>
        <v>0</v>
      </c>
      <c r="AV242" s="31">
        <f t="shared" si="89"/>
        <v>0</v>
      </c>
      <c r="AW242" s="31">
        <f t="shared" si="90"/>
        <v>0</v>
      </c>
      <c r="AX242" s="31">
        <f t="shared" si="91"/>
        <v>0</v>
      </c>
      <c r="AY242" s="237">
        <f t="shared" si="92"/>
        <v>0</v>
      </c>
      <c r="AZ242" s="214">
        <f t="shared" si="93"/>
        <v>0</v>
      </c>
      <c r="BA242" s="237">
        <f t="shared" si="94"/>
        <v>0</v>
      </c>
      <c r="BB242" s="31">
        <f t="shared" si="95"/>
        <v>0</v>
      </c>
      <c r="BC242" s="237">
        <f t="shared" si="96"/>
        <v>0</v>
      </c>
      <c r="BD242" s="31">
        <f t="shared" si="97"/>
        <v>3.125</v>
      </c>
      <c r="BE242" s="237">
        <f t="shared" si="98"/>
        <v>2.65625</v>
      </c>
      <c r="BF242" s="31">
        <f t="shared" si="99"/>
        <v>0</v>
      </c>
      <c r="BG242" s="237">
        <f t="shared" si="100"/>
        <v>0</v>
      </c>
      <c r="BH242" s="31">
        <f t="shared" si="101"/>
        <v>0</v>
      </c>
      <c r="BI242" s="237">
        <f t="shared" si="102"/>
        <v>0</v>
      </c>
      <c r="BJ242" s="31">
        <f t="shared" si="103"/>
        <v>0</v>
      </c>
      <c r="BK242" s="31">
        <f t="shared" si="104"/>
        <v>0</v>
      </c>
      <c r="BL242" s="237">
        <f t="shared" si="105"/>
        <v>0</v>
      </c>
      <c r="BM242" s="31">
        <f t="shared" si="106"/>
        <v>0</v>
      </c>
      <c r="BN242" s="237">
        <f t="shared" si="107"/>
        <v>0</v>
      </c>
    </row>
    <row r="243" spans="1:66" x14ac:dyDescent="0.25">
      <c r="A243" s="159" t="s">
        <v>875</v>
      </c>
      <c r="B243" s="182" t="str">
        <f>VLOOKUP(A243,kurspris!$A$1:$B$894,2,FALSE)</f>
        <v>Examensarbete grundlärare - fritidshem</v>
      </c>
      <c r="C243" s="37"/>
      <c r="D243" s="31" t="s">
        <v>485</v>
      </c>
      <c r="F243" s="59">
        <v>2019</v>
      </c>
      <c r="Q243" s="237">
        <v>6</v>
      </c>
      <c r="R243" s="40">
        <v>0.85</v>
      </c>
      <c r="S243" s="313">
        <f t="shared" si="81"/>
        <v>5.0999999999999996</v>
      </c>
      <c r="T243" s="31">
        <f>VLOOKUP(A243,'Ansvar kurs'!$A$1:$C$1027,2,FALSE)</f>
        <v>2193</v>
      </c>
      <c r="U243" s="31" t="str">
        <f>VLOOKUP(T243,Orgenheter!$A$1:$C$165,2,FALSE)</f>
        <v xml:space="preserve">TUV </v>
      </c>
      <c r="V243" s="31" t="str">
        <f>VLOOKUP(T243,Orgenheter!$A$1:$C$165,3,FALSE)</f>
        <v>Sam</v>
      </c>
      <c r="W243" s="37" t="str">
        <f>VLOOKUP(D243,Program!$A$1:$B$34,2,FALSE)</f>
        <v>Grundlärarprogrammet - fritidshem</v>
      </c>
      <c r="X243" s="42">
        <f>VLOOKUP(A243,kurspris!$A$1:$Q$815,15,FALSE)</f>
        <v>18405</v>
      </c>
      <c r="Y243" s="42">
        <f>VLOOKUP(A243,kurspris!$A$1:$Q$815,16,FALSE)</f>
        <v>15773</v>
      </c>
      <c r="Z243" s="42">
        <f t="shared" si="82"/>
        <v>190872.3</v>
      </c>
      <c r="AA243" s="42">
        <f>VLOOKUP(A243,kurspris!$A$1:$Q$815,17,FALSE)</f>
        <v>5800</v>
      </c>
      <c r="AB243" s="42">
        <f t="shared" si="83"/>
        <v>34800</v>
      </c>
      <c r="AC243" s="42">
        <f t="shared" si="84"/>
        <v>225672.3</v>
      </c>
      <c r="AD243" s="31">
        <f>VLOOKUP($A243,kurspris!$A$1:$Q$852,3,FALSE)</f>
        <v>0</v>
      </c>
      <c r="AE243" s="31">
        <f>VLOOKUP($A243,kurspris!$A$1:$Q$852,4,FALSE)</f>
        <v>0</v>
      </c>
      <c r="AF243" s="31">
        <f>VLOOKUP($A243,kurspris!$A$1:$Q$852,5,FALSE)</f>
        <v>0</v>
      </c>
      <c r="AG243" s="31">
        <f>VLOOKUP($A243,kurspris!$A$1:$Q$852,6,FALSE)</f>
        <v>0</v>
      </c>
      <c r="AH243" s="31">
        <f>VLOOKUP($A243,kurspris!$A$1:$Q$852,7,FALSE)</f>
        <v>0</v>
      </c>
      <c r="AI243" s="31">
        <f>VLOOKUP($A243,kurspris!$A$1:$Q$852,8,FALSE)</f>
        <v>0</v>
      </c>
      <c r="AJ243" s="31">
        <f>VLOOKUP($A243,kurspris!$A$1:$Q$852,9,FALSE)</f>
        <v>1</v>
      </c>
      <c r="AK243" s="31">
        <f>VLOOKUP($A243,kurspris!$A$1:$Q$852,10,FALSE)</f>
        <v>0</v>
      </c>
      <c r="AL243" s="31">
        <f>VLOOKUP($A243,kurspris!$A$1:$Q$852,11,FALSE)</f>
        <v>0</v>
      </c>
      <c r="AM243" s="31">
        <f>VLOOKUP($A243,kurspris!$A$1:$Q$852,12,FALSE)</f>
        <v>0</v>
      </c>
      <c r="AN243" s="31">
        <f>VLOOKUP($A243,kurspris!$A$1:$Q$852,13,FALSE)</f>
        <v>0</v>
      </c>
      <c r="AO243" s="31">
        <f>VLOOKUP($A243,kurspris!$A$1:$Q$852,14,FALSE)</f>
        <v>0</v>
      </c>
      <c r="AP243" s="59" t="s">
        <v>2216</v>
      </c>
      <c r="AR243" s="31">
        <f t="shared" si="85"/>
        <v>0</v>
      </c>
      <c r="AS243" s="237">
        <f t="shared" si="86"/>
        <v>0</v>
      </c>
      <c r="AT243" s="31">
        <f t="shared" si="87"/>
        <v>0</v>
      </c>
      <c r="AU243" s="237">
        <f t="shared" si="88"/>
        <v>0</v>
      </c>
      <c r="AV243" s="31">
        <f t="shared" si="89"/>
        <v>0</v>
      </c>
      <c r="AW243" s="31">
        <f t="shared" si="90"/>
        <v>0</v>
      </c>
      <c r="AX243" s="31">
        <f t="shared" si="91"/>
        <v>0</v>
      </c>
      <c r="AY243" s="237">
        <f t="shared" si="92"/>
        <v>0</v>
      </c>
      <c r="AZ243" s="214">
        <f t="shared" si="93"/>
        <v>0</v>
      </c>
      <c r="BA243" s="237">
        <f t="shared" si="94"/>
        <v>0</v>
      </c>
      <c r="BB243" s="31">
        <f t="shared" si="95"/>
        <v>0</v>
      </c>
      <c r="BC243" s="237">
        <f t="shared" si="96"/>
        <v>0</v>
      </c>
      <c r="BD243" s="31">
        <f t="shared" si="97"/>
        <v>6</v>
      </c>
      <c r="BE243" s="237">
        <f t="shared" si="98"/>
        <v>5.0999999999999996</v>
      </c>
      <c r="BF243" s="31">
        <f t="shared" si="99"/>
        <v>0</v>
      </c>
      <c r="BG243" s="237">
        <f t="shared" si="100"/>
        <v>0</v>
      </c>
      <c r="BH243" s="31">
        <f t="shared" si="101"/>
        <v>0</v>
      </c>
      <c r="BI243" s="237">
        <f t="shared" si="102"/>
        <v>0</v>
      </c>
      <c r="BJ243" s="31">
        <f t="shared" si="103"/>
        <v>0</v>
      </c>
      <c r="BK243" s="31">
        <f t="shared" si="104"/>
        <v>0</v>
      </c>
      <c r="BL243" s="237">
        <f t="shared" si="105"/>
        <v>0</v>
      </c>
      <c r="BM243" s="31">
        <f t="shared" si="106"/>
        <v>0</v>
      </c>
      <c r="BN243" s="237">
        <f t="shared" si="107"/>
        <v>0</v>
      </c>
    </row>
    <row r="244" spans="1:66" x14ac:dyDescent="0.25">
      <c r="A244" s="159" t="s">
        <v>826</v>
      </c>
      <c r="B244" s="182" t="str">
        <f>VLOOKUP(A244,kurspris!$A$1:$B$894,2,FALSE)</f>
        <v>Kunskap, undervisning och lärande för yrkeslärare II</v>
      </c>
      <c r="C244" s="37"/>
      <c r="D244" s="31" t="s">
        <v>627</v>
      </c>
      <c r="F244" s="59">
        <v>2019</v>
      </c>
      <c r="Q244" s="237">
        <v>10.75</v>
      </c>
      <c r="R244" s="40">
        <v>0.85</v>
      </c>
      <c r="S244" s="313">
        <f t="shared" si="81"/>
        <v>9.1374999999999993</v>
      </c>
      <c r="T244" s="31">
        <f>VLOOKUP(A244,'Ansvar kurs'!$A$1:$C$1027,2,FALSE)</f>
        <v>2180</v>
      </c>
      <c r="U244" s="31" t="str">
        <f>VLOOKUP(T244,Orgenheter!$A$1:$C$165,2,FALSE)</f>
        <v xml:space="preserve">Pedagogik                     </v>
      </c>
      <c r="V244" s="31" t="str">
        <f>VLOOKUP(T244,Orgenheter!$A$1:$C$165,3,FALSE)</f>
        <v>Sam</v>
      </c>
      <c r="W244" s="37" t="str">
        <f>VLOOKUP(D244,Program!$A$1:$B$34,2,FALSE)</f>
        <v>Yrkeslärarprogrammet</v>
      </c>
      <c r="X244" s="42">
        <f>VLOOKUP(A244,kurspris!$A$1:$Q$815,15,FALSE)</f>
        <v>23641</v>
      </c>
      <c r="Y244" s="42">
        <f>VLOOKUP(A244,kurspris!$A$1:$Q$815,16,FALSE)</f>
        <v>28786</v>
      </c>
      <c r="Z244" s="42">
        <f t="shared" si="82"/>
        <v>517172.82499999995</v>
      </c>
      <c r="AA244" s="42">
        <f>VLOOKUP(A244,kurspris!$A$1:$Q$815,17,FALSE)</f>
        <v>5800</v>
      </c>
      <c r="AB244" s="42">
        <f t="shared" si="83"/>
        <v>62350</v>
      </c>
      <c r="AC244" s="42">
        <f t="shared" si="84"/>
        <v>579522.82499999995</v>
      </c>
      <c r="AD244" s="31">
        <f>VLOOKUP($A244,kurspris!$A$1:$Q$852,3,FALSE)</f>
        <v>0</v>
      </c>
      <c r="AE244" s="31">
        <f>VLOOKUP($A244,kurspris!$A$1:$Q$852,4,FALSE)</f>
        <v>0</v>
      </c>
      <c r="AF244" s="31">
        <f>VLOOKUP($A244,kurspris!$A$1:$Q$852,5,FALSE)</f>
        <v>0</v>
      </c>
      <c r="AG244" s="31">
        <f>VLOOKUP($A244,kurspris!$A$1:$Q$852,6,FALSE)</f>
        <v>1</v>
      </c>
      <c r="AH244" s="31">
        <f>VLOOKUP($A244,kurspris!$A$1:$Q$852,7,FALSE)</f>
        <v>0</v>
      </c>
      <c r="AI244" s="31">
        <f>VLOOKUP($A244,kurspris!$A$1:$Q$852,8,FALSE)</f>
        <v>0</v>
      </c>
      <c r="AJ244" s="31">
        <f>VLOOKUP($A244,kurspris!$A$1:$Q$852,9,FALSE)</f>
        <v>0</v>
      </c>
      <c r="AK244" s="31">
        <f>VLOOKUP($A244,kurspris!$A$1:$Q$852,10,FALSE)</f>
        <v>0</v>
      </c>
      <c r="AL244" s="31">
        <f>VLOOKUP($A244,kurspris!$A$1:$Q$852,11,FALSE)</f>
        <v>0</v>
      </c>
      <c r="AM244" s="31">
        <f>VLOOKUP($A244,kurspris!$A$1:$Q$852,12,FALSE)</f>
        <v>0</v>
      </c>
      <c r="AN244" s="31">
        <f>VLOOKUP($A244,kurspris!$A$1:$Q$852,13,FALSE)</f>
        <v>0</v>
      </c>
      <c r="AO244" s="31">
        <f>VLOOKUP($A244,kurspris!$A$1:$Q$852,14,FALSE)</f>
        <v>0</v>
      </c>
      <c r="AP244" s="59" t="s">
        <v>2216</v>
      </c>
      <c r="AR244" s="31">
        <f t="shared" si="85"/>
        <v>0</v>
      </c>
      <c r="AS244" s="237">
        <f t="shared" si="86"/>
        <v>0</v>
      </c>
      <c r="AT244" s="31">
        <f t="shared" si="87"/>
        <v>0</v>
      </c>
      <c r="AU244" s="237">
        <f t="shared" si="88"/>
        <v>0</v>
      </c>
      <c r="AV244" s="31">
        <f t="shared" si="89"/>
        <v>0</v>
      </c>
      <c r="AW244" s="31">
        <f t="shared" si="90"/>
        <v>0</v>
      </c>
      <c r="AX244" s="31">
        <f t="shared" si="91"/>
        <v>10.75</v>
      </c>
      <c r="AY244" s="237">
        <f t="shared" si="92"/>
        <v>9.1374999999999993</v>
      </c>
      <c r="AZ244" s="214">
        <f t="shared" si="93"/>
        <v>0</v>
      </c>
      <c r="BA244" s="237">
        <f t="shared" si="94"/>
        <v>0</v>
      </c>
      <c r="BB244" s="31">
        <f t="shared" si="95"/>
        <v>0</v>
      </c>
      <c r="BC244" s="237">
        <f t="shared" si="96"/>
        <v>0</v>
      </c>
      <c r="BD244" s="31">
        <f t="shared" si="97"/>
        <v>0</v>
      </c>
      <c r="BE244" s="237">
        <f t="shared" si="98"/>
        <v>0</v>
      </c>
      <c r="BF244" s="31">
        <f t="shared" si="99"/>
        <v>0</v>
      </c>
      <c r="BG244" s="237">
        <f t="shared" si="100"/>
        <v>0</v>
      </c>
      <c r="BH244" s="31">
        <f t="shared" si="101"/>
        <v>0</v>
      </c>
      <c r="BI244" s="237">
        <f t="shared" si="102"/>
        <v>0</v>
      </c>
      <c r="BJ244" s="31">
        <f t="shared" si="103"/>
        <v>0</v>
      </c>
      <c r="BK244" s="31">
        <f t="shared" si="104"/>
        <v>0</v>
      </c>
      <c r="BL244" s="237">
        <f t="shared" si="105"/>
        <v>0</v>
      </c>
      <c r="BM244" s="31">
        <f t="shared" si="106"/>
        <v>0</v>
      </c>
      <c r="BN244" s="237">
        <f t="shared" si="107"/>
        <v>0</v>
      </c>
    </row>
    <row r="245" spans="1:66" x14ac:dyDescent="0.25">
      <c r="A245" s="31" t="s">
        <v>967</v>
      </c>
      <c r="B245" s="182" t="str">
        <f>VLOOKUP(A245,kurspris!$A$1:$B$894,2,FALSE)</f>
        <v>Vetenskapsteori och vetenskaplig metod</v>
      </c>
      <c r="D245" s="31" t="s">
        <v>117</v>
      </c>
      <c r="F245" s="59">
        <v>2019</v>
      </c>
      <c r="Q245" s="237">
        <v>2.25</v>
      </c>
      <c r="R245" s="40">
        <v>0.8</v>
      </c>
      <c r="S245" s="313">
        <f t="shared" si="81"/>
        <v>1.8</v>
      </c>
      <c r="T245" s="31">
        <f>VLOOKUP(A245,'Ansvar kurs'!$A$1:$C$1027,2,FALSE)</f>
        <v>2193</v>
      </c>
      <c r="U245" s="31" t="str">
        <f>VLOOKUP(T245,Orgenheter!$A$1:$C$165,2,FALSE)</f>
        <v xml:space="preserve">TUV </v>
      </c>
      <c r="V245" s="31" t="str">
        <f>VLOOKUP(T245,Orgenheter!$A$1:$C$165,3,FALSE)</f>
        <v>Sam</v>
      </c>
      <c r="W245" s="37" t="str">
        <f>VLOOKUP(D245,Program!$A$1:$B$34,2,FALSE)</f>
        <v>Fristående och övriga kurser</v>
      </c>
      <c r="X245" s="42">
        <f>VLOOKUP(A245,kurspris!$A$1:$Q$815,15,FALSE)</f>
        <v>18405</v>
      </c>
      <c r="Y245" s="42">
        <f>VLOOKUP(A245,kurspris!$A$1:$Q$815,16,FALSE)</f>
        <v>15773</v>
      </c>
      <c r="Z245" s="42">
        <f t="shared" si="82"/>
        <v>69802.649999999994</v>
      </c>
      <c r="AA245" s="42">
        <f>VLOOKUP(A245,kurspris!$A$1:$Q$815,17,FALSE)</f>
        <v>5800</v>
      </c>
      <c r="AB245" s="42">
        <f t="shared" si="83"/>
        <v>13050</v>
      </c>
      <c r="AC245" s="42">
        <f t="shared" si="84"/>
        <v>82852.649999999994</v>
      </c>
      <c r="AD245" s="31">
        <f>VLOOKUP($A245,kurspris!$A$1:$Q$852,3,FALSE)</f>
        <v>0</v>
      </c>
      <c r="AE245" s="31">
        <f>VLOOKUP($A245,kurspris!$A$1:$Q$852,4,FALSE)</f>
        <v>0</v>
      </c>
      <c r="AF245" s="31">
        <f>VLOOKUP($A245,kurspris!$A$1:$Q$852,5,FALSE)</f>
        <v>0</v>
      </c>
      <c r="AG245" s="31">
        <f>VLOOKUP($A245,kurspris!$A$1:$Q$852,6,FALSE)</f>
        <v>0</v>
      </c>
      <c r="AH245" s="31">
        <f>VLOOKUP($A245,kurspris!$A$1:$Q$852,7,FALSE)</f>
        <v>0</v>
      </c>
      <c r="AI245" s="31">
        <f>VLOOKUP($A245,kurspris!$A$1:$Q$852,8,FALSE)</f>
        <v>0</v>
      </c>
      <c r="AJ245" s="31">
        <f>VLOOKUP($A245,kurspris!$A$1:$Q$852,9,FALSE)</f>
        <v>1</v>
      </c>
      <c r="AK245" s="31">
        <f>VLOOKUP($A245,kurspris!$A$1:$Q$852,10,FALSE)</f>
        <v>0</v>
      </c>
      <c r="AL245" s="31">
        <f>VLOOKUP($A245,kurspris!$A$1:$Q$852,11,FALSE)</f>
        <v>0</v>
      </c>
      <c r="AM245" s="31">
        <f>VLOOKUP($A245,kurspris!$A$1:$Q$852,12,FALSE)</f>
        <v>0</v>
      </c>
      <c r="AN245" s="31">
        <f>VLOOKUP($A245,kurspris!$A$1:$Q$852,13,FALSE)</f>
        <v>0</v>
      </c>
      <c r="AO245" s="31">
        <f>VLOOKUP($A245,kurspris!$A$1:$Q$852,14,FALSE)</f>
        <v>0</v>
      </c>
      <c r="AP245" s="59" t="s">
        <v>2216</v>
      </c>
      <c r="AR245" s="31">
        <f t="shared" si="85"/>
        <v>0</v>
      </c>
      <c r="AS245" s="237">
        <f t="shared" si="86"/>
        <v>0</v>
      </c>
      <c r="AT245" s="31">
        <f t="shared" si="87"/>
        <v>0</v>
      </c>
      <c r="AU245" s="237">
        <f t="shared" si="88"/>
        <v>0</v>
      </c>
      <c r="AV245" s="31">
        <f t="shared" si="89"/>
        <v>0</v>
      </c>
      <c r="AW245" s="31">
        <f t="shared" si="90"/>
        <v>0</v>
      </c>
      <c r="AX245" s="31">
        <f t="shared" si="91"/>
        <v>0</v>
      </c>
      <c r="AY245" s="237">
        <f t="shared" si="92"/>
        <v>0</v>
      </c>
      <c r="AZ245" s="214">
        <f t="shared" si="93"/>
        <v>0</v>
      </c>
      <c r="BA245" s="237">
        <f t="shared" si="94"/>
        <v>0</v>
      </c>
      <c r="BB245" s="31">
        <f t="shared" si="95"/>
        <v>0</v>
      </c>
      <c r="BC245" s="237">
        <f t="shared" si="96"/>
        <v>0</v>
      </c>
      <c r="BD245" s="31">
        <f t="shared" si="97"/>
        <v>2.25</v>
      </c>
      <c r="BE245" s="237">
        <f t="shared" si="98"/>
        <v>1.8</v>
      </c>
      <c r="BF245" s="31">
        <f t="shared" si="99"/>
        <v>0</v>
      </c>
      <c r="BG245" s="237">
        <f t="shared" si="100"/>
        <v>0</v>
      </c>
      <c r="BH245" s="31">
        <f t="shared" si="101"/>
        <v>0</v>
      </c>
      <c r="BI245" s="237">
        <f t="shared" si="102"/>
        <v>0</v>
      </c>
      <c r="BJ245" s="31">
        <f t="shared" si="103"/>
        <v>0</v>
      </c>
      <c r="BK245" s="31">
        <f t="shared" si="104"/>
        <v>0</v>
      </c>
      <c r="BL245" s="237">
        <f t="shared" si="105"/>
        <v>0</v>
      </c>
      <c r="BM245" s="31">
        <f t="shared" si="106"/>
        <v>0</v>
      </c>
      <c r="BN245" s="237">
        <f t="shared" si="107"/>
        <v>0</v>
      </c>
    </row>
    <row r="246" spans="1:66" x14ac:dyDescent="0.25">
      <c r="A246" s="31" t="s">
        <v>911</v>
      </c>
      <c r="B246" s="182" t="str">
        <f>VLOOKUP(A246,kurspris!$A$1:$B$894,2,FALSE)</f>
        <v>Ämnesdidaktik för yrkeslärare</v>
      </c>
      <c r="D246" s="31" t="s">
        <v>627</v>
      </c>
      <c r="F246" s="59">
        <v>2019</v>
      </c>
      <c r="Q246" s="237">
        <v>4.3333300000000001</v>
      </c>
      <c r="R246" s="40">
        <v>0.85</v>
      </c>
      <c r="S246" s="313">
        <f t="shared" si="81"/>
        <v>3.6833304999999998</v>
      </c>
      <c r="T246" s="31">
        <f>VLOOKUP(A246,'Ansvar kurs'!$A$1:$C$1027,2,FALSE)</f>
        <v>2193</v>
      </c>
      <c r="U246" s="31" t="str">
        <f>VLOOKUP(T246,Orgenheter!$A$1:$C$165,2,FALSE)</f>
        <v xml:space="preserve">TUV </v>
      </c>
      <c r="V246" s="31" t="str">
        <f>VLOOKUP(T246,Orgenheter!$A$1:$C$165,3,FALSE)</f>
        <v>Sam</v>
      </c>
      <c r="W246" s="37" t="str">
        <f>VLOOKUP(D246,Program!$A$1:$B$34,2,FALSE)</f>
        <v>Yrkeslärarprogrammet</v>
      </c>
      <c r="X246" s="42">
        <f>VLOOKUP(A246,kurspris!$A$1:$Q$815,15,FALSE)</f>
        <v>23641</v>
      </c>
      <c r="Y246" s="42">
        <f>VLOOKUP(A246,kurspris!$A$1:$Q$815,16,FALSE)</f>
        <v>28786</v>
      </c>
      <c r="Z246" s="42">
        <f t="shared" si="82"/>
        <v>208472.60630300001</v>
      </c>
      <c r="AA246" s="42">
        <f>VLOOKUP(A246,kurspris!$A$1:$Q$815,17,FALSE)</f>
        <v>5800</v>
      </c>
      <c r="AB246" s="42">
        <f t="shared" si="83"/>
        <v>25133.314000000002</v>
      </c>
      <c r="AC246" s="42">
        <f t="shared" si="84"/>
        <v>233605.92030300002</v>
      </c>
      <c r="AD246" s="31">
        <f>VLOOKUP($A246,kurspris!$A$1:$Q$852,3,FALSE)</f>
        <v>0</v>
      </c>
      <c r="AE246" s="31">
        <f>VLOOKUP($A246,kurspris!$A$1:$Q$852,4,FALSE)</f>
        <v>0</v>
      </c>
      <c r="AF246" s="31">
        <f>VLOOKUP($A246,kurspris!$A$1:$Q$852,5,FALSE)</f>
        <v>0</v>
      </c>
      <c r="AG246" s="31">
        <f>VLOOKUP($A246,kurspris!$A$1:$Q$852,6,FALSE)</f>
        <v>1</v>
      </c>
      <c r="AH246" s="31">
        <f>VLOOKUP($A246,kurspris!$A$1:$Q$852,7,FALSE)</f>
        <v>0</v>
      </c>
      <c r="AI246" s="31">
        <f>VLOOKUP($A246,kurspris!$A$1:$Q$852,8,FALSE)</f>
        <v>0</v>
      </c>
      <c r="AJ246" s="31">
        <f>VLOOKUP($A246,kurspris!$A$1:$Q$852,9,FALSE)</f>
        <v>0</v>
      </c>
      <c r="AK246" s="31">
        <f>VLOOKUP($A246,kurspris!$A$1:$Q$852,10,FALSE)</f>
        <v>0</v>
      </c>
      <c r="AL246" s="31">
        <f>VLOOKUP($A246,kurspris!$A$1:$Q$852,11,FALSE)</f>
        <v>0</v>
      </c>
      <c r="AM246" s="31">
        <f>VLOOKUP($A246,kurspris!$A$1:$Q$852,12,FALSE)</f>
        <v>0</v>
      </c>
      <c r="AN246" s="31">
        <f>VLOOKUP($A246,kurspris!$A$1:$Q$852,13,FALSE)</f>
        <v>0</v>
      </c>
      <c r="AO246" s="31">
        <f>VLOOKUP($A246,kurspris!$A$1:$Q$852,14,FALSE)</f>
        <v>0</v>
      </c>
      <c r="AP246" s="59" t="s">
        <v>2216</v>
      </c>
      <c r="AR246" s="31">
        <f t="shared" si="85"/>
        <v>0</v>
      </c>
      <c r="AS246" s="237">
        <f t="shared" si="86"/>
        <v>0</v>
      </c>
      <c r="AT246" s="31">
        <f t="shared" si="87"/>
        <v>0</v>
      </c>
      <c r="AU246" s="237">
        <f t="shared" si="88"/>
        <v>0</v>
      </c>
      <c r="AV246" s="31">
        <f t="shared" si="89"/>
        <v>0</v>
      </c>
      <c r="AW246" s="31">
        <f t="shared" si="90"/>
        <v>0</v>
      </c>
      <c r="AX246" s="31">
        <f t="shared" si="91"/>
        <v>4.3333300000000001</v>
      </c>
      <c r="AY246" s="237">
        <f t="shared" si="92"/>
        <v>3.6833304999999998</v>
      </c>
      <c r="AZ246" s="214">
        <f t="shared" si="93"/>
        <v>0</v>
      </c>
      <c r="BA246" s="237">
        <f t="shared" si="94"/>
        <v>0</v>
      </c>
      <c r="BB246" s="31">
        <f t="shared" si="95"/>
        <v>0</v>
      </c>
      <c r="BC246" s="237">
        <f t="shared" si="96"/>
        <v>0</v>
      </c>
      <c r="BD246" s="31">
        <f t="shared" si="97"/>
        <v>0</v>
      </c>
      <c r="BE246" s="237">
        <f t="shared" si="98"/>
        <v>0</v>
      </c>
      <c r="BF246" s="31">
        <f t="shared" si="99"/>
        <v>0</v>
      </c>
      <c r="BG246" s="237">
        <f t="shared" si="100"/>
        <v>0</v>
      </c>
      <c r="BH246" s="31">
        <f t="shared" si="101"/>
        <v>0</v>
      </c>
      <c r="BI246" s="237">
        <f t="shared" si="102"/>
        <v>0</v>
      </c>
      <c r="BJ246" s="31">
        <f t="shared" si="103"/>
        <v>0</v>
      </c>
      <c r="BK246" s="31">
        <f t="shared" si="104"/>
        <v>0</v>
      </c>
      <c r="BL246" s="237">
        <f t="shared" si="105"/>
        <v>0</v>
      </c>
      <c r="BM246" s="31">
        <f t="shared" si="106"/>
        <v>0</v>
      </c>
      <c r="BN246" s="237">
        <f t="shared" si="107"/>
        <v>0</v>
      </c>
    </row>
    <row r="247" spans="1:66" x14ac:dyDescent="0.25">
      <c r="A247" s="31" t="s">
        <v>912</v>
      </c>
      <c r="B247" s="182" t="str">
        <f>VLOOKUP(A247,kurspris!$A$1:$B$894,2,FALSE)</f>
        <v>Profession och vetenskap för yrkeslärare</v>
      </c>
      <c r="D247" s="31" t="s">
        <v>627</v>
      </c>
      <c r="F247" s="59">
        <v>2019</v>
      </c>
      <c r="Q247" s="237">
        <v>2.0833300000000001</v>
      </c>
      <c r="R247" s="40">
        <v>0.85</v>
      </c>
      <c r="S247" s="313">
        <f t="shared" si="81"/>
        <v>1.7708305</v>
      </c>
      <c r="T247" s="31">
        <f>VLOOKUP(A247,'Ansvar kurs'!$A$1:$C$1027,2,FALSE)</f>
        <v>2193</v>
      </c>
      <c r="U247" s="31" t="str">
        <f>VLOOKUP(T247,Orgenheter!$A$1:$C$165,2,FALSE)</f>
        <v xml:space="preserve">TUV </v>
      </c>
      <c r="V247" s="31" t="str">
        <f>VLOOKUP(T247,Orgenheter!$A$1:$C$165,3,FALSE)</f>
        <v>Sam</v>
      </c>
      <c r="W247" s="37" t="str">
        <f>VLOOKUP(D247,Program!$A$1:$B$34,2,FALSE)</f>
        <v>Yrkeslärarprogrammet</v>
      </c>
      <c r="X247" s="42">
        <f>VLOOKUP(A247,kurspris!$A$1:$Q$815,15,FALSE)</f>
        <v>23641</v>
      </c>
      <c r="Y247" s="42">
        <f>VLOOKUP(A247,kurspris!$A$1:$Q$815,16,FALSE)</f>
        <v>28786</v>
      </c>
      <c r="Z247" s="42">
        <f t="shared" si="82"/>
        <v>100227.131303</v>
      </c>
      <c r="AA247" s="42">
        <f>VLOOKUP(A247,kurspris!$A$1:$Q$815,17,FALSE)</f>
        <v>5800</v>
      </c>
      <c r="AB247" s="42">
        <f t="shared" si="83"/>
        <v>12083.314</v>
      </c>
      <c r="AC247" s="42">
        <f t="shared" si="84"/>
        <v>112310.445303</v>
      </c>
      <c r="AD247" s="31">
        <f>VLOOKUP($A247,kurspris!$A$1:$Q$852,3,FALSE)</f>
        <v>0</v>
      </c>
      <c r="AE247" s="31">
        <f>VLOOKUP($A247,kurspris!$A$1:$Q$852,4,FALSE)</f>
        <v>0</v>
      </c>
      <c r="AF247" s="31">
        <f>VLOOKUP($A247,kurspris!$A$1:$Q$852,5,FALSE)</f>
        <v>0</v>
      </c>
      <c r="AG247" s="31">
        <f>VLOOKUP($A247,kurspris!$A$1:$Q$852,6,FALSE)</f>
        <v>1</v>
      </c>
      <c r="AH247" s="31">
        <f>VLOOKUP($A247,kurspris!$A$1:$Q$852,7,FALSE)</f>
        <v>0</v>
      </c>
      <c r="AI247" s="31">
        <f>VLOOKUP($A247,kurspris!$A$1:$Q$852,8,FALSE)</f>
        <v>0</v>
      </c>
      <c r="AJ247" s="31">
        <f>VLOOKUP($A247,kurspris!$A$1:$Q$852,9,FALSE)</f>
        <v>0</v>
      </c>
      <c r="AK247" s="31">
        <f>VLOOKUP($A247,kurspris!$A$1:$Q$852,10,FALSE)</f>
        <v>0</v>
      </c>
      <c r="AL247" s="31">
        <f>VLOOKUP($A247,kurspris!$A$1:$Q$852,11,FALSE)</f>
        <v>0</v>
      </c>
      <c r="AM247" s="31">
        <f>VLOOKUP($A247,kurspris!$A$1:$Q$852,12,FALSE)</f>
        <v>0</v>
      </c>
      <c r="AN247" s="31">
        <f>VLOOKUP($A247,kurspris!$A$1:$Q$852,13,FALSE)</f>
        <v>0</v>
      </c>
      <c r="AO247" s="31">
        <f>VLOOKUP($A247,kurspris!$A$1:$Q$852,14,FALSE)</f>
        <v>0</v>
      </c>
      <c r="AP247" s="59" t="s">
        <v>2216</v>
      </c>
      <c r="AR247" s="31">
        <f t="shared" si="85"/>
        <v>0</v>
      </c>
      <c r="AS247" s="237">
        <f t="shared" si="86"/>
        <v>0</v>
      </c>
      <c r="AT247" s="31">
        <f t="shared" si="87"/>
        <v>0</v>
      </c>
      <c r="AU247" s="237">
        <f t="shared" si="88"/>
        <v>0</v>
      </c>
      <c r="AV247" s="31">
        <f t="shared" si="89"/>
        <v>0</v>
      </c>
      <c r="AW247" s="31">
        <f t="shared" si="90"/>
        <v>0</v>
      </c>
      <c r="AX247" s="31">
        <f t="shared" si="91"/>
        <v>2.0833300000000001</v>
      </c>
      <c r="AY247" s="237">
        <f t="shared" si="92"/>
        <v>1.7708305</v>
      </c>
      <c r="AZ247" s="214">
        <f t="shared" si="93"/>
        <v>0</v>
      </c>
      <c r="BA247" s="237">
        <f t="shared" si="94"/>
        <v>0</v>
      </c>
      <c r="BB247" s="31">
        <f t="shared" si="95"/>
        <v>0</v>
      </c>
      <c r="BC247" s="237">
        <f t="shared" si="96"/>
        <v>0</v>
      </c>
      <c r="BD247" s="31">
        <f t="shared" si="97"/>
        <v>0</v>
      </c>
      <c r="BE247" s="237">
        <f t="shared" si="98"/>
        <v>0</v>
      </c>
      <c r="BF247" s="31">
        <f t="shared" si="99"/>
        <v>0</v>
      </c>
      <c r="BG247" s="237">
        <f t="shared" si="100"/>
        <v>0</v>
      </c>
      <c r="BH247" s="31">
        <f t="shared" si="101"/>
        <v>0</v>
      </c>
      <c r="BI247" s="237">
        <f t="shared" si="102"/>
        <v>0</v>
      </c>
      <c r="BJ247" s="31">
        <f t="shared" si="103"/>
        <v>0</v>
      </c>
      <c r="BK247" s="31">
        <f t="shared" si="104"/>
        <v>0</v>
      </c>
      <c r="BL247" s="237">
        <f t="shared" si="105"/>
        <v>0</v>
      </c>
      <c r="BM247" s="31">
        <f t="shared" si="106"/>
        <v>0</v>
      </c>
      <c r="BN247" s="237">
        <f t="shared" si="107"/>
        <v>0</v>
      </c>
    </row>
    <row r="248" spans="1:66" x14ac:dyDescent="0.25">
      <c r="A248" s="31" t="s">
        <v>1088</v>
      </c>
      <c r="B248" s="182" t="str">
        <f>VLOOKUP(A248,kurspris!$A$1:$B$894,2,FALSE)</f>
        <v>Utbildningsvetenskap i pedagogisk praktik</v>
      </c>
      <c r="D248" s="31" t="s">
        <v>117</v>
      </c>
      <c r="F248" s="59">
        <v>2019</v>
      </c>
      <c r="Q248" s="237">
        <v>0.25</v>
      </c>
      <c r="R248" s="40">
        <v>0.8</v>
      </c>
      <c r="S248" s="313">
        <f t="shared" si="81"/>
        <v>0.2</v>
      </c>
      <c r="T248" s="31">
        <f>VLOOKUP(A248,'Ansvar kurs'!$A$1:$C$1027,2,FALSE)</f>
        <v>2193</v>
      </c>
      <c r="U248" s="31" t="str">
        <f>VLOOKUP(T248,Orgenheter!$A$1:$C$165,2,FALSE)</f>
        <v xml:space="preserve">TUV </v>
      </c>
      <c r="V248" s="31" t="str">
        <f>VLOOKUP(T248,Orgenheter!$A$1:$C$165,3,FALSE)</f>
        <v>Sam</v>
      </c>
      <c r="W248" s="37" t="str">
        <f>VLOOKUP(D248,Program!$A$1:$B$34,2,FALSE)</f>
        <v>Fristående och övriga kurser</v>
      </c>
      <c r="X248" s="42">
        <f>VLOOKUP(A248,kurspris!$A$1:$Q$815,15,FALSE)</f>
        <v>18405</v>
      </c>
      <c r="Y248" s="42">
        <f>VLOOKUP(A248,kurspris!$A$1:$Q$815,16,FALSE)</f>
        <v>15773</v>
      </c>
      <c r="Z248" s="42">
        <f t="shared" si="82"/>
        <v>7755.85</v>
      </c>
      <c r="AA248" s="42">
        <f>VLOOKUP(A248,kurspris!$A$1:$Q$815,17,FALSE)</f>
        <v>5800</v>
      </c>
      <c r="AB248" s="42">
        <f t="shared" si="83"/>
        <v>1450</v>
      </c>
      <c r="AC248" s="42">
        <f t="shared" si="84"/>
        <v>9205.85</v>
      </c>
      <c r="AD248" s="31">
        <f>VLOOKUP($A248,kurspris!$A$1:$Q$852,3,FALSE)</f>
        <v>0</v>
      </c>
      <c r="AE248" s="31">
        <f>VLOOKUP($A248,kurspris!$A$1:$Q$852,4,FALSE)</f>
        <v>0</v>
      </c>
      <c r="AF248" s="31">
        <f>VLOOKUP($A248,kurspris!$A$1:$Q$852,5,FALSE)</f>
        <v>0</v>
      </c>
      <c r="AG248" s="31">
        <f>VLOOKUP($A248,kurspris!$A$1:$Q$852,6,FALSE)</f>
        <v>0</v>
      </c>
      <c r="AH248" s="31">
        <f>VLOOKUP($A248,kurspris!$A$1:$Q$852,7,FALSE)</f>
        <v>0</v>
      </c>
      <c r="AI248" s="31">
        <f>VLOOKUP($A248,kurspris!$A$1:$Q$852,8,FALSE)</f>
        <v>0</v>
      </c>
      <c r="AJ248" s="31">
        <f>VLOOKUP($A248,kurspris!$A$1:$Q$852,9,FALSE)</f>
        <v>1</v>
      </c>
      <c r="AK248" s="31">
        <f>VLOOKUP($A248,kurspris!$A$1:$Q$852,10,FALSE)</f>
        <v>0</v>
      </c>
      <c r="AL248" s="31">
        <f>VLOOKUP($A248,kurspris!$A$1:$Q$852,11,FALSE)</f>
        <v>0</v>
      </c>
      <c r="AM248" s="31">
        <f>VLOOKUP($A248,kurspris!$A$1:$Q$852,12,FALSE)</f>
        <v>0</v>
      </c>
      <c r="AN248" s="31">
        <f>VLOOKUP($A248,kurspris!$A$1:$Q$852,13,FALSE)</f>
        <v>0</v>
      </c>
      <c r="AO248" s="31">
        <f>VLOOKUP($A248,kurspris!$A$1:$Q$852,14,FALSE)</f>
        <v>0</v>
      </c>
      <c r="AP248" s="59" t="s">
        <v>2216</v>
      </c>
      <c r="AR248" s="31">
        <f t="shared" si="85"/>
        <v>0</v>
      </c>
      <c r="AS248" s="237">
        <f t="shared" si="86"/>
        <v>0</v>
      </c>
      <c r="AT248" s="31">
        <f t="shared" si="87"/>
        <v>0</v>
      </c>
      <c r="AU248" s="237">
        <f t="shared" si="88"/>
        <v>0</v>
      </c>
      <c r="AV248" s="31">
        <f t="shared" si="89"/>
        <v>0</v>
      </c>
      <c r="AW248" s="31">
        <f t="shared" si="90"/>
        <v>0</v>
      </c>
      <c r="AX248" s="31">
        <f t="shared" si="91"/>
        <v>0</v>
      </c>
      <c r="AY248" s="237">
        <f t="shared" si="92"/>
        <v>0</v>
      </c>
      <c r="AZ248" s="214">
        <f t="shared" si="93"/>
        <v>0</v>
      </c>
      <c r="BA248" s="237">
        <f t="shared" si="94"/>
        <v>0</v>
      </c>
      <c r="BB248" s="31">
        <f t="shared" si="95"/>
        <v>0</v>
      </c>
      <c r="BC248" s="237">
        <f t="shared" si="96"/>
        <v>0</v>
      </c>
      <c r="BD248" s="31">
        <f t="shared" si="97"/>
        <v>0.25</v>
      </c>
      <c r="BE248" s="237">
        <f t="shared" si="98"/>
        <v>0.2</v>
      </c>
      <c r="BF248" s="31">
        <f t="shared" si="99"/>
        <v>0</v>
      </c>
      <c r="BG248" s="237">
        <f t="shared" si="100"/>
        <v>0</v>
      </c>
      <c r="BH248" s="31">
        <f t="shared" si="101"/>
        <v>0</v>
      </c>
      <c r="BI248" s="237">
        <f t="shared" si="102"/>
        <v>0</v>
      </c>
      <c r="BJ248" s="31">
        <f t="shared" si="103"/>
        <v>0</v>
      </c>
      <c r="BK248" s="31">
        <f t="shared" si="104"/>
        <v>0</v>
      </c>
      <c r="BL248" s="237">
        <f t="shared" si="105"/>
        <v>0</v>
      </c>
      <c r="BM248" s="31">
        <f t="shared" si="106"/>
        <v>0</v>
      </c>
      <c r="BN248" s="237">
        <f t="shared" si="107"/>
        <v>0</v>
      </c>
    </row>
    <row r="249" spans="1:66" x14ac:dyDescent="0.25">
      <c r="A249" s="159" t="s">
        <v>1105</v>
      </c>
      <c r="B249" s="182" t="str">
        <f>VLOOKUP(A249,kurspris!$A$1:$B$894,2,FALSE)</f>
        <v>Samhällsorientering, F-3</v>
      </c>
      <c r="C249" s="37"/>
      <c r="D249" s="31" t="s">
        <v>486</v>
      </c>
      <c r="F249" s="59">
        <v>2019</v>
      </c>
      <c r="Q249" s="237">
        <v>9.5</v>
      </c>
      <c r="R249" s="40">
        <v>0.85</v>
      </c>
      <c r="S249" s="313">
        <f t="shared" si="81"/>
        <v>8.0749999999999993</v>
      </c>
      <c r="T249" s="31">
        <f>VLOOKUP(A249,'Ansvar kurs'!$A$1:$C$1027,2,FALSE)</f>
        <v>2180</v>
      </c>
      <c r="U249" s="31" t="str">
        <f>VLOOKUP(T249,Orgenheter!$A$1:$C$165,2,FALSE)</f>
        <v xml:space="preserve">Pedagogik                     </v>
      </c>
      <c r="V249" s="31" t="str">
        <f>VLOOKUP(T249,Orgenheter!$A$1:$C$165,3,FALSE)</f>
        <v>Sam</v>
      </c>
      <c r="W249" s="37" t="str">
        <f>VLOOKUP(D249,Program!$A$1:$B$34,2,FALSE)</f>
        <v>Grundlärarprogrammet - förskoleklass och åk 1-3</v>
      </c>
      <c r="X249" s="42">
        <f>VLOOKUP(A249,kurspris!$A$1:$Q$815,15,FALSE)</f>
        <v>18405</v>
      </c>
      <c r="Y249" s="42">
        <f>VLOOKUP(A249,kurspris!$A$1:$Q$815,16,FALSE)</f>
        <v>15773</v>
      </c>
      <c r="Z249" s="42">
        <f t="shared" si="82"/>
        <v>302214.47499999998</v>
      </c>
      <c r="AA249" s="42">
        <f>VLOOKUP(A249,kurspris!$A$1:$Q$815,17,FALSE)</f>
        <v>5800</v>
      </c>
      <c r="AB249" s="42">
        <f t="shared" si="83"/>
        <v>55100</v>
      </c>
      <c r="AC249" s="42">
        <f t="shared" si="84"/>
        <v>357314.47499999998</v>
      </c>
      <c r="AD249" s="31">
        <f>VLOOKUP($A249,kurspris!$A$1:$Q$852,3,FALSE)</f>
        <v>0</v>
      </c>
      <c r="AE249" s="31">
        <f>VLOOKUP($A249,kurspris!$A$1:$Q$852,4,FALSE)</f>
        <v>0</v>
      </c>
      <c r="AF249" s="31">
        <f>VLOOKUP($A249,kurspris!$A$1:$Q$852,5,FALSE)</f>
        <v>0</v>
      </c>
      <c r="AG249" s="31">
        <f>VLOOKUP($A249,kurspris!$A$1:$Q$852,6,FALSE)</f>
        <v>0</v>
      </c>
      <c r="AH249" s="31">
        <f>VLOOKUP($A249,kurspris!$A$1:$Q$852,7,FALSE)</f>
        <v>0</v>
      </c>
      <c r="AI249" s="31">
        <f>VLOOKUP($A249,kurspris!$A$1:$Q$852,8,FALSE)</f>
        <v>0</v>
      </c>
      <c r="AJ249" s="31">
        <f>VLOOKUP($A249,kurspris!$A$1:$Q$852,9,FALSE)</f>
        <v>1</v>
      </c>
      <c r="AK249" s="31">
        <f>VLOOKUP($A249,kurspris!$A$1:$Q$852,10,FALSE)</f>
        <v>0</v>
      </c>
      <c r="AL249" s="31">
        <f>VLOOKUP($A249,kurspris!$A$1:$Q$852,11,FALSE)</f>
        <v>0</v>
      </c>
      <c r="AM249" s="31">
        <f>VLOOKUP($A249,kurspris!$A$1:$Q$852,12,FALSE)</f>
        <v>0</v>
      </c>
      <c r="AN249" s="31">
        <f>VLOOKUP($A249,kurspris!$A$1:$Q$852,13,FALSE)</f>
        <v>0</v>
      </c>
      <c r="AO249" s="31">
        <f>VLOOKUP($A249,kurspris!$A$1:$Q$852,14,FALSE)</f>
        <v>0</v>
      </c>
      <c r="AP249" s="59" t="s">
        <v>2216</v>
      </c>
      <c r="AR249" s="31">
        <f t="shared" si="85"/>
        <v>0</v>
      </c>
      <c r="AS249" s="237">
        <f t="shared" si="86"/>
        <v>0</v>
      </c>
      <c r="AT249" s="31">
        <f t="shared" si="87"/>
        <v>0</v>
      </c>
      <c r="AU249" s="237">
        <f t="shared" si="88"/>
        <v>0</v>
      </c>
      <c r="AV249" s="31">
        <f t="shared" si="89"/>
        <v>0</v>
      </c>
      <c r="AW249" s="31">
        <f t="shared" si="90"/>
        <v>0</v>
      </c>
      <c r="AX249" s="31">
        <f t="shared" si="91"/>
        <v>0</v>
      </c>
      <c r="AY249" s="237">
        <f t="shared" si="92"/>
        <v>0</v>
      </c>
      <c r="AZ249" s="214">
        <f t="shared" si="93"/>
        <v>0</v>
      </c>
      <c r="BA249" s="237">
        <f t="shared" si="94"/>
        <v>0</v>
      </c>
      <c r="BB249" s="31">
        <f t="shared" si="95"/>
        <v>0</v>
      </c>
      <c r="BC249" s="237">
        <f t="shared" si="96"/>
        <v>0</v>
      </c>
      <c r="BD249" s="31">
        <f t="shared" si="97"/>
        <v>9.5</v>
      </c>
      <c r="BE249" s="237">
        <f t="shared" si="98"/>
        <v>8.0749999999999993</v>
      </c>
      <c r="BF249" s="31">
        <f t="shared" si="99"/>
        <v>0</v>
      </c>
      <c r="BG249" s="237">
        <f t="shared" si="100"/>
        <v>0</v>
      </c>
      <c r="BH249" s="31">
        <f t="shared" si="101"/>
        <v>0</v>
      </c>
      <c r="BI249" s="237">
        <f t="shared" si="102"/>
        <v>0</v>
      </c>
      <c r="BJ249" s="31">
        <f t="shared" si="103"/>
        <v>0</v>
      </c>
      <c r="BK249" s="31">
        <f t="shared" si="104"/>
        <v>0</v>
      </c>
      <c r="BL249" s="237">
        <f t="shared" si="105"/>
        <v>0</v>
      </c>
      <c r="BM249" s="31">
        <f t="shared" si="106"/>
        <v>0</v>
      </c>
      <c r="BN249" s="237">
        <f t="shared" si="107"/>
        <v>0</v>
      </c>
    </row>
    <row r="250" spans="1:66" x14ac:dyDescent="0.25">
      <c r="A250" s="159" t="s">
        <v>1122</v>
      </c>
      <c r="B250" s="182" t="str">
        <f>VLOOKUP(A250,kurspris!$A$1:$B$894,2,FALSE)</f>
        <v>Sex och samlevnad, 7,5 hp</v>
      </c>
      <c r="C250" s="37"/>
      <c r="D250" s="31" t="s">
        <v>483</v>
      </c>
      <c r="F250" s="59">
        <v>2019</v>
      </c>
      <c r="Q250" s="237">
        <v>0.5</v>
      </c>
      <c r="R250" s="40">
        <v>0.85</v>
      </c>
      <c r="S250" s="313">
        <f t="shared" si="81"/>
        <v>0.42499999999999999</v>
      </c>
      <c r="T250" s="31">
        <f>VLOOKUP(A250,'Ansvar kurs'!$A$1:$C$1027,2,FALSE)</f>
        <v>5740</v>
      </c>
      <c r="U250" s="31" t="str">
        <f>VLOOKUP(T250,Orgenheter!$A$1:$C$165,2,FALSE)</f>
        <v>NMD</v>
      </c>
      <c r="V250" s="31" t="str">
        <f>VLOOKUP(T250,Orgenheter!$A$1:$C$165,3,FALSE)</f>
        <v>TekNat</v>
      </c>
      <c r="W250" s="37" t="str">
        <f>VLOOKUP(D250,Program!$A$1:$B$34,2,FALSE)</f>
        <v>Ämneslärarprogrammet - Gy</v>
      </c>
      <c r="X250" s="42">
        <f>VLOOKUP(A250,kurspris!$A$1:$Q$815,15,FALSE)</f>
        <v>19473</v>
      </c>
      <c r="Y250" s="42">
        <f>VLOOKUP(A250,kurspris!$A$1:$Q$815,16,FALSE)</f>
        <v>34806</v>
      </c>
      <c r="Z250" s="42">
        <f t="shared" si="82"/>
        <v>24529.05</v>
      </c>
      <c r="AA250" s="42">
        <f>VLOOKUP(A250,kurspris!$A$1:$Q$815,17,FALSE)</f>
        <v>21800</v>
      </c>
      <c r="AB250" s="42">
        <f t="shared" si="83"/>
        <v>10900</v>
      </c>
      <c r="AC250" s="42">
        <f t="shared" si="84"/>
        <v>35429.050000000003</v>
      </c>
      <c r="AD250" s="31">
        <f>VLOOKUP($A250,kurspris!$A$1:$Q$852,3,FALSE)</f>
        <v>0</v>
      </c>
      <c r="AE250" s="31">
        <f>VLOOKUP($A250,kurspris!$A$1:$Q$852,4,FALSE)</f>
        <v>0</v>
      </c>
      <c r="AF250" s="31">
        <f>VLOOKUP($A250,kurspris!$A$1:$Q$852,5,FALSE)</f>
        <v>0</v>
      </c>
      <c r="AG250" s="31">
        <f>VLOOKUP($A250,kurspris!$A$1:$Q$852,6,FALSE)</f>
        <v>0</v>
      </c>
      <c r="AH250" s="31">
        <f>VLOOKUP($A250,kurspris!$A$1:$Q$852,7,FALSE)</f>
        <v>0</v>
      </c>
      <c r="AI250" s="31">
        <f>VLOOKUP($A250,kurspris!$A$1:$Q$852,8,FALSE)</f>
        <v>1</v>
      </c>
      <c r="AJ250" s="31">
        <f>VLOOKUP($A250,kurspris!$A$1:$Q$852,9,FALSE)</f>
        <v>0</v>
      </c>
      <c r="AK250" s="31">
        <f>VLOOKUP($A250,kurspris!$A$1:$Q$852,10,FALSE)</f>
        <v>0</v>
      </c>
      <c r="AL250" s="31">
        <f>VLOOKUP($A250,kurspris!$A$1:$Q$852,11,FALSE)</f>
        <v>0</v>
      </c>
      <c r="AM250" s="31">
        <f>VLOOKUP($A250,kurspris!$A$1:$Q$852,12,FALSE)</f>
        <v>0</v>
      </c>
      <c r="AN250" s="31">
        <f>VLOOKUP($A250,kurspris!$A$1:$Q$852,13,FALSE)</f>
        <v>0</v>
      </c>
      <c r="AO250" s="31">
        <f>VLOOKUP($A250,kurspris!$A$1:$Q$852,14,FALSE)</f>
        <v>0</v>
      </c>
      <c r="AP250" s="59" t="s">
        <v>2216</v>
      </c>
      <c r="AR250" s="31">
        <f t="shared" si="85"/>
        <v>0</v>
      </c>
      <c r="AS250" s="237">
        <f t="shared" si="86"/>
        <v>0</v>
      </c>
      <c r="AT250" s="31">
        <f t="shared" si="87"/>
        <v>0</v>
      </c>
      <c r="AU250" s="237">
        <f t="shared" si="88"/>
        <v>0</v>
      </c>
      <c r="AV250" s="31">
        <f t="shared" si="89"/>
        <v>0</v>
      </c>
      <c r="AW250" s="31">
        <f t="shared" si="90"/>
        <v>0</v>
      </c>
      <c r="AX250" s="31">
        <f t="shared" si="91"/>
        <v>0</v>
      </c>
      <c r="AY250" s="237">
        <f t="shared" si="92"/>
        <v>0</v>
      </c>
      <c r="AZ250" s="214">
        <f t="shared" si="93"/>
        <v>0</v>
      </c>
      <c r="BA250" s="237">
        <f t="shared" si="94"/>
        <v>0</v>
      </c>
      <c r="BB250" s="31">
        <f t="shared" si="95"/>
        <v>0.5</v>
      </c>
      <c r="BC250" s="237">
        <f t="shared" si="96"/>
        <v>0.42499999999999999</v>
      </c>
      <c r="BD250" s="31">
        <f t="shared" si="97"/>
        <v>0</v>
      </c>
      <c r="BE250" s="237">
        <f t="shared" si="98"/>
        <v>0</v>
      </c>
      <c r="BF250" s="31">
        <f t="shared" si="99"/>
        <v>0</v>
      </c>
      <c r="BG250" s="237">
        <f t="shared" si="100"/>
        <v>0</v>
      </c>
      <c r="BH250" s="31">
        <f t="shared" si="101"/>
        <v>0</v>
      </c>
      <c r="BI250" s="237">
        <f t="shared" si="102"/>
        <v>0</v>
      </c>
      <c r="BJ250" s="31">
        <f t="shared" si="103"/>
        <v>0</v>
      </c>
      <c r="BK250" s="31">
        <f t="shared" si="104"/>
        <v>0</v>
      </c>
      <c r="BL250" s="237">
        <f t="shared" si="105"/>
        <v>0</v>
      </c>
      <c r="BM250" s="31">
        <f t="shared" si="106"/>
        <v>0</v>
      </c>
      <c r="BN250" s="237">
        <f t="shared" si="107"/>
        <v>0</v>
      </c>
    </row>
    <row r="251" spans="1:66" x14ac:dyDescent="0.25">
      <c r="A251" s="159" t="s">
        <v>1122</v>
      </c>
      <c r="B251" s="182" t="str">
        <f>VLOOKUP(A251,kurspris!$A$1:$B$894,2,FALSE)</f>
        <v>Sex och samlevnad, 7,5 hp</v>
      </c>
      <c r="C251" s="37"/>
      <c r="D251" s="31" t="s">
        <v>117</v>
      </c>
      <c r="F251" s="59">
        <v>2019</v>
      </c>
      <c r="Q251" s="237">
        <v>0.75</v>
      </c>
      <c r="R251" s="40">
        <v>0.8</v>
      </c>
      <c r="S251" s="313">
        <f t="shared" si="81"/>
        <v>0.60000000000000009</v>
      </c>
      <c r="T251" s="31">
        <f>VLOOKUP(A251,'Ansvar kurs'!$A$1:$C$1027,2,FALSE)</f>
        <v>5740</v>
      </c>
      <c r="U251" s="31" t="str">
        <f>VLOOKUP(T251,Orgenheter!$A$1:$C$165,2,FALSE)</f>
        <v>NMD</v>
      </c>
      <c r="V251" s="31" t="str">
        <f>VLOOKUP(T251,Orgenheter!$A$1:$C$165,3,FALSE)</f>
        <v>TekNat</v>
      </c>
      <c r="W251" s="37" t="str">
        <f>VLOOKUP(D251,Program!$A$1:$B$34,2,FALSE)</f>
        <v>Fristående och övriga kurser</v>
      </c>
      <c r="X251" s="42">
        <f>VLOOKUP(A251,kurspris!$A$1:$Q$815,15,FALSE)</f>
        <v>19473</v>
      </c>
      <c r="Y251" s="42">
        <f>VLOOKUP(A251,kurspris!$A$1:$Q$815,16,FALSE)</f>
        <v>34806</v>
      </c>
      <c r="Z251" s="42">
        <f t="shared" si="82"/>
        <v>35488.350000000006</v>
      </c>
      <c r="AA251" s="42">
        <f>VLOOKUP(A251,kurspris!$A$1:$Q$815,17,FALSE)</f>
        <v>21800</v>
      </c>
      <c r="AB251" s="42">
        <f t="shared" si="83"/>
        <v>16350</v>
      </c>
      <c r="AC251" s="42">
        <f t="shared" si="84"/>
        <v>51838.350000000006</v>
      </c>
      <c r="AD251" s="31">
        <f>VLOOKUP($A251,kurspris!$A$1:$Q$852,3,FALSE)</f>
        <v>0</v>
      </c>
      <c r="AE251" s="31">
        <f>VLOOKUP($A251,kurspris!$A$1:$Q$852,4,FALSE)</f>
        <v>0</v>
      </c>
      <c r="AF251" s="31">
        <f>VLOOKUP($A251,kurspris!$A$1:$Q$852,5,FALSE)</f>
        <v>0</v>
      </c>
      <c r="AG251" s="31">
        <f>VLOOKUP($A251,kurspris!$A$1:$Q$852,6,FALSE)</f>
        <v>0</v>
      </c>
      <c r="AH251" s="31">
        <f>VLOOKUP($A251,kurspris!$A$1:$Q$852,7,FALSE)</f>
        <v>0</v>
      </c>
      <c r="AI251" s="31">
        <f>VLOOKUP($A251,kurspris!$A$1:$Q$852,8,FALSE)</f>
        <v>1</v>
      </c>
      <c r="AJ251" s="31">
        <f>VLOOKUP($A251,kurspris!$A$1:$Q$852,9,FALSE)</f>
        <v>0</v>
      </c>
      <c r="AK251" s="31">
        <f>VLOOKUP($A251,kurspris!$A$1:$Q$852,10,FALSE)</f>
        <v>0</v>
      </c>
      <c r="AL251" s="31">
        <f>VLOOKUP($A251,kurspris!$A$1:$Q$852,11,FALSE)</f>
        <v>0</v>
      </c>
      <c r="AM251" s="31">
        <f>VLOOKUP($A251,kurspris!$A$1:$Q$852,12,FALSE)</f>
        <v>0</v>
      </c>
      <c r="AN251" s="31">
        <f>VLOOKUP($A251,kurspris!$A$1:$Q$852,13,FALSE)</f>
        <v>0</v>
      </c>
      <c r="AO251" s="31">
        <f>VLOOKUP($A251,kurspris!$A$1:$Q$852,14,FALSE)</f>
        <v>0</v>
      </c>
      <c r="AP251" s="59" t="s">
        <v>2216</v>
      </c>
      <c r="AR251" s="31">
        <f t="shared" si="85"/>
        <v>0</v>
      </c>
      <c r="AS251" s="237">
        <f t="shared" si="86"/>
        <v>0</v>
      </c>
      <c r="AT251" s="31">
        <f t="shared" si="87"/>
        <v>0</v>
      </c>
      <c r="AU251" s="237">
        <f t="shared" si="88"/>
        <v>0</v>
      </c>
      <c r="AV251" s="31">
        <f t="shared" si="89"/>
        <v>0</v>
      </c>
      <c r="AW251" s="31">
        <f t="shared" si="90"/>
        <v>0</v>
      </c>
      <c r="AX251" s="31">
        <f t="shared" si="91"/>
        <v>0</v>
      </c>
      <c r="AY251" s="237">
        <f t="shared" si="92"/>
        <v>0</v>
      </c>
      <c r="AZ251" s="214">
        <f t="shared" si="93"/>
        <v>0</v>
      </c>
      <c r="BA251" s="237">
        <f t="shared" si="94"/>
        <v>0</v>
      </c>
      <c r="BB251" s="31">
        <f t="shared" si="95"/>
        <v>0.75</v>
      </c>
      <c r="BC251" s="237">
        <f t="shared" si="96"/>
        <v>0.60000000000000009</v>
      </c>
      <c r="BD251" s="31">
        <f t="shared" si="97"/>
        <v>0</v>
      </c>
      <c r="BE251" s="237">
        <f t="shared" si="98"/>
        <v>0</v>
      </c>
      <c r="BF251" s="31">
        <f t="shared" si="99"/>
        <v>0</v>
      </c>
      <c r="BG251" s="237">
        <f t="shared" si="100"/>
        <v>0</v>
      </c>
      <c r="BH251" s="31">
        <f t="shared" si="101"/>
        <v>0</v>
      </c>
      <c r="BI251" s="237">
        <f t="shared" si="102"/>
        <v>0</v>
      </c>
      <c r="BJ251" s="31">
        <f t="shared" si="103"/>
        <v>0</v>
      </c>
      <c r="BK251" s="31">
        <f t="shared" si="104"/>
        <v>0</v>
      </c>
      <c r="BL251" s="237">
        <f t="shared" si="105"/>
        <v>0</v>
      </c>
      <c r="BM251" s="31">
        <f t="shared" si="106"/>
        <v>0</v>
      </c>
      <c r="BN251" s="237">
        <f t="shared" si="107"/>
        <v>0</v>
      </c>
    </row>
    <row r="252" spans="1:66" x14ac:dyDescent="0.25">
      <c r="A252" s="159" t="s">
        <v>1141</v>
      </c>
      <c r="B252" s="182" t="str">
        <f>VLOOKUP(A252,kurspris!$A$1:$B$894,2,FALSE)</f>
        <v>Förskollärare som profession</v>
      </c>
      <c r="C252" s="37"/>
      <c r="D252" s="31" t="s">
        <v>484</v>
      </c>
      <c r="F252" s="59">
        <v>2019</v>
      </c>
      <c r="Q252" s="237">
        <v>7.8</v>
      </c>
      <c r="R252" s="40">
        <v>0.85</v>
      </c>
      <c r="S252" s="313">
        <f t="shared" si="81"/>
        <v>6.63</v>
      </c>
      <c r="T252" s="31">
        <f>VLOOKUP(A252,'Ansvar kurs'!$A$1:$C$1027,2,FALSE)</f>
        <v>2193</v>
      </c>
      <c r="U252" s="31" t="str">
        <f>VLOOKUP(T252,Orgenheter!$A$1:$C$165,2,FALSE)</f>
        <v xml:space="preserve">TUV </v>
      </c>
      <c r="V252" s="31" t="str">
        <f>VLOOKUP(T252,Orgenheter!$A$1:$C$165,3,FALSE)</f>
        <v>Sam</v>
      </c>
      <c r="W252" s="37" t="str">
        <f>VLOOKUP(D252,Program!$A$1:$B$34,2,FALSE)</f>
        <v>Förskollärarprogrammet</v>
      </c>
      <c r="X252" s="42">
        <f>VLOOKUP(A252,kurspris!$A$1:$Q$815,15,FALSE)</f>
        <v>23641</v>
      </c>
      <c r="Y252" s="42">
        <f>VLOOKUP(A252,kurspris!$A$1:$Q$815,16,FALSE)</f>
        <v>28786</v>
      </c>
      <c r="Z252" s="42">
        <f t="shared" si="82"/>
        <v>375250.98</v>
      </c>
      <c r="AA252" s="42">
        <f>VLOOKUP(A252,kurspris!$A$1:$Q$815,17,FALSE)</f>
        <v>5800</v>
      </c>
      <c r="AB252" s="42">
        <f t="shared" si="83"/>
        <v>45240</v>
      </c>
      <c r="AC252" s="42">
        <f t="shared" si="84"/>
        <v>420490.98</v>
      </c>
      <c r="AD252" s="31">
        <f>VLOOKUP($A252,kurspris!$A$1:$Q$852,3,FALSE)</f>
        <v>0</v>
      </c>
      <c r="AE252" s="31">
        <f>VLOOKUP($A252,kurspris!$A$1:$Q$852,4,FALSE)</f>
        <v>0</v>
      </c>
      <c r="AF252" s="31">
        <f>VLOOKUP($A252,kurspris!$A$1:$Q$852,5,FALSE)</f>
        <v>0</v>
      </c>
      <c r="AG252" s="31">
        <f>VLOOKUP($A252,kurspris!$A$1:$Q$852,6,FALSE)</f>
        <v>1</v>
      </c>
      <c r="AH252" s="31">
        <f>VLOOKUP($A252,kurspris!$A$1:$Q$852,7,FALSE)</f>
        <v>0</v>
      </c>
      <c r="AI252" s="31">
        <f>VLOOKUP($A252,kurspris!$A$1:$Q$852,8,FALSE)</f>
        <v>0</v>
      </c>
      <c r="AJ252" s="31">
        <f>VLOOKUP($A252,kurspris!$A$1:$Q$852,9,FALSE)</f>
        <v>0</v>
      </c>
      <c r="AK252" s="31">
        <f>VLOOKUP($A252,kurspris!$A$1:$Q$852,10,FALSE)</f>
        <v>0</v>
      </c>
      <c r="AL252" s="31">
        <f>VLOOKUP($A252,kurspris!$A$1:$Q$852,11,FALSE)</f>
        <v>0</v>
      </c>
      <c r="AM252" s="31">
        <f>VLOOKUP($A252,kurspris!$A$1:$Q$852,12,FALSE)</f>
        <v>0</v>
      </c>
      <c r="AN252" s="31">
        <f>VLOOKUP($A252,kurspris!$A$1:$Q$852,13,FALSE)</f>
        <v>0</v>
      </c>
      <c r="AO252" s="31">
        <f>VLOOKUP($A252,kurspris!$A$1:$Q$852,14,FALSE)</f>
        <v>0</v>
      </c>
      <c r="AP252" s="59" t="s">
        <v>2216</v>
      </c>
      <c r="AR252" s="31">
        <f t="shared" si="85"/>
        <v>0</v>
      </c>
      <c r="AS252" s="237">
        <f t="shared" si="86"/>
        <v>0</v>
      </c>
      <c r="AT252" s="31">
        <f t="shared" si="87"/>
        <v>0</v>
      </c>
      <c r="AU252" s="237">
        <f t="shared" si="88"/>
        <v>0</v>
      </c>
      <c r="AV252" s="31">
        <f t="shared" si="89"/>
        <v>0</v>
      </c>
      <c r="AW252" s="31">
        <f t="shared" si="90"/>
        <v>0</v>
      </c>
      <c r="AX252" s="31">
        <f t="shared" si="91"/>
        <v>7.8</v>
      </c>
      <c r="AY252" s="237">
        <f t="shared" si="92"/>
        <v>6.63</v>
      </c>
      <c r="AZ252" s="214">
        <f t="shared" si="93"/>
        <v>0</v>
      </c>
      <c r="BA252" s="237">
        <f t="shared" si="94"/>
        <v>0</v>
      </c>
      <c r="BB252" s="31">
        <f t="shared" si="95"/>
        <v>0</v>
      </c>
      <c r="BC252" s="237">
        <f t="shared" si="96"/>
        <v>0</v>
      </c>
      <c r="BD252" s="31">
        <f t="shared" si="97"/>
        <v>0</v>
      </c>
      <c r="BE252" s="237">
        <f t="shared" si="98"/>
        <v>0</v>
      </c>
      <c r="BF252" s="31">
        <f t="shared" si="99"/>
        <v>0</v>
      </c>
      <c r="BG252" s="237">
        <f t="shared" si="100"/>
        <v>0</v>
      </c>
      <c r="BH252" s="31">
        <f t="shared" si="101"/>
        <v>0</v>
      </c>
      <c r="BI252" s="237">
        <f t="shared" si="102"/>
        <v>0</v>
      </c>
      <c r="BJ252" s="31">
        <f t="shared" si="103"/>
        <v>0</v>
      </c>
      <c r="BK252" s="31">
        <f t="shared" si="104"/>
        <v>0</v>
      </c>
      <c r="BL252" s="237">
        <f t="shared" si="105"/>
        <v>0</v>
      </c>
      <c r="BM252" s="31">
        <f t="shared" si="106"/>
        <v>0</v>
      </c>
      <c r="BN252" s="237">
        <f t="shared" si="107"/>
        <v>0</v>
      </c>
    </row>
    <row r="253" spans="1:66" x14ac:dyDescent="0.25">
      <c r="A253" s="31" t="s">
        <v>1142</v>
      </c>
      <c r="B253" s="182" t="str">
        <f>VLOOKUP(A253,kurspris!$A$1:$B$894,2,FALSE)</f>
        <v>Att vara förskollärare (VFU)</v>
      </c>
      <c r="D253" s="31" t="s">
        <v>484</v>
      </c>
      <c r="F253" s="59">
        <v>2019</v>
      </c>
      <c r="Q253" s="237">
        <v>1.8</v>
      </c>
      <c r="R253" s="40">
        <v>0.85</v>
      </c>
      <c r="S253" s="313">
        <f t="shared" si="81"/>
        <v>1.53</v>
      </c>
      <c r="T253" s="31">
        <f>VLOOKUP(A253,'Ansvar kurs'!$A$1:$C$1027,2,FALSE)</f>
        <v>2193</v>
      </c>
      <c r="U253" s="31" t="str">
        <f>VLOOKUP(T253,Orgenheter!$A$1:$C$165,2,FALSE)</f>
        <v xml:space="preserve">TUV </v>
      </c>
      <c r="V253" s="31" t="str">
        <f>VLOOKUP(T253,Orgenheter!$A$1:$C$165,3,FALSE)</f>
        <v>Sam</v>
      </c>
      <c r="W253" s="37" t="str">
        <f>VLOOKUP(D253,Program!$A$1:$B$34,2,FALSE)</f>
        <v>Förskollärarprogrammet</v>
      </c>
      <c r="X253" s="42">
        <f>VLOOKUP(A253,kurspris!$A$1:$Q$815,15,FALSE)</f>
        <v>21634</v>
      </c>
      <c r="Y253" s="42">
        <f>VLOOKUP(A253,kurspris!$A$1:$Q$815,16,FALSE)</f>
        <v>26986</v>
      </c>
      <c r="Z253" s="42">
        <f t="shared" si="82"/>
        <v>80229.78</v>
      </c>
      <c r="AA253" s="42">
        <f>VLOOKUP(A253,kurspris!$A$1:$Q$815,17,FALSE)</f>
        <v>3400</v>
      </c>
      <c r="AB253" s="42">
        <f t="shared" si="83"/>
        <v>6120</v>
      </c>
      <c r="AC253" s="42">
        <f t="shared" si="84"/>
        <v>86349.78</v>
      </c>
      <c r="AD253" s="31">
        <f>VLOOKUP($A253,kurspris!$A$1:$Q$852,3,FALSE)</f>
        <v>0</v>
      </c>
      <c r="AE253" s="31">
        <f>VLOOKUP($A253,kurspris!$A$1:$Q$852,4,FALSE)</f>
        <v>0</v>
      </c>
      <c r="AF253" s="31">
        <f>VLOOKUP($A253,kurspris!$A$1:$Q$852,5,FALSE)</f>
        <v>0</v>
      </c>
      <c r="AG253" s="31">
        <f>VLOOKUP($A253,kurspris!$A$1:$Q$852,6,FALSE)</f>
        <v>0</v>
      </c>
      <c r="AH253" s="31">
        <f>VLOOKUP($A253,kurspris!$A$1:$Q$852,7,FALSE)</f>
        <v>0</v>
      </c>
      <c r="AI253" s="31">
        <f>VLOOKUP($A253,kurspris!$A$1:$Q$852,8,FALSE)</f>
        <v>0</v>
      </c>
      <c r="AJ253" s="31">
        <f>VLOOKUP($A253,kurspris!$A$1:$Q$852,9,FALSE)</f>
        <v>0</v>
      </c>
      <c r="AK253" s="31">
        <f>VLOOKUP($A253,kurspris!$A$1:$Q$852,10,FALSE)</f>
        <v>0</v>
      </c>
      <c r="AL253" s="31">
        <f>VLOOKUP($A253,kurspris!$A$1:$Q$852,11,FALSE)</f>
        <v>1</v>
      </c>
      <c r="AM253" s="31">
        <f>VLOOKUP($A253,kurspris!$A$1:$Q$852,12,FALSE)</f>
        <v>0</v>
      </c>
      <c r="AN253" s="31">
        <f>VLOOKUP($A253,kurspris!$A$1:$Q$852,13,FALSE)</f>
        <v>0</v>
      </c>
      <c r="AO253" s="31">
        <f>VLOOKUP($A253,kurspris!$A$1:$Q$852,14,FALSE)</f>
        <v>0</v>
      </c>
      <c r="AP253" s="59" t="s">
        <v>2216</v>
      </c>
      <c r="AR253" s="31">
        <f t="shared" si="85"/>
        <v>0</v>
      </c>
      <c r="AS253" s="237">
        <f t="shared" si="86"/>
        <v>0</v>
      </c>
      <c r="AT253" s="31">
        <f t="shared" si="87"/>
        <v>0</v>
      </c>
      <c r="AU253" s="237">
        <f t="shared" si="88"/>
        <v>0</v>
      </c>
      <c r="AV253" s="31">
        <f t="shared" si="89"/>
        <v>0</v>
      </c>
      <c r="AW253" s="31">
        <f t="shared" si="90"/>
        <v>0</v>
      </c>
      <c r="AX253" s="31">
        <f t="shared" si="91"/>
        <v>0</v>
      </c>
      <c r="AY253" s="237">
        <f t="shared" si="92"/>
        <v>0</v>
      </c>
      <c r="AZ253" s="214">
        <f t="shared" si="93"/>
        <v>0</v>
      </c>
      <c r="BA253" s="237">
        <f t="shared" si="94"/>
        <v>0</v>
      </c>
      <c r="BB253" s="31">
        <f t="shared" si="95"/>
        <v>0</v>
      </c>
      <c r="BC253" s="237">
        <f t="shared" si="96"/>
        <v>0</v>
      </c>
      <c r="BD253" s="31">
        <f t="shared" si="97"/>
        <v>0</v>
      </c>
      <c r="BE253" s="237">
        <f t="shared" si="98"/>
        <v>0</v>
      </c>
      <c r="BF253" s="31">
        <f t="shared" si="99"/>
        <v>0</v>
      </c>
      <c r="BG253" s="237">
        <f t="shared" si="100"/>
        <v>0</v>
      </c>
      <c r="BH253" s="31">
        <f t="shared" si="101"/>
        <v>1.8</v>
      </c>
      <c r="BI253" s="237">
        <f t="shared" si="102"/>
        <v>1.53</v>
      </c>
      <c r="BJ253" s="31">
        <f t="shared" si="103"/>
        <v>0</v>
      </c>
      <c r="BK253" s="31">
        <f t="shared" si="104"/>
        <v>0</v>
      </c>
      <c r="BL253" s="237">
        <f t="shared" si="105"/>
        <v>0</v>
      </c>
      <c r="BM253" s="31">
        <f t="shared" si="106"/>
        <v>0</v>
      </c>
      <c r="BN253" s="237">
        <f t="shared" si="107"/>
        <v>0</v>
      </c>
    </row>
    <row r="254" spans="1:66" x14ac:dyDescent="0.25">
      <c r="A254" s="31" t="s">
        <v>1279</v>
      </c>
      <c r="B254" s="182" t="str">
        <f>VLOOKUP(A254,kurspris!$A$1:$B$894,2,FALSE)</f>
        <v>Ämneslärare som profession</v>
      </c>
      <c r="D254" s="31" t="s">
        <v>483</v>
      </c>
      <c r="F254" s="59">
        <v>2019</v>
      </c>
      <c r="Q254" s="237">
        <v>14.7</v>
      </c>
      <c r="R254" s="40">
        <v>0.85</v>
      </c>
      <c r="S254" s="313">
        <f t="shared" si="81"/>
        <v>12.494999999999999</v>
      </c>
      <c r="T254" s="31">
        <f>VLOOKUP(A254,'Ansvar kurs'!$A$1:$C$1027,2,FALSE)</f>
        <v>2180</v>
      </c>
      <c r="U254" s="31" t="str">
        <f>VLOOKUP(T254,Orgenheter!$A$1:$C$165,2,FALSE)</f>
        <v xml:space="preserve">Pedagogik                     </v>
      </c>
      <c r="V254" s="31" t="str">
        <f>VLOOKUP(T254,Orgenheter!$A$1:$C$165,3,FALSE)</f>
        <v>Sam</v>
      </c>
      <c r="W254" s="37" t="str">
        <f>VLOOKUP(D254,Program!$A$1:$B$34,2,FALSE)</f>
        <v>Ämneslärarprogrammet - Gy</v>
      </c>
      <c r="X254" s="42">
        <f>VLOOKUP(A254,kurspris!$A$1:$Q$815,15,FALSE)</f>
        <v>23641</v>
      </c>
      <c r="Y254" s="42">
        <f>VLOOKUP(A254,kurspris!$A$1:$Q$815,16,FALSE)</f>
        <v>28786</v>
      </c>
      <c r="Z254" s="42">
        <f t="shared" si="82"/>
        <v>707203.77</v>
      </c>
      <c r="AA254" s="42">
        <f>VLOOKUP(A254,kurspris!$A$1:$Q$815,17,FALSE)</f>
        <v>5800</v>
      </c>
      <c r="AB254" s="42">
        <f t="shared" si="83"/>
        <v>85260</v>
      </c>
      <c r="AC254" s="42">
        <f t="shared" si="84"/>
        <v>792463.77</v>
      </c>
      <c r="AD254" s="31">
        <f>VLOOKUP($A254,kurspris!$A$1:$Q$852,3,FALSE)</f>
        <v>0</v>
      </c>
      <c r="AE254" s="31">
        <f>VLOOKUP($A254,kurspris!$A$1:$Q$852,4,FALSE)</f>
        <v>0</v>
      </c>
      <c r="AF254" s="31">
        <f>VLOOKUP($A254,kurspris!$A$1:$Q$852,5,FALSE)</f>
        <v>0</v>
      </c>
      <c r="AG254" s="31">
        <f>VLOOKUP($A254,kurspris!$A$1:$Q$852,6,FALSE)</f>
        <v>1</v>
      </c>
      <c r="AH254" s="31">
        <f>VLOOKUP($A254,kurspris!$A$1:$Q$852,7,FALSE)</f>
        <v>0</v>
      </c>
      <c r="AI254" s="31">
        <f>VLOOKUP($A254,kurspris!$A$1:$Q$852,8,FALSE)</f>
        <v>0</v>
      </c>
      <c r="AJ254" s="31">
        <f>VLOOKUP($A254,kurspris!$A$1:$Q$852,9,FALSE)</f>
        <v>0</v>
      </c>
      <c r="AK254" s="31">
        <f>VLOOKUP($A254,kurspris!$A$1:$Q$852,10,FALSE)</f>
        <v>0</v>
      </c>
      <c r="AL254" s="31">
        <f>VLOOKUP($A254,kurspris!$A$1:$Q$852,11,FALSE)</f>
        <v>0</v>
      </c>
      <c r="AM254" s="31">
        <f>VLOOKUP($A254,kurspris!$A$1:$Q$852,12,FALSE)</f>
        <v>0</v>
      </c>
      <c r="AN254" s="31">
        <f>VLOOKUP($A254,kurspris!$A$1:$Q$852,13,FALSE)</f>
        <v>0</v>
      </c>
      <c r="AO254" s="31">
        <f>VLOOKUP($A254,kurspris!$A$1:$Q$852,14,FALSE)</f>
        <v>0</v>
      </c>
      <c r="AP254" s="59" t="s">
        <v>2216</v>
      </c>
      <c r="AR254" s="31">
        <f t="shared" si="85"/>
        <v>0</v>
      </c>
      <c r="AS254" s="237">
        <f t="shared" si="86"/>
        <v>0</v>
      </c>
      <c r="AT254" s="31">
        <f t="shared" si="87"/>
        <v>0</v>
      </c>
      <c r="AU254" s="237">
        <f t="shared" si="88"/>
        <v>0</v>
      </c>
      <c r="AV254" s="31">
        <f t="shared" si="89"/>
        <v>0</v>
      </c>
      <c r="AW254" s="31">
        <f t="shared" si="90"/>
        <v>0</v>
      </c>
      <c r="AX254" s="31">
        <f t="shared" si="91"/>
        <v>14.7</v>
      </c>
      <c r="AY254" s="237">
        <f t="shared" si="92"/>
        <v>12.494999999999999</v>
      </c>
      <c r="AZ254" s="214">
        <f t="shared" si="93"/>
        <v>0</v>
      </c>
      <c r="BA254" s="237">
        <f t="shared" si="94"/>
        <v>0</v>
      </c>
      <c r="BB254" s="31">
        <f t="shared" si="95"/>
        <v>0</v>
      </c>
      <c r="BC254" s="237">
        <f t="shared" si="96"/>
        <v>0</v>
      </c>
      <c r="BD254" s="31">
        <f t="shared" si="97"/>
        <v>0</v>
      </c>
      <c r="BE254" s="237">
        <f t="shared" si="98"/>
        <v>0</v>
      </c>
      <c r="BF254" s="31">
        <f t="shared" si="99"/>
        <v>0</v>
      </c>
      <c r="BG254" s="237">
        <f t="shared" si="100"/>
        <v>0</v>
      </c>
      <c r="BH254" s="31">
        <f t="shared" si="101"/>
        <v>0</v>
      </c>
      <c r="BI254" s="237">
        <f t="shared" si="102"/>
        <v>0</v>
      </c>
      <c r="BJ254" s="31">
        <f t="shared" si="103"/>
        <v>0</v>
      </c>
      <c r="BK254" s="31">
        <f t="shared" si="104"/>
        <v>0</v>
      </c>
      <c r="BL254" s="237">
        <f t="shared" si="105"/>
        <v>0</v>
      </c>
      <c r="BM254" s="31">
        <f t="shared" si="106"/>
        <v>0</v>
      </c>
      <c r="BN254" s="237">
        <f t="shared" si="107"/>
        <v>0</v>
      </c>
    </row>
    <row r="255" spans="1:66" x14ac:dyDescent="0.25">
      <c r="A255" s="31" t="s">
        <v>1280</v>
      </c>
      <c r="B255" s="182" t="str">
        <f>VLOOKUP(A255,kurspris!$A$1:$B$894,2,FALSE)</f>
        <v>Att vara ämneslärare (VFU)</v>
      </c>
      <c r="D255" s="31" t="s">
        <v>483</v>
      </c>
      <c r="F255" s="59">
        <v>2019</v>
      </c>
      <c r="Q255" s="237">
        <v>3.5750000000000002</v>
      </c>
      <c r="R255" s="40">
        <v>0.85</v>
      </c>
      <c r="S255" s="313">
        <f t="shared" si="81"/>
        <v>3.0387500000000003</v>
      </c>
      <c r="T255" s="31">
        <f>VLOOKUP(A255,'Ansvar kurs'!$A$1:$C$1027,2,FALSE)</f>
        <v>2180</v>
      </c>
      <c r="U255" s="31" t="str">
        <f>VLOOKUP(T255,Orgenheter!$A$1:$C$165,2,FALSE)</f>
        <v xml:space="preserve">Pedagogik                     </v>
      </c>
      <c r="V255" s="31" t="str">
        <f>VLOOKUP(T255,Orgenheter!$A$1:$C$165,3,FALSE)</f>
        <v>Sam</v>
      </c>
      <c r="W255" s="37" t="str">
        <f>VLOOKUP(D255,Program!$A$1:$B$34,2,FALSE)</f>
        <v>Ämneslärarprogrammet - Gy</v>
      </c>
      <c r="X255" s="42">
        <f>VLOOKUP(A255,kurspris!$A$1:$Q$815,15,FALSE)</f>
        <v>21634</v>
      </c>
      <c r="Y255" s="42">
        <f>VLOOKUP(A255,kurspris!$A$1:$Q$815,16,FALSE)</f>
        <v>26986</v>
      </c>
      <c r="Z255" s="42">
        <f t="shared" si="82"/>
        <v>159345.25750000001</v>
      </c>
      <c r="AA255" s="42">
        <f>VLOOKUP(A255,kurspris!$A$1:$Q$815,17,FALSE)</f>
        <v>3400</v>
      </c>
      <c r="AB255" s="42">
        <f t="shared" si="83"/>
        <v>12155</v>
      </c>
      <c r="AC255" s="42">
        <f t="shared" si="84"/>
        <v>171500.25750000001</v>
      </c>
      <c r="AD255" s="31">
        <f>VLOOKUP($A255,kurspris!$A$1:$Q$852,3,FALSE)</f>
        <v>0</v>
      </c>
      <c r="AE255" s="31">
        <f>VLOOKUP($A255,kurspris!$A$1:$Q$852,4,FALSE)</f>
        <v>0</v>
      </c>
      <c r="AF255" s="31">
        <f>VLOOKUP($A255,kurspris!$A$1:$Q$852,5,FALSE)</f>
        <v>0</v>
      </c>
      <c r="AG255" s="31">
        <f>VLOOKUP($A255,kurspris!$A$1:$Q$852,6,FALSE)</f>
        <v>0</v>
      </c>
      <c r="AH255" s="31">
        <f>VLOOKUP($A255,kurspris!$A$1:$Q$852,7,FALSE)</f>
        <v>0</v>
      </c>
      <c r="AI255" s="31">
        <f>VLOOKUP($A255,kurspris!$A$1:$Q$852,8,FALSE)</f>
        <v>0</v>
      </c>
      <c r="AJ255" s="31">
        <f>VLOOKUP($A255,kurspris!$A$1:$Q$852,9,FALSE)</f>
        <v>0</v>
      </c>
      <c r="AK255" s="31">
        <f>VLOOKUP($A255,kurspris!$A$1:$Q$852,10,FALSE)</f>
        <v>0</v>
      </c>
      <c r="AL255" s="31">
        <f>VLOOKUP($A255,kurspris!$A$1:$Q$852,11,FALSE)</f>
        <v>1</v>
      </c>
      <c r="AM255" s="31">
        <f>VLOOKUP($A255,kurspris!$A$1:$Q$852,12,FALSE)</f>
        <v>0</v>
      </c>
      <c r="AN255" s="31">
        <f>VLOOKUP($A255,kurspris!$A$1:$Q$852,13,FALSE)</f>
        <v>0</v>
      </c>
      <c r="AO255" s="31">
        <f>VLOOKUP($A255,kurspris!$A$1:$Q$852,14,FALSE)</f>
        <v>0</v>
      </c>
      <c r="AP255" s="59" t="s">
        <v>2216</v>
      </c>
      <c r="AR255" s="31">
        <f t="shared" si="85"/>
        <v>0</v>
      </c>
      <c r="AS255" s="237">
        <f t="shared" si="86"/>
        <v>0</v>
      </c>
      <c r="AT255" s="31">
        <f t="shared" si="87"/>
        <v>0</v>
      </c>
      <c r="AU255" s="237">
        <f t="shared" si="88"/>
        <v>0</v>
      </c>
      <c r="AV255" s="31">
        <f t="shared" si="89"/>
        <v>0</v>
      </c>
      <c r="AW255" s="31">
        <f t="shared" si="90"/>
        <v>0</v>
      </c>
      <c r="AX255" s="31">
        <f t="shared" si="91"/>
        <v>0</v>
      </c>
      <c r="AY255" s="237">
        <f t="shared" si="92"/>
        <v>0</v>
      </c>
      <c r="AZ255" s="214">
        <f t="shared" si="93"/>
        <v>0</v>
      </c>
      <c r="BA255" s="237">
        <f t="shared" si="94"/>
        <v>0</v>
      </c>
      <c r="BB255" s="31">
        <f t="shared" si="95"/>
        <v>0</v>
      </c>
      <c r="BC255" s="237">
        <f t="shared" si="96"/>
        <v>0</v>
      </c>
      <c r="BD255" s="31">
        <f t="shared" si="97"/>
        <v>0</v>
      </c>
      <c r="BE255" s="237">
        <f t="shared" si="98"/>
        <v>0</v>
      </c>
      <c r="BF255" s="31">
        <f t="shared" si="99"/>
        <v>0</v>
      </c>
      <c r="BG255" s="237">
        <f t="shared" si="100"/>
        <v>0</v>
      </c>
      <c r="BH255" s="31">
        <f t="shared" si="101"/>
        <v>3.5750000000000002</v>
      </c>
      <c r="BI255" s="237">
        <f t="shared" si="102"/>
        <v>3.0387500000000003</v>
      </c>
      <c r="BJ255" s="31">
        <f t="shared" si="103"/>
        <v>0</v>
      </c>
      <c r="BK255" s="31">
        <f t="shared" si="104"/>
        <v>0</v>
      </c>
      <c r="BL255" s="237">
        <f t="shared" si="105"/>
        <v>0</v>
      </c>
      <c r="BM255" s="31">
        <f t="shared" si="106"/>
        <v>0</v>
      </c>
      <c r="BN255" s="237">
        <f t="shared" si="107"/>
        <v>0</v>
      </c>
    </row>
    <row r="256" spans="1:66" x14ac:dyDescent="0.25">
      <c r="A256" s="159" t="s">
        <v>1277</v>
      </c>
      <c r="B256" s="182" t="str">
        <f>VLOOKUP(A256,kurspris!$A$1:$B$894,2,FALSE)</f>
        <v>Lärande och undervisning</v>
      </c>
      <c r="C256" s="37"/>
      <c r="D256" s="31" t="s">
        <v>483</v>
      </c>
      <c r="F256" s="59">
        <v>2019</v>
      </c>
      <c r="Q256" s="237">
        <v>17.25</v>
      </c>
      <c r="R256" s="40">
        <v>0.85</v>
      </c>
      <c r="S256" s="313">
        <f t="shared" si="81"/>
        <v>14.6625</v>
      </c>
      <c r="T256" s="31">
        <f>VLOOKUP(A256,'Ansvar kurs'!$A$1:$C$1027,2,FALSE)</f>
        <v>2180</v>
      </c>
      <c r="U256" s="31" t="str">
        <f>VLOOKUP(T256,Orgenheter!$A$1:$C$165,2,FALSE)</f>
        <v xml:space="preserve">Pedagogik                     </v>
      </c>
      <c r="V256" s="31" t="str">
        <f>VLOOKUP(T256,Orgenheter!$A$1:$C$165,3,FALSE)</f>
        <v>Sam</v>
      </c>
      <c r="W256" s="37" t="str">
        <f>VLOOKUP(D256,Program!$A$1:$B$34,2,FALSE)</f>
        <v>Ämneslärarprogrammet - Gy</v>
      </c>
      <c r="X256" s="42">
        <f>VLOOKUP(A256,kurspris!$A$1:$Q$815,15,FALSE)</f>
        <v>23641</v>
      </c>
      <c r="Y256" s="42">
        <f>VLOOKUP(A256,kurspris!$A$1:$Q$815,16,FALSE)</f>
        <v>28786</v>
      </c>
      <c r="Z256" s="42">
        <f t="shared" si="82"/>
        <v>829881.97499999998</v>
      </c>
      <c r="AA256" s="42">
        <f>VLOOKUP(A256,kurspris!$A$1:$Q$815,17,FALSE)</f>
        <v>5800</v>
      </c>
      <c r="AB256" s="42">
        <f t="shared" si="83"/>
        <v>100050</v>
      </c>
      <c r="AC256" s="42">
        <f t="shared" si="84"/>
        <v>929931.97499999998</v>
      </c>
      <c r="AD256" s="31">
        <f>VLOOKUP($A256,kurspris!$A$1:$Q$852,3,FALSE)</f>
        <v>0</v>
      </c>
      <c r="AE256" s="31">
        <f>VLOOKUP($A256,kurspris!$A$1:$Q$852,4,FALSE)</f>
        <v>0</v>
      </c>
      <c r="AF256" s="31">
        <f>VLOOKUP($A256,kurspris!$A$1:$Q$852,5,FALSE)</f>
        <v>0</v>
      </c>
      <c r="AG256" s="31">
        <f>VLOOKUP($A256,kurspris!$A$1:$Q$852,6,FALSE)</f>
        <v>1</v>
      </c>
      <c r="AH256" s="31">
        <f>VLOOKUP($A256,kurspris!$A$1:$Q$852,7,FALSE)</f>
        <v>0</v>
      </c>
      <c r="AI256" s="31">
        <f>VLOOKUP($A256,kurspris!$A$1:$Q$852,8,FALSE)</f>
        <v>0</v>
      </c>
      <c r="AJ256" s="31">
        <f>VLOOKUP($A256,kurspris!$A$1:$Q$852,9,FALSE)</f>
        <v>0</v>
      </c>
      <c r="AK256" s="31">
        <f>VLOOKUP($A256,kurspris!$A$1:$Q$852,10,FALSE)</f>
        <v>0</v>
      </c>
      <c r="AL256" s="31">
        <f>VLOOKUP($A256,kurspris!$A$1:$Q$852,11,FALSE)</f>
        <v>0</v>
      </c>
      <c r="AM256" s="31">
        <f>VLOOKUP($A256,kurspris!$A$1:$Q$852,12,FALSE)</f>
        <v>0</v>
      </c>
      <c r="AN256" s="31">
        <f>VLOOKUP($A256,kurspris!$A$1:$Q$852,13,FALSE)</f>
        <v>0</v>
      </c>
      <c r="AO256" s="31">
        <f>VLOOKUP($A256,kurspris!$A$1:$Q$852,14,FALSE)</f>
        <v>0</v>
      </c>
      <c r="AP256" s="59" t="s">
        <v>2216</v>
      </c>
      <c r="AR256" s="31">
        <f t="shared" si="85"/>
        <v>0</v>
      </c>
      <c r="AS256" s="237">
        <f t="shared" si="86"/>
        <v>0</v>
      </c>
      <c r="AT256" s="31">
        <f t="shared" si="87"/>
        <v>0</v>
      </c>
      <c r="AU256" s="237">
        <f t="shared" si="88"/>
        <v>0</v>
      </c>
      <c r="AV256" s="31">
        <f t="shared" si="89"/>
        <v>0</v>
      </c>
      <c r="AW256" s="31">
        <f t="shared" si="90"/>
        <v>0</v>
      </c>
      <c r="AX256" s="31">
        <f t="shared" si="91"/>
        <v>17.25</v>
      </c>
      <c r="AY256" s="237">
        <f t="shared" si="92"/>
        <v>14.6625</v>
      </c>
      <c r="AZ256" s="214">
        <f t="shared" si="93"/>
        <v>0</v>
      </c>
      <c r="BA256" s="237">
        <f t="shared" si="94"/>
        <v>0</v>
      </c>
      <c r="BB256" s="31">
        <f t="shared" si="95"/>
        <v>0</v>
      </c>
      <c r="BC256" s="237">
        <f t="shared" si="96"/>
        <v>0</v>
      </c>
      <c r="BD256" s="31">
        <f t="shared" si="97"/>
        <v>0</v>
      </c>
      <c r="BE256" s="237">
        <f t="shared" si="98"/>
        <v>0</v>
      </c>
      <c r="BF256" s="31">
        <f t="shared" si="99"/>
        <v>0</v>
      </c>
      <c r="BG256" s="237">
        <f t="shared" si="100"/>
        <v>0</v>
      </c>
      <c r="BH256" s="31">
        <f t="shared" si="101"/>
        <v>0</v>
      </c>
      <c r="BI256" s="237">
        <f t="shared" si="102"/>
        <v>0</v>
      </c>
      <c r="BJ256" s="31">
        <f t="shared" si="103"/>
        <v>0</v>
      </c>
      <c r="BK256" s="31">
        <f t="shared" si="104"/>
        <v>0</v>
      </c>
      <c r="BL256" s="237">
        <f t="shared" si="105"/>
        <v>0</v>
      </c>
      <c r="BM256" s="31">
        <f t="shared" si="106"/>
        <v>0</v>
      </c>
      <c r="BN256" s="237">
        <f t="shared" si="107"/>
        <v>0</v>
      </c>
    </row>
    <row r="257" spans="1:66" x14ac:dyDescent="0.25">
      <c r="A257" s="159" t="s">
        <v>1277</v>
      </c>
      <c r="B257" s="182" t="str">
        <f>VLOOKUP(A257,kurspris!$A$1:$B$894,2,FALSE)</f>
        <v>Lärande och undervisning</v>
      </c>
      <c r="C257" s="37"/>
      <c r="D257" s="31" t="s">
        <v>484</v>
      </c>
      <c r="F257" s="59">
        <v>2019</v>
      </c>
      <c r="Q257" s="237">
        <v>9</v>
      </c>
      <c r="R257" s="40">
        <v>0.85</v>
      </c>
      <c r="S257" s="313">
        <f t="shared" si="81"/>
        <v>7.6499999999999995</v>
      </c>
      <c r="T257" s="31">
        <f>VLOOKUP(A257,'Ansvar kurs'!$A$1:$C$1027,2,FALSE)</f>
        <v>2180</v>
      </c>
      <c r="U257" s="31" t="str">
        <f>VLOOKUP(T257,Orgenheter!$A$1:$C$165,2,FALSE)</f>
        <v xml:space="preserve">Pedagogik                     </v>
      </c>
      <c r="V257" s="31" t="str">
        <f>VLOOKUP(T257,Orgenheter!$A$1:$C$165,3,FALSE)</f>
        <v>Sam</v>
      </c>
      <c r="W257" s="37" t="str">
        <f>VLOOKUP(D257,Program!$A$1:$B$34,2,FALSE)</f>
        <v>Förskollärarprogrammet</v>
      </c>
      <c r="X257" s="42">
        <f>VLOOKUP(A257,kurspris!$A$1:$Q$815,15,FALSE)</f>
        <v>23641</v>
      </c>
      <c r="Y257" s="42">
        <f>VLOOKUP(A257,kurspris!$A$1:$Q$815,16,FALSE)</f>
        <v>28786</v>
      </c>
      <c r="Z257" s="42">
        <f t="shared" si="82"/>
        <v>432981.9</v>
      </c>
      <c r="AA257" s="42">
        <f>VLOOKUP(A257,kurspris!$A$1:$Q$815,17,FALSE)</f>
        <v>5800</v>
      </c>
      <c r="AB257" s="42">
        <f t="shared" si="83"/>
        <v>52200</v>
      </c>
      <c r="AC257" s="42">
        <f t="shared" si="84"/>
        <v>485181.9</v>
      </c>
      <c r="AD257" s="31">
        <f>VLOOKUP($A257,kurspris!$A$1:$Q$852,3,FALSE)</f>
        <v>0</v>
      </c>
      <c r="AE257" s="31">
        <f>VLOOKUP($A257,kurspris!$A$1:$Q$852,4,FALSE)</f>
        <v>0</v>
      </c>
      <c r="AF257" s="31">
        <f>VLOOKUP($A257,kurspris!$A$1:$Q$852,5,FALSE)</f>
        <v>0</v>
      </c>
      <c r="AG257" s="31">
        <f>VLOOKUP($A257,kurspris!$A$1:$Q$852,6,FALSE)</f>
        <v>1</v>
      </c>
      <c r="AH257" s="31">
        <f>VLOOKUP($A257,kurspris!$A$1:$Q$852,7,FALSE)</f>
        <v>0</v>
      </c>
      <c r="AI257" s="31">
        <f>VLOOKUP($A257,kurspris!$A$1:$Q$852,8,FALSE)</f>
        <v>0</v>
      </c>
      <c r="AJ257" s="31">
        <f>VLOOKUP($A257,kurspris!$A$1:$Q$852,9,FALSE)</f>
        <v>0</v>
      </c>
      <c r="AK257" s="31">
        <f>VLOOKUP($A257,kurspris!$A$1:$Q$852,10,FALSE)</f>
        <v>0</v>
      </c>
      <c r="AL257" s="31">
        <f>VLOOKUP($A257,kurspris!$A$1:$Q$852,11,FALSE)</f>
        <v>0</v>
      </c>
      <c r="AM257" s="31">
        <f>VLOOKUP($A257,kurspris!$A$1:$Q$852,12,FALSE)</f>
        <v>0</v>
      </c>
      <c r="AN257" s="31">
        <f>VLOOKUP($A257,kurspris!$A$1:$Q$852,13,FALSE)</f>
        <v>0</v>
      </c>
      <c r="AO257" s="31">
        <f>VLOOKUP($A257,kurspris!$A$1:$Q$852,14,FALSE)</f>
        <v>0</v>
      </c>
      <c r="AP257" s="59" t="s">
        <v>2216</v>
      </c>
      <c r="AR257" s="31">
        <f t="shared" si="85"/>
        <v>0</v>
      </c>
      <c r="AS257" s="237">
        <f t="shared" si="86"/>
        <v>0</v>
      </c>
      <c r="AT257" s="31">
        <f t="shared" si="87"/>
        <v>0</v>
      </c>
      <c r="AU257" s="237">
        <f t="shared" si="88"/>
        <v>0</v>
      </c>
      <c r="AV257" s="31">
        <f t="shared" si="89"/>
        <v>0</v>
      </c>
      <c r="AW257" s="31">
        <f t="shared" si="90"/>
        <v>0</v>
      </c>
      <c r="AX257" s="31">
        <f t="shared" si="91"/>
        <v>9</v>
      </c>
      <c r="AY257" s="237">
        <f t="shared" si="92"/>
        <v>7.6499999999999995</v>
      </c>
      <c r="AZ257" s="214">
        <f t="shared" si="93"/>
        <v>0</v>
      </c>
      <c r="BA257" s="237">
        <f t="shared" si="94"/>
        <v>0</v>
      </c>
      <c r="BB257" s="31">
        <f t="shared" si="95"/>
        <v>0</v>
      </c>
      <c r="BC257" s="237">
        <f t="shared" si="96"/>
        <v>0</v>
      </c>
      <c r="BD257" s="31">
        <f t="shared" si="97"/>
        <v>0</v>
      </c>
      <c r="BE257" s="237">
        <f t="shared" si="98"/>
        <v>0</v>
      </c>
      <c r="BF257" s="31">
        <f t="shared" si="99"/>
        <v>0</v>
      </c>
      <c r="BG257" s="237">
        <f t="shared" si="100"/>
        <v>0</v>
      </c>
      <c r="BH257" s="31">
        <f t="shared" si="101"/>
        <v>0</v>
      </c>
      <c r="BI257" s="237">
        <f t="shared" si="102"/>
        <v>0</v>
      </c>
      <c r="BJ257" s="31">
        <f t="shared" si="103"/>
        <v>0</v>
      </c>
      <c r="BK257" s="31">
        <f t="shared" si="104"/>
        <v>0</v>
      </c>
      <c r="BL257" s="237">
        <f t="shared" si="105"/>
        <v>0</v>
      </c>
      <c r="BM257" s="31">
        <f t="shared" si="106"/>
        <v>0</v>
      </c>
      <c r="BN257" s="237">
        <f t="shared" si="107"/>
        <v>0</v>
      </c>
    </row>
    <row r="258" spans="1:66" x14ac:dyDescent="0.25">
      <c r="A258" s="59" t="s">
        <v>1277</v>
      </c>
      <c r="B258" s="182" t="str">
        <f>VLOOKUP(A258,kurspris!$A$1:$B$894,2,FALSE)</f>
        <v>Lärande och undervisning</v>
      </c>
      <c r="C258" s="37"/>
      <c r="D258" s="59" t="s">
        <v>485</v>
      </c>
      <c r="E258" s="62"/>
      <c r="F258" s="59">
        <v>2019</v>
      </c>
      <c r="M258" s="386"/>
      <c r="Q258" s="237">
        <v>2.375</v>
      </c>
      <c r="R258" s="40">
        <v>0.85</v>
      </c>
      <c r="S258" s="313">
        <f t="shared" ref="S258:S322" si="134">Q258*R258</f>
        <v>2.0187499999999998</v>
      </c>
      <c r="T258" s="31">
        <f>VLOOKUP(A258,'Ansvar kurs'!$A$1:$C$1027,2,FALSE)</f>
        <v>2180</v>
      </c>
      <c r="U258" s="31" t="str">
        <f>VLOOKUP(T258,Orgenheter!$A$1:$C$165,2,FALSE)</f>
        <v xml:space="preserve">Pedagogik                     </v>
      </c>
      <c r="V258" s="31" t="str">
        <f>VLOOKUP(T258,Orgenheter!$A$1:$C$165,3,FALSE)</f>
        <v>Sam</v>
      </c>
      <c r="W258" s="37" t="str">
        <f>VLOOKUP(D258,Program!$A$1:$B$34,2,FALSE)</f>
        <v>Grundlärarprogrammet - fritidshem</v>
      </c>
      <c r="X258" s="42">
        <f>VLOOKUP(A258,kurspris!$A$1:$Q$815,15,FALSE)</f>
        <v>23641</v>
      </c>
      <c r="Y258" s="42">
        <f>VLOOKUP(A258,kurspris!$A$1:$Q$815,16,FALSE)</f>
        <v>28786</v>
      </c>
      <c r="Z258" s="42">
        <f t="shared" ref="Z258:Z322" si="135">X258*Q258+S258*Y258</f>
        <v>114259.11249999999</v>
      </c>
      <c r="AA258" s="42">
        <f>VLOOKUP(A258,kurspris!$A$1:$Q$815,17,FALSE)</f>
        <v>5800</v>
      </c>
      <c r="AB258" s="42">
        <f t="shared" ref="AB258:AB322" si="136">AA258*Q258</f>
        <v>13775</v>
      </c>
      <c r="AC258" s="42">
        <f t="shared" ref="AC258:AC322" si="137">Z258+AB258</f>
        <v>128034.11249999999</v>
      </c>
      <c r="AD258" s="31">
        <f>VLOOKUP($A258,kurspris!$A$1:$Q$852,3,FALSE)</f>
        <v>0</v>
      </c>
      <c r="AE258" s="31">
        <f>VLOOKUP($A258,kurspris!$A$1:$Q$852,4,FALSE)</f>
        <v>0</v>
      </c>
      <c r="AF258" s="31">
        <f>VLOOKUP($A258,kurspris!$A$1:$Q$852,5,FALSE)</f>
        <v>0</v>
      </c>
      <c r="AG258" s="31">
        <f>VLOOKUP($A258,kurspris!$A$1:$Q$852,6,FALSE)</f>
        <v>1</v>
      </c>
      <c r="AH258" s="31">
        <f>VLOOKUP($A258,kurspris!$A$1:$Q$852,7,FALSE)</f>
        <v>0</v>
      </c>
      <c r="AI258" s="31">
        <f>VLOOKUP($A258,kurspris!$A$1:$Q$852,8,FALSE)</f>
        <v>0</v>
      </c>
      <c r="AJ258" s="31">
        <f>VLOOKUP($A258,kurspris!$A$1:$Q$852,9,FALSE)</f>
        <v>0</v>
      </c>
      <c r="AK258" s="31">
        <f>VLOOKUP($A258,kurspris!$A$1:$Q$852,10,FALSE)</f>
        <v>0</v>
      </c>
      <c r="AL258" s="31">
        <f>VLOOKUP($A258,kurspris!$A$1:$Q$852,11,FALSE)</f>
        <v>0</v>
      </c>
      <c r="AM258" s="31">
        <f>VLOOKUP($A258,kurspris!$A$1:$Q$852,12,FALSE)</f>
        <v>0</v>
      </c>
      <c r="AN258" s="31">
        <f>VLOOKUP($A258,kurspris!$A$1:$Q$852,13,FALSE)</f>
        <v>0</v>
      </c>
      <c r="AO258" s="31">
        <f>VLOOKUP($A258,kurspris!$A$1:$Q$852,14,FALSE)</f>
        <v>0</v>
      </c>
      <c r="AP258" s="59" t="s">
        <v>2216</v>
      </c>
      <c r="AR258" s="31">
        <f t="shared" ref="AR258:AR322" si="138">$Q258*AD258</f>
        <v>0</v>
      </c>
      <c r="AS258" s="237">
        <f t="shared" ref="AS258:AS322" si="139">$S258*AD258</f>
        <v>0</v>
      </c>
      <c r="AT258" s="31">
        <f t="shared" ref="AT258:AT322" si="140">$Q258*AE258</f>
        <v>0</v>
      </c>
      <c r="AU258" s="237">
        <f t="shared" ref="AU258:AU322" si="141">$S258*AE258</f>
        <v>0</v>
      </c>
      <c r="AV258" s="31">
        <f t="shared" ref="AV258:AV322" si="142">$Q258*AF258</f>
        <v>0</v>
      </c>
      <c r="AW258" s="31">
        <f t="shared" ref="AW258:AW322" si="143">$S258*AF258</f>
        <v>0</v>
      </c>
      <c r="AX258" s="31">
        <f t="shared" ref="AX258:AX322" si="144">$Q258*AG258</f>
        <v>2.375</v>
      </c>
      <c r="AY258" s="237">
        <f t="shared" ref="AY258:AY322" si="145">$S258*AG258</f>
        <v>2.0187499999999998</v>
      </c>
      <c r="AZ258" s="214">
        <f t="shared" ref="AZ258:AZ322" si="146">$Q258*AH258</f>
        <v>0</v>
      </c>
      <c r="BA258" s="237">
        <f t="shared" ref="BA258:BA322" si="147">$S258*AH258</f>
        <v>0</v>
      </c>
      <c r="BB258" s="31">
        <f t="shared" ref="BB258:BB322" si="148">$Q258*AI258</f>
        <v>0</v>
      </c>
      <c r="BC258" s="237">
        <f t="shared" ref="BC258:BC322" si="149">$S258*AI258</f>
        <v>0</v>
      </c>
      <c r="BD258" s="31">
        <f t="shared" ref="BD258:BD322" si="150">$Q258*AJ258</f>
        <v>0</v>
      </c>
      <c r="BE258" s="237">
        <f t="shared" ref="BE258:BE322" si="151">$S258*AJ258</f>
        <v>0</v>
      </c>
      <c r="BF258" s="31">
        <f t="shared" ref="BF258:BF322" si="152">$Q258*AK258</f>
        <v>0</v>
      </c>
      <c r="BG258" s="237">
        <f t="shared" ref="BG258:BG322" si="153">$S258*AK258</f>
        <v>0</v>
      </c>
      <c r="BH258" s="31">
        <f t="shared" ref="BH258:BH322" si="154">$Q258*AL258</f>
        <v>0</v>
      </c>
      <c r="BI258" s="237">
        <f t="shared" ref="BI258:BI322" si="155">$S258*AL258</f>
        <v>0</v>
      </c>
      <c r="BJ258" s="31">
        <f t="shared" ref="BJ258:BJ322" si="156">$Q258*AM258</f>
        <v>0</v>
      </c>
      <c r="BK258" s="31">
        <f t="shared" ref="BK258:BK322" si="157">$Q258*AN258</f>
        <v>0</v>
      </c>
      <c r="BL258" s="237">
        <f t="shared" ref="BL258:BL322" si="158">$S258*AN258</f>
        <v>0</v>
      </c>
      <c r="BM258" s="31">
        <f t="shared" ref="BM258:BM322" si="159">$Q258*AO258</f>
        <v>0</v>
      </c>
      <c r="BN258" s="237">
        <f t="shared" ref="BN258:BN322" si="160">$S258*AO258</f>
        <v>0</v>
      </c>
    </row>
    <row r="259" spans="1:66" x14ac:dyDescent="0.25">
      <c r="A259" s="31" t="s">
        <v>1277</v>
      </c>
      <c r="B259" s="182" t="str">
        <f>VLOOKUP(A259,kurspris!$A$1:$B$894,2,FALSE)</f>
        <v>Lärande och undervisning</v>
      </c>
      <c r="D259" s="31" t="s">
        <v>486</v>
      </c>
      <c r="F259" s="59">
        <v>2019</v>
      </c>
      <c r="Q259" s="237">
        <v>6.375</v>
      </c>
      <c r="R259" s="40">
        <v>0.85</v>
      </c>
      <c r="S259" s="313">
        <f t="shared" si="134"/>
        <v>5.4187500000000002</v>
      </c>
      <c r="T259" s="31">
        <f>VLOOKUP(A259,'Ansvar kurs'!$A$1:$C$1027,2,FALSE)</f>
        <v>2180</v>
      </c>
      <c r="U259" s="31" t="str">
        <f>VLOOKUP(T259,Orgenheter!$A$1:$C$165,2,FALSE)</f>
        <v xml:space="preserve">Pedagogik                     </v>
      </c>
      <c r="V259" s="31" t="str">
        <f>VLOOKUP(T259,Orgenheter!$A$1:$C$165,3,FALSE)</f>
        <v>Sam</v>
      </c>
      <c r="W259" s="37" t="str">
        <f>VLOOKUP(D259,Program!$A$1:$B$34,2,FALSE)</f>
        <v>Grundlärarprogrammet - förskoleklass och åk 1-3</v>
      </c>
      <c r="X259" s="42">
        <f>VLOOKUP(A259,kurspris!$A$1:$Q$815,15,FALSE)</f>
        <v>23641</v>
      </c>
      <c r="Y259" s="42">
        <f>VLOOKUP(A259,kurspris!$A$1:$Q$815,16,FALSE)</f>
        <v>28786</v>
      </c>
      <c r="Z259" s="42">
        <f t="shared" si="135"/>
        <v>306695.51250000001</v>
      </c>
      <c r="AA259" s="42">
        <f>VLOOKUP(A259,kurspris!$A$1:$Q$815,17,FALSE)</f>
        <v>5800</v>
      </c>
      <c r="AB259" s="42">
        <f t="shared" si="136"/>
        <v>36975</v>
      </c>
      <c r="AC259" s="42">
        <f t="shared" si="137"/>
        <v>343670.51250000001</v>
      </c>
      <c r="AD259" s="31">
        <f>VLOOKUP($A259,kurspris!$A$1:$Q$852,3,FALSE)</f>
        <v>0</v>
      </c>
      <c r="AE259" s="31">
        <f>VLOOKUP($A259,kurspris!$A$1:$Q$852,4,FALSE)</f>
        <v>0</v>
      </c>
      <c r="AF259" s="31">
        <f>VLOOKUP($A259,kurspris!$A$1:$Q$852,5,FALSE)</f>
        <v>0</v>
      </c>
      <c r="AG259" s="31">
        <f>VLOOKUP($A259,kurspris!$A$1:$Q$852,6,FALSE)</f>
        <v>1</v>
      </c>
      <c r="AH259" s="31">
        <f>VLOOKUP($A259,kurspris!$A$1:$Q$852,7,FALSE)</f>
        <v>0</v>
      </c>
      <c r="AI259" s="31">
        <f>VLOOKUP($A259,kurspris!$A$1:$Q$852,8,FALSE)</f>
        <v>0</v>
      </c>
      <c r="AJ259" s="31">
        <f>VLOOKUP($A259,kurspris!$A$1:$Q$852,9,FALSE)</f>
        <v>0</v>
      </c>
      <c r="AK259" s="31">
        <f>VLOOKUP($A259,kurspris!$A$1:$Q$852,10,FALSE)</f>
        <v>0</v>
      </c>
      <c r="AL259" s="31">
        <f>VLOOKUP($A259,kurspris!$A$1:$Q$852,11,FALSE)</f>
        <v>0</v>
      </c>
      <c r="AM259" s="31">
        <f>VLOOKUP($A259,kurspris!$A$1:$Q$852,12,FALSE)</f>
        <v>0</v>
      </c>
      <c r="AN259" s="31">
        <f>VLOOKUP($A259,kurspris!$A$1:$Q$852,13,FALSE)</f>
        <v>0</v>
      </c>
      <c r="AO259" s="31">
        <f>VLOOKUP($A259,kurspris!$A$1:$Q$852,14,FALSE)</f>
        <v>0</v>
      </c>
      <c r="AP259" s="59" t="s">
        <v>2216</v>
      </c>
      <c r="AQ259" s="59"/>
      <c r="AR259" s="31">
        <f t="shared" si="138"/>
        <v>0</v>
      </c>
      <c r="AS259" s="237">
        <f t="shared" si="139"/>
        <v>0</v>
      </c>
      <c r="AT259" s="31">
        <f t="shared" si="140"/>
        <v>0</v>
      </c>
      <c r="AU259" s="237">
        <f t="shared" si="141"/>
        <v>0</v>
      </c>
      <c r="AV259" s="31">
        <f t="shared" si="142"/>
        <v>0</v>
      </c>
      <c r="AW259" s="31">
        <f t="shared" si="143"/>
        <v>0</v>
      </c>
      <c r="AX259" s="31">
        <f t="shared" si="144"/>
        <v>6.375</v>
      </c>
      <c r="AY259" s="237">
        <f t="shared" si="145"/>
        <v>5.4187500000000002</v>
      </c>
      <c r="AZ259" s="214">
        <f t="shared" si="146"/>
        <v>0</v>
      </c>
      <c r="BA259" s="237">
        <f t="shared" si="147"/>
        <v>0</v>
      </c>
      <c r="BB259" s="31">
        <f t="shared" si="148"/>
        <v>0</v>
      </c>
      <c r="BC259" s="237">
        <f t="shared" si="149"/>
        <v>0</v>
      </c>
      <c r="BD259" s="31">
        <f t="shared" si="150"/>
        <v>0</v>
      </c>
      <c r="BE259" s="237">
        <f t="shared" si="151"/>
        <v>0</v>
      </c>
      <c r="BF259" s="31">
        <f t="shared" si="152"/>
        <v>0</v>
      </c>
      <c r="BG259" s="237">
        <f t="shared" si="153"/>
        <v>0</v>
      </c>
      <c r="BH259" s="31">
        <f t="shared" si="154"/>
        <v>0</v>
      </c>
      <c r="BI259" s="237">
        <f t="shared" si="155"/>
        <v>0</v>
      </c>
      <c r="BJ259" s="31">
        <f t="shared" si="156"/>
        <v>0</v>
      </c>
      <c r="BK259" s="31">
        <f t="shared" si="157"/>
        <v>0</v>
      </c>
      <c r="BL259" s="237">
        <f t="shared" si="158"/>
        <v>0</v>
      </c>
      <c r="BM259" s="31">
        <f t="shared" si="159"/>
        <v>0</v>
      </c>
      <c r="BN259" s="237">
        <f t="shared" si="160"/>
        <v>0</v>
      </c>
    </row>
    <row r="260" spans="1:66" x14ac:dyDescent="0.25">
      <c r="A260" s="31" t="s">
        <v>1277</v>
      </c>
      <c r="B260" s="182" t="str">
        <f>VLOOKUP(A260,kurspris!$A$1:$B$894,2,FALSE)</f>
        <v>Lärande och undervisning</v>
      </c>
      <c r="D260" s="31" t="s">
        <v>524</v>
      </c>
      <c r="F260" s="59">
        <v>2019</v>
      </c>
      <c r="Q260" s="237">
        <v>3.625</v>
      </c>
      <c r="R260" s="40">
        <v>0.85</v>
      </c>
      <c r="S260" s="313">
        <f t="shared" si="134"/>
        <v>3.0812499999999998</v>
      </c>
      <c r="T260" s="31">
        <f>VLOOKUP(A260,'Ansvar kurs'!$A$1:$C$1027,2,FALSE)</f>
        <v>2180</v>
      </c>
      <c r="U260" s="31" t="str">
        <f>VLOOKUP(T260,Orgenheter!$A$1:$C$165,2,FALSE)</f>
        <v xml:space="preserve">Pedagogik                     </v>
      </c>
      <c r="V260" s="31" t="str">
        <f>VLOOKUP(T260,Orgenheter!$A$1:$C$165,3,FALSE)</f>
        <v>Sam</v>
      </c>
      <c r="W260" s="37" t="str">
        <f>VLOOKUP(D260,Program!$A$1:$B$34,2,FALSE)</f>
        <v>Grundlärarprogrammet - grundskolans åk 4-6</v>
      </c>
      <c r="X260" s="42">
        <f>VLOOKUP(A260,kurspris!$A$1:$Q$815,15,FALSE)</f>
        <v>23641</v>
      </c>
      <c r="Y260" s="42">
        <f>VLOOKUP(A260,kurspris!$A$1:$Q$815,16,FALSE)</f>
        <v>28786</v>
      </c>
      <c r="Z260" s="42">
        <f t="shared" si="135"/>
        <v>174395.48749999999</v>
      </c>
      <c r="AA260" s="42">
        <f>VLOOKUP(A260,kurspris!$A$1:$Q$815,17,FALSE)</f>
        <v>5800</v>
      </c>
      <c r="AB260" s="42">
        <f t="shared" si="136"/>
        <v>21025</v>
      </c>
      <c r="AC260" s="42">
        <f t="shared" si="137"/>
        <v>195420.48749999999</v>
      </c>
      <c r="AD260" s="31">
        <f>VLOOKUP($A260,kurspris!$A$1:$Q$852,3,FALSE)</f>
        <v>0</v>
      </c>
      <c r="AE260" s="31">
        <f>VLOOKUP($A260,kurspris!$A$1:$Q$852,4,FALSE)</f>
        <v>0</v>
      </c>
      <c r="AF260" s="31">
        <f>VLOOKUP($A260,kurspris!$A$1:$Q$852,5,FALSE)</f>
        <v>0</v>
      </c>
      <c r="AG260" s="31">
        <f>VLOOKUP($A260,kurspris!$A$1:$Q$852,6,FALSE)</f>
        <v>1</v>
      </c>
      <c r="AH260" s="31">
        <f>VLOOKUP($A260,kurspris!$A$1:$Q$852,7,FALSE)</f>
        <v>0</v>
      </c>
      <c r="AI260" s="31">
        <f>VLOOKUP($A260,kurspris!$A$1:$Q$852,8,FALSE)</f>
        <v>0</v>
      </c>
      <c r="AJ260" s="31">
        <f>VLOOKUP($A260,kurspris!$A$1:$Q$852,9,FALSE)</f>
        <v>0</v>
      </c>
      <c r="AK260" s="31">
        <f>VLOOKUP($A260,kurspris!$A$1:$Q$852,10,FALSE)</f>
        <v>0</v>
      </c>
      <c r="AL260" s="31">
        <f>VLOOKUP($A260,kurspris!$A$1:$Q$852,11,FALSE)</f>
        <v>0</v>
      </c>
      <c r="AM260" s="31">
        <f>VLOOKUP($A260,kurspris!$A$1:$Q$852,12,FALSE)</f>
        <v>0</v>
      </c>
      <c r="AN260" s="31">
        <f>VLOOKUP($A260,kurspris!$A$1:$Q$852,13,FALSE)</f>
        <v>0</v>
      </c>
      <c r="AO260" s="31">
        <f>VLOOKUP($A260,kurspris!$A$1:$Q$852,14,FALSE)</f>
        <v>0</v>
      </c>
      <c r="AP260" s="59" t="s">
        <v>2216</v>
      </c>
      <c r="AQ260" s="59"/>
      <c r="AR260" s="31">
        <f t="shared" si="138"/>
        <v>0</v>
      </c>
      <c r="AS260" s="237">
        <f t="shared" si="139"/>
        <v>0</v>
      </c>
      <c r="AT260" s="31">
        <f t="shared" si="140"/>
        <v>0</v>
      </c>
      <c r="AU260" s="237">
        <f t="shared" si="141"/>
        <v>0</v>
      </c>
      <c r="AV260" s="31">
        <f t="shared" si="142"/>
        <v>0</v>
      </c>
      <c r="AW260" s="31">
        <f t="shared" si="143"/>
        <v>0</v>
      </c>
      <c r="AX260" s="31">
        <f t="shared" si="144"/>
        <v>3.625</v>
      </c>
      <c r="AY260" s="237">
        <f t="shared" si="145"/>
        <v>3.0812499999999998</v>
      </c>
      <c r="AZ260" s="214">
        <f t="shared" si="146"/>
        <v>0</v>
      </c>
      <c r="BA260" s="237">
        <f t="shared" si="147"/>
        <v>0</v>
      </c>
      <c r="BB260" s="31">
        <f t="shared" si="148"/>
        <v>0</v>
      </c>
      <c r="BC260" s="237">
        <f t="shared" si="149"/>
        <v>0</v>
      </c>
      <c r="BD260" s="31">
        <f t="shared" si="150"/>
        <v>0</v>
      </c>
      <c r="BE260" s="237">
        <f t="shared" si="151"/>
        <v>0</v>
      </c>
      <c r="BF260" s="31">
        <f t="shared" si="152"/>
        <v>0</v>
      </c>
      <c r="BG260" s="237">
        <f t="shared" si="153"/>
        <v>0</v>
      </c>
      <c r="BH260" s="31">
        <f t="shared" si="154"/>
        <v>0</v>
      </c>
      <c r="BI260" s="237">
        <f t="shared" si="155"/>
        <v>0</v>
      </c>
      <c r="BJ260" s="31">
        <f t="shared" si="156"/>
        <v>0</v>
      </c>
      <c r="BK260" s="31">
        <f t="shared" si="157"/>
        <v>0</v>
      </c>
      <c r="BL260" s="237">
        <f t="shared" si="158"/>
        <v>0</v>
      </c>
      <c r="BM260" s="31">
        <f t="shared" si="159"/>
        <v>0</v>
      </c>
      <c r="BN260" s="237">
        <f t="shared" si="160"/>
        <v>0</v>
      </c>
    </row>
    <row r="261" spans="1:66" x14ac:dyDescent="0.25">
      <c r="A261" s="59" t="s">
        <v>1362</v>
      </c>
      <c r="B261" s="182" t="str">
        <f>VLOOKUP(A261,kurspris!$A$1:$B$894,2,FALSE)</f>
        <v>Undervisning och lärande inom det svenska skolsystemet</v>
      </c>
      <c r="C261" s="37"/>
      <c r="D261" s="59" t="s">
        <v>117</v>
      </c>
      <c r="E261" s="62"/>
      <c r="F261" s="59">
        <v>2019</v>
      </c>
      <c r="M261" s="386"/>
      <c r="N261" s="40"/>
      <c r="Q261" s="237">
        <v>2.875</v>
      </c>
      <c r="R261" s="40">
        <v>0.8</v>
      </c>
      <c r="S261" s="313">
        <f t="shared" si="134"/>
        <v>2.3000000000000003</v>
      </c>
      <c r="T261" s="31">
        <f>VLOOKUP(A261,'Ansvar kurs'!$A$1:$C$1027,2,FALSE)</f>
        <v>2180</v>
      </c>
      <c r="U261" s="31" t="str">
        <f>VLOOKUP(T261,Orgenheter!$A$1:$C$165,2,FALSE)</f>
        <v xml:space="preserve">Pedagogik                     </v>
      </c>
      <c r="V261" s="31" t="str">
        <f>VLOOKUP(T261,Orgenheter!$A$1:$C$165,3,FALSE)</f>
        <v>Sam</v>
      </c>
      <c r="W261" s="37" t="str">
        <f>VLOOKUP(D261,Program!$A$1:$B$34,2,FALSE)</f>
        <v>Fristående och övriga kurser</v>
      </c>
      <c r="X261" s="42">
        <f>VLOOKUP(A261,kurspris!$A$1:$Q$815,15,FALSE)</f>
        <v>20988.2</v>
      </c>
      <c r="Y261" s="42">
        <f>VLOOKUP(A261,kurspris!$A$1:$Q$815,16,FALSE)</f>
        <v>24743.4</v>
      </c>
      <c r="Z261" s="42">
        <f t="shared" si="135"/>
        <v>117250.89500000002</v>
      </c>
      <c r="AA261" s="42">
        <f>VLOOKUP(A261,kurspris!$A$1:$Q$815,17,FALSE)</f>
        <v>3880</v>
      </c>
      <c r="AB261" s="42">
        <f t="shared" si="136"/>
        <v>11155</v>
      </c>
      <c r="AC261" s="42">
        <f t="shared" si="137"/>
        <v>128405.89500000002</v>
      </c>
      <c r="AD261" s="31">
        <f>VLOOKUP($A261,kurspris!$A$1:$Q$852,3,FALSE)</f>
        <v>0</v>
      </c>
      <c r="AE261" s="31">
        <f>VLOOKUP($A261,kurspris!$A$1:$Q$852,4,FALSE)</f>
        <v>0</v>
      </c>
      <c r="AF261" s="31">
        <f>VLOOKUP($A261,kurspris!$A$1:$Q$852,5,FALSE)</f>
        <v>0</v>
      </c>
      <c r="AG261" s="31">
        <f>VLOOKUP($A261,kurspris!$A$1:$Q$852,6,FALSE)</f>
        <v>0</v>
      </c>
      <c r="AH261" s="31">
        <f>VLOOKUP($A261,kurspris!$A$1:$Q$852,7,FALSE)</f>
        <v>0</v>
      </c>
      <c r="AI261" s="31">
        <f>VLOOKUP($A261,kurspris!$A$1:$Q$852,8,FALSE)</f>
        <v>0</v>
      </c>
      <c r="AJ261" s="31">
        <f>VLOOKUP($A261,kurspris!$A$1:$Q$852,9,FALSE)</f>
        <v>0.2</v>
      </c>
      <c r="AK261" s="31">
        <f>VLOOKUP($A261,kurspris!$A$1:$Q$852,10,FALSE)</f>
        <v>0</v>
      </c>
      <c r="AL261" s="31">
        <f>VLOOKUP($A261,kurspris!$A$1:$Q$852,11,FALSE)</f>
        <v>0.8</v>
      </c>
      <c r="AM261" s="31">
        <f>VLOOKUP($A261,kurspris!$A$1:$Q$852,12,FALSE)</f>
        <v>0</v>
      </c>
      <c r="AN261" s="31">
        <f>VLOOKUP($A261,kurspris!$A$1:$Q$852,13,FALSE)</f>
        <v>0</v>
      </c>
      <c r="AO261" s="31">
        <f>VLOOKUP($A261,kurspris!$A$1:$Q$852,14,FALSE)</f>
        <v>0</v>
      </c>
      <c r="AP261" s="59" t="s">
        <v>2216</v>
      </c>
      <c r="AR261" s="31">
        <f t="shared" si="138"/>
        <v>0</v>
      </c>
      <c r="AS261" s="237">
        <f t="shared" si="139"/>
        <v>0</v>
      </c>
      <c r="AT261" s="31">
        <f t="shared" si="140"/>
        <v>0</v>
      </c>
      <c r="AU261" s="237">
        <f t="shared" si="141"/>
        <v>0</v>
      </c>
      <c r="AV261" s="31">
        <f t="shared" si="142"/>
        <v>0</v>
      </c>
      <c r="AW261" s="31">
        <f t="shared" si="143"/>
        <v>0</v>
      </c>
      <c r="AX261" s="31">
        <f t="shared" si="144"/>
        <v>0</v>
      </c>
      <c r="AY261" s="237">
        <f t="shared" si="145"/>
        <v>0</v>
      </c>
      <c r="AZ261" s="214">
        <f t="shared" si="146"/>
        <v>0</v>
      </c>
      <c r="BA261" s="237">
        <f t="shared" si="147"/>
        <v>0</v>
      </c>
      <c r="BB261" s="31">
        <f t="shared" si="148"/>
        <v>0</v>
      </c>
      <c r="BC261" s="237">
        <f t="shared" si="149"/>
        <v>0</v>
      </c>
      <c r="BD261" s="31">
        <f t="shared" si="150"/>
        <v>0.57500000000000007</v>
      </c>
      <c r="BE261" s="237">
        <f t="shared" si="151"/>
        <v>0.46000000000000008</v>
      </c>
      <c r="BF261" s="31">
        <f t="shared" si="152"/>
        <v>0</v>
      </c>
      <c r="BG261" s="237">
        <f t="shared" si="153"/>
        <v>0</v>
      </c>
      <c r="BH261" s="31">
        <f t="shared" si="154"/>
        <v>2.3000000000000003</v>
      </c>
      <c r="BI261" s="237">
        <f t="shared" si="155"/>
        <v>1.8400000000000003</v>
      </c>
      <c r="BJ261" s="31">
        <f t="shared" si="156"/>
        <v>0</v>
      </c>
      <c r="BK261" s="31">
        <f t="shared" si="157"/>
        <v>0</v>
      </c>
      <c r="BL261" s="237">
        <f t="shared" si="158"/>
        <v>0</v>
      </c>
      <c r="BM261" s="31">
        <f t="shared" si="159"/>
        <v>0</v>
      </c>
      <c r="BN261" s="237">
        <f t="shared" si="160"/>
        <v>0</v>
      </c>
    </row>
    <row r="262" spans="1:66" x14ac:dyDescent="0.25">
      <c r="A262" s="159" t="s">
        <v>1364</v>
      </c>
      <c r="B262" s="182" t="str">
        <f>VLOOKUP(A262,kurspris!$A$1:$B$894,2,FALSE)</f>
        <v>Utbildning: Undervisning och lärande i en internationell kontext</v>
      </c>
      <c r="C262" s="37"/>
      <c r="D262" s="31" t="s">
        <v>117</v>
      </c>
      <c r="F262" s="59">
        <v>2019</v>
      </c>
      <c r="Q262" s="237">
        <v>4.75</v>
      </c>
      <c r="R262" s="40">
        <v>0.8</v>
      </c>
      <c r="S262" s="313">
        <f t="shared" si="134"/>
        <v>3.8000000000000003</v>
      </c>
      <c r="T262" s="31">
        <f>VLOOKUP(A262,'Ansvar kurs'!$A$1:$C$1027,2,FALSE)</f>
        <v>2180</v>
      </c>
      <c r="U262" s="31" t="str">
        <f>VLOOKUP(T262,Orgenheter!$A$1:$C$165,2,FALSE)</f>
        <v xml:space="preserve">Pedagogik                     </v>
      </c>
      <c r="V262" s="31" t="str">
        <f>VLOOKUP(T262,Orgenheter!$A$1:$C$165,3,FALSE)</f>
        <v>Sam</v>
      </c>
      <c r="W262" s="37" t="str">
        <f>VLOOKUP(D262,Program!$A$1:$B$34,2,FALSE)</f>
        <v>Fristående och övriga kurser</v>
      </c>
      <c r="X262" s="42">
        <f>VLOOKUP(A262,kurspris!$A$1:$Q$815,15,FALSE)</f>
        <v>18405</v>
      </c>
      <c r="Y262" s="42">
        <f>VLOOKUP(A262,kurspris!$A$1:$Q$815,16,FALSE)</f>
        <v>15773</v>
      </c>
      <c r="Z262" s="42">
        <f t="shared" si="135"/>
        <v>147361.15</v>
      </c>
      <c r="AA262" s="42">
        <f>VLOOKUP(A262,kurspris!$A$1:$Q$815,17,FALSE)</f>
        <v>5800</v>
      </c>
      <c r="AB262" s="42">
        <f t="shared" si="136"/>
        <v>27550</v>
      </c>
      <c r="AC262" s="42">
        <f t="shared" si="137"/>
        <v>174911.15</v>
      </c>
      <c r="AD262" s="31">
        <f>VLOOKUP($A262,kurspris!$A$1:$Q$852,3,FALSE)</f>
        <v>0</v>
      </c>
      <c r="AE262" s="31">
        <f>VLOOKUP($A262,kurspris!$A$1:$Q$852,4,FALSE)</f>
        <v>0</v>
      </c>
      <c r="AF262" s="31">
        <f>VLOOKUP($A262,kurspris!$A$1:$Q$852,5,FALSE)</f>
        <v>0</v>
      </c>
      <c r="AG262" s="31">
        <f>VLOOKUP($A262,kurspris!$A$1:$Q$852,6,FALSE)</f>
        <v>0</v>
      </c>
      <c r="AH262" s="31">
        <f>VLOOKUP($A262,kurspris!$A$1:$Q$852,7,FALSE)</f>
        <v>0</v>
      </c>
      <c r="AI262" s="31">
        <f>VLOOKUP($A262,kurspris!$A$1:$Q$852,8,FALSE)</f>
        <v>0</v>
      </c>
      <c r="AJ262" s="31">
        <f>VLOOKUP($A262,kurspris!$A$1:$Q$852,9,FALSE)</f>
        <v>1</v>
      </c>
      <c r="AK262" s="31">
        <f>VLOOKUP($A262,kurspris!$A$1:$Q$852,10,FALSE)</f>
        <v>0</v>
      </c>
      <c r="AL262" s="31">
        <f>VLOOKUP($A262,kurspris!$A$1:$Q$852,11,FALSE)</f>
        <v>0</v>
      </c>
      <c r="AM262" s="31">
        <f>VLOOKUP($A262,kurspris!$A$1:$Q$852,12,FALSE)</f>
        <v>0</v>
      </c>
      <c r="AN262" s="31">
        <f>VLOOKUP($A262,kurspris!$A$1:$Q$852,13,FALSE)</f>
        <v>0</v>
      </c>
      <c r="AO262" s="31">
        <f>VLOOKUP($A262,kurspris!$A$1:$Q$852,14,FALSE)</f>
        <v>0</v>
      </c>
      <c r="AP262" s="59" t="s">
        <v>2216</v>
      </c>
      <c r="AR262" s="31">
        <f t="shared" si="138"/>
        <v>0</v>
      </c>
      <c r="AS262" s="237">
        <f t="shared" si="139"/>
        <v>0</v>
      </c>
      <c r="AT262" s="31">
        <f t="shared" si="140"/>
        <v>0</v>
      </c>
      <c r="AU262" s="237">
        <f t="shared" si="141"/>
        <v>0</v>
      </c>
      <c r="AV262" s="31">
        <f t="shared" si="142"/>
        <v>0</v>
      </c>
      <c r="AW262" s="31">
        <f t="shared" si="143"/>
        <v>0</v>
      </c>
      <c r="AX262" s="31">
        <f t="shared" si="144"/>
        <v>0</v>
      </c>
      <c r="AY262" s="237">
        <f t="shared" si="145"/>
        <v>0</v>
      </c>
      <c r="AZ262" s="214">
        <f t="shared" si="146"/>
        <v>0</v>
      </c>
      <c r="BA262" s="237">
        <f t="shared" si="147"/>
        <v>0</v>
      </c>
      <c r="BB262" s="31">
        <f t="shared" si="148"/>
        <v>0</v>
      </c>
      <c r="BC262" s="237">
        <f t="shared" si="149"/>
        <v>0</v>
      </c>
      <c r="BD262" s="31">
        <f t="shared" si="150"/>
        <v>4.75</v>
      </c>
      <c r="BE262" s="237">
        <f t="shared" si="151"/>
        <v>3.8000000000000003</v>
      </c>
      <c r="BF262" s="31">
        <f t="shared" si="152"/>
        <v>0</v>
      </c>
      <c r="BG262" s="237">
        <f t="shared" si="153"/>
        <v>0</v>
      </c>
      <c r="BH262" s="31">
        <f t="shared" si="154"/>
        <v>0</v>
      </c>
      <c r="BI262" s="237">
        <f t="shared" si="155"/>
        <v>0</v>
      </c>
      <c r="BJ262" s="31">
        <f t="shared" si="156"/>
        <v>0</v>
      </c>
      <c r="BK262" s="31">
        <f t="shared" si="157"/>
        <v>0</v>
      </c>
      <c r="BL262" s="237">
        <f t="shared" si="158"/>
        <v>0</v>
      </c>
      <c r="BM262" s="31">
        <f t="shared" si="159"/>
        <v>0</v>
      </c>
      <c r="BN262" s="237">
        <f t="shared" si="160"/>
        <v>0</v>
      </c>
    </row>
    <row r="263" spans="1:66" x14ac:dyDescent="0.25">
      <c r="A263" s="159" t="s">
        <v>1363</v>
      </c>
      <c r="B263" s="182" t="str">
        <f>VLOOKUP(A263,kurspris!$A$1:$B$894,2,FALSE)</f>
        <v>Demokrati, mänskliga rättigheter och hållbar utveckling: globala perspektiv i utbildning</v>
      </c>
      <c r="C263" s="37"/>
      <c r="D263" s="31" t="s">
        <v>117</v>
      </c>
      <c r="F263" s="59">
        <v>2019</v>
      </c>
      <c r="Q263" s="237">
        <v>8.625</v>
      </c>
      <c r="R263" s="40">
        <v>0.8</v>
      </c>
      <c r="S263" s="313">
        <f t="shared" si="134"/>
        <v>6.9</v>
      </c>
      <c r="T263" s="31">
        <f>VLOOKUP(A263,'Ansvar kurs'!$A$1:$C$1027,2,FALSE)</f>
        <v>2180</v>
      </c>
      <c r="U263" s="31" t="str">
        <f>VLOOKUP(T263,Orgenheter!$A$1:$C$165,2,FALSE)</f>
        <v xml:space="preserve">Pedagogik                     </v>
      </c>
      <c r="V263" s="31" t="str">
        <f>VLOOKUP(T263,Orgenheter!$A$1:$C$165,3,FALSE)</f>
        <v>Sam</v>
      </c>
      <c r="W263" s="37" t="str">
        <f>VLOOKUP(D263,Program!$A$1:$B$34,2,FALSE)</f>
        <v>Fristående och övriga kurser</v>
      </c>
      <c r="X263" s="42">
        <f>VLOOKUP(A263,kurspris!$A$1:$Q$815,15,FALSE)</f>
        <v>18405</v>
      </c>
      <c r="Y263" s="42">
        <f>VLOOKUP(A263,kurspris!$A$1:$Q$815,16,FALSE)</f>
        <v>15773</v>
      </c>
      <c r="Z263" s="42">
        <f t="shared" si="135"/>
        <v>267576.82500000001</v>
      </c>
      <c r="AA263" s="42">
        <f>VLOOKUP(A263,kurspris!$A$1:$Q$815,17,FALSE)</f>
        <v>5800</v>
      </c>
      <c r="AB263" s="42">
        <f t="shared" si="136"/>
        <v>50025</v>
      </c>
      <c r="AC263" s="42">
        <f t="shared" si="137"/>
        <v>317601.82500000001</v>
      </c>
      <c r="AD263" s="31">
        <f>VLOOKUP($A263,kurspris!$A$1:$Q$852,3,FALSE)</f>
        <v>0</v>
      </c>
      <c r="AE263" s="31">
        <f>VLOOKUP($A263,kurspris!$A$1:$Q$852,4,FALSE)</f>
        <v>0</v>
      </c>
      <c r="AF263" s="31">
        <f>VLOOKUP($A263,kurspris!$A$1:$Q$852,5,FALSE)</f>
        <v>0</v>
      </c>
      <c r="AG263" s="31">
        <f>VLOOKUP($A263,kurspris!$A$1:$Q$852,6,FALSE)</f>
        <v>0</v>
      </c>
      <c r="AH263" s="31">
        <f>VLOOKUP($A263,kurspris!$A$1:$Q$852,7,FALSE)</f>
        <v>0</v>
      </c>
      <c r="AI263" s="31">
        <f>VLOOKUP($A263,kurspris!$A$1:$Q$852,8,FALSE)</f>
        <v>0</v>
      </c>
      <c r="AJ263" s="31">
        <f>VLOOKUP($A263,kurspris!$A$1:$Q$852,9,FALSE)</f>
        <v>1</v>
      </c>
      <c r="AK263" s="31">
        <f>VLOOKUP($A263,kurspris!$A$1:$Q$852,10,FALSE)</f>
        <v>0</v>
      </c>
      <c r="AL263" s="31">
        <f>VLOOKUP($A263,kurspris!$A$1:$Q$852,11,FALSE)</f>
        <v>0</v>
      </c>
      <c r="AM263" s="31">
        <f>VLOOKUP($A263,kurspris!$A$1:$Q$852,12,FALSE)</f>
        <v>0</v>
      </c>
      <c r="AN263" s="31">
        <f>VLOOKUP($A263,kurspris!$A$1:$Q$852,13,FALSE)</f>
        <v>0</v>
      </c>
      <c r="AO263" s="31">
        <f>VLOOKUP($A263,kurspris!$A$1:$Q$852,14,FALSE)</f>
        <v>0</v>
      </c>
      <c r="AP263" s="59" t="s">
        <v>2216</v>
      </c>
      <c r="AR263" s="31">
        <f t="shared" si="138"/>
        <v>0</v>
      </c>
      <c r="AS263" s="237">
        <f t="shared" si="139"/>
        <v>0</v>
      </c>
      <c r="AT263" s="31">
        <f t="shared" si="140"/>
        <v>0</v>
      </c>
      <c r="AU263" s="237">
        <f t="shared" si="141"/>
        <v>0</v>
      </c>
      <c r="AV263" s="31">
        <f t="shared" si="142"/>
        <v>0</v>
      </c>
      <c r="AW263" s="31">
        <f t="shared" si="143"/>
        <v>0</v>
      </c>
      <c r="AX263" s="31">
        <f t="shared" si="144"/>
        <v>0</v>
      </c>
      <c r="AY263" s="237">
        <f t="shared" si="145"/>
        <v>0</v>
      </c>
      <c r="AZ263" s="214">
        <f t="shared" si="146"/>
        <v>0</v>
      </c>
      <c r="BA263" s="237">
        <f t="shared" si="147"/>
        <v>0</v>
      </c>
      <c r="BB263" s="31">
        <f t="shared" si="148"/>
        <v>0</v>
      </c>
      <c r="BC263" s="237">
        <f t="shared" si="149"/>
        <v>0</v>
      </c>
      <c r="BD263" s="31">
        <f t="shared" si="150"/>
        <v>8.625</v>
      </c>
      <c r="BE263" s="237">
        <f t="shared" si="151"/>
        <v>6.9</v>
      </c>
      <c r="BF263" s="31">
        <f t="shared" si="152"/>
        <v>0</v>
      </c>
      <c r="BG263" s="237">
        <f t="shared" si="153"/>
        <v>0</v>
      </c>
      <c r="BH263" s="31">
        <f t="shared" si="154"/>
        <v>0</v>
      </c>
      <c r="BI263" s="237">
        <f t="shared" si="155"/>
        <v>0</v>
      </c>
      <c r="BJ263" s="31">
        <f t="shared" si="156"/>
        <v>0</v>
      </c>
      <c r="BK263" s="31">
        <f t="shared" si="157"/>
        <v>0</v>
      </c>
      <c r="BL263" s="237">
        <f t="shared" si="158"/>
        <v>0</v>
      </c>
      <c r="BM263" s="31">
        <f t="shared" si="159"/>
        <v>0</v>
      </c>
      <c r="BN263" s="237">
        <f t="shared" si="160"/>
        <v>0</v>
      </c>
    </row>
    <row r="264" spans="1:66" x14ac:dyDescent="0.25">
      <c r="A264" s="59" t="s">
        <v>1365</v>
      </c>
      <c r="B264" s="182" t="str">
        <f>VLOOKUP(A264,kurspris!$A$1:$B$894,2,FALSE)</f>
        <v>Forskningsdesign och metod inom utbildningsvetenskap</v>
      </c>
      <c r="C264" s="37"/>
      <c r="D264" s="59" t="s">
        <v>117</v>
      </c>
      <c r="E264" s="62"/>
      <c r="F264" s="59">
        <v>2019</v>
      </c>
      <c r="M264" s="386"/>
      <c r="N264" s="40"/>
      <c r="Q264" s="237">
        <v>2</v>
      </c>
      <c r="R264" s="40">
        <v>0.8</v>
      </c>
      <c r="S264" s="313">
        <f t="shared" si="134"/>
        <v>1.6</v>
      </c>
      <c r="T264" s="31">
        <f>VLOOKUP(A264,'Ansvar kurs'!$A$1:$C$1027,2,FALSE)</f>
        <v>2180</v>
      </c>
      <c r="U264" s="31" t="str">
        <f>VLOOKUP(T264,Orgenheter!$A$1:$C$165,2,FALSE)</f>
        <v xml:space="preserve">Pedagogik                     </v>
      </c>
      <c r="V264" s="31" t="str">
        <f>VLOOKUP(T264,Orgenheter!$A$1:$C$165,3,FALSE)</f>
        <v>Sam</v>
      </c>
      <c r="W264" s="37" t="str">
        <f>VLOOKUP(D264,Program!$A$1:$B$34,2,FALSE)</f>
        <v>Fristående och övriga kurser</v>
      </c>
      <c r="X264" s="42">
        <f>VLOOKUP(A264,kurspris!$A$1:$Q$815,15,FALSE)</f>
        <v>18405</v>
      </c>
      <c r="Y264" s="42">
        <f>VLOOKUP(A264,kurspris!$A$1:$Q$815,16,FALSE)</f>
        <v>15773</v>
      </c>
      <c r="Z264" s="42">
        <f t="shared" si="135"/>
        <v>62046.8</v>
      </c>
      <c r="AA264" s="42">
        <f>VLOOKUP(A264,kurspris!$A$1:$Q$815,17,FALSE)</f>
        <v>5800</v>
      </c>
      <c r="AB264" s="42">
        <f t="shared" si="136"/>
        <v>11600</v>
      </c>
      <c r="AC264" s="42">
        <f t="shared" si="137"/>
        <v>73646.8</v>
      </c>
      <c r="AD264" s="31">
        <f>VLOOKUP($A264,kurspris!$A$1:$Q$852,3,FALSE)</f>
        <v>0</v>
      </c>
      <c r="AE264" s="31">
        <f>VLOOKUP($A264,kurspris!$A$1:$Q$852,4,FALSE)</f>
        <v>0</v>
      </c>
      <c r="AF264" s="31">
        <f>VLOOKUP($A264,kurspris!$A$1:$Q$852,5,FALSE)</f>
        <v>0</v>
      </c>
      <c r="AG264" s="31">
        <f>VLOOKUP($A264,kurspris!$A$1:$Q$852,6,FALSE)</f>
        <v>0</v>
      </c>
      <c r="AH264" s="31">
        <f>VLOOKUP($A264,kurspris!$A$1:$Q$852,7,FALSE)</f>
        <v>0</v>
      </c>
      <c r="AI264" s="31">
        <f>VLOOKUP($A264,kurspris!$A$1:$Q$852,8,FALSE)</f>
        <v>0</v>
      </c>
      <c r="AJ264" s="31">
        <f>VLOOKUP($A264,kurspris!$A$1:$Q$852,9,FALSE)</f>
        <v>1</v>
      </c>
      <c r="AK264" s="31">
        <f>VLOOKUP($A264,kurspris!$A$1:$Q$852,10,FALSE)</f>
        <v>0</v>
      </c>
      <c r="AL264" s="31">
        <f>VLOOKUP($A264,kurspris!$A$1:$Q$852,11,FALSE)</f>
        <v>0</v>
      </c>
      <c r="AM264" s="31">
        <f>VLOOKUP($A264,kurspris!$A$1:$Q$852,12,FALSE)</f>
        <v>0</v>
      </c>
      <c r="AN264" s="31">
        <f>VLOOKUP($A264,kurspris!$A$1:$Q$852,13,FALSE)</f>
        <v>0</v>
      </c>
      <c r="AO264" s="31">
        <f>VLOOKUP($A264,kurspris!$A$1:$Q$852,14,FALSE)</f>
        <v>0</v>
      </c>
      <c r="AP264" s="59" t="s">
        <v>2216</v>
      </c>
      <c r="AR264" s="31">
        <f t="shared" si="138"/>
        <v>0</v>
      </c>
      <c r="AS264" s="237">
        <f t="shared" si="139"/>
        <v>0</v>
      </c>
      <c r="AT264" s="31">
        <f t="shared" si="140"/>
        <v>0</v>
      </c>
      <c r="AU264" s="237">
        <f t="shared" si="141"/>
        <v>0</v>
      </c>
      <c r="AV264" s="31">
        <f t="shared" si="142"/>
        <v>0</v>
      </c>
      <c r="AW264" s="31">
        <f t="shared" si="143"/>
        <v>0</v>
      </c>
      <c r="AX264" s="31">
        <f t="shared" si="144"/>
        <v>0</v>
      </c>
      <c r="AY264" s="237">
        <f t="shared" si="145"/>
        <v>0</v>
      </c>
      <c r="AZ264" s="214">
        <f t="shared" si="146"/>
        <v>0</v>
      </c>
      <c r="BA264" s="237">
        <f t="shared" si="147"/>
        <v>0</v>
      </c>
      <c r="BB264" s="31">
        <f t="shared" si="148"/>
        <v>0</v>
      </c>
      <c r="BC264" s="237">
        <f t="shared" si="149"/>
        <v>0</v>
      </c>
      <c r="BD264" s="31">
        <f t="shared" si="150"/>
        <v>2</v>
      </c>
      <c r="BE264" s="237">
        <f t="shared" si="151"/>
        <v>1.6</v>
      </c>
      <c r="BF264" s="31">
        <f t="shared" si="152"/>
        <v>0</v>
      </c>
      <c r="BG264" s="237">
        <f t="shared" si="153"/>
        <v>0</v>
      </c>
      <c r="BH264" s="31">
        <f t="shared" si="154"/>
        <v>0</v>
      </c>
      <c r="BI264" s="237">
        <f t="shared" si="155"/>
        <v>0</v>
      </c>
      <c r="BJ264" s="31">
        <f t="shared" si="156"/>
        <v>0</v>
      </c>
      <c r="BK264" s="31">
        <f t="shared" si="157"/>
        <v>0</v>
      </c>
      <c r="BL264" s="237">
        <f t="shared" si="158"/>
        <v>0</v>
      </c>
      <c r="BM264" s="31">
        <f t="shared" si="159"/>
        <v>0</v>
      </c>
      <c r="BN264" s="237">
        <f t="shared" si="160"/>
        <v>0</v>
      </c>
    </row>
    <row r="265" spans="1:66" x14ac:dyDescent="0.25">
      <c r="A265" s="159" t="s">
        <v>1530</v>
      </c>
      <c r="B265" s="182" t="str">
        <f>VLOOKUP(A265,kurspris!$A$1:$B$894,2,FALSE)</f>
        <v>Matematikutveckling och lärande i ett specialpedagogiskt perspektiv</v>
      </c>
      <c r="C265" s="37"/>
      <c r="D265" s="31" t="s">
        <v>115</v>
      </c>
      <c r="F265" s="59">
        <v>2019</v>
      </c>
      <c r="Q265" s="237">
        <v>1.06667</v>
      </c>
      <c r="R265" s="40">
        <v>0.85</v>
      </c>
      <c r="S265" s="313">
        <f t="shared" si="134"/>
        <v>0.90666950000000002</v>
      </c>
      <c r="T265" s="31">
        <f>VLOOKUP(A265,'Ansvar kurs'!$A$1:$C$1027,2,FALSE)</f>
        <v>5740</v>
      </c>
      <c r="U265" s="31" t="str">
        <f>VLOOKUP(T265,Orgenheter!$A$1:$C$165,2,FALSE)</f>
        <v>NMD</v>
      </c>
      <c r="V265" s="31" t="str">
        <f>VLOOKUP(T265,Orgenheter!$A$1:$C$165,3,FALSE)</f>
        <v>TekNat</v>
      </c>
      <c r="W265" s="37" t="str">
        <f>VLOOKUP(D265,Program!$A$1:$B$34,2,FALSE)</f>
        <v>Speciallärarprogrammet</v>
      </c>
      <c r="X265" s="42">
        <f>VLOOKUP(A265,kurspris!$A$1:$Q$815,15,FALSE)</f>
        <v>19473</v>
      </c>
      <c r="Y265" s="42">
        <f>VLOOKUP(A265,kurspris!$A$1:$Q$815,16,FALSE)</f>
        <v>34806</v>
      </c>
      <c r="Z265" s="42">
        <f t="shared" si="135"/>
        <v>52328.803527000004</v>
      </c>
      <c r="AA265" s="42">
        <f>VLOOKUP(A265,kurspris!$A$1:$Q$815,17,FALSE)</f>
        <v>21800</v>
      </c>
      <c r="AB265" s="42">
        <f t="shared" si="136"/>
        <v>23253.405999999999</v>
      </c>
      <c r="AC265" s="42">
        <f t="shared" si="137"/>
        <v>75582.209526999999</v>
      </c>
      <c r="AD265" s="31">
        <f>VLOOKUP($A265,kurspris!$A$1:$Q$852,3,FALSE)</f>
        <v>0</v>
      </c>
      <c r="AE265" s="31">
        <f>VLOOKUP($A265,kurspris!$A$1:$Q$852,4,FALSE)</f>
        <v>0</v>
      </c>
      <c r="AF265" s="31">
        <f>VLOOKUP($A265,kurspris!$A$1:$Q$852,5,FALSE)</f>
        <v>0</v>
      </c>
      <c r="AG265" s="31">
        <f>VLOOKUP($A265,kurspris!$A$1:$Q$852,6,FALSE)</f>
        <v>0</v>
      </c>
      <c r="AH265" s="31">
        <f>VLOOKUP($A265,kurspris!$A$1:$Q$852,7,FALSE)</f>
        <v>0</v>
      </c>
      <c r="AI265" s="31">
        <f>VLOOKUP($A265,kurspris!$A$1:$Q$852,8,FALSE)</f>
        <v>1</v>
      </c>
      <c r="AJ265" s="31">
        <f>VLOOKUP($A265,kurspris!$A$1:$Q$852,9,FALSE)</f>
        <v>0</v>
      </c>
      <c r="AK265" s="31">
        <f>VLOOKUP($A265,kurspris!$A$1:$Q$852,10,FALSE)</f>
        <v>0</v>
      </c>
      <c r="AL265" s="31">
        <f>VLOOKUP($A265,kurspris!$A$1:$Q$852,11,FALSE)</f>
        <v>0</v>
      </c>
      <c r="AM265" s="31">
        <f>VLOOKUP($A265,kurspris!$A$1:$Q$852,12,FALSE)</f>
        <v>0</v>
      </c>
      <c r="AN265" s="31">
        <f>VLOOKUP($A265,kurspris!$A$1:$Q$852,13,FALSE)</f>
        <v>0</v>
      </c>
      <c r="AO265" s="31">
        <f>VLOOKUP($A265,kurspris!$A$1:$Q$852,14,FALSE)</f>
        <v>0</v>
      </c>
      <c r="AP265" s="59" t="s">
        <v>2216</v>
      </c>
      <c r="AR265" s="31">
        <f t="shared" si="138"/>
        <v>0</v>
      </c>
      <c r="AS265" s="237">
        <f t="shared" si="139"/>
        <v>0</v>
      </c>
      <c r="AT265" s="31">
        <f t="shared" si="140"/>
        <v>0</v>
      </c>
      <c r="AU265" s="237">
        <f t="shared" si="141"/>
        <v>0</v>
      </c>
      <c r="AV265" s="31">
        <f t="shared" si="142"/>
        <v>0</v>
      </c>
      <c r="AW265" s="31">
        <f t="shared" si="143"/>
        <v>0</v>
      </c>
      <c r="AX265" s="31">
        <f t="shared" si="144"/>
        <v>0</v>
      </c>
      <c r="AY265" s="237">
        <f t="shared" si="145"/>
        <v>0</v>
      </c>
      <c r="AZ265" s="214">
        <f t="shared" si="146"/>
        <v>0</v>
      </c>
      <c r="BA265" s="237">
        <f t="shared" si="147"/>
        <v>0</v>
      </c>
      <c r="BB265" s="31">
        <f t="shared" si="148"/>
        <v>1.06667</v>
      </c>
      <c r="BC265" s="237">
        <f t="shared" si="149"/>
        <v>0.90666950000000002</v>
      </c>
      <c r="BD265" s="31">
        <f t="shared" si="150"/>
        <v>0</v>
      </c>
      <c r="BE265" s="237">
        <f t="shared" si="151"/>
        <v>0</v>
      </c>
      <c r="BF265" s="31">
        <f t="shared" si="152"/>
        <v>0</v>
      </c>
      <c r="BG265" s="237">
        <f t="shared" si="153"/>
        <v>0</v>
      </c>
      <c r="BH265" s="31">
        <f t="shared" si="154"/>
        <v>0</v>
      </c>
      <c r="BI265" s="237">
        <f t="shared" si="155"/>
        <v>0</v>
      </c>
      <c r="BJ265" s="31">
        <f t="shared" si="156"/>
        <v>0</v>
      </c>
      <c r="BK265" s="31">
        <f t="shared" si="157"/>
        <v>0</v>
      </c>
      <c r="BL265" s="237">
        <f t="shared" si="158"/>
        <v>0</v>
      </c>
      <c r="BM265" s="31">
        <f t="shared" si="159"/>
        <v>0</v>
      </c>
      <c r="BN265" s="237">
        <f t="shared" si="160"/>
        <v>0</v>
      </c>
    </row>
    <row r="266" spans="1:66" x14ac:dyDescent="0.25">
      <c r="A266" s="159" t="s">
        <v>1531</v>
      </c>
      <c r="B266" s="182" t="str">
        <f>VLOOKUP(A266,kurspris!$A$1:$B$894,2,FALSE)</f>
        <v>Identifiering och kartläggning av undervisning och lärande med fokus på elever i behov av särskilda utbildningsinsatser</v>
      </c>
      <c r="C266" s="37"/>
      <c r="D266" s="31" t="s">
        <v>115</v>
      </c>
      <c r="F266" s="59">
        <v>2019</v>
      </c>
      <c r="Q266" s="237">
        <v>1.6</v>
      </c>
      <c r="R266" s="40">
        <v>0.85</v>
      </c>
      <c r="S266" s="313">
        <f t="shared" si="134"/>
        <v>1.36</v>
      </c>
      <c r="T266" s="31">
        <f>VLOOKUP(A266,'Ansvar kurs'!$A$1:$C$1027,2,FALSE)</f>
        <v>5740</v>
      </c>
      <c r="U266" s="31" t="str">
        <f>VLOOKUP(T266,Orgenheter!$A$1:$C$165,2,FALSE)</f>
        <v>NMD</v>
      </c>
      <c r="V266" s="31" t="str">
        <f>VLOOKUP(T266,Orgenheter!$A$1:$C$165,3,FALSE)</f>
        <v>TekNat</v>
      </c>
      <c r="W266" s="37" t="str">
        <f>VLOOKUP(D266,Program!$A$1:$B$34,2,FALSE)</f>
        <v>Speciallärarprogrammet</v>
      </c>
      <c r="X266" s="42">
        <f>VLOOKUP(A266,kurspris!$A$1:$Q$815,15,FALSE)</f>
        <v>19473</v>
      </c>
      <c r="Y266" s="42">
        <f>VLOOKUP(A266,kurspris!$A$1:$Q$815,16,FALSE)</f>
        <v>34806</v>
      </c>
      <c r="Z266" s="42">
        <f t="shared" si="135"/>
        <v>78492.960000000006</v>
      </c>
      <c r="AA266" s="42">
        <f>VLOOKUP(A266,kurspris!$A$1:$Q$815,17,FALSE)</f>
        <v>21800</v>
      </c>
      <c r="AB266" s="42">
        <f t="shared" si="136"/>
        <v>34880</v>
      </c>
      <c r="AC266" s="42">
        <f t="shared" si="137"/>
        <v>113372.96</v>
      </c>
      <c r="AD266" s="31">
        <f>VLOOKUP($A266,kurspris!$A$1:$Q$852,3,FALSE)</f>
        <v>0</v>
      </c>
      <c r="AE266" s="31">
        <f>VLOOKUP($A266,kurspris!$A$1:$Q$852,4,FALSE)</f>
        <v>0</v>
      </c>
      <c r="AF266" s="31">
        <f>VLOOKUP($A266,kurspris!$A$1:$Q$852,5,FALSE)</f>
        <v>0</v>
      </c>
      <c r="AG266" s="31">
        <f>VLOOKUP($A266,kurspris!$A$1:$Q$852,6,FALSE)</f>
        <v>0</v>
      </c>
      <c r="AH266" s="31">
        <f>VLOOKUP($A266,kurspris!$A$1:$Q$852,7,FALSE)</f>
        <v>0</v>
      </c>
      <c r="AI266" s="31">
        <f>VLOOKUP($A266,kurspris!$A$1:$Q$852,8,FALSE)</f>
        <v>1</v>
      </c>
      <c r="AJ266" s="31">
        <f>VLOOKUP($A266,kurspris!$A$1:$Q$852,9,FALSE)</f>
        <v>0</v>
      </c>
      <c r="AK266" s="31">
        <f>VLOOKUP($A266,kurspris!$A$1:$Q$852,10,FALSE)</f>
        <v>0</v>
      </c>
      <c r="AL266" s="31">
        <f>VLOOKUP($A266,kurspris!$A$1:$Q$852,11,FALSE)</f>
        <v>0</v>
      </c>
      <c r="AM266" s="31">
        <f>VLOOKUP($A266,kurspris!$A$1:$Q$852,12,FALSE)</f>
        <v>0</v>
      </c>
      <c r="AN266" s="31">
        <f>VLOOKUP($A266,kurspris!$A$1:$Q$852,13,FALSE)</f>
        <v>0</v>
      </c>
      <c r="AO266" s="31">
        <f>VLOOKUP($A266,kurspris!$A$1:$Q$852,14,FALSE)</f>
        <v>0</v>
      </c>
      <c r="AP266" s="59" t="s">
        <v>2216</v>
      </c>
      <c r="AR266" s="31">
        <f t="shared" si="138"/>
        <v>0</v>
      </c>
      <c r="AS266" s="237">
        <f t="shared" si="139"/>
        <v>0</v>
      </c>
      <c r="AT266" s="31">
        <f t="shared" si="140"/>
        <v>0</v>
      </c>
      <c r="AU266" s="237">
        <f t="shared" si="141"/>
        <v>0</v>
      </c>
      <c r="AV266" s="31">
        <f t="shared" si="142"/>
        <v>0</v>
      </c>
      <c r="AW266" s="31">
        <f t="shared" si="143"/>
        <v>0</v>
      </c>
      <c r="AX266" s="31">
        <f t="shared" si="144"/>
        <v>0</v>
      </c>
      <c r="AY266" s="237">
        <f t="shared" si="145"/>
        <v>0</v>
      </c>
      <c r="AZ266" s="214">
        <f t="shared" si="146"/>
        <v>0</v>
      </c>
      <c r="BA266" s="237">
        <f t="shared" si="147"/>
        <v>0</v>
      </c>
      <c r="BB266" s="31">
        <f t="shared" si="148"/>
        <v>1.6</v>
      </c>
      <c r="BC266" s="237">
        <f t="shared" si="149"/>
        <v>1.36</v>
      </c>
      <c r="BD266" s="31">
        <f t="shared" si="150"/>
        <v>0</v>
      </c>
      <c r="BE266" s="237">
        <f t="shared" si="151"/>
        <v>0</v>
      </c>
      <c r="BF266" s="31">
        <f t="shared" si="152"/>
        <v>0</v>
      </c>
      <c r="BG266" s="237">
        <f t="shared" si="153"/>
        <v>0</v>
      </c>
      <c r="BH266" s="31">
        <f t="shared" si="154"/>
        <v>0</v>
      </c>
      <c r="BI266" s="237">
        <f t="shared" si="155"/>
        <v>0</v>
      </c>
      <c r="BJ266" s="31">
        <f t="shared" si="156"/>
        <v>0</v>
      </c>
      <c r="BK266" s="31">
        <f t="shared" si="157"/>
        <v>0</v>
      </c>
      <c r="BL266" s="237">
        <f t="shared" si="158"/>
        <v>0</v>
      </c>
      <c r="BM266" s="31">
        <f t="shared" si="159"/>
        <v>0</v>
      </c>
      <c r="BN266" s="237">
        <f t="shared" si="160"/>
        <v>0</v>
      </c>
    </row>
    <row r="267" spans="1:66" x14ac:dyDescent="0.25">
      <c r="A267" s="159" t="s">
        <v>1532</v>
      </c>
      <c r="B267" s="182" t="str">
        <f>VLOOKUP(A267,kurspris!$A$1:$B$894,2,FALSE)</f>
        <v>Stöd och stimulans i arbetet med elever i behov av särskilda utbildningsinsatser</v>
      </c>
      <c r="C267" s="37"/>
      <c r="D267" s="31" t="s">
        <v>115</v>
      </c>
      <c r="F267" s="59">
        <v>2019</v>
      </c>
      <c r="Q267" s="237">
        <v>1.3333299999999999</v>
      </c>
      <c r="R267" s="40">
        <v>0.85</v>
      </c>
      <c r="S267" s="313">
        <f t="shared" si="134"/>
        <v>1.1333304999999998</v>
      </c>
      <c r="T267" s="31">
        <f>VLOOKUP(A267,'Ansvar kurs'!$A$1:$C$1027,2,FALSE)</f>
        <v>5740</v>
      </c>
      <c r="U267" s="31" t="str">
        <f>VLOOKUP(T267,Orgenheter!$A$1:$C$165,2,FALSE)</f>
        <v>NMD</v>
      </c>
      <c r="V267" s="31" t="str">
        <f>VLOOKUP(T267,Orgenheter!$A$1:$C$165,3,FALSE)</f>
        <v>TekNat</v>
      </c>
      <c r="W267" s="37" t="str">
        <f>VLOOKUP(D267,Program!$A$1:$B$34,2,FALSE)</f>
        <v>Speciallärarprogrammet</v>
      </c>
      <c r="X267" s="42">
        <f>VLOOKUP(A267,kurspris!$A$1:$Q$815,15,FALSE)</f>
        <v>19473</v>
      </c>
      <c r="Y267" s="42">
        <f>VLOOKUP(A267,kurspris!$A$1:$Q$815,16,FALSE)</f>
        <v>34806</v>
      </c>
      <c r="Z267" s="42">
        <f t="shared" si="135"/>
        <v>65410.636472999991</v>
      </c>
      <c r="AA267" s="42">
        <f>VLOOKUP(A267,kurspris!$A$1:$Q$815,17,FALSE)</f>
        <v>21800</v>
      </c>
      <c r="AB267" s="42">
        <f t="shared" si="136"/>
        <v>29066.593999999997</v>
      </c>
      <c r="AC267" s="42">
        <f t="shared" si="137"/>
        <v>94477.230472999989</v>
      </c>
      <c r="AD267" s="31">
        <f>VLOOKUP($A267,kurspris!$A$1:$Q$852,3,FALSE)</f>
        <v>0</v>
      </c>
      <c r="AE267" s="31">
        <f>VLOOKUP($A267,kurspris!$A$1:$Q$852,4,FALSE)</f>
        <v>0</v>
      </c>
      <c r="AF267" s="31">
        <f>VLOOKUP($A267,kurspris!$A$1:$Q$852,5,FALSE)</f>
        <v>0</v>
      </c>
      <c r="AG267" s="31">
        <f>VLOOKUP($A267,kurspris!$A$1:$Q$852,6,FALSE)</f>
        <v>0</v>
      </c>
      <c r="AH267" s="31">
        <f>VLOOKUP($A267,kurspris!$A$1:$Q$852,7,FALSE)</f>
        <v>0</v>
      </c>
      <c r="AI267" s="31">
        <f>VLOOKUP($A267,kurspris!$A$1:$Q$852,8,FALSE)</f>
        <v>1</v>
      </c>
      <c r="AJ267" s="31">
        <f>VLOOKUP($A267,kurspris!$A$1:$Q$852,9,FALSE)</f>
        <v>0</v>
      </c>
      <c r="AK267" s="31">
        <f>VLOOKUP($A267,kurspris!$A$1:$Q$852,10,FALSE)</f>
        <v>0</v>
      </c>
      <c r="AL267" s="31">
        <f>VLOOKUP($A267,kurspris!$A$1:$Q$852,11,FALSE)</f>
        <v>0</v>
      </c>
      <c r="AM267" s="31">
        <f>VLOOKUP($A267,kurspris!$A$1:$Q$852,12,FALSE)</f>
        <v>0</v>
      </c>
      <c r="AN267" s="31">
        <f>VLOOKUP($A267,kurspris!$A$1:$Q$852,13,FALSE)</f>
        <v>0</v>
      </c>
      <c r="AO267" s="31">
        <f>VLOOKUP($A267,kurspris!$A$1:$Q$852,14,FALSE)</f>
        <v>0</v>
      </c>
      <c r="AP267" s="59" t="s">
        <v>2216</v>
      </c>
      <c r="AR267" s="31">
        <f t="shared" si="138"/>
        <v>0</v>
      </c>
      <c r="AS267" s="237">
        <f t="shared" si="139"/>
        <v>0</v>
      </c>
      <c r="AT267" s="31">
        <f t="shared" si="140"/>
        <v>0</v>
      </c>
      <c r="AU267" s="237">
        <f t="shared" si="141"/>
        <v>0</v>
      </c>
      <c r="AV267" s="31">
        <f t="shared" si="142"/>
        <v>0</v>
      </c>
      <c r="AW267" s="31">
        <f t="shared" si="143"/>
        <v>0</v>
      </c>
      <c r="AX267" s="31">
        <f t="shared" si="144"/>
        <v>0</v>
      </c>
      <c r="AY267" s="237">
        <f t="shared" si="145"/>
        <v>0</v>
      </c>
      <c r="AZ267" s="214">
        <f t="shared" si="146"/>
        <v>0</v>
      </c>
      <c r="BA267" s="237">
        <f t="shared" si="147"/>
        <v>0</v>
      </c>
      <c r="BB267" s="31">
        <f t="shared" si="148"/>
        <v>1.3333299999999999</v>
      </c>
      <c r="BC267" s="237">
        <f t="shared" si="149"/>
        <v>1.1333304999999998</v>
      </c>
      <c r="BD267" s="31">
        <f t="shared" si="150"/>
        <v>0</v>
      </c>
      <c r="BE267" s="237">
        <f t="shared" si="151"/>
        <v>0</v>
      </c>
      <c r="BF267" s="31">
        <f t="shared" si="152"/>
        <v>0</v>
      </c>
      <c r="BG267" s="237">
        <f t="shared" si="153"/>
        <v>0</v>
      </c>
      <c r="BH267" s="31">
        <f t="shared" si="154"/>
        <v>0</v>
      </c>
      <c r="BI267" s="237">
        <f t="shared" si="155"/>
        <v>0</v>
      </c>
      <c r="BJ267" s="31">
        <f t="shared" si="156"/>
        <v>0</v>
      </c>
      <c r="BK267" s="31">
        <f t="shared" si="157"/>
        <v>0</v>
      </c>
      <c r="BL267" s="237">
        <f t="shared" si="158"/>
        <v>0</v>
      </c>
      <c r="BM267" s="31">
        <f t="shared" si="159"/>
        <v>0</v>
      </c>
      <c r="BN267" s="237">
        <f t="shared" si="160"/>
        <v>0</v>
      </c>
    </row>
    <row r="268" spans="1:66" x14ac:dyDescent="0.25">
      <c r="A268" s="159" t="s">
        <v>1431</v>
      </c>
      <c r="B268" s="182" t="str">
        <f>VLOOKUP(A268,kurspris!$A$1:$B$894,2,FALSE)</f>
        <v>Läraryrkets dimensioner - ingångsämne idrott och hälsa</v>
      </c>
      <c r="C268" s="37"/>
      <c r="D268" s="31" t="s">
        <v>482</v>
      </c>
      <c r="F268" s="59">
        <v>2019</v>
      </c>
      <c r="Q268" s="237">
        <v>0.375</v>
      </c>
      <c r="R268" s="40">
        <v>0.85</v>
      </c>
      <c r="S268" s="313">
        <f t="shared" si="134"/>
        <v>0.31874999999999998</v>
      </c>
      <c r="T268" s="31">
        <f>VLOOKUP(A268,'Ansvar kurs'!$A$1:$C$1027,2,FALSE)</f>
        <v>2180</v>
      </c>
      <c r="U268" s="31" t="str">
        <f>VLOOKUP(T268,Orgenheter!$A$1:$C$165,2,FALSE)</f>
        <v xml:space="preserve">Pedagogik                     </v>
      </c>
      <c r="V268" s="31" t="str">
        <f>VLOOKUP(T268,Orgenheter!$A$1:$C$165,3,FALSE)</f>
        <v>Sam</v>
      </c>
      <c r="W268" s="37" t="str">
        <f>VLOOKUP(D268,Program!$A$1:$B$34,2,FALSE)</f>
        <v>Ämneslärarprogrammet - åk 7-9</v>
      </c>
      <c r="X268" s="42">
        <f>VLOOKUP(A268,kurspris!$A$1:$Q$815,15,FALSE)</f>
        <v>21634</v>
      </c>
      <c r="Y268" s="42">
        <f>VLOOKUP(A268,kurspris!$A$1:$Q$815,16,FALSE)</f>
        <v>26986</v>
      </c>
      <c r="Z268" s="42">
        <f t="shared" si="135"/>
        <v>16714.537499999999</v>
      </c>
      <c r="AA268" s="42">
        <f>VLOOKUP(A268,kurspris!$A$1:$Q$815,17,FALSE)</f>
        <v>3400</v>
      </c>
      <c r="AB268" s="42">
        <f t="shared" si="136"/>
        <v>1275</v>
      </c>
      <c r="AC268" s="42">
        <f t="shared" si="137"/>
        <v>17989.537499999999</v>
      </c>
      <c r="AD268" s="31">
        <f>VLOOKUP($A268,kurspris!$A$1:$Q$852,3,FALSE)</f>
        <v>0</v>
      </c>
      <c r="AE268" s="31">
        <f>VLOOKUP($A268,kurspris!$A$1:$Q$852,4,FALSE)</f>
        <v>0</v>
      </c>
      <c r="AF268" s="31">
        <f>VLOOKUP($A268,kurspris!$A$1:$Q$852,5,FALSE)</f>
        <v>0</v>
      </c>
      <c r="AG268" s="31">
        <f>VLOOKUP($A268,kurspris!$A$1:$Q$852,6,FALSE)</f>
        <v>0</v>
      </c>
      <c r="AH268" s="31">
        <f>VLOOKUP($A268,kurspris!$A$1:$Q$852,7,FALSE)</f>
        <v>0</v>
      </c>
      <c r="AI268" s="31">
        <f>VLOOKUP($A268,kurspris!$A$1:$Q$852,8,FALSE)</f>
        <v>0</v>
      </c>
      <c r="AJ268" s="31">
        <f>VLOOKUP($A268,kurspris!$A$1:$Q$852,9,FALSE)</f>
        <v>0</v>
      </c>
      <c r="AK268" s="31">
        <f>VLOOKUP($A268,kurspris!$A$1:$Q$852,10,FALSE)</f>
        <v>0</v>
      </c>
      <c r="AL268" s="31">
        <f>VLOOKUP($A268,kurspris!$A$1:$Q$852,11,FALSE)</f>
        <v>1</v>
      </c>
      <c r="AM268" s="31">
        <f>VLOOKUP($A268,kurspris!$A$1:$Q$852,12,FALSE)</f>
        <v>0</v>
      </c>
      <c r="AN268" s="31">
        <f>VLOOKUP($A268,kurspris!$A$1:$Q$852,13,FALSE)</f>
        <v>0</v>
      </c>
      <c r="AO268" s="31">
        <f>VLOOKUP($A268,kurspris!$A$1:$Q$852,14,FALSE)</f>
        <v>0</v>
      </c>
      <c r="AP268" s="59" t="s">
        <v>2216</v>
      </c>
      <c r="AR268" s="31">
        <f t="shared" si="138"/>
        <v>0</v>
      </c>
      <c r="AS268" s="237">
        <f t="shared" si="139"/>
        <v>0</v>
      </c>
      <c r="AT268" s="31">
        <f t="shared" si="140"/>
        <v>0</v>
      </c>
      <c r="AU268" s="237">
        <f t="shared" si="141"/>
        <v>0</v>
      </c>
      <c r="AV268" s="31">
        <f t="shared" si="142"/>
        <v>0</v>
      </c>
      <c r="AW268" s="31">
        <f t="shared" si="143"/>
        <v>0</v>
      </c>
      <c r="AX268" s="31">
        <f t="shared" si="144"/>
        <v>0</v>
      </c>
      <c r="AY268" s="237">
        <f t="shared" si="145"/>
        <v>0</v>
      </c>
      <c r="AZ268" s="214">
        <f t="shared" si="146"/>
        <v>0</v>
      </c>
      <c r="BA268" s="237">
        <f t="shared" si="147"/>
        <v>0</v>
      </c>
      <c r="BB268" s="31">
        <f t="shared" si="148"/>
        <v>0</v>
      </c>
      <c r="BC268" s="237">
        <f t="shared" si="149"/>
        <v>0</v>
      </c>
      <c r="BD268" s="31">
        <f t="shared" si="150"/>
        <v>0</v>
      </c>
      <c r="BE268" s="237">
        <f t="shared" si="151"/>
        <v>0</v>
      </c>
      <c r="BF268" s="31">
        <f t="shared" si="152"/>
        <v>0</v>
      </c>
      <c r="BG268" s="237">
        <f t="shared" si="153"/>
        <v>0</v>
      </c>
      <c r="BH268" s="31">
        <f t="shared" si="154"/>
        <v>0.375</v>
      </c>
      <c r="BI268" s="237">
        <f t="shared" si="155"/>
        <v>0.31874999999999998</v>
      </c>
      <c r="BJ268" s="31">
        <f t="shared" si="156"/>
        <v>0</v>
      </c>
      <c r="BK268" s="31">
        <f t="shared" si="157"/>
        <v>0</v>
      </c>
      <c r="BL268" s="237">
        <f t="shared" si="158"/>
        <v>0</v>
      </c>
      <c r="BM268" s="31">
        <f t="shared" si="159"/>
        <v>0</v>
      </c>
      <c r="BN268" s="237">
        <f t="shared" si="160"/>
        <v>0</v>
      </c>
    </row>
    <row r="269" spans="1:66" x14ac:dyDescent="0.25">
      <c r="A269" s="31" t="s">
        <v>1431</v>
      </c>
      <c r="B269" s="182" t="str">
        <f>VLOOKUP(A269,kurspris!$A$1:$B$894,2,FALSE)</f>
        <v>Läraryrkets dimensioner - ingångsämne idrott och hälsa</v>
      </c>
      <c r="D269" s="31" t="s">
        <v>483</v>
      </c>
      <c r="F269" s="59">
        <v>2019</v>
      </c>
      <c r="Q269" s="237">
        <v>4.5</v>
      </c>
      <c r="R269" s="40">
        <v>0.85</v>
      </c>
      <c r="S269" s="313">
        <f t="shared" si="134"/>
        <v>3.8249999999999997</v>
      </c>
      <c r="T269" s="31">
        <f>VLOOKUP(A269,'Ansvar kurs'!$A$1:$C$1027,2,FALSE)</f>
        <v>2180</v>
      </c>
      <c r="U269" s="31" t="str">
        <f>VLOOKUP(T269,Orgenheter!$A$1:$C$165,2,FALSE)</f>
        <v xml:space="preserve">Pedagogik                     </v>
      </c>
      <c r="V269" s="31" t="str">
        <f>VLOOKUP(T269,Orgenheter!$A$1:$C$165,3,FALSE)</f>
        <v>Sam</v>
      </c>
      <c r="W269" s="37" t="str">
        <f>VLOOKUP(D269,Program!$A$1:$B$34,2,FALSE)</f>
        <v>Ämneslärarprogrammet - Gy</v>
      </c>
      <c r="X269" s="42">
        <f>VLOOKUP(A269,kurspris!$A$1:$Q$815,15,FALSE)</f>
        <v>21634</v>
      </c>
      <c r="Y269" s="42">
        <f>VLOOKUP(A269,kurspris!$A$1:$Q$815,16,FALSE)</f>
        <v>26986</v>
      </c>
      <c r="Z269" s="42">
        <f t="shared" si="135"/>
        <v>200574.45</v>
      </c>
      <c r="AA269" s="42">
        <f>VLOOKUP(A269,kurspris!$A$1:$Q$815,17,FALSE)</f>
        <v>3400</v>
      </c>
      <c r="AB269" s="42">
        <f t="shared" si="136"/>
        <v>15300</v>
      </c>
      <c r="AC269" s="42">
        <f t="shared" si="137"/>
        <v>215874.45</v>
      </c>
      <c r="AD269" s="31">
        <f>VLOOKUP($A269,kurspris!$A$1:$Q$852,3,FALSE)</f>
        <v>0</v>
      </c>
      <c r="AE269" s="31">
        <f>VLOOKUP($A269,kurspris!$A$1:$Q$852,4,FALSE)</f>
        <v>0</v>
      </c>
      <c r="AF269" s="31">
        <f>VLOOKUP($A269,kurspris!$A$1:$Q$852,5,FALSE)</f>
        <v>0</v>
      </c>
      <c r="AG269" s="31">
        <f>VLOOKUP($A269,kurspris!$A$1:$Q$852,6,FALSE)</f>
        <v>0</v>
      </c>
      <c r="AH269" s="31">
        <f>VLOOKUP($A269,kurspris!$A$1:$Q$852,7,FALSE)</f>
        <v>0</v>
      </c>
      <c r="AI269" s="31">
        <f>VLOOKUP($A269,kurspris!$A$1:$Q$852,8,FALSE)</f>
        <v>0</v>
      </c>
      <c r="AJ269" s="31">
        <f>VLOOKUP($A269,kurspris!$A$1:$Q$852,9,FALSE)</f>
        <v>0</v>
      </c>
      <c r="AK269" s="31">
        <f>VLOOKUP($A269,kurspris!$A$1:$Q$852,10,FALSE)</f>
        <v>0</v>
      </c>
      <c r="AL269" s="31">
        <f>VLOOKUP($A269,kurspris!$A$1:$Q$852,11,FALSE)</f>
        <v>1</v>
      </c>
      <c r="AM269" s="31">
        <f>VLOOKUP($A269,kurspris!$A$1:$Q$852,12,FALSE)</f>
        <v>0</v>
      </c>
      <c r="AN269" s="31">
        <f>VLOOKUP($A269,kurspris!$A$1:$Q$852,13,FALSE)</f>
        <v>0</v>
      </c>
      <c r="AO269" s="31">
        <f>VLOOKUP($A269,kurspris!$A$1:$Q$852,14,FALSE)</f>
        <v>0</v>
      </c>
      <c r="AP269" s="59" t="s">
        <v>2216</v>
      </c>
      <c r="AR269" s="31">
        <f t="shared" si="138"/>
        <v>0</v>
      </c>
      <c r="AS269" s="237">
        <f t="shared" si="139"/>
        <v>0</v>
      </c>
      <c r="AT269" s="31">
        <f t="shared" si="140"/>
        <v>0</v>
      </c>
      <c r="AU269" s="237">
        <f t="shared" si="141"/>
        <v>0</v>
      </c>
      <c r="AV269" s="31">
        <f t="shared" si="142"/>
        <v>0</v>
      </c>
      <c r="AW269" s="31">
        <f t="shared" si="143"/>
        <v>0</v>
      </c>
      <c r="AX269" s="31">
        <f t="shared" si="144"/>
        <v>0</v>
      </c>
      <c r="AY269" s="237">
        <f t="shared" si="145"/>
        <v>0</v>
      </c>
      <c r="AZ269" s="214">
        <f t="shared" si="146"/>
        <v>0</v>
      </c>
      <c r="BA269" s="237">
        <f t="shared" si="147"/>
        <v>0</v>
      </c>
      <c r="BB269" s="31">
        <f t="shared" si="148"/>
        <v>0</v>
      </c>
      <c r="BC269" s="237">
        <f t="shared" si="149"/>
        <v>0</v>
      </c>
      <c r="BD269" s="31">
        <f t="shared" si="150"/>
        <v>0</v>
      </c>
      <c r="BE269" s="237">
        <f t="shared" si="151"/>
        <v>0</v>
      </c>
      <c r="BF269" s="31">
        <f t="shared" si="152"/>
        <v>0</v>
      </c>
      <c r="BG269" s="237">
        <f t="shared" si="153"/>
        <v>0</v>
      </c>
      <c r="BH269" s="31">
        <f t="shared" si="154"/>
        <v>4.5</v>
      </c>
      <c r="BI269" s="237">
        <f t="shared" si="155"/>
        <v>3.8249999999999997</v>
      </c>
      <c r="BJ269" s="31">
        <f t="shared" si="156"/>
        <v>0</v>
      </c>
      <c r="BK269" s="31">
        <f t="shared" si="157"/>
        <v>0</v>
      </c>
      <c r="BL269" s="237">
        <f t="shared" si="158"/>
        <v>0</v>
      </c>
      <c r="BM269" s="31">
        <f t="shared" si="159"/>
        <v>0</v>
      </c>
      <c r="BN269" s="237">
        <f t="shared" si="160"/>
        <v>0</v>
      </c>
    </row>
    <row r="270" spans="1:66" x14ac:dyDescent="0.25">
      <c r="A270" s="31" t="s">
        <v>1435</v>
      </c>
      <c r="B270" s="182" t="str">
        <f>VLOOKUP(A270,kurspris!$A$1:$B$894,2,FALSE)</f>
        <v>Barns lärande och omsorg</v>
      </c>
      <c r="D270" s="31" t="s">
        <v>484</v>
      </c>
      <c r="F270" s="59">
        <v>2019</v>
      </c>
      <c r="Q270" s="237">
        <v>16</v>
      </c>
      <c r="R270" s="40">
        <v>0.85</v>
      </c>
      <c r="S270" s="313">
        <f t="shared" si="134"/>
        <v>13.6</v>
      </c>
      <c r="T270" s="31">
        <f>VLOOKUP(A270,'Ansvar kurs'!$A$1:$C$1027,2,FALSE)</f>
        <v>2193</v>
      </c>
      <c r="U270" s="31" t="str">
        <f>VLOOKUP(T270,Orgenheter!$A$1:$C$165,2,FALSE)</f>
        <v xml:space="preserve">TUV </v>
      </c>
      <c r="V270" s="31" t="str">
        <f>VLOOKUP(T270,Orgenheter!$A$1:$C$165,3,FALSE)</f>
        <v>Sam</v>
      </c>
      <c r="W270" s="37" t="str">
        <f>VLOOKUP(D270,Program!$A$1:$B$34,2,FALSE)</f>
        <v>Förskollärarprogrammet</v>
      </c>
      <c r="X270" s="42">
        <f>VLOOKUP(A270,kurspris!$A$1:$Q$815,15,FALSE)</f>
        <v>18405</v>
      </c>
      <c r="Y270" s="42">
        <f>VLOOKUP(A270,kurspris!$A$1:$Q$815,16,FALSE)</f>
        <v>15773</v>
      </c>
      <c r="Z270" s="42">
        <f t="shared" si="135"/>
        <v>508992.8</v>
      </c>
      <c r="AA270" s="42">
        <f>VLOOKUP(A270,kurspris!$A$1:$Q$815,17,FALSE)</f>
        <v>5800</v>
      </c>
      <c r="AB270" s="42">
        <f t="shared" si="136"/>
        <v>92800</v>
      </c>
      <c r="AC270" s="42">
        <f t="shared" si="137"/>
        <v>601792.80000000005</v>
      </c>
      <c r="AD270" s="31">
        <f>VLOOKUP($A270,kurspris!$A$1:$Q$852,3,FALSE)</f>
        <v>0</v>
      </c>
      <c r="AE270" s="31">
        <f>VLOOKUP($A270,kurspris!$A$1:$Q$852,4,FALSE)</f>
        <v>0</v>
      </c>
      <c r="AF270" s="31">
        <f>VLOOKUP($A270,kurspris!$A$1:$Q$852,5,FALSE)</f>
        <v>0</v>
      </c>
      <c r="AG270" s="31">
        <f>VLOOKUP($A270,kurspris!$A$1:$Q$852,6,FALSE)</f>
        <v>0</v>
      </c>
      <c r="AH270" s="31">
        <f>VLOOKUP($A270,kurspris!$A$1:$Q$852,7,FALSE)</f>
        <v>0</v>
      </c>
      <c r="AI270" s="31">
        <f>VLOOKUP($A270,kurspris!$A$1:$Q$852,8,FALSE)</f>
        <v>0</v>
      </c>
      <c r="AJ270" s="31">
        <f>VLOOKUP($A270,kurspris!$A$1:$Q$852,9,FALSE)</f>
        <v>1</v>
      </c>
      <c r="AK270" s="31">
        <f>VLOOKUP($A270,kurspris!$A$1:$Q$852,10,FALSE)</f>
        <v>0</v>
      </c>
      <c r="AL270" s="31">
        <f>VLOOKUP($A270,kurspris!$A$1:$Q$852,11,FALSE)</f>
        <v>0</v>
      </c>
      <c r="AM270" s="31">
        <f>VLOOKUP($A270,kurspris!$A$1:$Q$852,12,FALSE)</f>
        <v>0</v>
      </c>
      <c r="AN270" s="31">
        <f>VLOOKUP($A270,kurspris!$A$1:$Q$852,13,FALSE)</f>
        <v>0</v>
      </c>
      <c r="AO270" s="31">
        <f>VLOOKUP($A270,kurspris!$A$1:$Q$852,14,FALSE)</f>
        <v>0</v>
      </c>
      <c r="AP270" s="59" t="s">
        <v>2216</v>
      </c>
      <c r="AR270" s="31">
        <f t="shared" si="138"/>
        <v>0</v>
      </c>
      <c r="AS270" s="237">
        <f t="shared" si="139"/>
        <v>0</v>
      </c>
      <c r="AT270" s="31">
        <f t="shared" si="140"/>
        <v>0</v>
      </c>
      <c r="AU270" s="237">
        <f t="shared" si="141"/>
        <v>0</v>
      </c>
      <c r="AV270" s="31">
        <f t="shared" si="142"/>
        <v>0</v>
      </c>
      <c r="AW270" s="31">
        <f t="shared" si="143"/>
        <v>0</v>
      </c>
      <c r="AX270" s="31">
        <f t="shared" si="144"/>
        <v>0</v>
      </c>
      <c r="AY270" s="237">
        <f t="shared" si="145"/>
        <v>0</v>
      </c>
      <c r="AZ270" s="214">
        <f t="shared" si="146"/>
        <v>0</v>
      </c>
      <c r="BA270" s="237">
        <f t="shared" si="147"/>
        <v>0</v>
      </c>
      <c r="BB270" s="31">
        <f t="shared" si="148"/>
        <v>0</v>
      </c>
      <c r="BC270" s="237">
        <f t="shared" si="149"/>
        <v>0</v>
      </c>
      <c r="BD270" s="31">
        <f t="shared" si="150"/>
        <v>16</v>
      </c>
      <c r="BE270" s="237">
        <f t="shared" si="151"/>
        <v>13.6</v>
      </c>
      <c r="BF270" s="31">
        <f t="shared" si="152"/>
        <v>0</v>
      </c>
      <c r="BG270" s="237">
        <f t="shared" si="153"/>
        <v>0</v>
      </c>
      <c r="BH270" s="31">
        <f t="shared" si="154"/>
        <v>0</v>
      </c>
      <c r="BI270" s="237">
        <f t="shared" si="155"/>
        <v>0</v>
      </c>
      <c r="BJ270" s="31">
        <f t="shared" si="156"/>
        <v>0</v>
      </c>
      <c r="BK270" s="31">
        <f t="shared" si="157"/>
        <v>0</v>
      </c>
      <c r="BL270" s="237">
        <f t="shared" si="158"/>
        <v>0</v>
      </c>
      <c r="BM270" s="31">
        <f t="shared" si="159"/>
        <v>0</v>
      </c>
      <c r="BN270" s="237">
        <f t="shared" si="160"/>
        <v>0</v>
      </c>
    </row>
    <row r="271" spans="1:66" x14ac:dyDescent="0.25">
      <c r="A271" s="31" t="s">
        <v>1436</v>
      </c>
      <c r="B271" s="182" t="str">
        <f>VLOOKUP(A271,kurspris!$A$1:$B$894,2,FALSE)</f>
        <v>Förskolans uppdrag och arbetssätt 1</v>
      </c>
      <c r="D271" s="31" t="s">
        <v>484</v>
      </c>
      <c r="F271" s="59">
        <v>2019</v>
      </c>
      <c r="Q271" s="237">
        <v>5.4166699999999999</v>
      </c>
      <c r="R271" s="40">
        <v>0.85</v>
      </c>
      <c r="S271" s="313">
        <f t="shared" si="134"/>
        <v>4.6041694999999994</v>
      </c>
      <c r="T271" s="31">
        <f>VLOOKUP(A271,'Ansvar kurs'!$A$1:$C$1027,2,FALSE)</f>
        <v>2193</v>
      </c>
      <c r="U271" s="31" t="str">
        <f>VLOOKUP(T271,Orgenheter!$A$1:$C$165,2,FALSE)</f>
        <v xml:space="preserve">TUV </v>
      </c>
      <c r="V271" s="31" t="str">
        <f>VLOOKUP(T271,Orgenheter!$A$1:$C$165,3,FALSE)</f>
        <v>Sam</v>
      </c>
      <c r="W271" s="37" t="str">
        <f>VLOOKUP(D271,Program!$A$1:$B$34,2,FALSE)</f>
        <v>Förskollärarprogrammet</v>
      </c>
      <c r="X271" s="42">
        <f>VLOOKUP(A271,kurspris!$A$1:$Q$815,15,FALSE)</f>
        <v>18405</v>
      </c>
      <c r="Y271" s="42">
        <f>VLOOKUP(A271,kurspris!$A$1:$Q$815,16,FALSE)</f>
        <v>15773</v>
      </c>
      <c r="Z271" s="42">
        <f t="shared" si="135"/>
        <v>172315.3768735</v>
      </c>
      <c r="AA271" s="42">
        <f>VLOOKUP(A271,kurspris!$A$1:$Q$815,17,FALSE)</f>
        <v>5800</v>
      </c>
      <c r="AB271" s="42">
        <f t="shared" si="136"/>
        <v>31416.685999999998</v>
      </c>
      <c r="AC271" s="42">
        <f t="shared" si="137"/>
        <v>203732.06287349999</v>
      </c>
      <c r="AD271" s="31">
        <f>VLOOKUP($A271,kurspris!$A$1:$Q$852,3,FALSE)</f>
        <v>0</v>
      </c>
      <c r="AE271" s="31">
        <f>VLOOKUP($A271,kurspris!$A$1:$Q$852,4,FALSE)</f>
        <v>0</v>
      </c>
      <c r="AF271" s="31">
        <f>VLOOKUP($A271,kurspris!$A$1:$Q$852,5,FALSE)</f>
        <v>0</v>
      </c>
      <c r="AG271" s="31">
        <f>VLOOKUP($A271,kurspris!$A$1:$Q$852,6,FALSE)</f>
        <v>0</v>
      </c>
      <c r="AH271" s="31">
        <f>VLOOKUP($A271,kurspris!$A$1:$Q$852,7,FALSE)</f>
        <v>0</v>
      </c>
      <c r="AI271" s="31">
        <f>VLOOKUP($A271,kurspris!$A$1:$Q$852,8,FALSE)</f>
        <v>0</v>
      </c>
      <c r="AJ271" s="31">
        <f>VLOOKUP($A271,kurspris!$A$1:$Q$852,9,FALSE)</f>
        <v>1</v>
      </c>
      <c r="AK271" s="31">
        <f>VLOOKUP($A271,kurspris!$A$1:$Q$852,10,FALSE)</f>
        <v>0</v>
      </c>
      <c r="AL271" s="31">
        <f>VLOOKUP($A271,kurspris!$A$1:$Q$852,11,FALSE)</f>
        <v>0</v>
      </c>
      <c r="AM271" s="31">
        <f>VLOOKUP($A271,kurspris!$A$1:$Q$852,12,FALSE)</f>
        <v>0</v>
      </c>
      <c r="AN271" s="31">
        <f>VLOOKUP($A271,kurspris!$A$1:$Q$852,13,FALSE)</f>
        <v>0</v>
      </c>
      <c r="AO271" s="31">
        <f>VLOOKUP($A271,kurspris!$A$1:$Q$852,14,FALSE)</f>
        <v>0</v>
      </c>
      <c r="AP271" s="59" t="s">
        <v>2216</v>
      </c>
      <c r="AR271" s="31">
        <f t="shared" si="138"/>
        <v>0</v>
      </c>
      <c r="AS271" s="237">
        <f t="shared" si="139"/>
        <v>0</v>
      </c>
      <c r="AT271" s="31">
        <f t="shared" si="140"/>
        <v>0</v>
      </c>
      <c r="AU271" s="237">
        <f t="shared" si="141"/>
        <v>0</v>
      </c>
      <c r="AV271" s="31">
        <f t="shared" si="142"/>
        <v>0</v>
      </c>
      <c r="AW271" s="31">
        <f t="shared" si="143"/>
        <v>0</v>
      </c>
      <c r="AX271" s="31">
        <f t="shared" si="144"/>
        <v>0</v>
      </c>
      <c r="AY271" s="237">
        <f t="shared" si="145"/>
        <v>0</v>
      </c>
      <c r="AZ271" s="214">
        <f t="shared" si="146"/>
        <v>0</v>
      </c>
      <c r="BA271" s="237">
        <f t="shared" si="147"/>
        <v>0</v>
      </c>
      <c r="BB271" s="31">
        <f t="shared" si="148"/>
        <v>0</v>
      </c>
      <c r="BC271" s="237">
        <f t="shared" si="149"/>
        <v>0</v>
      </c>
      <c r="BD271" s="31">
        <f t="shared" si="150"/>
        <v>5.4166699999999999</v>
      </c>
      <c r="BE271" s="237">
        <f t="shared" si="151"/>
        <v>4.6041694999999994</v>
      </c>
      <c r="BF271" s="31">
        <f t="shared" si="152"/>
        <v>0</v>
      </c>
      <c r="BG271" s="237">
        <f t="shared" si="153"/>
        <v>0</v>
      </c>
      <c r="BH271" s="31">
        <f t="shared" si="154"/>
        <v>0</v>
      </c>
      <c r="BI271" s="237">
        <f t="shared" si="155"/>
        <v>0</v>
      </c>
      <c r="BJ271" s="31">
        <f t="shared" si="156"/>
        <v>0</v>
      </c>
      <c r="BK271" s="31">
        <f t="shared" si="157"/>
        <v>0</v>
      </c>
      <c r="BL271" s="237">
        <f t="shared" si="158"/>
        <v>0</v>
      </c>
      <c r="BM271" s="31">
        <f t="shared" si="159"/>
        <v>0</v>
      </c>
      <c r="BN271" s="237">
        <f t="shared" si="160"/>
        <v>0</v>
      </c>
    </row>
    <row r="272" spans="1:66" x14ac:dyDescent="0.25">
      <c r="A272" s="31" t="s">
        <v>1506</v>
      </c>
      <c r="B272" s="182" t="str">
        <f>VLOOKUP(A272,kurspris!$A$1:$B$894,2,FALSE)</f>
        <v>Läraryrkets dimensioner - ingångsämne Samhällskunskap</v>
      </c>
      <c r="D272" s="31" t="s">
        <v>482</v>
      </c>
      <c r="F272" s="59">
        <v>2019</v>
      </c>
      <c r="Q272" s="237">
        <v>0.375</v>
      </c>
      <c r="R272" s="40">
        <v>0.85</v>
      </c>
      <c r="S272" s="313">
        <f t="shared" si="134"/>
        <v>0.31874999999999998</v>
      </c>
      <c r="T272" s="31">
        <f>VLOOKUP(A272,'Ansvar kurs'!$A$1:$C$1027,2,FALSE)</f>
        <v>2180</v>
      </c>
      <c r="U272" s="31" t="str">
        <f>VLOOKUP(T272,Orgenheter!$A$1:$C$165,2,FALSE)</f>
        <v xml:space="preserve">Pedagogik                     </v>
      </c>
      <c r="V272" s="31" t="str">
        <f>VLOOKUP(T272,Orgenheter!$A$1:$C$165,3,FALSE)</f>
        <v>Sam</v>
      </c>
      <c r="W272" s="37" t="str">
        <f>VLOOKUP(D272,Program!$A$1:$B$34,2,FALSE)</f>
        <v>Ämneslärarprogrammet - åk 7-9</v>
      </c>
      <c r="X272" s="42">
        <f>VLOOKUP(A272,kurspris!$A$1:$Q$815,15,FALSE)</f>
        <v>21634</v>
      </c>
      <c r="Y272" s="42">
        <f>VLOOKUP(A272,kurspris!$A$1:$Q$815,16,FALSE)</f>
        <v>26986</v>
      </c>
      <c r="Z272" s="42">
        <f t="shared" si="135"/>
        <v>16714.537499999999</v>
      </c>
      <c r="AA272" s="42">
        <f>VLOOKUP(A272,kurspris!$A$1:$Q$815,17,FALSE)</f>
        <v>3400</v>
      </c>
      <c r="AB272" s="42">
        <f t="shared" si="136"/>
        <v>1275</v>
      </c>
      <c r="AC272" s="42">
        <f t="shared" si="137"/>
        <v>17989.537499999999</v>
      </c>
      <c r="AD272" s="31">
        <f>VLOOKUP($A272,kurspris!$A$1:$Q$852,3,FALSE)</f>
        <v>0</v>
      </c>
      <c r="AE272" s="31">
        <f>VLOOKUP($A272,kurspris!$A$1:$Q$852,4,FALSE)</f>
        <v>0</v>
      </c>
      <c r="AF272" s="31">
        <f>VLOOKUP($A272,kurspris!$A$1:$Q$852,5,FALSE)</f>
        <v>0</v>
      </c>
      <c r="AG272" s="31">
        <f>VLOOKUP($A272,kurspris!$A$1:$Q$852,6,FALSE)</f>
        <v>0</v>
      </c>
      <c r="AH272" s="31">
        <f>VLOOKUP($A272,kurspris!$A$1:$Q$852,7,FALSE)</f>
        <v>0</v>
      </c>
      <c r="AI272" s="31">
        <f>VLOOKUP($A272,kurspris!$A$1:$Q$852,8,FALSE)</f>
        <v>0</v>
      </c>
      <c r="AJ272" s="31">
        <f>VLOOKUP($A272,kurspris!$A$1:$Q$852,9,FALSE)</f>
        <v>0</v>
      </c>
      <c r="AK272" s="31">
        <f>VLOOKUP($A272,kurspris!$A$1:$Q$852,10,FALSE)</f>
        <v>0</v>
      </c>
      <c r="AL272" s="31">
        <f>VLOOKUP($A272,kurspris!$A$1:$Q$852,11,FALSE)</f>
        <v>1</v>
      </c>
      <c r="AM272" s="31">
        <f>VLOOKUP($A272,kurspris!$A$1:$Q$852,12,FALSE)</f>
        <v>0</v>
      </c>
      <c r="AN272" s="31">
        <f>VLOOKUP($A272,kurspris!$A$1:$Q$852,13,FALSE)</f>
        <v>0</v>
      </c>
      <c r="AO272" s="31">
        <f>VLOOKUP($A272,kurspris!$A$1:$Q$852,14,FALSE)</f>
        <v>0</v>
      </c>
      <c r="AP272" s="59" t="s">
        <v>2216</v>
      </c>
      <c r="AR272" s="31">
        <f t="shared" si="138"/>
        <v>0</v>
      </c>
      <c r="AS272" s="237">
        <f t="shared" si="139"/>
        <v>0</v>
      </c>
      <c r="AT272" s="31">
        <f t="shared" si="140"/>
        <v>0</v>
      </c>
      <c r="AU272" s="237">
        <f t="shared" si="141"/>
        <v>0</v>
      </c>
      <c r="AV272" s="31">
        <f t="shared" si="142"/>
        <v>0</v>
      </c>
      <c r="AW272" s="31">
        <f t="shared" si="143"/>
        <v>0</v>
      </c>
      <c r="AX272" s="31">
        <f t="shared" si="144"/>
        <v>0</v>
      </c>
      <c r="AY272" s="237">
        <f t="shared" si="145"/>
        <v>0</v>
      </c>
      <c r="AZ272" s="214">
        <f t="shared" si="146"/>
        <v>0</v>
      </c>
      <c r="BA272" s="237">
        <f t="shared" si="147"/>
        <v>0</v>
      </c>
      <c r="BB272" s="31">
        <f t="shared" si="148"/>
        <v>0</v>
      </c>
      <c r="BC272" s="237">
        <f t="shared" si="149"/>
        <v>0</v>
      </c>
      <c r="BD272" s="31">
        <f t="shared" si="150"/>
        <v>0</v>
      </c>
      <c r="BE272" s="237">
        <f t="shared" si="151"/>
        <v>0</v>
      </c>
      <c r="BF272" s="31">
        <f t="shared" si="152"/>
        <v>0</v>
      </c>
      <c r="BG272" s="237">
        <f t="shared" si="153"/>
        <v>0</v>
      </c>
      <c r="BH272" s="31">
        <f t="shared" si="154"/>
        <v>0.375</v>
      </c>
      <c r="BI272" s="237">
        <f t="shared" si="155"/>
        <v>0.31874999999999998</v>
      </c>
      <c r="BJ272" s="31">
        <f t="shared" si="156"/>
        <v>0</v>
      </c>
      <c r="BK272" s="31">
        <f t="shared" si="157"/>
        <v>0</v>
      </c>
      <c r="BL272" s="237">
        <f t="shared" si="158"/>
        <v>0</v>
      </c>
      <c r="BM272" s="31">
        <f t="shared" si="159"/>
        <v>0</v>
      </c>
      <c r="BN272" s="237">
        <f t="shared" si="160"/>
        <v>0</v>
      </c>
    </row>
    <row r="273" spans="1:66" x14ac:dyDescent="0.25">
      <c r="A273" s="31" t="s">
        <v>1506</v>
      </c>
      <c r="B273" s="182" t="str">
        <f>VLOOKUP(A273,kurspris!$A$1:$B$894,2,FALSE)</f>
        <v>Läraryrkets dimensioner - ingångsämne Samhällskunskap</v>
      </c>
      <c r="D273" s="31" t="s">
        <v>483</v>
      </c>
      <c r="F273" s="59">
        <v>2019</v>
      </c>
      <c r="Q273" s="237">
        <v>1.5</v>
      </c>
      <c r="R273" s="40">
        <v>0.85</v>
      </c>
      <c r="S273" s="313">
        <f t="shared" si="134"/>
        <v>1.2749999999999999</v>
      </c>
      <c r="T273" s="31">
        <f>VLOOKUP(A273,'Ansvar kurs'!$A$1:$C$1027,2,FALSE)</f>
        <v>2180</v>
      </c>
      <c r="U273" s="31" t="str">
        <f>VLOOKUP(T273,Orgenheter!$A$1:$C$165,2,FALSE)</f>
        <v xml:space="preserve">Pedagogik                     </v>
      </c>
      <c r="V273" s="31" t="str">
        <f>VLOOKUP(T273,Orgenheter!$A$1:$C$165,3,FALSE)</f>
        <v>Sam</v>
      </c>
      <c r="W273" s="37" t="str">
        <f>VLOOKUP(D273,Program!$A$1:$B$34,2,FALSE)</f>
        <v>Ämneslärarprogrammet - Gy</v>
      </c>
      <c r="X273" s="42">
        <f>VLOOKUP(A273,kurspris!$A$1:$Q$815,15,FALSE)</f>
        <v>21634</v>
      </c>
      <c r="Y273" s="42">
        <f>VLOOKUP(A273,kurspris!$A$1:$Q$815,16,FALSE)</f>
        <v>26986</v>
      </c>
      <c r="Z273" s="42">
        <f t="shared" si="135"/>
        <v>66858.149999999994</v>
      </c>
      <c r="AA273" s="42">
        <f>VLOOKUP(A273,kurspris!$A$1:$Q$815,17,FALSE)</f>
        <v>3400</v>
      </c>
      <c r="AB273" s="42">
        <f t="shared" si="136"/>
        <v>5100</v>
      </c>
      <c r="AC273" s="42">
        <f t="shared" si="137"/>
        <v>71958.149999999994</v>
      </c>
      <c r="AD273" s="31">
        <f>VLOOKUP($A273,kurspris!$A$1:$Q$852,3,FALSE)</f>
        <v>0</v>
      </c>
      <c r="AE273" s="31">
        <f>VLOOKUP($A273,kurspris!$A$1:$Q$852,4,FALSE)</f>
        <v>0</v>
      </c>
      <c r="AF273" s="31">
        <f>VLOOKUP($A273,kurspris!$A$1:$Q$852,5,FALSE)</f>
        <v>0</v>
      </c>
      <c r="AG273" s="31">
        <f>VLOOKUP($A273,kurspris!$A$1:$Q$852,6,FALSE)</f>
        <v>0</v>
      </c>
      <c r="AH273" s="31">
        <f>VLOOKUP($A273,kurspris!$A$1:$Q$852,7,FALSE)</f>
        <v>0</v>
      </c>
      <c r="AI273" s="31">
        <f>VLOOKUP($A273,kurspris!$A$1:$Q$852,8,FALSE)</f>
        <v>0</v>
      </c>
      <c r="AJ273" s="31">
        <f>VLOOKUP($A273,kurspris!$A$1:$Q$852,9,FALSE)</f>
        <v>0</v>
      </c>
      <c r="AK273" s="31">
        <f>VLOOKUP($A273,kurspris!$A$1:$Q$852,10,FALSE)</f>
        <v>0</v>
      </c>
      <c r="AL273" s="31">
        <f>VLOOKUP($A273,kurspris!$A$1:$Q$852,11,FALSE)</f>
        <v>1</v>
      </c>
      <c r="AM273" s="31">
        <f>VLOOKUP($A273,kurspris!$A$1:$Q$852,12,FALSE)</f>
        <v>0</v>
      </c>
      <c r="AN273" s="31">
        <f>VLOOKUP($A273,kurspris!$A$1:$Q$852,13,FALSE)</f>
        <v>0</v>
      </c>
      <c r="AO273" s="31">
        <f>VLOOKUP($A273,kurspris!$A$1:$Q$852,14,FALSE)</f>
        <v>0</v>
      </c>
      <c r="AP273" s="59" t="s">
        <v>2216</v>
      </c>
      <c r="AR273" s="31">
        <f t="shared" si="138"/>
        <v>0</v>
      </c>
      <c r="AS273" s="237">
        <f t="shared" si="139"/>
        <v>0</v>
      </c>
      <c r="AT273" s="31">
        <f t="shared" si="140"/>
        <v>0</v>
      </c>
      <c r="AU273" s="237">
        <f t="shared" si="141"/>
        <v>0</v>
      </c>
      <c r="AV273" s="31">
        <f t="shared" si="142"/>
        <v>0</v>
      </c>
      <c r="AW273" s="31">
        <f t="shared" si="143"/>
        <v>0</v>
      </c>
      <c r="AX273" s="31">
        <f t="shared" si="144"/>
        <v>0</v>
      </c>
      <c r="AY273" s="237">
        <f t="shared" si="145"/>
        <v>0</v>
      </c>
      <c r="AZ273" s="214">
        <f t="shared" si="146"/>
        <v>0</v>
      </c>
      <c r="BA273" s="237">
        <f t="shared" si="147"/>
        <v>0</v>
      </c>
      <c r="BB273" s="31">
        <f t="shared" si="148"/>
        <v>0</v>
      </c>
      <c r="BC273" s="237">
        <f t="shared" si="149"/>
        <v>0</v>
      </c>
      <c r="BD273" s="31">
        <f t="shared" si="150"/>
        <v>0</v>
      </c>
      <c r="BE273" s="237">
        <f t="shared" si="151"/>
        <v>0</v>
      </c>
      <c r="BF273" s="31">
        <f t="shared" si="152"/>
        <v>0</v>
      </c>
      <c r="BG273" s="237">
        <f t="shared" si="153"/>
        <v>0</v>
      </c>
      <c r="BH273" s="31">
        <f t="shared" si="154"/>
        <v>1.5</v>
      </c>
      <c r="BI273" s="237">
        <f t="shared" si="155"/>
        <v>1.2749999999999999</v>
      </c>
      <c r="BJ273" s="31">
        <f t="shared" si="156"/>
        <v>0</v>
      </c>
      <c r="BK273" s="31">
        <f t="shared" si="157"/>
        <v>0</v>
      </c>
      <c r="BL273" s="237">
        <f t="shared" si="158"/>
        <v>0</v>
      </c>
      <c r="BM273" s="31">
        <f t="shared" si="159"/>
        <v>0</v>
      </c>
      <c r="BN273" s="237">
        <f t="shared" si="160"/>
        <v>0</v>
      </c>
    </row>
    <row r="274" spans="1:66" x14ac:dyDescent="0.25">
      <c r="A274" s="31" t="s">
        <v>1477</v>
      </c>
      <c r="B274" s="182" t="str">
        <f>VLOOKUP(A274,kurspris!$A$1:$B$894,2,FALSE)</f>
        <v>Handledarutbildning för VFU-handledare, bedömning</v>
      </c>
      <c r="D274" s="31" t="s">
        <v>117</v>
      </c>
      <c r="F274" s="59">
        <v>2019</v>
      </c>
      <c r="Q274" s="237">
        <v>4.2583299999999999</v>
      </c>
      <c r="R274" s="40">
        <v>0.8</v>
      </c>
      <c r="S274" s="313">
        <f t="shared" si="134"/>
        <v>3.4066640000000001</v>
      </c>
      <c r="T274" s="31">
        <f>VLOOKUP(A274,'Ansvar kurs'!$A$1:$C$1027,2,FALSE)</f>
        <v>5740</v>
      </c>
      <c r="U274" s="31" t="str">
        <f>VLOOKUP(T274,Orgenheter!$A$1:$C$165,2,FALSE)</f>
        <v>NMD</v>
      </c>
      <c r="V274" s="31" t="str">
        <f>VLOOKUP(T274,Orgenheter!$A$1:$C$165,3,FALSE)</f>
        <v>TekNat</v>
      </c>
      <c r="W274" s="37" t="str">
        <f>VLOOKUP(D274,Program!$A$1:$B$34,2,FALSE)</f>
        <v>Fristående och övriga kurser</v>
      </c>
      <c r="X274" s="42">
        <f>VLOOKUP(A274,kurspris!$A$1:$Q$815,15,FALSE)</f>
        <v>19473</v>
      </c>
      <c r="Y274" s="42">
        <f>VLOOKUP(A274,kurspris!$A$1:$Q$815,16,FALSE)</f>
        <v>34806</v>
      </c>
      <c r="Z274" s="42">
        <f t="shared" si="135"/>
        <v>201494.80727399999</v>
      </c>
      <c r="AA274" s="42">
        <f>VLOOKUP(A274,kurspris!$A$1:$Q$815,17,FALSE)</f>
        <v>21800</v>
      </c>
      <c r="AB274" s="42">
        <f t="shared" si="136"/>
        <v>92831.593999999997</v>
      </c>
      <c r="AC274" s="42">
        <f t="shared" si="137"/>
        <v>294326.401274</v>
      </c>
      <c r="AD274" s="31">
        <f>VLOOKUP($A274,kurspris!$A$1:$Q$852,3,FALSE)</f>
        <v>0</v>
      </c>
      <c r="AE274" s="31">
        <f>VLOOKUP($A274,kurspris!$A$1:$Q$852,4,FALSE)</f>
        <v>0</v>
      </c>
      <c r="AF274" s="31">
        <f>VLOOKUP($A274,kurspris!$A$1:$Q$852,5,FALSE)</f>
        <v>0</v>
      </c>
      <c r="AG274" s="31">
        <f>VLOOKUP($A274,kurspris!$A$1:$Q$852,6,FALSE)</f>
        <v>0</v>
      </c>
      <c r="AH274" s="31">
        <f>VLOOKUP($A274,kurspris!$A$1:$Q$852,7,FALSE)</f>
        <v>0</v>
      </c>
      <c r="AI274" s="31">
        <f>VLOOKUP($A274,kurspris!$A$1:$Q$852,8,FALSE)</f>
        <v>1</v>
      </c>
      <c r="AJ274" s="31">
        <f>VLOOKUP($A274,kurspris!$A$1:$Q$852,9,FALSE)</f>
        <v>0</v>
      </c>
      <c r="AK274" s="31">
        <f>VLOOKUP($A274,kurspris!$A$1:$Q$852,10,FALSE)</f>
        <v>0</v>
      </c>
      <c r="AL274" s="31">
        <f>VLOOKUP($A274,kurspris!$A$1:$Q$852,11,FALSE)</f>
        <v>0</v>
      </c>
      <c r="AM274" s="31">
        <f>VLOOKUP($A274,kurspris!$A$1:$Q$852,12,FALSE)</f>
        <v>0</v>
      </c>
      <c r="AN274" s="31">
        <f>VLOOKUP($A274,kurspris!$A$1:$Q$852,13,FALSE)</f>
        <v>0</v>
      </c>
      <c r="AO274" s="31">
        <f>VLOOKUP($A274,kurspris!$A$1:$Q$852,14,FALSE)</f>
        <v>0</v>
      </c>
      <c r="AP274" s="59" t="s">
        <v>2216</v>
      </c>
      <c r="AR274" s="31">
        <f t="shared" si="138"/>
        <v>0</v>
      </c>
      <c r="AS274" s="237">
        <f t="shared" si="139"/>
        <v>0</v>
      </c>
      <c r="AT274" s="31">
        <f t="shared" si="140"/>
        <v>0</v>
      </c>
      <c r="AU274" s="237">
        <f t="shared" si="141"/>
        <v>0</v>
      </c>
      <c r="AV274" s="31">
        <f t="shared" si="142"/>
        <v>0</v>
      </c>
      <c r="AW274" s="31">
        <f t="shared" si="143"/>
        <v>0</v>
      </c>
      <c r="AX274" s="31">
        <f t="shared" si="144"/>
        <v>0</v>
      </c>
      <c r="AY274" s="237">
        <f t="shared" si="145"/>
        <v>0</v>
      </c>
      <c r="AZ274" s="214">
        <f t="shared" si="146"/>
        <v>0</v>
      </c>
      <c r="BA274" s="237">
        <f t="shared" si="147"/>
        <v>0</v>
      </c>
      <c r="BB274" s="31">
        <f t="shared" si="148"/>
        <v>4.2583299999999999</v>
      </c>
      <c r="BC274" s="237">
        <f t="shared" si="149"/>
        <v>3.4066640000000001</v>
      </c>
      <c r="BD274" s="31">
        <f t="shared" si="150"/>
        <v>0</v>
      </c>
      <c r="BE274" s="237">
        <f t="shared" si="151"/>
        <v>0</v>
      </c>
      <c r="BF274" s="31">
        <f t="shared" si="152"/>
        <v>0</v>
      </c>
      <c r="BG274" s="237">
        <f t="shared" si="153"/>
        <v>0</v>
      </c>
      <c r="BH274" s="31">
        <f t="shared" si="154"/>
        <v>0</v>
      </c>
      <c r="BI274" s="237">
        <f t="shared" si="155"/>
        <v>0</v>
      </c>
      <c r="BJ274" s="31">
        <f t="shared" si="156"/>
        <v>0</v>
      </c>
      <c r="BK274" s="31">
        <f t="shared" si="157"/>
        <v>0</v>
      </c>
      <c r="BL274" s="237">
        <f t="shared" si="158"/>
        <v>0</v>
      </c>
      <c r="BM274" s="31">
        <f t="shared" si="159"/>
        <v>0</v>
      </c>
      <c r="BN274" s="237">
        <f t="shared" si="160"/>
        <v>0</v>
      </c>
    </row>
    <row r="275" spans="1:66" x14ac:dyDescent="0.25">
      <c r="A275" s="31" t="s">
        <v>1507</v>
      </c>
      <c r="B275" s="182" t="str">
        <f>VLOOKUP(A275,kurspris!$A$1:$B$894,2,FALSE)</f>
        <v>Att undervisa i fritidshem (VFU)</v>
      </c>
      <c r="D275" s="31" t="s">
        <v>485</v>
      </c>
      <c r="F275" s="59">
        <v>2019</v>
      </c>
      <c r="Q275" s="237">
        <v>3.125</v>
      </c>
      <c r="R275" s="40">
        <v>0.85</v>
      </c>
      <c r="S275" s="313">
        <f t="shared" si="134"/>
        <v>2.65625</v>
      </c>
      <c r="T275" s="31">
        <f>VLOOKUP(A275,'Ansvar kurs'!$A$1:$C$1027,2,FALSE)</f>
        <v>2193</v>
      </c>
      <c r="U275" s="31" t="str">
        <f>VLOOKUP(T275,Orgenheter!$A$1:$C$165,2,FALSE)</f>
        <v xml:space="preserve">TUV </v>
      </c>
      <c r="V275" s="31" t="str">
        <f>VLOOKUP(T275,Orgenheter!$A$1:$C$165,3,FALSE)</f>
        <v>Sam</v>
      </c>
      <c r="W275" s="37" t="str">
        <f>VLOOKUP(D275,Program!$A$1:$B$34,2,FALSE)</f>
        <v>Grundlärarprogrammet - fritidshem</v>
      </c>
      <c r="X275" s="42">
        <f>VLOOKUP(A275,kurspris!$A$1:$Q$815,15,FALSE)</f>
        <v>21634</v>
      </c>
      <c r="Y275" s="42">
        <f>VLOOKUP(A275,kurspris!$A$1:$Q$815,16,FALSE)</f>
        <v>26986</v>
      </c>
      <c r="Z275" s="42">
        <f t="shared" si="135"/>
        <v>139287.8125</v>
      </c>
      <c r="AA275" s="42">
        <f>VLOOKUP(A275,kurspris!$A$1:$Q$815,17,FALSE)</f>
        <v>3400</v>
      </c>
      <c r="AB275" s="42">
        <f t="shared" si="136"/>
        <v>10625</v>
      </c>
      <c r="AC275" s="42">
        <f t="shared" si="137"/>
        <v>149912.8125</v>
      </c>
      <c r="AD275" s="31">
        <f>VLOOKUP($A275,kurspris!$A$1:$Q$852,3,FALSE)</f>
        <v>0</v>
      </c>
      <c r="AE275" s="31">
        <f>VLOOKUP($A275,kurspris!$A$1:$Q$852,4,FALSE)</f>
        <v>0</v>
      </c>
      <c r="AF275" s="31">
        <f>VLOOKUP($A275,kurspris!$A$1:$Q$852,5,FALSE)</f>
        <v>0</v>
      </c>
      <c r="AG275" s="31">
        <f>VLOOKUP($A275,kurspris!$A$1:$Q$852,6,FALSE)</f>
        <v>0</v>
      </c>
      <c r="AH275" s="31">
        <f>VLOOKUP($A275,kurspris!$A$1:$Q$852,7,FALSE)</f>
        <v>0</v>
      </c>
      <c r="AI275" s="31">
        <f>VLOOKUP($A275,kurspris!$A$1:$Q$852,8,FALSE)</f>
        <v>0</v>
      </c>
      <c r="AJ275" s="31">
        <f>VLOOKUP($A275,kurspris!$A$1:$Q$852,9,FALSE)</f>
        <v>0</v>
      </c>
      <c r="AK275" s="31">
        <f>VLOOKUP($A275,kurspris!$A$1:$Q$852,10,FALSE)</f>
        <v>0</v>
      </c>
      <c r="AL275" s="31">
        <f>VLOOKUP($A275,kurspris!$A$1:$Q$852,11,FALSE)</f>
        <v>1</v>
      </c>
      <c r="AM275" s="31">
        <f>VLOOKUP($A275,kurspris!$A$1:$Q$852,12,FALSE)</f>
        <v>0</v>
      </c>
      <c r="AN275" s="31">
        <f>VLOOKUP($A275,kurspris!$A$1:$Q$852,13,FALSE)</f>
        <v>0</v>
      </c>
      <c r="AO275" s="31">
        <f>VLOOKUP($A275,kurspris!$A$1:$Q$852,14,FALSE)</f>
        <v>0</v>
      </c>
      <c r="AP275" s="59" t="s">
        <v>2216</v>
      </c>
      <c r="AR275" s="31">
        <f t="shared" si="138"/>
        <v>0</v>
      </c>
      <c r="AS275" s="237">
        <f t="shared" si="139"/>
        <v>0</v>
      </c>
      <c r="AT275" s="31">
        <f t="shared" si="140"/>
        <v>0</v>
      </c>
      <c r="AU275" s="237">
        <f t="shared" si="141"/>
        <v>0</v>
      </c>
      <c r="AV275" s="31">
        <f t="shared" si="142"/>
        <v>0</v>
      </c>
      <c r="AW275" s="31">
        <f t="shared" si="143"/>
        <v>0</v>
      </c>
      <c r="AX275" s="31">
        <f t="shared" si="144"/>
        <v>0</v>
      </c>
      <c r="AY275" s="237">
        <f t="shared" si="145"/>
        <v>0</v>
      </c>
      <c r="AZ275" s="214">
        <f t="shared" si="146"/>
        <v>0</v>
      </c>
      <c r="BA275" s="237">
        <f t="shared" si="147"/>
        <v>0</v>
      </c>
      <c r="BB275" s="31">
        <f t="shared" si="148"/>
        <v>0</v>
      </c>
      <c r="BC275" s="237">
        <f t="shared" si="149"/>
        <v>0</v>
      </c>
      <c r="BD275" s="31">
        <f t="shared" si="150"/>
        <v>0</v>
      </c>
      <c r="BE275" s="237">
        <f t="shared" si="151"/>
        <v>0</v>
      </c>
      <c r="BF275" s="31">
        <f t="shared" si="152"/>
        <v>0</v>
      </c>
      <c r="BG275" s="237">
        <f t="shared" si="153"/>
        <v>0</v>
      </c>
      <c r="BH275" s="31">
        <f t="shared" si="154"/>
        <v>3.125</v>
      </c>
      <c r="BI275" s="237">
        <f t="shared" si="155"/>
        <v>2.65625</v>
      </c>
      <c r="BJ275" s="31">
        <f t="shared" si="156"/>
        <v>0</v>
      </c>
      <c r="BK275" s="31">
        <f t="shared" si="157"/>
        <v>0</v>
      </c>
      <c r="BL275" s="237">
        <f t="shared" si="158"/>
        <v>0</v>
      </c>
      <c r="BM275" s="31">
        <f t="shared" si="159"/>
        <v>0</v>
      </c>
      <c r="BN275" s="237">
        <f t="shared" si="160"/>
        <v>0</v>
      </c>
    </row>
    <row r="276" spans="1:66" x14ac:dyDescent="0.25">
      <c r="A276" s="31" t="s">
        <v>1920</v>
      </c>
      <c r="B276" s="182" t="str">
        <f>VLOOKUP(A276,kurspris!$A$1:$B$894,2,FALSE)</f>
        <v>Handledarutbildning för VFU-handledare, handledningssamtal</v>
      </c>
      <c r="D276" s="31" t="s">
        <v>117</v>
      </c>
      <c r="F276" s="59">
        <v>2019</v>
      </c>
      <c r="Q276" s="237">
        <v>5.2666700000000004</v>
      </c>
      <c r="R276" s="40">
        <v>0.8</v>
      </c>
      <c r="S276" s="313">
        <f t="shared" si="134"/>
        <v>4.2133360000000009</v>
      </c>
      <c r="T276" s="31">
        <f>VLOOKUP(A276,'Ansvar kurs'!$A$1:$C$1027,2,FALSE)</f>
        <v>2193</v>
      </c>
      <c r="U276" s="31" t="str">
        <f>VLOOKUP(T276,Orgenheter!$A$1:$C$165,2,FALSE)</f>
        <v xml:space="preserve">TUV </v>
      </c>
      <c r="V276" s="31" t="str">
        <f>VLOOKUP(T276,Orgenheter!$A$1:$C$165,3,FALSE)</f>
        <v>Sam</v>
      </c>
      <c r="W276" s="37" t="str">
        <f>VLOOKUP(D276,Program!$A$1:$B$34,2,FALSE)</f>
        <v>Fristående och övriga kurser</v>
      </c>
      <c r="X276" s="42">
        <f>VLOOKUP(A276,kurspris!$A$1:$Q$815,15,FALSE)</f>
        <v>18405</v>
      </c>
      <c r="Y276" s="42">
        <f>VLOOKUP(A276,kurspris!$A$1:$Q$815,16,FALSE)</f>
        <v>15773</v>
      </c>
      <c r="Z276" s="42">
        <f t="shared" si="135"/>
        <v>163390.01007800002</v>
      </c>
      <c r="AA276" s="42">
        <f>VLOOKUP(A276,kurspris!$A$1:$Q$815,17,FALSE)</f>
        <v>5800</v>
      </c>
      <c r="AB276" s="42">
        <f t="shared" si="136"/>
        <v>30546.686000000002</v>
      </c>
      <c r="AC276" s="42">
        <f t="shared" si="137"/>
        <v>193936.69607800001</v>
      </c>
      <c r="AD276" s="31">
        <f>VLOOKUP($A276,kurspris!$A$1:$Q$852,3,FALSE)</f>
        <v>0</v>
      </c>
      <c r="AE276" s="31">
        <f>VLOOKUP($A276,kurspris!$A$1:$Q$852,4,FALSE)</f>
        <v>0</v>
      </c>
      <c r="AF276" s="31">
        <f>VLOOKUP($A276,kurspris!$A$1:$Q$852,5,FALSE)</f>
        <v>0</v>
      </c>
      <c r="AG276" s="31">
        <f>VLOOKUP($A276,kurspris!$A$1:$Q$852,6,FALSE)</f>
        <v>0</v>
      </c>
      <c r="AH276" s="31">
        <f>VLOOKUP($A276,kurspris!$A$1:$Q$852,7,FALSE)</f>
        <v>0</v>
      </c>
      <c r="AI276" s="31">
        <f>VLOOKUP($A276,kurspris!$A$1:$Q$852,8,FALSE)</f>
        <v>0</v>
      </c>
      <c r="AJ276" s="31">
        <f>VLOOKUP($A276,kurspris!$A$1:$Q$852,9,FALSE)</f>
        <v>1</v>
      </c>
      <c r="AK276" s="31">
        <f>VLOOKUP($A276,kurspris!$A$1:$Q$852,10,FALSE)</f>
        <v>0</v>
      </c>
      <c r="AL276" s="31">
        <f>VLOOKUP($A276,kurspris!$A$1:$Q$852,11,FALSE)</f>
        <v>0</v>
      </c>
      <c r="AM276" s="31">
        <f>VLOOKUP($A276,kurspris!$A$1:$Q$852,12,FALSE)</f>
        <v>0</v>
      </c>
      <c r="AN276" s="31">
        <f>VLOOKUP($A276,kurspris!$A$1:$Q$852,13,FALSE)</f>
        <v>0</v>
      </c>
      <c r="AO276" s="31">
        <f>VLOOKUP($A276,kurspris!$A$1:$Q$852,14,FALSE)</f>
        <v>0</v>
      </c>
      <c r="AP276" s="59" t="s">
        <v>2216</v>
      </c>
      <c r="AR276" s="31">
        <f t="shared" si="138"/>
        <v>0</v>
      </c>
      <c r="AS276" s="237">
        <f t="shared" si="139"/>
        <v>0</v>
      </c>
      <c r="AT276" s="31">
        <f t="shared" si="140"/>
        <v>0</v>
      </c>
      <c r="AU276" s="237">
        <f t="shared" si="141"/>
        <v>0</v>
      </c>
      <c r="AV276" s="31">
        <f t="shared" si="142"/>
        <v>0</v>
      </c>
      <c r="AW276" s="31">
        <f t="shared" si="143"/>
        <v>0</v>
      </c>
      <c r="AX276" s="31">
        <f t="shared" si="144"/>
        <v>0</v>
      </c>
      <c r="AY276" s="237">
        <f t="shared" si="145"/>
        <v>0</v>
      </c>
      <c r="AZ276" s="214">
        <f t="shared" si="146"/>
        <v>0</v>
      </c>
      <c r="BA276" s="237">
        <f t="shared" si="147"/>
        <v>0</v>
      </c>
      <c r="BB276" s="31">
        <f t="shared" si="148"/>
        <v>0</v>
      </c>
      <c r="BC276" s="237">
        <f t="shared" si="149"/>
        <v>0</v>
      </c>
      <c r="BD276" s="31">
        <f t="shared" si="150"/>
        <v>5.2666700000000004</v>
      </c>
      <c r="BE276" s="237">
        <f t="shared" si="151"/>
        <v>4.2133360000000009</v>
      </c>
      <c r="BF276" s="31">
        <f t="shared" si="152"/>
        <v>0</v>
      </c>
      <c r="BG276" s="237">
        <f t="shared" si="153"/>
        <v>0</v>
      </c>
      <c r="BH276" s="31">
        <f t="shared" si="154"/>
        <v>0</v>
      </c>
      <c r="BI276" s="237">
        <f t="shared" si="155"/>
        <v>0</v>
      </c>
      <c r="BJ276" s="31">
        <f t="shared" si="156"/>
        <v>0</v>
      </c>
      <c r="BK276" s="31">
        <f t="shared" si="157"/>
        <v>0</v>
      </c>
      <c r="BL276" s="237">
        <f t="shared" si="158"/>
        <v>0</v>
      </c>
      <c r="BM276" s="31">
        <f t="shared" si="159"/>
        <v>0</v>
      </c>
      <c r="BN276" s="237">
        <f t="shared" si="160"/>
        <v>0</v>
      </c>
    </row>
    <row r="277" spans="1:66" x14ac:dyDescent="0.25">
      <c r="A277" s="31" t="s">
        <v>1473</v>
      </c>
      <c r="B277" s="182" t="str">
        <f>VLOOKUP(A277,kurspris!$A$1:$B$894,2,FALSE)</f>
        <v>Verksamhetsförlagd utbildning för yrkeslärare (VFU)</v>
      </c>
      <c r="D277" s="31" t="s">
        <v>627</v>
      </c>
      <c r="F277" s="59">
        <v>2019</v>
      </c>
      <c r="Q277" s="237">
        <v>9.25</v>
      </c>
      <c r="R277" s="40">
        <v>0.85</v>
      </c>
      <c r="S277" s="313">
        <f t="shared" si="134"/>
        <v>7.8624999999999998</v>
      </c>
      <c r="T277" s="31">
        <f>VLOOKUP(A277,'Ansvar kurs'!$A$1:$C$1027,2,FALSE)</f>
        <v>2180</v>
      </c>
      <c r="U277" s="31" t="str">
        <f>VLOOKUP(T277,Orgenheter!$A$1:$C$165,2,FALSE)</f>
        <v xml:space="preserve">Pedagogik                     </v>
      </c>
      <c r="V277" s="31" t="str">
        <f>VLOOKUP(T277,Orgenheter!$A$1:$C$165,3,FALSE)</f>
        <v>Sam</v>
      </c>
      <c r="W277" s="37" t="str">
        <f>VLOOKUP(D277,Program!$A$1:$B$34,2,FALSE)</f>
        <v>Yrkeslärarprogrammet</v>
      </c>
      <c r="X277" s="42">
        <f>VLOOKUP(A277,kurspris!$A$1:$Q$815,15,FALSE)</f>
        <v>21634</v>
      </c>
      <c r="Y277" s="42">
        <f>VLOOKUP(A277,kurspris!$A$1:$Q$815,16,FALSE)</f>
        <v>26986</v>
      </c>
      <c r="Z277" s="42">
        <f t="shared" si="135"/>
        <v>412291.92499999999</v>
      </c>
      <c r="AA277" s="42">
        <f>VLOOKUP(A277,kurspris!$A$1:$Q$815,17,FALSE)</f>
        <v>3400</v>
      </c>
      <c r="AB277" s="42">
        <f t="shared" si="136"/>
        <v>31450</v>
      </c>
      <c r="AC277" s="42">
        <f t="shared" si="137"/>
        <v>443741.92499999999</v>
      </c>
      <c r="AD277" s="31">
        <f>VLOOKUP($A277,kurspris!$A$1:$Q$852,3,FALSE)</f>
        <v>0</v>
      </c>
      <c r="AE277" s="31">
        <f>VLOOKUP($A277,kurspris!$A$1:$Q$852,4,FALSE)</f>
        <v>0</v>
      </c>
      <c r="AF277" s="31">
        <f>VLOOKUP($A277,kurspris!$A$1:$Q$852,5,FALSE)</f>
        <v>0</v>
      </c>
      <c r="AG277" s="31">
        <f>VLOOKUP($A277,kurspris!$A$1:$Q$852,6,FALSE)</f>
        <v>0</v>
      </c>
      <c r="AH277" s="31">
        <f>VLOOKUP($A277,kurspris!$A$1:$Q$852,7,FALSE)</f>
        <v>0</v>
      </c>
      <c r="AI277" s="31">
        <f>VLOOKUP($A277,kurspris!$A$1:$Q$852,8,FALSE)</f>
        <v>0</v>
      </c>
      <c r="AJ277" s="31">
        <f>VLOOKUP($A277,kurspris!$A$1:$Q$852,9,FALSE)</f>
        <v>0</v>
      </c>
      <c r="AK277" s="31">
        <f>VLOOKUP($A277,kurspris!$A$1:$Q$852,10,FALSE)</f>
        <v>0</v>
      </c>
      <c r="AL277" s="31">
        <f>VLOOKUP($A277,kurspris!$A$1:$Q$852,11,FALSE)</f>
        <v>1</v>
      </c>
      <c r="AM277" s="31">
        <f>VLOOKUP($A277,kurspris!$A$1:$Q$852,12,FALSE)</f>
        <v>0</v>
      </c>
      <c r="AN277" s="31">
        <f>VLOOKUP($A277,kurspris!$A$1:$Q$852,13,FALSE)</f>
        <v>0</v>
      </c>
      <c r="AO277" s="31">
        <f>VLOOKUP($A277,kurspris!$A$1:$Q$852,14,FALSE)</f>
        <v>0</v>
      </c>
      <c r="AP277" s="59" t="s">
        <v>2216</v>
      </c>
      <c r="AR277" s="31">
        <f t="shared" si="138"/>
        <v>0</v>
      </c>
      <c r="AS277" s="237">
        <f t="shared" si="139"/>
        <v>0</v>
      </c>
      <c r="AT277" s="31">
        <f t="shared" si="140"/>
        <v>0</v>
      </c>
      <c r="AU277" s="237">
        <f t="shared" si="141"/>
        <v>0</v>
      </c>
      <c r="AV277" s="31">
        <f t="shared" si="142"/>
        <v>0</v>
      </c>
      <c r="AW277" s="31">
        <f t="shared" si="143"/>
        <v>0</v>
      </c>
      <c r="AX277" s="31">
        <f t="shared" si="144"/>
        <v>0</v>
      </c>
      <c r="AY277" s="237">
        <f t="shared" si="145"/>
        <v>0</v>
      </c>
      <c r="AZ277" s="214">
        <f t="shared" si="146"/>
        <v>0</v>
      </c>
      <c r="BA277" s="237">
        <f t="shared" si="147"/>
        <v>0</v>
      </c>
      <c r="BB277" s="31">
        <f t="shared" si="148"/>
        <v>0</v>
      </c>
      <c r="BC277" s="237">
        <f t="shared" si="149"/>
        <v>0</v>
      </c>
      <c r="BD277" s="31">
        <f t="shared" si="150"/>
        <v>0</v>
      </c>
      <c r="BE277" s="237">
        <f t="shared" si="151"/>
        <v>0</v>
      </c>
      <c r="BF277" s="31">
        <f t="shared" si="152"/>
        <v>0</v>
      </c>
      <c r="BG277" s="237">
        <f t="shared" si="153"/>
        <v>0</v>
      </c>
      <c r="BH277" s="31">
        <f t="shared" si="154"/>
        <v>9.25</v>
      </c>
      <c r="BI277" s="237">
        <f t="shared" si="155"/>
        <v>7.8624999999999998</v>
      </c>
      <c r="BJ277" s="31">
        <f t="shared" si="156"/>
        <v>0</v>
      </c>
      <c r="BK277" s="31">
        <f t="shared" si="157"/>
        <v>0</v>
      </c>
      <c r="BL277" s="237">
        <f t="shared" si="158"/>
        <v>0</v>
      </c>
      <c r="BM277" s="31">
        <f t="shared" si="159"/>
        <v>0</v>
      </c>
      <c r="BN277" s="237">
        <f t="shared" si="160"/>
        <v>0</v>
      </c>
    </row>
    <row r="278" spans="1:66" x14ac:dyDescent="0.25">
      <c r="A278" s="31" t="s">
        <v>1475</v>
      </c>
      <c r="B278" s="182" t="str">
        <f>VLOOKUP(A278,kurspris!$A$1:$B$894,2,FALSE)</f>
        <v>Examensarbete för grundlärarexamen med inriktning mot förskoleklass och grundskolans år 1-3</v>
      </c>
      <c r="D278" s="31" t="s">
        <v>486</v>
      </c>
      <c r="F278" s="59">
        <v>2019</v>
      </c>
      <c r="Q278" s="237">
        <v>22.625</v>
      </c>
      <c r="R278" s="40">
        <v>0.85</v>
      </c>
      <c r="S278" s="313">
        <f t="shared" si="134"/>
        <v>19.231249999999999</v>
      </c>
      <c r="T278" s="31">
        <f>VLOOKUP(A278,'Ansvar kurs'!$A$1:$C$1027,2,FALSE)</f>
        <v>5740</v>
      </c>
      <c r="U278" s="31" t="str">
        <f>VLOOKUP(T278,Orgenheter!$A$1:$C$165,2,FALSE)</f>
        <v>NMD</v>
      </c>
      <c r="V278" s="31" t="str">
        <f>VLOOKUP(T278,Orgenheter!$A$1:$C$165,3,FALSE)</f>
        <v>TekNat</v>
      </c>
      <c r="W278" s="37" t="str">
        <f>VLOOKUP(D278,Program!$A$1:$B$34,2,FALSE)</f>
        <v>Grundlärarprogrammet - förskoleklass och åk 1-3</v>
      </c>
      <c r="X278" s="42">
        <f>VLOOKUP(A278,kurspris!$A$1:$Q$815,15,FALSE)</f>
        <v>19473</v>
      </c>
      <c r="Y278" s="42">
        <f>VLOOKUP(A278,kurspris!$A$1:$Q$815,16,FALSE)</f>
        <v>34806</v>
      </c>
      <c r="Z278" s="42">
        <f t="shared" si="135"/>
        <v>1109939.5125</v>
      </c>
      <c r="AA278" s="42">
        <f>VLOOKUP(A278,kurspris!$A$1:$Q$815,17,FALSE)</f>
        <v>21800</v>
      </c>
      <c r="AB278" s="42">
        <f t="shared" si="136"/>
        <v>493225</v>
      </c>
      <c r="AC278" s="42">
        <f t="shared" si="137"/>
        <v>1603164.5125</v>
      </c>
      <c r="AD278" s="31">
        <f>VLOOKUP($A278,kurspris!$A$1:$Q$852,3,FALSE)</f>
        <v>0</v>
      </c>
      <c r="AE278" s="31">
        <f>VLOOKUP($A278,kurspris!$A$1:$Q$852,4,FALSE)</f>
        <v>0</v>
      </c>
      <c r="AF278" s="31">
        <f>VLOOKUP($A278,kurspris!$A$1:$Q$852,5,FALSE)</f>
        <v>0</v>
      </c>
      <c r="AG278" s="31">
        <f>VLOOKUP($A278,kurspris!$A$1:$Q$852,6,FALSE)</f>
        <v>0</v>
      </c>
      <c r="AH278" s="31">
        <f>VLOOKUP($A278,kurspris!$A$1:$Q$852,7,FALSE)</f>
        <v>0</v>
      </c>
      <c r="AI278" s="31">
        <f>VLOOKUP($A278,kurspris!$A$1:$Q$852,8,FALSE)</f>
        <v>1</v>
      </c>
      <c r="AJ278" s="31">
        <f>VLOOKUP($A278,kurspris!$A$1:$Q$852,9,FALSE)</f>
        <v>0</v>
      </c>
      <c r="AK278" s="31">
        <f>VLOOKUP($A278,kurspris!$A$1:$Q$852,10,FALSE)</f>
        <v>0</v>
      </c>
      <c r="AL278" s="31">
        <f>VLOOKUP($A278,kurspris!$A$1:$Q$852,11,FALSE)</f>
        <v>0</v>
      </c>
      <c r="AM278" s="31">
        <f>VLOOKUP($A278,kurspris!$A$1:$Q$852,12,FALSE)</f>
        <v>0</v>
      </c>
      <c r="AN278" s="31">
        <f>VLOOKUP($A278,kurspris!$A$1:$Q$852,13,FALSE)</f>
        <v>0</v>
      </c>
      <c r="AO278" s="31">
        <f>VLOOKUP($A278,kurspris!$A$1:$Q$852,14,FALSE)</f>
        <v>0</v>
      </c>
      <c r="AP278" s="59" t="s">
        <v>2216</v>
      </c>
      <c r="AR278" s="31">
        <f t="shared" si="138"/>
        <v>0</v>
      </c>
      <c r="AS278" s="237">
        <f t="shared" si="139"/>
        <v>0</v>
      </c>
      <c r="AT278" s="31">
        <f t="shared" si="140"/>
        <v>0</v>
      </c>
      <c r="AU278" s="237">
        <f t="shared" si="141"/>
        <v>0</v>
      </c>
      <c r="AV278" s="31">
        <f t="shared" si="142"/>
        <v>0</v>
      </c>
      <c r="AW278" s="31">
        <f t="shared" si="143"/>
        <v>0</v>
      </c>
      <c r="AX278" s="31">
        <f t="shared" si="144"/>
        <v>0</v>
      </c>
      <c r="AY278" s="237">
        <f t="shared" si="145"/>
        <v>0</v>
      </c>
      <c r="AZ278" s="214">
        <f t="shared" si="146"/>
        <v>0</v>
      </c>
      <c r="BA278" s="237">
        <f t="shared" si="147"/>
        <v>0</v>
      </c>
      <c r="BB278" s="31">
        <f t="shared" si="148"/>
        <v>22.625</v>
      </c>
      <c r="BC278" s="237">
        <f t="shared" si="149"/>
        <v>19.231249999999999</v>
      </c>
      <c r="BD278" s="31">
        <f t="shared" si="150"/>
        <v>0</v>
      </c>
      <c r="BE278" s="237">
        <f t="shared" si="151"/>
        <v>0</v>
      </c>
      <c r="BF278" s="31">
        <f t="shared" si="152"/>
        <v>0</v>
      </c>
      <c r="BG278" s="237">
        <f t="shared" si="153"/>
        <v>0</v>
      </c>
      <c r="BH278" s="31">
        <f t="shared" si="154"/>
        <v>0</v>
      </c>
      <c r="BI278" s="237">
        <f t="shared" si="155"/>
        <v>0</v>
      </c>
      <c r="BJ278" s="31">
        <f t="shared" si="156"/>
        <v>0</v>
      </c>
      <c r="BK278" s="31">
        <f t="shared" si="157"/>
        <v>0</v>
      </c>
      <c r="BL278" s="237">
        <f t="shared" si="158"/>
        <v>0</v>
      </c>
      <c r="BM278" s="31">
        <f t="shared" si="159"/>
        <v>0</v>
      </c>
      <c r="BN278" s="237">
        <f t="shared" si="160"/>
        <v>0</v>
      </c>
    </row>
    <row r="279" spans="1:66" x14ac:dyDescent="0.25">
      <c r="A279" s="31" t="s">
        <v>1476</v>
      </c>
      <c r="B279" s="182" t="str">
        <f>VLOOKUP(A279,kurspris!$A$1:$B$894,2,FALSE)</f>
        <v>Examensarbete för grundlärarexamen med inriktning mot grundskolans år 4-6</v>
      </c>
      <c r="D279" s="31" t="s">
        <v>524</v>
      </c>
      <c r="F279" s="59">
        <v>2019</v>
      </c>
      <c r="Q279" s="237">
        <v>12.75</v>
      </c>
      <c r="R279" s="40">
        <v>0.85</v>
      </c>
      <c r="S279" s="313">
        <f t="shared" si="134"/>
        <v>10.8375</v>
      </c>
      <c r="T279" s="31">
        <f>VLOOKUP(A279,'Ansvar kurs'!$A$1:$C$1027,2,FALSE)</f>
        <v>5740</v>
      </c>
      <c r="U279" s="31" t="str">
        <f>VLOOKUP(T279,Orgenheter!$A$1:$C$165,2,FALSE)</f>
        <v>NMD</v>
      </c>
      <c r="V279" s="31" t="str">
        <f>VLOOKUP(T279,Orgenheter!$A$1:$C$165,3,FALSE)</f>
        <v>TekNat</v>
      </c>
      <c r="W279" s="37" t="str">
        <f>VLOOKUP(D279,Program!$A$1:$B$34,2,FALSE)</f>
        <v>Grundlärarprogrammet - grundskolans åk 4-6</v>
      </c>
      <c r="X279" s="42">
        <f>VLOOKUP(A279,kurspris!$A$1:$Q$815,15,FALSE)</f>
        <v>19473</v>
      </c>
      <c r="Y279" s="42">
        <f>VLOOKUP(A279,kurspris!$A$1:$Q$815,16,FALSE)</f>
        <v>34806</v>
      </c>
      <c r="Z279" s="42">
        <f t="shared" si="135"/>
        <v>625490.77500000002</v>
      </c>
      <c r="AA279" s="42">
        <f>VLOOKUP(A279,kurspris!$A$1:$Q$815,17,FALSE)</f>
        <v>21800</v>
      </c>
      <c r="AB279" s="42">
        <f t="shared" si="136"/>
        <v>277950</v>
      </c>
      <c r="AC279" s="42">
        <f t="shared" si="137"/>
        <v>903440.77500000002</v>
      </c>
      <c r="AD279" s="31">
        <f>VLOOKUP($A279,kurspris!$A$1:$Q$852,3,FALSE)</f>
        <v>0</v>
      </c>
      <c r="AE279" s="31">
        <f>VLOOKUP($A279,kurspris!$A$1:$Q$852,4,FALSE)</f>
        <v>0</v>
      </c>
      <c r="AF279" s="31">
        <f>VLOOKUP($A279,kurspris!$A$1:$Q$852,5,FALSE)</f>
        <v>0</v>
      </c>
      <c r="AG279" s="31">
        <f>VLOOKUP($A279,kurspris!$A$1:$Q$852,6,FALSE)</f>
        <v>0</v>
      </c>
      <c r="AH279" s="31">
        <f>VLOOKUP($A279,kurspris!$A$1:$Q$852,7,FALSE)</f>
        <v>0</v>
      </c>
      <c r="AI279" s="31">
        <f>VLOOKUP($A279,kurspris!$A$1:$Q$852,8,FALSE)</f>
        <v>1</v>
      </c>
      <c r="AJ279" s="31">
        <f>VLOOKUP($A279,kurspris!$A$1:$Q$852,9,FALSE)</f>
        <v>0</v>
      </c>
      <c r="AK279" s="31">
        <f>VLOOKUP($A279,kurspris!$A$1:$Q$852,10,FALSE)</f>
        <v>0</v>
      </c>
      <c r="AL279" s="31">
        <f>VLOOKUP($A279,kurspris!$A$1:$Q$852,11,FALSE)</f>
        <v>0</v>
      </c>
      <c r="AM279" s="31">
        <f>VLOOKUP($A279,kurspris!$A$1:$Q$852,12,FALSE)</f>
        <v>0</v>
      </c>
      <c r="AN279" s="31">
        <f>VLOOKUP($A279,kurspris!$A$1:$Q$852,13,FALSE)</f>
        <v>0</v>
      </c>
      <c r="AO279" s="31">
        <f>VLOOKUP($A279,kurspris!$A$1:$Q$852,14,FALSE)</f>
        <v>0</v>
      </c>
      <c r="AP279" s="59" t="s">
        <v>2216</v>
      </c>
      <c r="AQ279" s="59"/>
      <c r="AR279" s="31">
        <f t="shared" si="138"/>
        <v>0</v>
      </c>
      <c r="AS279" s="237">
        <f t="shared" si="139"/>
        <v>0</v>
      </c>
      <c r="AT279" s="31">
        <f t="shared" si="140"/>
        <v>0</v>
      </c>
      <c r="AU279" s="237">
        <f t="shared" si="141"/>
        <v>0</v>
      </c>
      <c r="AV279" s="31">
        <f t="shared" si="142"/>
        <v>0</v>
      </c>
      <c r="AW279" s="31">
        <f t="shared" si="143"/>
        <v>0</v>
      </c>
      <c r="AX279" s="31">
        <f t="shared" si="144"/>
        <v>0</v>
      </c>
      <c r="AY279" s="237">
        <f t="shared" si="145"/>
        <v>0</v>
      </c>
      <c r="AZ279" s="214">
        <f t="shared" si="146"/>
        <v>0</v>
      </c>
      <c r="BA279" s="237">
        <f t="shared" si="147"/>
        <v>0</v>
      </c>
      <c r="BB279" s="31">
        <f t="shared" si="148"/>
        <v>12.75</v>
      </c>
      <c r="BC279" s="237">
        <f t="shared" si="149"/>
        <v>10.8375</v>
      </c>
      <c r="BD279" s="31">
        <f t="shared" si="150"/>
        <v>0</v>
      </c>
      <c r="BE279" s="237">
        <f t="shared" si="151"/>
        <v>0</v>
      </c>
      <c r="BF279" s="31">
        <f t="shared" si="152"/>
        <v>0</v>
      </c>
      <c r="BG279" s="237">
        <f t="shared" si="153"/>
        <v>0</v>
      </c>
      <c r="BH279" s="31">
        <f t="shared" si="154"/>
        <v>0</v>
      </c>
      <c r="BI279" s="237">
        <f t="shared" si="155"/>
        <v>0</v>
      </c>
      <c r="BJ279" s="31">
        <f t="shared" si="156"/>
        <v>0</v>
      </c>
      <c r="BK279" s="31">
        <f t="shared" si="157"/>
        <v>0</v>
      </c>
      <c r="BL279" s="237">
        <f t="shared" si="158"/>
        <v>0</v>
      </c>
      <c r="BM279" s="31">
        <f t="shared" si="159"/>
        <v>0</v>
      </c>
      <c r="BN279" s="237">
        <f t="shared" si="160"/>
        <v>0</v>
      </c>
    </row>
    <row r="280" spans="1:66" x14ac:dyDescent="0.25">
      <c r="A280" s="31" t="s">
        <v>1466</v>
      </c>
      <c r="B280" s="182" t="str">
        <f>VLOOKUP(A280,kurspris!$A$1:$B$894,2,FALSE)</f>
        <v>Undervisning och lärande - läroplansteori och didaktik inklusive VFU (UK och VFU)</v>
      </c>
      <c r="D280" s="31" t="s">
        <v>1614</v>
      </c>
      <c r="F280" s="59">
        <v>2019</v>
      </c>
      <c r="Q280" s="237">
        <v>2.1</v>
      </c>
      <c r="R280" s="40">
        <v>0.85</v>
      </c>
      <c r="S280" s="313">
        <f t="shared" si="134"/>
        <v>1.7849999999999999</v>
      </c>
      <c r="T280" s="31">
        <f>VLOOKUP(A280,'Ansvar kurs'!$A$1:$C$1027,2,FALSE)</f>
        <v>2180</v>
      </c>
      <c r="U280" s="31" t="str">
        <f>VLOOKUP(T280,Orgenheter!$A$1:$C$165,2,FALSE)</f>
        <v xml:space="preserve">Pedagogik                     </v>
      </c>
      <c r="V280" s="31" t="str">
        <f>VLOOKUP(T280,Orgenheter!$A$1:$C$165,3,FALSE)</f>
        <v>Sam</v>
      </c>
      <c r="W280" s="37" t="str">
        <f>VLOOKUP(D280,Program!$A$1:$B$34,2,FALSE)</f>
        <v>KPU - Förhöjd studietakt - utbildningsbidrag</v>
      </c>
      <c r="X280" s="42">
        <f>VLOOKUP(A280,kurspris!$A$1:$Q$815,15,FALSE)</f>
        <v>23299.809999999998</v>
      </c>
      <c r="Y280" s="42">
        <f>VLOOKUP(A280,kurspris!$A$1:$Q$815,16,FALSE)</f>
        <v>28479.999999999996</v>
      </c>
      <c r="Z280" s="42">
        <f t="shared" si="135"/>
        <v>99766.400999999983</v>
      </c>
      <c r="AA280" s="42">
        <f>VLOOKUP(A280,kurspris!$A$1:$Q$815,17,FALSE)</f>
        <v>5392</v>
      </c>
      <c r="AB280" s="42">
        <f t="shared" si="136"/>
        <v>11323.2</v>
      </c>
      <c r="AC280" s="42">
        <f t="shared" si="137"/>
        <v>111089.60099999998</v>
      </c>
      <c r="AD280" s="31">
        <f>VLOOKUP($A280,kurspris!$A$1:$Q$852,3,FALSE)</f>
        <v>0</v>
      </c>
      <c r="AE280" s="31">
        <f>VLOOKUP($A280,kurspris!$A$1:$Q$852,4,FALSE)</f>
        <v>0</v>
      </c>
      <c r="AF280" s="31">
        <f>VLOOKUP($A280,kurspris!$A$1:$Q$852,5,FALSE)</f>
        <v>0</v>
      </c>
      <c r="AG280" s="31">
        <f>VLOOKUP($A280,kurspris!$A$1:$Q$852,6,FALSE)</f>
        <v>0.83</v>
      </c>
      <c r="AH280" s="31">
        <f>VLOOKUP($A280,kurspris!$A$1:$Q$852,7,FALSE)</f>
        <v>0</v>
      </c>
      <c r="AI280" s="31">
        <f>VLOOKUP($A280,kurspris!$A$1:$Q$852,8,FALSE)</f>
        <v>0</v>
      </c>
      <c r="AJ280" s="31">
        <f>VLOOKUP($A280,kurspris!$A$1:$Q$852,9,FALSE)</f>
        <v>0</v>
      </c>
      <c r="AK280" s="31">
        <f>VLOOKUP($A280,kurspris!$A$1:$Q$852,10,FALSE)</f>
        <v>0</v>
      </c>
      <c r="AL280" s="31">
        <f>VLOOKUP($A280,kurspris!$A$1:$Q$852,11,FALSE)</f>
        <v>0.17</v>
      </c>
      <c r="AM280" s="31">
        <f>VLOOKUP($A280,kurspris!$A$1:$Q$852,12,FALSE)</f>
        <v>0</v>
      </c>
      <c r="AN280" s="31">
        <f>VLOOKUP($A280,kurspris!$A$1:$Q$852,13,FALSE)</f>
        <v>0</v>
      </c>
      <c r="AO280" s="31">
        <f>VLOOKUP($A280,kurspris!$A$1:$Q$852,14,FALSE)</f>
        <v>0</v>
      </c>
      <c r="AP280" s="59" t="s">
        <v>2216</v>
      </c>
      <c r="AQ280" s="59"/>
      <c r="AR280" s="31">
        <f t="shared" si="138"/>
        <v>0</v>
      </c>
      <c r="AS280" s="237">
        <f t="shared" si="139"/>
        <v>0</v>
      </c>
      <c r="AT280" s="31">
        <f t="shared" si="140"/>
        <v>0</v>
      </c>
      <c r="AU280" s="237">
        <f t="shared" si="141"/>
        <v>0</v>
      </c>
      <c r="AV280" s="31">
        <f t="shared" si="142"/>
        <v>0</v>
      </c>
      <c r="AW280" s="31">
        <f t="shared" si="143"/>
        <v>0</v>
      </c>
      <c r="AX280" s="31">
        <f t="shared" si="144"/>
        <v>1.7429999999999999</v>
      </c>
      <c r="AY280" s="237">
        <f t="shared" si="145"/>
        <v>1.4815499999999999</v>
      </c>
      <c r="AZ280" s="214">
        <f t="shared" si="146"/>
        <v>0</v>
      </c>
      <c r="BA280" s="237">
        <f t="shared" si="147"/>
        <v>0</v>
      </c>
      <c r="BB280" s="31">
        <f t="shared" si="148"/>
        <v>0</v>
      </c>
      <c r="BC280" s="237">
        <f t="shared" si="149"/>
        <v>0</v>
      </c>
      <c r="BD280" s="31">
        <f t="shared" si="150"/>
        <v>0</v>
      </c>
      <c r="BE280" s="237">
        <f t="shared" si="151"/>
        <v>0</v>
      </c>
      <c r="BF280" s="31">
        <f t="shared" si="152"/>
        <v>0</v>
      </c>
      <c r="BG280" s="237">
        <f t="shared" si="153"/>
        <v>0</v>
      </c>
      <c r="BH280" s="31">
        <f t="shared" si="154"/>
        <v>0.35700000000000004</v>
      </c>
      <c r="BI280" s="237">
        <f t="shared" si="155"/>
        <v>0.30345</v>
      </c>
      <c r="BJ280" s="31">
        <f t="shared" si="156"/>
        <v>0</v>
      </c>
      <c r="BK280" s="31">
        <f t="shared" si="157"/>
        <v>0</v>
      </c>
      <c r="BL280" s="237">
        <f t="shared" si="158"/>
        <v>0</v>
      </c>
      <c r="BM280" s="31">
        <f t="shared" si="159"/>
        <v>0</v>
      </c>
      <c r="BN280" s="237">
        <f t="shared" si="160"/>
        <v>0</v>
      </c>
    </row>
    <row r="281" spans="1:66" x14ac:dyDescent="0.25">
      <c r="A281" s="159" t="s">
        <v>1466</v>
      </c>
      <c r="B281" s="182" t="str">
        <f>VLOOKUP(A281,kurspris!$A$1:$B$894,2,FALSE)</f>
        <v>Undervisning och lärande - läroplansteori och didaktik inklusive VFU (UK och VFU)</v>
      </c>
      <c r="C281" s="37"/>
      <c r="D281" s="31" t="s">
        <v>628</v>
      </c>
      <c r="F281" s="59">
        <v>2019</v>
      </c>
      <c r="Q281" s="237">
        <v>2.5499999999999998</v>
      </c>
      <c r="R281" s="40">
        <v>0.85</v>
      </c>
      <c r="S281" s="313">
        <f t="shared" si="134"/>
        <v>2.1675</v>
      </c>
      <c r="T281" s="31">
        <f>VLOOKUP(A281,'Ansvar kurs'!$A$1:$C$1027,2,FALSE)</f>
        <v>2180</v>
      </c>
      <c r="U281" s="31" t="str">
        <f>VLOOKUP(T281,Orgenheter!$A$1:$C$165,2,FALSE)</f>
        <v xml:space="preserve">Pedagogik                     </v>
      </c>
      <c r="V281" s="31" t="str">
        <f>VLOOKUP(T281,Orgenheter!$A$1:$C$165,3,FALSE)</f>
        <v>Sam</v>
      </c>
      <c r="W281" s="37" t="str">
        <f>VLOOKUP(D281,Program!$A$1:$B$34,2,FALSE)</f>
        <v>KPU - åk 7-9</v>
      </c>
      <c r="X281" s="42">
        <f>VLOOKUP(A281,kurspris!$A$1:$Q$815,15,FALSE)</f>
        <v>23299.809999999998</v>
      </c>
      <c r="Y281" s="42">
        <f>VLOOKUP(A281,kurspris!$A$1:$Q$815,16,FALSE)</f>
        <v>28479.999999999996</v>
      </c>
      <c r="Z281" s="42">
        <f t="shared" si="135"/>
        <v>121144.91549999997</v>
      </c>
      <c r="AA281" s="42">
        <f>VLOOKUP(A281,kurspris!$A$1:$Q$815,17,FALSE)</f>
        <v>5392</v>
      </c>
      <c r="AB281" s="42">
        <f t="shared" si="136"/>
        <v>13749.599999999999</v>
      </c>
      <c r="AC281" s="42">
        <f t="shared" si="137"/>
        <v>134894.51549999998</v>
      </c>
      <c r="AD281" s="31">
        <f>VLOOKUP($A281,kurspris!$A$1:$Q$852,3,FALSE)</f>
        <v>0</v>
      </c>
      <c r="AE281" s="31">
        <f>VLOOKUP($A281,kurspris!$A$1:$Q$852,4,FALSE)</f>
        <v>0</v>
      </c>
      <c r="AF281" s="31">
        <f>VLOOKUP($A281,kurspris!$A$1:$Q$852,5,FALSE)</f>
        <v>0</v>
      </c>
      <c r="AG281" s="31">
        <f>VLOOKUP($A281,kurspris!$A$1:$Q$852,6,FALSE)</f>
        <v>0.83</v>
      </c>
      <c r="AH281" s="31">
        <f>VLOOKUP($A281,kurspris!$A$1:$Q$852,7,FALSE)</f>
        <v>0</v>
      </c>
      <c r="AI281" s="31">
        <f>VLOOKUP($A281,kurspris!$A$1:$Q$852,8,FALSE)</f>
        <v>0</v>
      </c>
      <c r="AJ281" s="31">
        <f>VLOOKUP($A281,kurspris!$A$1:$Q$852,9,FALSE)</f>
        <v>0</v>
      </c>
      <c r="AK281" s="31">
        <f>VLOOKUP($A281,kurspris!$A$1:$Q$852,10,FALSE)</f>
        <v>0</v>
      </c>
      <c r="AL281" s="31">
        <f>VLOOKUP($A281,kurspris!$A$1:$Q$852,11,FALSE)</f>
        <v>0.17</v>
      </c>
      <c r="AM281" s="31">
        <f>VLOOKUP($A281,kurspris!$A$1:$Q$852,12,FALSE)</f>
        <v>0</v>
      </c>
      <c r="AN281" s="31">
        <f>VLOOKUP($A281,kurspris!$A$1:$Q$852,13,FALSE)</f>
        <v>0</v>
      </c>
      <c r="AO281" s="31">
        <f>VLOOKUP($A281,kurspris!$A$1:$Q$852,14,FALSE)</f>
        <v>0</v>
      </c>
      <c r="AP281" s="59" t="s">
        <v>2216</v>
      </c>
      <c r="AR281" s="31">
        <f t="shared" si="138"/>
        <v>0</v>
      </c>
      <c r="AS281" s="237">
        <f t="shared" si="139"/>
        <v>0</v>
      </c>
      <c r="AT281" s="31">
        <f t="shared" si="140"/>
        <v>0</v>
      </c>
      <c r="AU281" s="237">
        <f t="shared" si="141"/>
        <v>0</v>
      </c>
      <c r="AV281" s="31">
        <f t="shared" si="142"/>
        <v>0</v>
      </c>
      <c r="AW281" s="31">
        <f t="shared" si="143"/>
        <v>0</v>
      </c>
      <c r="AX281" s="31">
        <f t="shared" si="144"/>
        <v>2.1164999999999998</v>
      </c>
      <c r="AY281" s="237">
        <f t="shared" si="145"/>
        <v>1.7990249999999999</v>
      </c>
      <c r="AZ281" s="214">
        <f t="shared" si="146"/>
        <v>0</v>
      </c>
      <c r="BA281" s="237">
        <f t="shared" si="147"/>
        <v>0</v>
      </c>
      <c r="BB281" s="31">
        <f t="shared" si="148"/>
        <v>0</v>
      </c>
      <c r="BC281" s="237">
        <f t="shared" si="149"/>
        <v>0</v>
      </c>
      <c r="BD281" s="31">
        <f t="shared" si="150"/>
        <v>0</v>
      </c>
      <c r="BE281" s="237">
        <f t="shared" si="151"/>
        <v>0</v>
      </c>
      <c r="BF281" s="31">
        <f t="shared" si="152"/>
        <v>0</v>
      </c>
      <c r="BG281" s="237">
        <f t="shared" si="153"/>
        <v>0</v>
      </c>
      <c r="BH281" s="31">
        <f t="shared" si="154"/>
        <v>0.4335</v>
      </c>
      <c r="BI281" s="237">
        <f t="shared" si="155"/>
        <v>0.368475</v>
      </c>
      <c r="BJ281" s="31">
        <f t="shared" si="156"/>
        <v>0</v>
      </c>
      <c r="BK281" s="31">
        <f t="shared" si="157"/>
        <v>0</v>
      </c>
      <c r="BL281" s="237">
        <f t="shared" si="158"/>
        <v>0</v>
      </c>
      <c r="BM281" s="31">
        <f t="shared" si="159"/>
        <v>0</v>
      </c>
      <c r="BN281" s="237">
        <f t="shared" si="160"/>
        <v>0</v>
      </c>
    </row>
    <row r="282" spans="1:66" x14ac:dyDescent="0.25">
      <c r="A282" s="31" t="s">
        <v>1466</v>
      </c>
      <c r="B282" s="182" t="str">
        <f>VLOOKUP(A282,kurspris!$A$1:$B$894,2,FALSE)</f>
        <v>Undervisning och lärande - läroplansteori och didaktik inklusive VFU (UK och VFU)</v>
      </c>
      <c r="D282" s="31" t="s">
        <v>629</v>
      </c>
      <c r="F282" s="59">
        <v>2019</v>
      </c>
      <c r="Q282" s="237">
        <v>2.85</v>
      </c>
      <c r="R282" s="40">
        <v>0.85</v>
      </c>
      <c r="S282" s="313">
        <f t="shared" si="134"/>
        <v>2.4224999999999999</v>
      </c>
      <c r="T282" s="31">
        <f>VLOOKUP(A282,'Ansvar kurs'!$A$1:$C$1027,2,FALSE)</f>
        <v>2180</v>
      </c>
      <c r="U282" s="31" t="str">
        <f>VLOOKUP(T282,Orgenheter!$A$1:$C$165,2,FALSE)</f>
        <v xml:space="preserve">Pedagogik                     </v>
      </c>
      <c r="V282" s="31" t="str">
        <f>VLOOKUP(T282,Orgenheter!$A$1:$C$165,3,FALSE)</f>
        <v>Sam</v>
      </c>
      <c r="W282" s="37" t="str">
        <f>VLOOKUP(D282,Program!$A$1:$B$34,2,FALSE)</f>
        <v>KPU - Gy</v>
      </c>
      <c r="X282" s="42">
        <f>VLOOKUP(A282,kurspris!$A$1:$Q$815,15,FALSE)</f>
        <v>23299.809999999998</v>
      </c>
      <c r="Y282" s="42">
        <f>VLOOKUP(A282,kurspris!$A$1:$Q$815,16,FALSE)</f>
        <v>28479.999999999996</v>
      </c>
      <c r="Z282" s="42">
        <f t="shared" si="135"/>
        <v>135397.2585</v>
      </c>
      <c r="AA282" s="42">
        <f>VLOOKUP(A282,kurspris!$A$1:$Q$815,17,FALSE)</f>
        <v>5392</v>
      </c>
      <c r="AB282" s="42">
        <f t="shared" si="136"/>
        <v>15367.2</v>
      </c>
      <c r="AC282" s="42">
        <f t="shared" si="137"/>
        <v>150764.45850000001</v>
      </c>
      <c r="AD282" s="31">
        <f>VLOOKUP($A282,kurspris!$A$1:$Q$852,3,FALSE)</f>
        <v>0</v>
      </c>
      <c r="AE282" s="31">
        <f>VLOOKUP($A282,kurspris!$A$1:$Q$852,4,FALSE)</f>
        <v>0</v>
      </c>
      <c r="AF282" s="31">
        <f>VLOOKUP($A282,kurspris!$A$1:$Q$852,5,FALSE)</f>
        <v>0</v>
      </c>
      <c r="AG282" s="31">
        <f>VLOOKUP($A282,kurspris!$A$1:$Q$852,6,FALSE)</f>
        <v>0.83</v>
      </c>
      <c r="AH282" s="31">
        <f>VLOOKUP($A282,kurspris!$A$1:$Q$852,7,FALSE)</f>
        <v>0</v>
      </c>
      <c r="AI282" s="31">
        <f>VLOOKUP($A282,kurspris!$A$1:$Q$852,8,FALSE)</f>
        <v>0</v>
      </c>
      <c r="AJ282" s="31">
        <f>VLOOKUP($A282,kurspris!$A$1:$Q$852,9,FALSE)</f>
        <v>0</v>
      </c>
      <c r="AK282" s="31">
        <f>VLOOKUP($A282,kurspris!$A$1:$Q$852,10,FALSE)</f>
        <v>0</v>
      </c>
      <c r="AL282" s="31">
        <f>VLOOKUP($A282,kurspris!$A$1:$Q$852,11,FALSE)</f>
        <v>0.17</v>
      </c>
      <c r="AM282" s="31">
        <f>VLOOKUP($A282,kurspris!$A$1:$Q$852,12,FALSE)</f>
        <v>0</v>
      </c>
      <c r="AN282" s="31">
        <f>VLOOKUP($A282,kurspris!$A$1:$Q$852,13,FALSE)</f>
        <v>0</v>
      </c>
      <c r="AO282" s="31">
        <f>VLOOKUP($A282,kurspris!$A$1:$Q$852,14,FALSE)</f>
        <v>0</v>
      </c>
      <c r="AP282" s="59" t="s">
        <v>2216</v>
      </c>
      <c r="AQ282" s="59"/>
      <c r="AR282" s="31">
        <f t="shared" si="138"/>
        <v>0</v>
      </c>
      <c r="AS282" s="237">
        <f t="shared" si="139"/>
        <v>0</v>
      </c>
      <c r="AT282" s="31">
        <f t="shared" si="140"/>
        <v>0</v>
      </c>
      <c r="AU282" s="237">
        <f t="shared" si="141"/>
        <v>0</v>
      </c>
      <c r="AV282" s="31">
        <f t="shared" si="142"/>
        <v>0</v>
      </c>
      <c r="AW282" s="31">
        <f t="shared" si="143"/>
        <v>0</v>
      </c>
      <c r="AX282" s="31">
        <f t="shared" si="144"/>
        <v>2.3654999999999999</v>
      </c>
      <c r="AY282" s="237">
        <f t="shared" si="145"/>
        <v>2.010675</v>
      </c>
      <c r="AZ282" s="214">
        <f t="shared" si="146"/>
        <v>0</v>
      </c>
      <c r="BA282" s="237">
        <f t="shared" si="147"/>
        <v>0</v>
      </c>
      <c r="BB282" s="31">
        <f t="shared" si="148"/>
        <v>0</v>
      </c>
      <c r="BC282" s="237">
        <f t="shared" si="149"/>
        <v>0</v>
      </c>
      <c r="BD282" s="31">
        <f t="shared" si="150"/>
        <v>0</v>
      </c>
      <c r="BE282" s="237">
        <f t="shared" si="151"/>
        <v>0</v>
      </c>
      <c r="BF282" s="31">
        <f t="shared" si="152"/>
        <v>0</v>
      </c>
      <c r="BG282" s="237">
        <f t="shared" si="153"/>
        <v>0</v>
      </c>
      <c r="BH282" s="31">
        <f t="shared" si="154"/>
        <v>0.48450000000000004</v>
      </c>
      <c r="BI282" s="237">
        <f t="shared" si="155"/>
        <v>0.411825</v>
      </c>
      <c r="BJ282" s="31">
        <f t="shared" si="156"/>
        <v>0</v>
      </c>
      <c r="BK282" s="31">
        <f t="shared" si="157"/>
        <v>0</v>
      </c>
      <c r="BL282" s="237">
        <f t="shared" si="158"/>
        <v>0</v>
      </c>
      <c r="BM282" s="31">
        <f t="shared" si="159"/>
        <v>0</v>
      </c>
      <c r="BN282" s="237">
        <f t="shared" si="160"/>
        <v>0</v>
      </c>
    </row>
    <row r="283" spans="1:66" x14ac:dyDescent="0.25">
      <c r="A283" s="159" t="s">
        <v>1529</v>
      </c>
      <c r="B283" s="182" t="str">
        <f>VLOOKUP(A283,kurspris!$A$1:$B$894,2,FALSE)</f>
        <v>Bedömning (UK)</v>
      </c>
      <c r="C283" s="37"/>
      <c r="D283" s="31" t="s">
        <v>1614</v>
      </c>
      <c r="F283" s="59">
        <v>2019</v>
      </c>
      <c r="Q283" s="237">
        <v>1.75</v>
      </c>
      <c r="R283" s="40">
        <v>0.85</v>
      </c>
      <c r="S283" s="313">
        <f t="shared" si="134"/>
        <v>1.4875</v>
      </c>
      <c r="T283" s="31">
        <f>VLOOKUP(A283,'Ansvar kurs'!$A$1:$C$1027,2,FALSE)</f>
        <v>5740</v>
      </c>
      <c r="U283" s="31" t="str">
        <f>VLOOKUP(T283,Orgenheter!$A$1:$C$165,2,FALSE)</f>
        <v>NMD</v>
      </c>
      <c r="V283" s="31" t="str">
        <f>VLOOKUP(T283,Orgenheter!$A$1:$C$165,3,FALSE)</f>
        <v>TekNat</v>
      </c>
      <c r="W283" s="37" t="str">
        <f>VLOOKUP(D283,Program!$A$1:$B$34,2,FALSE)</f>
        <v>KPU - Förhöjd studietakt - utbildningsbidrag</v>
      </c>
      <c r="X283" s="42">
        <f>VLOOKUP(A283,kurspris!$A$1:$Q$815,15,FALSE)</f>
        <v>23641</v>
      </c>
      <c r="Y283" s="42">
        <f>VLOOKUP(A283,kurspris!$A$1:$Q$815,16,FALSE)</f>
        <v>28786</v>
      </c>
      <c r="Z283" s="42">
        <f t="shared" si="135"/>
        <v>84190.925000000003</v>
      </c>
      <c r="AA283" s="42">
        <f>VLOOKUP(A283,kurspris!$A$1:$Q$815,17,FALSE)</f>
        <v>5800</v>
      </c>
      <c r="AB283" s="42">
        <f t="shared" si="136"/>
        <v>10150</v>
      </c>
      <c r="AC283" s="42">
        <f t="shared" si="137"/>
        <v>94340.925000000003</v>
      </c>
      <c r="AD283" s="31">
        <f>VLOOKUP($A283,kurspris!$A$1:$Q$852,3,FALSE)</f>
        <v>0</v>
      </c>
      <c r="AE283" s="31">
        <f>VLOOKUP($A283,kurspris!$A$1:$Q$852,4,FALSE)</f>
        <v>0</v>
      </c>
      <c r="AF283" s="31">
        <f>VLOOKUP($A283,kurspris!$A$1:$Q$852,5,FALSE)</f>
        <v>0</v>
      </c>
      <c r="AG283" s="31">
        <f>VLOOKUP($A283,kurspris!$A$1:$Q$852,6,FALSE)</f>
        <v>1</v>
      </c>
      <c r="AH283" s="31">
        <f>VLOOKUP($A283,kurspris!$A$1:$Q$852,7,FALSE)</f>
        <v>0</v>
      </c>
      <c r="AI283" s="31">
        <f>VLOOKUP($A283,kurspris!$A$1:$Q$852,8,FALSE)</f>
        <v>0</v>
      </c>
      <c r="AJ283" s="31">
        <f>VLOOKUP($A283,kurspris!$A$1:$Q$852,9,FALSE)</f>
        <v>0</v>
      </c>
      <c r="AK283" s="31">
        <f>VLOOKUP($A283,kurspris!$A$1:$Q$852,10,FALSE)</f>
        <v>0</v>
      </c>
      <c r="AL283" s="31">
        <f>VLOOKUP($A283,kurspris!$A$1:$Q$852,11,FALSE)</f>
        <v>0</v>
      </c>
      <c r="AM283" s="31">
        <f>VLOOKUP($A283,kurspris!$A$1:$Q$852,12,FALSE)</f>
        <v>0</v>
      </c>
      <c r="AN283" s="31">
        <f>VLOOKUP($A283,kurspris!$A$1:$Q$852,13,FALSE)</f>
        <v>0</v>
      </c>
      <c r="AO283" s="31">
        <f>VLOOKUP($A283,kurspris!$A$1:$Q$852,14,FALSE)</f>
        <v>0</v>
      </c>
      <c r="AP283" s="59" t="s">
        <v>2216</v>
      </c>
      <c r="AR283" s="31">
        <f t="shared" si="138"/>
        <v>0</v>
      </c>
      <c r="AS283" s="237">
        <f t="shared" si="139"/>
        <v>0</v>
      </c>
      <c r="AT283" s="31">
        <f t="shared" si="140"/>
        <v>0</v>
      </c>
      <c r="AU283" s="237">
        <f t="shared" si="141"/>
        <v>0</v>
      </c>
      <c r="AV283" s="31">
        <f t="shared" si="142"/>
        <v>0</v>
      </c>
      <c r="AW283" s="31">
        <f t="shared" si="143"/>
        <v>0</v>
      </c>
      <c r="AX283" s="31">
        <f t="shared" si="144"/>
        <v>1.75</v>
      </c>
      <c r="AY283" s="237">
        <f t="shared" si="145"/>
        <v>1.4875</v>
      </c>
      <c r="AZ283" s="214">
        <f t="shared" si="146"/>
        <v>0</v>
      </c>
      <c r="BA283" s="237">
        <f t="shared" si="147"/>
        <v>0</v>
      </c>
      <c r="BB283" s="31">
        <f t="shared" si="148"/>
        <v>0</v>
      </c>
      <c r="BC283" s="237">
        <f t="shared" si="149"/>
        <v>0</v>
      </c>
      <c r="BD283" s="31">
        <f t="shared" si="150"/>
        <v>0</v>
      </c>
      <c r="BE283" s="237">
        <f t="shared" si="151"/>
        <v>0</v>
      </c>
      <c r="BF283" s="31">
        <f t="shared" si="152"/>
        <v>0</v>
      </c>
      <c r="BG283" s="237">
        <f t="shared" si="153"/>
        <v>0</v>
      </c>
      <c r="BH283" s="31">
        <f t="shared" si="154"/>
        <v>0</v>
      </c>
      <c r="BI283" s="237">
        <f t="shared" si="155"/>
        <v>0</v>
      </c>
      <c r="BJ283" s="31">
        <f t="shared" si="156"/>
        <v>0</v>
      </c>
      <c r="BK283" s="31">
        <f t="shared" si="157"/>
        <v>0</v>
      </c>
      <c r="BL283" s="237">
        <f t="shared" si="158"/>
        <v>0</v>
      </c>
      <c r="BM283" s="31">
        <f t="shared" si="159"/>
        <v>0</v>
      </c>
      <c r="BN283" s="237">
        <f t="shared" si="160"/>
        <v>0</v>
      </c>
    </row>
    <row r="284" spans="1:66" x14ac:dyDescent="0.25">
      <c r="A284" s="31" t="s">
        <v>1529</v>
      </c>
      <c r="B284" s="182" t="str">
        <f>VLOOKUP(A284,kurspris!$A$1:$B$894,2,FALSE)</f>
        <v>Bedömning (UK)</v>
      </c>
      <c r="D284" s="31" t="s">
        <v>628</v>
      </c>
      <c r="F284" s="59">
        <v>2019</v>
      </c>
      <c r="Q284" s="237">
        <v>2.125</v>
      </c>
      <c r="R284" s="40">
        <v>0.85</v>
      </c>
      <c r="S284" s="313">
        <f t="shared" si="134"/>
        <v>1.8062499999999999</v>
      </c>
      <c r="T284" s="31">
        <f>VLOOKUP(A284,'Ansvar kurs'!$A$1:$C$1027,2,FALSE)</f>
        <v>5740</v>
      </c>
      <c r="U284" s="31" t="str">
        <f>VLOOKUP(T284,Orgenheter!$A$1:$C$165,2,FALSE)</f>
        <v>NMD</v>
      </c>
      <c r="V284" s="31" t="str">
        <f>VLOOKUP(T284,Orgenheter!$A$1:$C$165,3,FALSE)</f>
        <v>TekNat</v>
      </c>
      <c r="W284" s="37" t="str">
        <f>VLOOKUP(D284,Program!$A$1:$B$34,2,FALSE)</f>
        <v>KPU - åk 7-9</v>
      </c>
      <c r="X284" s="42">
        <f>VLOOKUP(A284,kurspris!$A$1:$Q$815,15,FALSE)</f>
        <v>23641</v>
      </c>
      <c r="Y284" s="42">
        <f>VLOOKUP(A284,kurspris!$A$1:$Q$815,16,FALSE)</f>
        <v>28786</v>
      </c>
      <c r="Z284" s="42">
        <f t="shared" si="135"/>
        <v>102231.83749999999</v>
      </c>
      <c r="AA284" s="42">
        <f>VLOOKUP(A284,kurspris!$A$1:$Q$815,17,FALSE)</f>
        <v>5800</v>
      </c>
      <c r="AB284" s="42">
        <f t="shared" si="136"/>
        <v>12325</v>
      </c>
      <c r="AC284" s="42">
        <f t="shared" si="137"/>
        <v>114556.83749999999</v>
      </c>
      <c r="AD284" s="31">
        <f>VLOOKUP($A284,kurspris!$A$1:$Q$852,3,FALSE)</f>
        <v>0</v>
      </c>
      <c r="AE284" s="31">
        <f>VLOOKUP($A284,kurspris!$A$1:$Q$852,4,FALSE)</f>
        <v>0</v>
      </c>
      <c r="AF284" s="31">
        <f>VLOOKUP($A284,kurspris!$A$1:$Q$852,5,FALSE)</f>
        <v>0</v>
      </c>
      <c r="AG284" s="31">
        <f>VLOOKUP($A284,kurspris!$A$1:$Q$852,6,FALSE)</f>
        <v>1</v>
      </c>
      <c r="AH284" s="31">
        <f>VLOOKUP($A284,kurspris!$A$1:$Q$852,7,FALSE)</f>
        <v>0</v>
      </c>
      <c r="AI284" s="31">
        <f>VLOOKUP($A284,kurspris!$A$1:$Q$852,8,FALSE)</f>
        <v>0</v>
      </c>
      <c r="AJ284" s="31">
        <f>VLOOKUP($A284,kurspris!$A$1:$Q$852,9,FALSE)</f>
        <v>0</v>
      </c>
      <c r="AK284" s="31">
        <f>VLOOKUP($A284,kurspris!$A$1:$Q$852,10,FALSE)</f>
        <v>0</v>
      </c>
      <c r="AL284" s="31">
        <f>VLOOKUP($A284,kurspris!$A$1:$Q$852,11,FALSE)</f>
        <v>0</v>
      </c>
      <c r="AM284" s="31">
        <f>VLOOKUP($A284,kurspris!$A$1:$Q$852,12,FALSE)</f>
        <v>0</v>
      </c>
      <c r="AN284" s="31">
        <f>VLOOKUP($A284,kurspris!$A$1:$Q$852,13,FALSE)</f>
        <v>0</v>
      </c>
      <c r="AO284" s="31">
        <f>VLOOKUP($A284,kurspris!$A$1:$Q$852,14,FALSE)</f>
        <v>0</v>
      </c>
      <c r="AP284" s="59" t="s">
        <v>2216</v>
      </c>
      <c r="AQ284" s="59"/>
      <c r="AR284" s="31">
        <f t="shared" si="138"/>
        <v>0</v>
      </c>
      <c r="AS284" s="237">
        <f t="shared" si="139"/>
        <v>0</v>
      </c>
      <c r="AT284" s="31">
        <f t="shared" si="140"/>
        <v>0</v>
      </c>
      <c r="AU284" s="237">
        <f t="shared" si="141"/>
        <v>0</v>
      </c>
      <c r="AV284" s="31">
        <f t="shared" si="142"/>
        <v>0</v>
      </c>
      <c r="AW284" s="31">
        <f t="shared" si="143"/>
        <v>0</v>
      </c>
      <c r="AX284" s="31">
        <f t="shared" si="144"/>
        <v>2.125</v>
      </c>
      <c r="AY284" s="237">
        <f t="shared" si="145"/>
        <v>1.8062499999999999</v>
      </c>
      <c r="AZ284" s="214">
        <f t="shared" si="146"/>
        <v>0</v>
      </c>
      <c r="BA284" s="237">
        <f t="shared" si="147"/>
        <v>0</v>
      </c>
      <c r="BB284" s="31">
        <f t="shared" si="148"/>
        <v>0</v>
      </c>
      <c r="BC284" s="237">
        <f t="shared" si="149"/>
        <v>0</v>
      </c>
      <c r="BD284" s="31">
        <f t="shared" si="150"/>
        <v>0</v>
      </c>
      <c r="BE284" s="237">
        <f t="shared" si="151"/>
        <v>0</v>
      </c>
      <c r="BF284" s="31">
        <f t="shared" si="152"/>
        <v>0</v>
      </c>
      <c r="BG284" s="237">
        <f t="shared" si="153"/>
        <v>0</v>
      </c>
      <c r="BH284" s="31">
        <f t="shared" si="154"/>
        <v>0</v>
      </c>
      <c r="BI284" s="237">
        <f t="shared" si="155"/>
        <v>0</v>
      </c>
      <c r="BJ284" s="31">
        <f t="shared" si="156"/>
        <v>0</v>
      </c>
      <c r="BK284" s="31">
        <f t="shared" si="157"/>
        <v>0</v>
      </c>
      <c r="BL284" s="237">
        <f t="shared" si="158"/>
        <v>0</v>
      </c>
      <c r="BM284" s="31">
        <f t="shared" si="159"/>
        <v>0</v>
      </c>
      <c r="BN284" s="237">
        <f t="shared" si="160"/>
        <v>0</v>
      </c>
    </row>
    <row r="285" spans="1:66" x14ac:dyDescent="0.25">
      <c r="A285" s="31" t="s">
        <v>1529</v>
      </c>
      <c r="B285" s="182" t="str">
        <f>VLOOKUP(A285,kurspris!$A$1:$B$894,2,FALSE)</f>
        <v>Bedömning (UK)</v>
      </c>
      <c r="D285" s="31" t="s">
        <v>629</v>
      </c>
      <c r="F285" s="59">
        <v>2019</v>
      </c>
      <c r="Q285" s="237">
        <v>2.125</v>
      </c>
      <c r="R285" s="40">
        <v>0.85</v>
      </c>
      <c r="S285" s="313">
        <f t="shared" si="134"/>
        <v>1.8062499999999999</v>
      </c>
      <c r="T285" s="31">
        <f>VLOOKUP(A285,'Ansvar kurs'!$A$1:$C$1027,2,FALSE)</f>
        <v>5740</v>
      </c>
      <c r="U285" s="31" t="str">
        <f>VLOOKUP(T285,Orgenheter!$A$1:$C$165,2,FALSE)</f>
        <v>NMD</v>
      </c>
      <c r="V285" s="31" t="str">
        <f>VLOOKUP(T285,Orgenheter!$A$1:$C$165,3,FALSE)</f>
        <v>TekNat</v>
      </c>
      <c r="W285" s="37" t="str">
        <f>VLOOKUP(D285,Program!$A$1:$B$34,2,FALSE)</f>
        <v>KPU - Gy</v>
      </c>
      <c r="X285" s="42">
        <f>VLOOKUP(A285,kurspris!$A$1:$Q$815,15,FALSE)</f>
        <v>23641</v>
      </c>
      <c r="Y285" s="42">
        <f>VLOOKUP(A285,kurspris!$A$1:$Q$815,16,FALSE)</f>
        <v>28786</v>
      </c>
      <c r="Z285" s="42">
        <f t="shared" si="135"/>
        <v>102231.83749999999</v>
      </c>
      <c r="AA285" s="42">
        <f>VLOOKUP(A285,kurspris!$A$1:$Q$815,17,FALSE)</f>
        <v>5800</v>
      </c>
      <c r="AB285" s="42">
        <f t="shared" si="136"/>
        <v>12325</v>
      </c>
      <c r="AC285" s="42">
        <f t="shared" si="137"/>
        <v>114556.83749999999</v>
      </c>
      <c r="AD285" s="31">
        <f>VLOOKUP($A285,kurspris!$A$1:$Q$852,3,FALSE)</f>
        <v>0</v>
      </c>
      <c r="AE285" s="31">
        <f>VLOOKUP($A285,kurspris!$A$1:$Q$852,4,FALSE)</f>
        <v>0</v>
      </c>
      <c r="AF285" s="31">
        <f>VLOOKUP($A285,kurspris!$A$1:$Q$852,5,FALSE)</f>
        <v>0</v>
      </c>
      <c r="AG285" s="31">
        <f>VLOOKUP($A285,kurspris!$A$1:$Q$852,6,FALSE)</f>
        <v>1</v>
      </c>
      <c r="AH285" s="31">
        <f>VLOOKUP($A285,kurspris!$A$1:$Q$852,7,FALSE)</f>
        <v>0</v>
      </c>
      <c r="AI285" s="31">
        <f>VLOOKUP($A285,kurspris!$A$1:$Q$852,8,FALSE)</f>
        <v>0</v>
      </c>
      <c r="AJ285" s="31">
        <f>VLOOKUP($A285,kurspris!$A$1:$Q$852,9,FALSE)</f>
        <v>0</v>
      </c>
      <c r="AK285" s="31">
        <f>VLOOKUP($A285,kurspris!$A$1:$Q$852,10,FALSE)</f>
        <v>0</v>
      </c>
      <c r="AL285" s="31">
        <f>VLOOKUP($A285,kurspris!$A$1:$Q$852,11,FALSE)</f>
        <v>0</v>
      </c>
      <c r="AM285" s="31">
        <f>VLOOKUP($A285,kurspris!$A$1:$Q$852,12,FALSE)</f>
        <v>0</v>
      </c>
      <c r="AN285" s="31">
        <f>VLOOKUP($A285,kurspris!$A$1:$Q$852,13,FALSE)</f>
        <v>0</v>
      </c>
      <c r="AO285" s="31">
        <f>VLOOKUP($A285,kurspris!$A$1:$Q$852,14,FALSE)</f>
        <v>0</v>
      </c>
      <c r="AP285" s="59" t="s">
        <v>2216</v>
      </c>
      <c r="AQ285" s="59"/>
      <c r="AR285" s="31">
        <f t="shared" si="138"/>
        <v>0</v>
      </c>
      <c r="AS285" s="237">
        <f t="shared" si="139"/>
        <v>0</v>
      </c>
      <c r="AT285" s="31">
        <f t="shared" si="140"/>
        <v>0</v>
      </c>
      <c r="AU285" s="237">
        <f t="shared" si="141"/>
        <v>0</v>
      </c>
      <c r="AV285" s="31">
        <f t="shared" si="142"/>
        <v>0</v>
      </c>
      <c r="AW285" s="31">
        <f t="shared" si="143"/>
        <v>0</v>
      </c>
      <c r="AX285" s="31">
        <f t="shared" si="144"/>
        <v>2.125</v>
      </c>
      <c r="AY285" s="237">
        <f t="shared" si="145"/>
        <v>1.8062499999999999</v>
      </c>
      <c r="AZ285" s="214">
        <f t="shared" si="146"/>
        <v>0</v>
      </c>
      <c r="BA285" s="237">
        <f t="shared" si="147"/>
        <v>0</v>
      </c>
      <c r="BB285" s="31">
        <f t="shared" si="148"/>
        <v>0</v>
      </c>
      <c r="BC285" s="237">
        <f t="shared" si="149"/>
        <v>0</v>
      </c>
      <c r="BD285" s="31">
        <f t="shared" si="150"/>
        <v>0</v>
      </c>
      <c r="BE285" s="237">
        <f t="shared" si="151"/>
        <v>0</v>
      </c>
      <c r="BF285" s="31">
        <f t="shared" si="152"/>
        <v>0</v>
      </c>
      <c r="BG285" s="237">
        <f t="shared" si="153"/>
        <v>0</v>
      </c>
      <c r="BH285" s="31">
        <f t="shared" si="154"/>
        <v>0</v>
      </c>
      <c r="BI285" s="237">
        <f t="shared" si="155"/>
        <v>0</v>
      </c>
      <c r="BJ285" s="31">
        <f t="shared" si="156"/>
        <v>0</v>
      </c>
      <c r="BK285" s="31">
        <f t="shared" si="157"/>
        <v>0</v>
      </c>
      <c r="BL285" s="237">
        <f t="shared" si="158"/>
        <v>0</v>
      </c>
      <c r="BM285" s="31">
        <f t="shared" si="159"/>
        <v>0</v>
      </c>
      <c r="BN285" s="237">
        <f t="shared" si="160"/>
        <v>0</v>
      </c>
    </row>
    <row r="286" spans="1:66" x14ac:dyDescent="0.25">
      <c r="A286" s="31" t="s">
        <v>1605</v>
      </c>
      <c r="B286" s="182" t="str">
        <f>VLOOKUP(A286,kurspris!$A$1:$B$894,2,FALSE)</f>
        <v>Utbildningens villkor och samhälleliga funktion (UK)</v>
      </c>
      <c r="D286" s="31" t="s">
        <v>1614</v>
      </c>
      <c r="F286" s="59">
        <v>2019</v>
      </c>
      <c r="Q286" s="237">
        <v>2</v>
      </c>
      <c r="R286" s="40">
        <v>0.85</v>
      </c>
      <c r="S286" s="313">
        <f t="shared" si="134"/>
        <v>1.7</v>
      </c>
      <c r="T286" s="31">
        <f>VLOOKUP(A286,'Ansvar kurs'!$A$1:$C$1027,2,FALSE)</f>
        <v>2193</v>
      </c>
      <c r="U286" s="31" t="str">
        <f>VLOOKUP(T286,Orgenheter!$A$1:$C$165,2,FALSE)</f>
        <v xml:space="preserve">TUV </v>
      </c>
      <c r="V286" s="31" t="str">
        <f>VLOOKUP(T286,Orgenheter!$A$1:$C$165,3,FALSE)</f>
        <v>Sam</v>
      </c>
      <c r="W286" s="37" t="str">
        <f>VLOOKUP(D286,Program!$A$1:$B$34,2,FALSE)</f>
        <v>KPU - Förhöjd studietakt - utbildningsbidrag</v>
      </c>
      <c r="X286" s="42">
        <f>VLOOKUP(A286,kurspris!$A$1:$Q$815,15,FALSE)</f>
        <v>23641</v>
      </c>
      <c r="Y286" s="42">
        <f>VLOOKUP(A286,kurspris!$A$1:$Q$815,16,FALSE)</f>
        <v>28786</v>
      </c>
      <c r="Z286" s="42">
        <f t="shared" si="135"/>
        <v>96218.2</v>
      </c>
      <c r="AA286" s="42">
        <f>VLOOKUP(A286,kurspris!$A$1:$Q$815,17,FALSE)</f>
        <v>5800</v>
      </c>
      <c r="AB286" s="42">
        <f t="shared" si="136"/>
        <v>11600</v>
      </c>
      <c r="AC286" s="42">
        <f t="shared" si="137"/>
        <v>107818.2</v>
      </c>
      <c r="AD286" s="31">
        <f>VLOOKUP($A286,kurspris!$A$1:$Q$852,3,FALSE)</f>
        <v>0</v>
      </c>
      <c r="AE286" s="31">
        <f>VLOOKUP($A286,kurspris!$A$1:$Q$852,4,FALSE)</f>
        <v>0</v>
      </c>
      <c r="AF286" s="31">
        <f>VLOOKUP($A286,kurspris!$A$1:$Q$852,5,FALSE)</f>
        <v>0</v>
      </c>
      <c r="AG286" s="31">
        <f>VLOOKUP($A286,kurspris!$A$1:$Q$852,6,FALSE)</f>
        <v>1</v>
      </c>
      <c r="AH286" s="31">
        <f>VLOOKUP($A286,kurspris!$A$1:$Q$852,7,FALSE)</f>
        <v>0</v>
      </c>
      <c r="AI286" s="31">
        <f>VLOOKUP($A286,kurspris!$A$1:$Q$852,8,FALSE)</f>
        <v>0</v>
      </c>
      <c r="AJ286" s="31">
        <f>VLOOKUP($A286,kurspris!$A$1:$Q$852,9,FALSE)</f>
        <v>0</v>
      </c>
      <c r="AK286" s="31">
        <f>VLOOKUP($A286,kurspris!$A$1:$Q$852,10,FALSE)</f>
        <v>0</v>
      </c>
      <c r="AL286" s="31">
        <f>VLOOKUP($A286,kurspris!$A$1:$Q$852,11,FALSE)</f>
        <v>0</v>
      </c>
      <c r="AM286" s="31">
        <f>VLOOKUP($A286,kurspris!$A$1:$Q$852,12,FALSE)</f>
        <v>0</v>
      </c>
      <c r="AN286" s="31">
        <f>VLOOKUP($A286,kurspris!$A$1:$Q$852,13,FALSE)</f>
        <v>0</v>
      </c>
      <c r="AO286" s="31">
        <f>VLOOKUP($A286,kurspris!$A$1:$Q$852,14,FALSE)</f>
        <v>0</v>
      </c>
      <c r="AP286" s="59" t="s">
        <v>2216</v>
      </c>
      <c r="AQ286" s="59"/>
      <c r="AR286" s="31">
        <f t="shared" si="138"/>
        <v>0</v>
      </c>
      <c r="AS286" s="237">
        <f t="shared" si="139"/>
        <v>0</v>
      </c>
      <c r="AT286" s="31">
        <f t="shared" si="140"/>
        <v>0</v>
      </c>
      <c r="AU286" s="237">
        <f t="shared" si="141"/>
        <v>0</v>
      </c>
      <c r="AV286" s="31">
        <f t="shared" si="142"/>
        <v>0</v>
      </c>
      <c r="AW286" s="31">
        <f t="shared" si="143"/>
        <v>0</v>
      </c>
      <c r="AX286" s="31">
        <f t="shared" si="144"/>
        <v>2</v>
      </c>
      <c r="AY286" s="237">
        <f t="shared" si="145"/>
        <v>1.7</v>
      </c>
      <c r="AZ286" s="214">
        <f t="shared" si="146"/>
        <v>0</v>
      </c>
      <c r="BA286" s="237">
        <f t="shared" si="147"/>
        <v>0</v>
      </c>
      <c r="BB286" s="31">
        <f t="shared" si="148"/>
        <v>0</v>
      </c>
      <c r="BC286" s="237">
        <f t="shared" si="149"/>
        <v>0</v>
      </c>
      <c r="BD286" s="31">
        <f t="shared" si="150"/>
        <v>0</v>
      </c>
      <c r="BE286" s="237">
        <f t="shared" si="151"/>
        <v>0</v>
      </c>
      <c r="BF286" s="31">
        <f t="shared" si="152"/>
        <v>0</v>
      </c>
      <c r="BG286" s="237">
        <f t="shared" si="153"/>
        <v>0</v>
      </c>
      <c r="BH286" s="31">
        <f t="shared" si="154"/>
        <v>0</v>
      </c>
      <c r="BI286" s="237">
        <f t="shared" si="155"/>
        <v>0</v>
      </c>
      <c r="BJ286" s="31">
        <f t="shared" si="156"/>
        <v>0</v>
      </c>
      <c r="BK286" s="31">
        <f t="shared" si="157"/>
        <v>0</v>
      </c>
      <c r="BL286" s="237">
        <f t="shared" si="158"/>
        <v>0</v>
      </c>
      <c r="BM286" s="31">
        <f t="shared" si="159"/>
        <v>0</v>
      </c>
      <c r="BN286" s="237">
        <f t="shared" si="160"/>
        <v>0</v>
      </c>
    </row>
    <row r="287" spans="1:66" x14ac:dyDescent="0.25">
      <c r="A287" s="31" t="s">
        <v>1605</v>
      </c>
      <c r="B287" s="182" t="str">
        <f>VLOOKUP(A287,kurspris!$A$1:$B$894,2,FALSE)</f>
        <v>Utbildningens villkor och samhälleliga funktion (UK)</v>
      </c>
      <c r="D287" s="31" t="s">
        <v>628</v>
      </c>
      <c r="F287" s="59">
        <v>2019</v>
      </c>
      <c r="Q287" s="237">
        <v>2.125</v>
      </c>
      <c r="R287" s="40">
        <v>0.85</v>
      </c>
      <c r="S287" s="313">
        <f t="shared" si="134"/>
        <v>1.8062499999999999</v>
      </c>
      <c r="T287" s="31">
        <f>VLOOKUP(A287,'Ansvar kurs'!$A$1:$C$1027,2,FALSE)</f>
        <v>2193</v>
      </c>
      <c r="U287" s="31" t="str">
        <f>VLOOKUP(T287,Orgenheter!$A$1:$C$165,2,FALSE)</f>
        <v xml:space="preserve">TUV </v>
      </c>
      <c r="V287" s="31" t="str">
        <f>VLOOKUP(T287,Orgenheter!$A$1:$C$165,3,FALSE)</f>
        <v>Sam</v>
      </c>
      <c r="W287" s="37" t="str">
        <f>VLOOKUP(D287,Program!$A$1:$B$34,2,FALSE)</f>
        <v>KPU - åk 7-9</v>
      </c>
      <c r="X287" s="42">
        <f>VLOOKUP(A287,kurspris!$A$1:$Q$815,15,FALSE)</f>
        <v>23641</v>
      </c>
      <c r="Y287" s="42">
        <f>VLOOKUP(A287,kurspris!$A$1:$Q$815,16,FALSE)</f>
        <v>28786</v>
      </c>
      <c r="Z287" s="42">
        <f t="shared" si="135"/>
        <v>102231.83749999999</v>
      </c>
      <c r="AA287" s="42">
        <f>VLOOKUP(A287,kurspris!$A$1:$Q$815,17,FALSE)</f>
        <v>5800</v>
      </c>
      <c r="AB287" s="42">
        <f t="shared" si="136"/>
        <v>12325</v>
      </c>
      <c r="AC287" s="42">
        <f t="shared" si="137"/>
        <v>114556.83749999999</v>
      </c>
      <c r="AD287" s="31">
        <f>VLOOKUP($A287,kurspris!$A$1:$Q$852,3,FALSE)</f>
        <v>0</v>
      </c>
      <c r="AE287" s="31">
        <f>VLOOKUP($A287,kurspris!$A$1:$Q$852,4,FALSE)</f>
        <v>0</v>
      </c>
      <c r="AF287" s="31">
        <f>VLOOKUP($A287,kurspris!$A$1:$Q$852,5,FALSE)</f>
        <v>0</v>
      </c>
      <c r="AG287" s="31">
        <f>VLOOKUP($A287,kurspris!$A$1:$Q$852,6,FALSE)</f>
        <v>1</v>
      </c>
      <c r="AH287" s="31">
        <f>VLOOKUP($A287,kurspris!$A$1:$Q$852,7,FALSE)</f>
        <v>0</v>
      </c>
      <c r="AI287" s="31">
        <f>VLOOKUP($A287,kurspris!$A$1:$Q$852,8,FALSE)</f>
        <v>0</v>
      </c>
      <c r="AJ287" s="31">
        <f>VLOOKUP($A287,kurspris!$A$1:$Q$852,9,FALSE)</f>
        <v>0</v>
      </c>
      <c r="AK287" s="31">
        <f>VLOOKUP($A287,kurspris!$A$1:$Q$852,10,FALSE)</f>
        <v>0</v>
      </c>
      <c r="AL287" s="31">
        <f>VLOOKUP($A287,kurspris!$A$1:$Q$852,11,FALSE)</f>
        <v>0</v>
      </c>
      <c r="AM287" s="31">
        <f>VLOOKUP($A287,kurspris!$A$1:$Q$852,12,FALSE)</f>
        <v>0</v>
      </c>
      <c r="AN287" s="31">
        <f>VLOOKUP($A287,kurspris!$A$1:$Q$852,13,FALSE)</f>
        <v>0</v>
      </c>
      <c r="AO287" s="31">
        <f>VLOOKUP($A287,kurspris!$A$1:$Q$852,14,FALSE)</f>
        <v>0</v>
      </c>
      <c r="AP287" s="59" t="s">
        <v>2216</v>
      </c>
      <c r="AQ287" s="59"/>
      <c r="AR287" s="31">
        <f t="shared" si="138"/>
        <v>0</v>
      </c>
      <c r="AS287" s="237">
        <f t="shared" si="139"/>
        <v>0</v>
      </c>
      <c r="AT287" s="31">
        <f t="shared" si="140"/>
        <v>0</v>
      </c>
      <c r="AU287" s="237">
        <f t="shared" si="141"/>
        <v>0</v>
      </c>
      <c r="AV287" s="31">
        <f t="shared" si="142"/>
        <v>0</v>
      </c>
      <c r="AW287" s="31">
        <f t="shared" si="143"/>
        <v>0</v>
      </c>
      <c r="AX287" s="31">
        <f t="shared" si="144"/>
        <v>2.125</v>
      </c>
      <c r="AY287" s="237">
        <f t="shared" si="145"/>
        <v>1.8062499999999999</v>
      </c>
      <c r="AZ287" s="214">
        <f t="shared" si="146"/>
        <v>0</v>
      </c>
      <c r="BA287" s="237">
        <f t="shared" si="147"/>
        <v>0</v>
      </c>
      <c r="BB287" s="31">
        <f t="shared" si="148"/>
        <v>0</v>
      </c>
      <c r="BC287" s="237">
        <f t="shared" si="149"/>
        <v>0</v>
      </c>
      <c r="BD287" s="31">
        <f t="shared" si="150"/>
        <v>0</v>
      </c>
      <c r="BE287" s="237">
        <f t="shared" si="151"/>
        <v>0</v>
      </c>
      <c r="BF287" s="31">
        <f t="shared" si="152"/>
        <v>0</v>
      </c>
      <c r="BG287" s="237">
        <f t="shared" si="153"/>
        <v>0</v>
      </c>
      <c r="BH287" s="31">
        <f t="shared" si="154"/>
        <v>0</v>
      </c>
      <c r="BI287" s="237">
        <f t="shared" si="155"/>
        <v>0</v>
      </c>
      <c r="BJ287" s="31">
        <f t="shared" si="156"/>
        <v>0</v>
      </c>
      <c r="BK287" s="31">
        <f t="shared" si="157"/>
        <v>0</v>
      </c>
      <c r="BL287" s="237">
        <f t="shared" si="158"/>
        <v>0</v>
      </c>
      <c r="BM287" s="31">
        <f t="shared" si="159"/>
        <v>0</v>
      </c>
      <c r="BN287" s="237">
        <f t="shared" si="160"/>
        <v>0</v>
      </c>
    </row>
    <row r="288" spans="1:66" x14ac:dyDescent="0.25">
      <c r="A288" s="31" t="s">
        <v>1605</v>
      </c>
      <c r="B288" s="182" t="str">
        <f>VLOOKUP(A288,kurspris!$A$1:$B$894,2,FALSE)</f>
        <v>Utbildningens villkor och samhälleliga funktion (UK)</v>
      </c>
      <c r="D288" s="31" t="s">
        <v>629</v>
      </c>
      <c r="F288" s="59">
        <v>2019</v>
      </c>
      <c r="Q288" s="237">
        <v>2.75</v>
      </c>
      <c r="R288" s="40">
        <v>0.85</v>
      </c>
      <c r="S288" s="313">
        <f t="shared" si="134"/>
        <v>2.3374999999999999</v>
      </c>
      <c r="T288" s="31">
        <f>VLOOKUP(A288,'Ansvar kurs'!$A$1:$C$1027,2,FALSE)</f>
        <v>2193</v>
      </c>
      <c r="U288" s="31" t="str">
        <f>VLOOKUP(T288,Orgenheter!$A$1:$C$165,2,FALSE)</f>
        <v xml:space="preserve">TUV </v>
      </c>
      <c r="V288" s="31" t="str">
        <f>VLOOKUP(T288,Orgenheter!$A$1:$C$165,3,FALSE)</f>
        <v>Sam</v>
      </c>
      <c r="W288" s="37" t="str">
        <f>VLOOKUP(D288,Program!$A$1:$B$34,2,FALSE)</f>
        <v>KPU - Gy</v>
      </c>
      <c r="X288" s="42">
        <f>VLOOKUP(A288,kurspris!$A$1:$Q$815,15,FALSE)</f>
        <v>23641</v>
      </c>
      <c r="Y288" s="42">
        <f>VLOOKUP(A288,kurspris!$A$1:$Q$815,16,FALSE)</f>
        <v>28786</v>
      </c>
      <c r="Z288" s="42">
        <f t="shared" si="135"/>
        <v>132300.02499999999</v>
      </c>
      <c r="AA288" s="42">
        <f>VLOOKUP(A288,kurspris!$A$1:$Q$815,17,FALSE)</f>
        <v>5800</v>
      </c>
      <c r="AB288" s="42">
        <f t="shared" si="136"/>
        <v>15950</v>
      </c>
      <c r="AC288" s="42">
        <f t="shared" si="137"/>
        <v>148250.02499999999</v>
      </c>
      <c r="AD288" s="31">
        <f>VLOOKUP($A288,kurspris!$A$1:$Q$852,3,FALSE)</f>
        <v>0</v>
      </c>
      <c r="AE288" s="31">
        <f>VLOOKUP($A288,kurspris!$A$1:$Q$852,4,FALSE)</f>
        <v>0</v>
      </c>
      <c r="AF288" s="31">
        <f>VLOOKUP($A288,kurspris!$A$1:$Q$852,5,FALSE)</f>
        <v>0</v>
      </c>
      <c r="AG288" s="31">
        <f>VLOOKUP($A288,kurspris!$A$1:$Q$852,6,FALSE)</f>
        <v>1</v>
      </c>
      <c r="AH288" s="31">
        <f>VLOOKUP($A288,kurspris!$A$1:$Q$852,7,FALSE)</f>
        <v>0</v>
      </c>
      <c r="AI288" s="31">
        <f>VLOOKUP($A288,kurspris!$A$1:$Q$852,8,FALSE)</f>
        <v>0</v>
      </c>
      <c r="AJ288" s="31">
        <f>VLOOKUP($A288,kurspris!$A$1:$Q$852,9,FALSE)</f>
        <v>0</v>
      </c>
      <c r="AK288" s="31">
        <f>VLOOKUP($A288,kurspris!$A$1:$Q$852,10,FALSE)</f>
        <v>0</v>
      </c>
      <c r="AL288" s="31">
        <f>VLOOKUP($A288,kurspris!$A$1:$Q$852,11,FALSE)</f>
        <v>0</v>
      </c>
      <c r="AM288" s="31">
        <f>VLOOKUP($A288,kurspris!$A$1:$Q$852,12,FALSE)</f>
        <v>0</v>
      </c>
      <c r="AN288" s="31">
        <f>VLOOKUP($A288,kurspris!$A$1:$Q$852,13,FALSE)</f>
        <v>0</v>
      </c>
      <c r="AO288" s="31">
        <f>VLOOKUP($A288,kurspris!$A$1:$Q$852,14,FALSE)</f>
        <v>0</v>
      </c>
      <c r="AP288" s="59" t="s">
        <v>2216</v>
      </c>
      <c r="AQ288" s="59"/>
      <c r="AR288" s="31">
        <f t="shared" si="138"/>
        <v>0</v>
      </c>
      <c r="AS288" s="237">
        <f t="shared" si="139"/>
        <v>0</v>
      </c>
      <c r="AT288" s="31">
        <f t="shared" si="140"/>
        <v>0</v>
      </c>
      <c r="AU288" s="237">
        <f t="shared" si="141"/>
        <v>0</v>
      </c>
      <c r="AV288" s="31">
        <f t="shared" si="142"/>
        <v>0</v>
      </c>
      <c r="AW288" s="31">
        <f t="shared" si="143"/>
        <v>0</v>
      </c>
      <c r="AX288" s="31">
        <f t="shared" si="144"/>
        <v>2.75</v>
      </c>
      <c r="AY288" s="237">
        <f t="shared" si="145"/>
        <v>2.3374999999999999</v>
      </c>
      <c r="AZ288" s="214">
        <f t="shared" si="146"/>
        <v>0</v>
      </c>
      <c r="BA288" s="237">
        <f t="shared" si="147"/>
        <v>0</v>
      </c>
      <c r="BB288" s="31">
        <f t="shared" si="148"/>
        <v>0</v>
      </c>
      <c r="BC288" s="237">
        <f t="shared" si="149"/>
        <v>0</v>
      </c>
      <c r="BD288" s="31">
        <f t="shared" si="150"/>
        <v>0</v>
      </c>
      <c r="BE288" s="237">
        <f t="shared" si="151"/>
        <v>0</v>
      </c>
      <c r="BF288" s="31">
        <f t="shared" si="152"/>
        <v>0</v>
      </c>
      <c r="BG288" s="237">
        <f t="shared" si="153"/>
        <v>0</v>
      </c>
      <c r="BH288" s="31">
        <f t="shared" si="154"/>
        <v>0</v>
      </c>
      <c r="BI288" s="237">
        <f t="shared" si="155"/>
        <v>0</v>
      </c>
      <c r="BJ288" s="31">
        <f t="shared" si="156"/>
        <v>0</v>
      </c>
      <c r="BK288" s="31">
        <f t="shared" si="157"/>
        <v>0</v>
      </c>
      <c r="BL288" s="237">
        <f t="shared" si="158"/>
        <v>0</v>
      </c>
      <c r="BM288" s="31">
        <f t="shared" si="159"/>
        <v>0</v>
      </c>
      <c r="BN288" s="237">
        <f t="shared" si="160"/>
        <v>0</v>
      </c>
    </row>
    <row r="289" spans="1:66" x14ac:dyDescent="0.25">
      <c r="A289" s="31" t="s">
        <v>1608</v>
      </c>
      <c r="B289" s="182" t="str">
        <f>VLOOKUP(A289,kurspris!$A$1:$B$894,2,FALSE)</f>
        <v>Den professionella läraren 1: Barns utveckling, specialpedagogik, sociala relationer och kommunikation (UK)</v>
      </c>
      <c r="D289" s="31" t="s">
        <v>1614</v>
      </c>
      <c r="F289" s="59">
        <v>2019</v>
      </c>
      <c r="Q289" s="237">
        <v>1.75</v>
      </c>
      <c r="R289" s="40">
        <v>0.85</v>
      </c>
      <c r="S289" s="313">
        <f t="shared" si="134"/>
        <v>1.4875</v>
      </c>
      <c r="T289" s="31">
        <f>VLOOKUP(A289,'Ansvar kurs'!$A$1:$C$1027,2,FALSE)</f>
        <v>2193</v>
      </c>
      <c r="U289" s="31" t="str">
        <f>VLOOKUP(T289,Orgenheter!$A$1:$C$165,2,FALSE)</f>
        <v xml:space="preserve">TUV </v>
      </c>
      <c r="V289" s="31" t="str">
        <f>VLOOKUP(T289,Orgenheter!$A$1:$C$165,3,FALSE)</f>
        <v>Sam</v>
      </c>
      <c r="W289" s="37" t="str">
        <f>VLOOKUP(D289,Program!$A$1:$B$34,2,FALSE)</f>
        <v>KPU - Förhöjd studietakt - utbildningsbidrag</v>
      </c>
      <c r="X289" s="42">
        <f>VLOOKUP(A289,kurspris!$A$1:$Q$815,15,FALSE)</f>
        <v>23641</v>
      </c>
      <c r="Y289" s="42">
        <f>VLOOKUP(A289,kurspris!$A$1:$Q$815,16,FALSE)</f>
        <v>28786</v>
      </c>
      <c r="Z289" s="42">
        <f t="shared" si="135"/>
        <v>84190.925000000003</v>
      </c>
      <c r="AA289" s="42">
        <f>VLOOKUP(A289,kurspris!$A$1:$Q$815,17,FALSE)</f>
        <v>5800</v>
      </c>
      <c r="AB289" s="42">
        <f t="shared" si="136"/>
        <v>10150</v>
      </c>
      <c r="AC289" s="42">
        <f t="shared" si="137"/>
        <v>94340.925000000003</v>
      </c>
      <c r="AD289" s="31">
        <f>VLOOKUP($A289,kurspris!$A$1:$Q$852,3,FALSE)</f>
        <v>0</v>
      </c>
      <c r="AE289" s="31">
        <f>VLOOKUP($A289,kurspris!$A$1:$Q$852,4,FALSE)</f>
        <v>0</v>
      </c>
      <c r="AF289" s="31">
        <f>VLOOKUP($A289,kurspris!$A$1:$Q$852,5,FALSE)</f>
        <v>0</v>
      </c>
      <c r="AG289" s="31">
        <f>VLOOKUP($A289,kurspris!$A$1:$Q$852,6,FALSE)</f>
        <v>1</v>
      </c>
      <c r="AH289" s="31">
        <f>VLOOKUP($A289,kurspris!$A$1:$Q$852,7,FALSE)</f>
        <v>0</v>
      </c>
      <c r="AI289" s="31">
        <f>VLOOKUP($A289,kurspris!$A$1:$Q$852,8,FALSE)</f>
        <v>0</v>
      </c>
      <c r="AJ289" s="31">
        <f>VLOOKUP($A289,kurspris!$A$1:$Q$852,9,FALSE)</f>
        <v>0</v>
      </c>
      <c r="AK289" s="31">
        <f>VLOOKUP($A289,kurspris!$A$1:$Q$852,10,FALSE)</f>
        <v>0</v>
      </c>
      <c r="AL289" s="31">
        <f>VLOOKUP($A289,kurspris!$A$1:$Q$852,11,FALSE)</f>
        <v>0</v>
      </c>
      <c r="AM289" s="31">
        <f>VLOOKUP($A289,kurspris!$A$1:$Q$852,12,FALSE)</f>
        <v>0</v>
      </c>
      <c r="AN289" s="31">
        <f>VLOOKUP($A289,kurspris!$A$1:$Q$852,13,FALSE)</f>
        <v>0</v>
      </c>
      <c r="AO289" s="31">
        <f>VLOOKUP($A289,kurspris!$A$1:$Q$852,14,FALSE)</f>
        <v>0</v>
      </c>
      <c r="AP289" s="59" t="s">
        <v>2216</v>
      </c>
      <c r="AQ289" s="59"/>
      <c r="AR289" s="31">
        <f t="shared" si="138"/>
        <v>0</v>
      </c>
      <c r="AS289" s="237">
        <f t="shared" si="139"/>
        <v>0</v>
      </c>
      <c r="AT289" s="31">
        <f t="shared" si="140"/>
        <v>0</v>
      </c>
      <c r="AU289" s="237">
        <f t="shared" si="141"/>
        <v>0</v>
      </c>
      <c r="AV289" s="31">
        <f t="shared" si="142"/>
        <v>0</v>
      </c>
      <c r="AW289" s="31">
        <f t="shared" si="143"/>
        <v>0</v>
      </c>
      <c r="AX289" s="31">
        <f t="shared" si="144"/>
        <v>1.75</v>
      </c>
      <c r="AY289" s="237">
        <f t="shared" si="145"/>
        <v>1.4875</v>
      </c>
      <c r="AZ289" s="214">
        <f t="shared" si="146"/>
        <v>0</v>
      </c>
      <c r="BA289" s="237">
        <f t="shared" si="147"/>
        <v>0</v>
      </c>
      <c r="BB289" s="31">
        <f t="shared" si="148"/>
        <v>0</v>
      </c>
      <c r="BC289" s="237">
        <f t="shared" si="149"/>
        <v>0</v>
      </c>
      <c r="BD289" s="31">
        <f t="shared" si="150"/>
        <v>0</v>
      </c>
      <c r="BE289" s="237">
        <f t="shared" si="151"/>
        <v>0</v>
      </c>
      <c r="BF289" s="31">
        <f t="shared" si="152"/>
        <v>0</v>
      </c>
      <c r="BG289" s="237">
        <f t="shared" si="153"/>
        <v>0</v>
      </c>
      <c r="BH289" s="31">
        <f t="shared" si="154"/>
        <v>0</v>
      </c>
      <c r="BI289" s="237">
        <f t="shared" si="155"/>
        <v>0</v>
      </c>
      <c r="BJ289" s="31">
        <f t="shared" si="156"/>
        <v>0</v>
      </c>
      <c r="BK289" s="31">
        <f t="shared" si="157"/>
        <v>0</v>
      </c>
      <c r="BL289" s="237">
        <f t="shared" si="158"/>
        <v>0</v>
      </c>
      <c r="BM289" s="31">
        <f t="shared" si="159"/>
        <v>0</v>
      </c>
      <c r="BN289" s="237">
        <f t="shared" si="160"/>
        <v>0</v>
      </c>
    </row>
    <row r="290" spans="1:66" x14ac:dyDescent="0.25">
      <c r="A290" s="159" t="s">
        <v>1608</v>
      </c>
      <c r="B290" s="182" t="str">
        <f>VLOOKUP(A290,kurspris!$A$1:$B$894,2,FALSE)</f>
        <v>Den professionella läraren 1: Barns utveckling, specialpedagogik, sociala relationer och kommunikation (UK)</v>
      </c>
      <c r="C290" s="37"/>
      <c r="D290" s="31" t="s">
        <v>628</v>
      </c>
      <c r="F290" s="59">
        <v>2019</v>
      </c>
      <c r="Q290" s="237">
        <v>1.875</v>
      </c>
      <c r="R290" s="40">
        <v>0.85</v>
      </c>
      <c r="S290" s="313">
        <f t="shared" si="134"/>
        <v>1.59375</v>
      </c>
      <c r="T290" s="31">
        <f>VLOOKUP(A290,'Ansvar kurs'!$A$1:$C$1027,2,FALSE)</f>
        <v>2193</v>
      </c>
      <c r="U290" s="31" t="str">
        <f>VLOOKUP(T290,Orgenheter!$A$1:$C$165,2,FALSE)</f>
        <v xml:space="preserve">TUV </v>
      </c>
      <c r="V290" s="31" t="str">
        <f>VLOOKUP(T290,Orgenheter!$A$1:$C$165,3,FALSE)</f>
        <v>Sam</v>
      </c>
      <c r="W290" s="37" t="str">
        <f>VLOOKUP(D290,Program!$A$1:$B$34,2,FALSE)</f>
        <v>KPU - åk 7-9</v>
      </c>
      <c r="X290" s="42">
        <f>VLOOKUP(A290,kurspris!$A$1:$Q$815,15,FALSE)</f>
        <v>23641</v>
      </c>
      <c r="Y290" s="42">
        <f>VLOOKUP(A290,kurspris!$A$1:$Q$815,16,FALSE)</f>
        <v>28786</v>
      </c>
      <c r="Z290" s="42">
        <f t="shared" si="135"/>
        <v>90204.5625</v>
      </c>
      <c r="AA290" s="42">
        <f>VLOOKUP(A290,kurspris!$A$1:$Q$815,17,FALSE)</f>
        <v>5800</v>
      </c>
      <c r="AB290" s="42">
        <f t="shared" si="136"/>
        <v>10875</v>
      </c>
      <c r="AC290" s="42">
        <f t="shared" si="137"/>
        <v>101079.5625</v>
      </c>
      <c r="AD290" s="31">
        <f>VLOOKUP($A290,kurspris!$A$1:$Q$852,3,FALSE)</f>
        <v>0</v>
      </c>
      <c r="AE290" s="31">
        <f>VLOOKUP($A290,kurspris!$A$1:$Q$852,4,FALSE)</f>
        <v>0</v>
      </c>
      <c r="AF290" s="31">
        <f>VLOOKUP($A290,kurspris!$A$1:$Q$852,5,FALSE)</f>
        <v>0</v>
      </c>
      <c r="AG290" s="31">
        <f>VLOOKUP($A290,kurspris!$A$1:$Q$852,6,FALSE)</f>
        <v>1</v>
      </c>
      <c r="AH290" s="31">
        <f>VLOOKUP($A290,kurspris!$A$1:$Q$852,7,FALSE)</f>
        <v>0</v>
      </c>
      <c r="AI290" s="31">
        <f>VLOOKUP($A290,kurspris!$A$1:$Q$852,8,FALSE)</f>
        <v>0</v>
      </c>
      <c r="AJ290" s="31">
        <f>VLOOKUP($A290,kurspris!$A$1:$Q$852,9,FALSE)</f>
        <v>0</v>
      </c>
      <c r="AK290" s="31">
        <f>VLOOKUP($A290,kurspris!$A$1:$Q$852,10,FALSE)</f>
        <v>0</v>
      </c>
      <c r="AL290" s="31">
        <f>VLOOKUP($A290,kurspris!$A$1:$Q$852,11,FALSE)</f>
        <v>0</v>
      </c>
      <c r="AM290" s="31">
        <f>VLOOKUP($A290,kurspris!$A$1:$Q$852,12,FALSE)</f>
        <v>0</v>
      </c>
      <c r="AN290" s="31">
        <f>VLOOKUP($A290,kurspris!$A$1:$Q$852,13,FALSE)</f>
        <v>0</v>
      </c>
      <c r="AO290" s="31">
        <f>VLOOKUP($A290,kurspris!$A$1:$Q$852,14,FALSE)</f>
        <v>0</v>
      </c>
      <c r="AP290" s="59" t="s">
        <v>2216</v>
      </c>
      <c r="AR290" s="31">
        <f t="shared" si="138"/>
        <v>0</v>
      </c>
      <c r="AS290" s="237">
        <f t="shared" si="139"/>
        <v>0</v>
      </c>
      <c r="AT290" s="31">
        <f t="shared" si="140"/>
        <v>0</v>
      </c>
      <c r="AU290" s="237">
        <f t="shared" si="141"/>
        <v>0</v>
      </c>
      <c r="AV290" s="31">
        <f t="shared" si="142"/>
        <v>0</v>
      </c>
      <c r="AW290" s="31">
        <f t="shared" si="143"/>
        <v>0</v>
      </c>
      <c r="AX290" s="31">
        <f t="shared" si="144"/>
        <v>1.875</v>
      </c>
      <c r="AY290" s="237">
        <f t="shared" si="145"/>
        <v>1.59375</v>
      </c>
      <c r="AZ290" s="214">
        <f t="shared" si="146"/>
        <v>0</v>
      </c>
      <c r="BA290" s="237">
        <f t="shared" si="147"/>
        <v>0</v>
      </c>
      <c r="BB290" s="31">
        <f t="shared" si="148"/>
        <v>0</v>
      </c>
      <c r="BC290" s="237">
        <f t="shared" si="149"/>
        <v>0</v>
      </c>
      <c r="BD290" s="31">
        <f t="shared" si="150"/>
        <v>0</v>
      </c>
      <c r="BE290" s="237">
        <f t="shared" si="151"/>
        <v>0</v>
      </c>
      <c r="BF290" s="31">
        <f t="shared" si="152"/>
        <v>0</v>
      </c>
      <c r="BG290" s="237">
        <f t="shared" si="153"/>
        <v>0</v>
      </c>
      <c r="BH290" s="31">
        <f t="shared" si="154"/>
        <v>0</v>
      </c>
      <c r="BI290" s="237">
        <f t="shared" si="155"/>
        <v>0</v>
      </c>
      <c r="BJ290" s="31">
        <f t="shared" si="156"/>
        <v>0</v>
      </c>
      <c r="BK290" s="31">
        <f t="shared" si="157"/>
        <v>0</v>
      </c>
      <c r="BL290" s="237">
        <f t="shared" si="158"/>
        <v>0</v>
      </c>
      <c r="BM290" s="31">
        <f t="shared" si="159"/>
        <v>0</v>
      </c>
      <c r="BN290" s="237">
        <f t="shared" si="160"/>
        <v>0</v>
      </c>
    </row>
    <row r="291" spans="1:66" x14ac:dyDescent="0.25">
      <c r="A291" s="159" t="s">
        <v>1608</v>
      </c>
      <c r="B291" s="182" t="str">
        <f>VLOOKUP(A291,kurspris!$A$1:$B$894,2,FALSE)</f>
        <v>Den professionella läraren 1: Barns utveckling, specialpedagogik, sociala relationer och kommunikation (UK)</v>
      </c>
      <c r="C291" s="37"/>
      <c r="D291" s="31" t="s">
        <v>629</v>
      </c>
      <c r="F291" s="59">
        <v>2019</v>
      </c>
      <c r="Q291" s="237">
        <v>2.125</v>
      </c>
      <c r="R291" s="40">
        <v>0.85</v>
      </c>
      <c r="S291" s="313">
        <f t="shared" si="134"/>
        <v>1.8062499999999999</v>
      </c>
      <c r="T291" s="31">
        <f>VLOOKUP(A291,'Ansvar kurs'!$A$1:$C$1027,2,FALSE)</f>
        <v>2193</v>
      </c>
      <c r="U291" s="31" t="str">
        <f>VLOOKUP(T291,Orgenheter!$A$1:$C$165,2,FALSE)</f>
        <v xml:space="preserve">TUV </v>
      </c>
      <c r="V291" s="31" t="str">
        <f>VLOOKUP(T291,Orgenheter!$A$1:$C$165,3,FALSE)</f>
        <v>Sam</v>
      </c>
      <c r="W291" s="37" t="str">
        <f>VLOOKUP(D291,Program!$A$1:$B$34,2,FALSE)</f>
        <v>KPU - Gy</v>
      </c>
      <c r="X291" s="42">
        <f>VLOOKUP(A291,kurspris!$A$1:$Q$815,15,FALSE)</f>
        <v>23641</v>
      </c>
      <c r="Y291" s="42">
        <f>VLOOKUP(A291,kurspris!$A$1:$Q$815,16,FALSE)</f>
        <v>28786</v>
      </c>
      <c r="Z291" s="42">
        <f t="shared" si="135"/>
        <v>102231.83749999999</v>
      </c>
      <c r="AA291" s="42">
        <f>VLOOKUP(A291,kurspris!$A$1:$Q$815,17,FALSE)</f>
        <v>5800</v>
      </c>
      <c r="AB291" s="42">
        <f t="shared" si="136"/>
        <v>12325</v>
      </c>
      <c r="AC291" s="42">
        <f t="shared" si="137"/>
        <v>114556.83749999999</v>
      </c>
      <c r="AD291" s="31">
        <f>VLOOKUP($A291,kurspris!$A$1:$Q$852,3,FALSE)</f>
        <v>0</v>
      </c>
      <c r="AE291" s="31">
        <f>VLOOKUP($A291,kurspris!$A$1:$Q$852,4,FALSE)</f>
        <v>0</v>
      </c>
      <c r="AF291" s="31">
        <f>VLOOKUP($A291,kurspris!$A$1:$Q$852,5,FALSE)</f>
        <v>0</v>
      </c>
      <c r="AG291" s="31">
        <f>VLOOKUP($A291,kurspris!$A$1:$Q$852,6,FALSE)</f>
        <v>1</v>
      </c>
      <c r="AH291" s="31">
        <f>VLOOKUP($A291,kurspris!$A$1:$Q$852,7,FALSE)</f>
        <v>0</v>
      </c>
      <c r="AI291" s="31">
        <f>VLOOKUP($A291,kurspris!$A$1:$Q$852,8,FALSE)</f>
        <v>0</v>
      </c>
      <c r="AJ291" s="31">
        <f>VLOOKUP($A291,kurspris!$A$1:$Q$852,9,FALSE)</f>
        <v>0</v>
      </c>
      <c r="AK291" s="31">
        <f>VLOOKUP($A291,kurspris!$A$1:$Q$852,10,FALSE)</f>
        <v>0</v>
      </c>
      <c r="AL291" s="31">
        <f>VLOOKUP($A291,kurspris!$A$1:$Q$852,11,FALSE)</f>
        <v>0</v>
      </c>
      <c r="AM291" s="31">
        <f>VLOOKUP($A291,kurspris!$A$1:$Q$852,12,FALSE)</f>
        <v>0</v>
      </c>
      <c r="AN291" s="31">
        <f>VLOOKUP($A291,kurspris!$A$1:$Q$852,13,FALSE)</f>
        <v>0</v>
      </c>
      <c r="AO291" s="31">
        <f>VLOOKUP($A291,kurspris!$A$1:$Q$852,14,FALSE)</f>
        <v>0</v>
      </c>
      <c r="AP291" s="59" t="s">
        <v>2216</v>
      </c>
      <c r="AR291" s="31">
        <f t="shared" si="138"/>
        <v>0</v>
      </c>
      <c r="AS291" s="237">
        <f t="shared" si="139"/>
        <v>0</v>
      </c>
      <c r="AT291" s="31">
        <f t="shared" si="140"/>
        <v>0</v>
      </c>
      <c r="AU291" s="237">
        <f t="shared" si="141"/>
        <v>0</v>
      </c>
      <c r="AV291" s="31">
        <f t="shared" si="142"/>
        <v>0</v>
      </c>
      <c r="AW291" s="31">
        <f t="shared" si="143"/>
        <v>0</v>
      </c>
      <c r="AX291" s="31">
        <f t="shared" si="144"/>
        <v>2.125</v>
      </c>
      <c r="AY291" s="237">
        <f t="shared" si="145"/>
        <v>1.8062499999999999</v>
      </c>
      <c r="AZ291" s="214">
        <f t="shared" si="146"/>
        <v>0</v>
      </c>
      <c r="BA291" s="237">
        <f t="shared" si="147"/>
        <v>0</v>
      </c>
      <c r="BB291" s="31">
        <f t="shared" si="148"/>
        <v>0</v>
      </c>
      <c r="BC291" s="237">
        <f t="shared" si="149"/>
        <v>0</v>
      </c>
      <c r="BD291" s="31">
        <f t="shared" si="150"/>
        <v>0</v>
      </c>
      <c r="BE291" s="237">
        <f t="shared" si="151"/>
        <v>0</v>
      </c>
      <c r="BF291" s="31">
        <f t="shared" si="152"/>
        <v>0</v>
      </c>
      <c r="BG291" s="237">
        <f t="shared" si="153"/>
        <v>0</v>
      </c>
      <c r="BH291" s="31">
        <f t="shared" si="154"/>
        <v>0</v>
      </c>
      <c r="BI291" s="237">
        <f t="shared" si="155"/>
        <v>0</v>
      </c>
      <c r="BJ291" s="31">
        <f t="shared" si="156"/>
        <v>0</v>
      </c>
      <c r="BK291" s="31">
        <f t="shared" si="157"/>
        <v>0</v>
      </c>
      <c r="BL291" s="237">
        <f t="shared" si="158"/>
        <v>0</v>
      </c>
      <c r="BM291" s="31">
        <f t="shared" si="159"/>
        <v>0</v>
      </c>
      <c r="BN291" s="237">
        <f t="shared" si="160"/>
        <v>0</v>
      </c>
    </row>
    <row r="292" spans="1:66" x14ac:dyDescent="0.25">
      <c r="A292" s="159" t="s">
        <v>1561</v>
      </c>
      <c r="B292" s="182" t="str">
        <f>VLOOKUP(A292,kurspris!$A$1:$B$894,2,FALSE)</f>
        <v>Utbildningsvetenskap, undervisning och lärande för förskolan (UK)</v>
      </c>
      <c r="C292" s="37"/>
      <c r="D292" s="31" t="s">
        <v>484</v>
      </c>
      <c r="F292" s="59">
        <v>2019</v>
      </c>
      <c r="Q292" s="237">
        <v>10</v>
      </c>
      <c r="R292" s="40">
        <v>0.85</v>
      </c>
      <c r="S292" s="313">
        <f t="shared" si="134"/>
        <v>8.5</v>
      </c>
      <c r="T292" s="31">
        <f>VLOOKUP(A292,'Ansvar kurs'!$A$1:$C$1027,2,FALSE)</f>
        <v>2193</v>
      </c>
      <c r="U292" s="31" t="str">
        <f>VLOOKUP(T292,Orgenheter!$A$1:$C$165,2,FALSE)</f>
        <v xml:space="preserve">TUV </v>
      </c>
      <c r="V292" s="31" t="str">
        <f>VLOOKUP(T292,Orgenheter!$A$1:$C$165,3,FALSE)</f>
        <v>Sam</v>
      </c>
      <c r="W292" s="37" t="str">
        <f>VLOOKUP(D292,Program!$A$1:$B$34,2,FALSE)</f>
        <v>Förskollärarprogrammet</v>
      </c>
      <c r="X292" s="42">
        <f>VLOOKUP(A292,kurspris!$A$1:$Q$815,15,FALSE)</f>
        <v>23641</v>
      </c>
      <c r="Y292" s="42">
        <f>VLOOKUP(A292,kurspris!$A$1:$Q$815,16,FALSE)</f>
        <v>28786</v>
      </c>
      <c r="Z292" s="42">
        <f t="shared" si="135"/>
        <v>481091</v>
      </c>
      <c r="AA292" s="42">
        <f>VLOOKUP(A292,kurspris!$A$1:$Q$815,17,FALSE)</f>
        <v>5800</v>
      </c>
      <c r="AB292" s="42">
        <f t="shared" si="136"/>
        <v>58000</v>
      </c>
      <c r="AC292" s="42">
        <f t="shared" si="137"/>
        <v>539091</v>
      </c>
      <c r="AD292" s="31">
        <f>VLOOKUP($A292,kurspris!$A$1:$Q$852,3,FALSE)</f>
        <v>0</v>
      </c>
      <c r="AE292" s="31">
        <f>VLOOKUP($A292,kurspris!$A$1:$Q$852,4,FALSE)</f>
        <v>0</v>
      </c>
      <c r="AF292" s="31">
        <f>VLOOKUP($A292,kurspris!$A$1:$Q$852,5,FALSE)</f>
        <v>0</v>
      </c>
      <c r="AG292" s="31">
        <f>VLOOKUP($A292,kurspris!$A$1:$Q$852,6,FALSE)</f>
        <v>1</v>
      </c>
      <c r="AH292" s="31">
        <f>VLOOKUP($A292,kurspris!$A$1:$Q$852,7,FALSE)</f>
        <v>0</v>
      </c>
      <c r="AI292" s="31">
        <f>VLOOKUP($A292,kurspris!$A$1:$Q$852,8,FALSE)</f>
        <v>0</v>
      </c>
      <c r="AJ292" s="31">
        <f>VLOOKUP($A292,kurspris!$A$1:$Q$852,9,FALSE)</f>
        <v>0</v>
      </c>
      <c r="AK292" s="31">
        <f>VLOOKUP($A292,kurspris!$A$1:$Q$852,10,FALSE)</f>
        <v>0</v>
      </c>
      <c r="AL292" s="31">
        <f>VLOOKUP($A292,kurspris!$A$1:$Q$852,11,FALSE)</f>
        <v>0</v>
      </c>
      <c r="AM292" s="31">
        <f>VLOOKUP($A292,kurspris!$A$1:$Q$852,12,FALSE)</f>
        <v>0</v>
      </c>
      <c r="AN292" s="31">
        <f>VLOOKUP($A292,kurspris!$A$1:$Q$852,13,FALSE)</f>
        <v>0</v>
      </c>
      <c r="AO292" s="31">
        <f>VLOOKUP($A292,kurspris!$A$1:$Q$852,14,FALSE)</f>
        <v>0</v>
      </c>
      <c r="AP292" s="59" t="s">
        <v>2216</v>
      </c>
      <c r="AR292" s="31">
        <f t="shared" si="138"/>
        <v>0</v>
      </c>
      <c r="AS292" s="237">
        <f t="shared" si="139"/>
        <v>0</v>
      </c>
      <c r="AT292" s="31">
        <f t="shared" si="140"/>
        <v>0</v>
      </c>
      <c r="AU292" s="237">
        <f t="shared" si="141"/>
        <v>0</v>
      </c>
      <c r="AV292" s="31">
        <f t="shared" si="142"/>
        <v>0</v>
      </c>
      <c r="AW292" s="31">
        <f t="shared" si="143"/>
        <v>0</v>
      </c>
      <c r="AX292" s="31">
        <f t="shared" si="144"/>
        <v>10</v>
      </c>
      <c r="AY292" s="237">
        <f t="shared" si="145"/>
        <v>8.5</v>
      </c>
      <c r="AZ292" s="214">
        <f t="shared" si="146"/>
        <v>0</v>
      </c>
      <c r="BA292" s="237">
        <f t="shared" si="147"/>
        <v>0</v>
      </c>
      <c r="BB292" s="31">
        <f t="shared" si="148"/>
        <v>0</v>
      </c>
      <c r="BC292" s="237">
        <f t="shared" si="149"/>
        <v>0</v>
      </c>
      <c r="BD292" s="31">
        <f t="shared" si="150"/>
        <v>0</v>
      </c>
      <c r="BE292" s="237">
        <f t="shared" si="151"/>
        <v>0</v>
      </c>
      <c r="BF292" s="31">
        <f t="shared" si="152"/>
        <v>0</v>
      </c>
      <c r="BG292" s="237">
        <f t="shared" si="153"/>
        <v>0</v>
      </c>
      <c r="BH292" s="31">
        <f t="shared" si="154"/>
        <v>0</v>
      </c>
      <c r="BI292" s="237">
        <f t="shared" si="155"/>
        <v>0</v>
      </c>
      <c r="BJ292" s="31">
        <f t="shared" si="156"/>
        <v>0</v>
      </c>
      <c r="BK292" s="31">
        <f t="shared" si="157"/>
        <v>0</v>
      </c>
      <c r="BL292" s="237">
        <f t="shared" si="158"/>
        <v>0</v>
      </c>
      <c r="BM292" s="31">
        <f t="shared" si="159"/>
        <v>0</v>
      </c>
      <c r="BN292" s="237">
        <f t="shared" si="160"/>
        <v>0</v>
      </c>
    </row>
    <row r="293" spans="1:66" x14ac:dyDescent="0.25">
      <c r="A293" s="159" t="s">
        <v>1558</v>
      </c>
      <c r="B293" s="182" t="str">
        <f>VLOOKUP(A293,kurspris!$A$1:$B$894,2,FALSE)</f>
        <v>Specialpedagogik för förskolan (UK)</v>
      </c>
      <c r="C293" s="37"/>
      <c r="D293" s="31" t="s">
        <v>484</v>
      </c>
      <c r="F293" s="59">
        <v>2019</v>
      </c>
      <c r="Q293" s="237">
        <v>7.3</v>
      </c>
      <c r="R293" s="40">
        <v>0.85</v>
      </c>
      <c r="S293" s="313">
        <f t="shared" si="134"/>
        <v>6.2050000000000001</v>
      </c>
      <c r="T293" s="31">
        <f>VLOOKUP(A293,'Ansvar kurs'!$A$1:$C$1027,2,FALSE)</f>
        <v>2193</v>
      </c>
      <c r="U293" s="31" t="str">
        <f>VLOOKUP(T293,Orgenheter!$A$1:$C$165,2,FALSE)</f>
        <v xml:space="preserve">TUV </v>
      </c>
      <c r="V293" s="31" t="str">
        <f>VLOOKUP(T293,Orgenheter!$A$1:$C$165,3,FALSE)</f>
        <v>Sam</v>
      </c>
      <c r="W293" s="37" t="str">
        <f>VLOOKUP(D293,Program!$A$1:$B$34,2,FALSE)</f>
        <v>Förskollärarprogrammet</v>
      </c>
      <c r="X293" s="42">
        <f>VLOOKUP(A293,kurspris!$A$1:$Q$815,15,FALSE)</f>
        <v>23641</v>
      </c>
      <c r="Y293" s="42">
        <f>VLOOKUP(A293,kurspris!$A$1:$Q$815,16,FALSE)</f>
        <v>28786</v>
      </c>
      <c r="Z293" s="42">
        <f t="shared" si="135"/>
        <v>351196.43</v>
      </c>
      <c r="AA293" s="42">
        <f>VLOOKUP(A293,kurspris!$A$1:$Q$815,17,FALSE)</f>
        <v>5800</v>
      </c>
      <c r="AB293" s="42">
        <f t="shared" si="136"/>
        <v>42340</v>
      </c>
      <c r="AC293" s="42">
        <f t="shared" si="137"/>
        <v>393536.43</v>
      </c>
      <c r="AD293" s="31">
        <f>VLOOKUP($A293,kurspris!$A$1:$Q$852,3,FALSE)</f>
        <v>0</v>
      </c>
      <c r="AE293" s="31">
        <f>VLOOKUP($A293,kurspris!$A$1:$Q$852,4,FALSE)</f>
        <v>0</v>
      </c>
      <c r="AF293" s="31">
        <f>VLOOKUP($A293,kurspris!$A$1:$Q$852,5,FALSE)</f>
        <v>0</v>
      </c>
      <c r="AG293" s="31">
        <f>VLOOKUP($A293,kurspris!$A$1:$Q$852,6,FALSE)</f>
        <v>1</v>
      </c>
      <c r="AH293" s="31">
        <f>VLOOKUP($A293,kurspris!$A$1:$Q$852,7,FALSE)</f>
        <v>0</v>
      </c>
      <c r="AI293" s="31">
        <f>VLOOKUP($A293,kurspris!$A$1:$Q$852,8,FALSE)</f>
        <v>0</v>
      </c>
      <c r="AJ293" s="31">
        <f>VLOOKUP($A293,kurspris!$A$1:$Q$852,9,FALSE)</f>
        <v>0</v>
      </c>
      <c r="AK293" s="31">
        <f>VLOOKUP($A293,kurspris!$A$1:$Q$852,10,FALSE)</f>
        <v>0</v>
      </c>
      <c r="AL293" s="31">
        <f>VLOOKUP($A293,kurspris!$A$1:$Q$852,11,FALSE)</f>
        <v>0</v>
      </c>
      <c r="AM293" s="31">
        <f>VLOOKUP($A293,kurspris!$A$1:$Q$852,12,FALSE)</f>
        <v>0</v>
      </c>
      <c r="AN293" s="31">
        <f>VLOOKUP($A293,kurspris!$A$1:$Q$852,13,FALSE)</f>
        <v>0</v>
      </c>
      <c r="AO293" s="31">
        <f>VLOOKUP($A293,kurspris!$A$1:$Q$852,14,FALSE)</f>
        <v>0</v>
      </c>
      <c r="AP293" s="59" t="s">
        <v>2216</v>
      </c>
      <c r="AR293" s="31">
        <f t="shared" si="138"/>
        <v>0</v>
      </c>
      <c r="AS293" s="237">
        <f t="shared" si="139"/>
        <v>0</v>
      </c>
      <c r="AT293" s="31">
        <f t="shared" si="140"/>
        <v>0</v>
      </c>
      <c r="AU293" s="237">
        <f t="shared" si="141"/>
        <v>0</v>
      </c>
      <c r="AV293" s="31">
        <f t="shared" si="142"/>
        <v>0</v>
      </c>
      <c r="AW293" s="31">
        <f t="shared" si="143"/>
        <v>0</v>
      </c>
      <c r="AX293" s="31">
        <f t="shared" si="144"/>
        <v>7.3</v>
      </c>
      <c r="AY293" s="237">
        <f t="shared" si="145"/>
        <v>6.2050000000000001</v>
      </c>
      <c r="AZ293" s="214">
        <f t="shared" si="146"/>
        <v>0</v>
      </c>
      <c r="BA293" s="237">
        <f t="shared" si="147"/>
        <v>0</v>
      </c>
      <c r="BB293" s="31">
        <f t="shared" si="148"/>
        <v>0</v>
      </c>
      <c r="BC293" s="237">
        <f t="shared" si="149"/>
        <v>0</v>
      </c>
      <c r="BD293" s="31">
        <f t="shared" si="150"/>
        <v>0</v>
      </c>
      <c r="BE293" s="237">
        <f t="shared" si="151"/>
        <v>0</v>
      </c>
      <c r="BF293" s="31">
        <f t="shared" si="152"/>
        <v>0</v>
      </c>
      <c r="BG293" s="237">
        <f t="shared" si="153"/>
        <v>0</v>
      </c>
      <c r="BH293" s="31">
        <f t="shared" si="154"/>
        <v>0</v>
      </c>
      <c r="BI293" s="237">
        <f t="shared" si="155"/>
        <v>0</v>
      </c>
      <c r="BJ293" s="31">
        <f t="shared" si="156"/>
        <v>0</v>
      </c>
      <c r="BK293" s="31">
        <f t="shared" si="157"/>
        <v>0</v>
      </c>
      <c r="BL293" s="237">
        <f t="shared" si="158"/>
        <v>0</v>
      </c>
      <c r="BM293" s="31">
        <f t="shared" si="159"/>
        <v>0</v>
      </c>
      <c r="BN293" s="237">
        <f t="shared" si="160"/>
        <v>0</v>
      </c>
    </row>
    <row r="294" spans="1:66" x14ac:dyDescent="0.25">
      <c r="A294" s="159" t="s">
        <v>1550</v>
      </c>
      <c r="B294" s="182" t="str">
        <f>VLOOKUP(A294,kurspris!$A$1:$B$894,2,FALSE)</f>
        <v>Specialpedagogik för grundskolan (UK)</v>
      </c>
      <c r="C294" s="37"/>
      <c r="D294" s="31" t="s">
        <v>485</v>
      </c>
      <c r="F294" s="59">
        <v>2019</v>
      </c>
      <c r="Q294" s="237">
        <v>1.25</v>
      </c>
      <c r="R294" s="40">
        <v>0.85</v>
      </c>
      <c r="S294" s="313">
        <f t="shared" si="134"/>
        <v>1.0625</v>
      </c>
      <c r="T294" s="31">
        <f>VLOOKUP(A294,'Ansvar kurs'!$A$1:$C$1027,2,FALSE)</f>
        <v>2180</v>
      </c>
      <c r="U294" s="31" t="str">
        <f>VLOOKUP(T294,Orgenheter!$A$1:$C$165,2,FALSE)</f>
        <v xml:space="preserve">Pedagogik                     </v>
      </c>
      <c r="V294" s="31" t="str">
        <f>VLOOKUP(T294,Orgenheter!$A$1:$C$165,3,FALSE)</f>
        <v>Sam</v>
      </c>
      <c r="W294" s="37" t="str">
        <f>VLOOKUP(D294,Program!$A$1:$B$34,2,FALSE)</f>
        <v>Grundlärarprogrammet - fritidshem</v>
      </c>
      <c r="X294" s="42">
        <f>VLOOKUP(A294,kurspris!$A$1:$Q$815,15,FALSE)</f>
        <v>23641</v>
      </c>
      <c r="Y294" s="42">
        <f>VLOOKUP(A294,kurspris!$A$1:$Q$815,16,FALSE)</f>
        <v>28786</v>
      </c>
      <c r="Z294" s="42">
        <f t="shared" si="135"/>
        <v>60136.375</v>
      </c>
      <c r="AA294" s="42">
        <f>VLOOKUP(A294,kurspris!$A$1:$Q$815,17,FALSE)</f>
        <v>5800</v>
      </c>
      <c r="AB294" s="42">
        <f t="shared" si="136"/>
        <v>7250</v>
      </c>
      <c r="AC294" s="42">
        <f t="shared" si="137"/>
        <v>67386.375</v>
      </c>
      <c r="AD294" s="31">
        <f>VLOOKUP($A294,kurspris!$A$1:$Q$852,3,FALSE)</f>
        <v>0</v>
      </c>
      <c r="AE294" s="31">
        <f>VLOOKUP($A294,kurspris!$A$1:$Q$852,4,FALSE)</f>
        <v>0</v>
      </c>
      <c r="AF294" s="31">
        <f>VLOOKUP($A294,kurspris!$A$1:$Q$852,5,FALSE)</f>
        <v>0</v>
      </c>
      <c r="AG294" s="31">
        <f>VLOOKUP($A294,kurspris!$A$1:$Q$852,6,FALSE)</f>
        <v>1</v>
      </c>
      <c r="AH294" s="31">
        <f>VLOOKUP($A294,kurspris!$A$1:$Q$852,7,FALSE)</f>
        <v>0</v>
      </c>
      <c r="AI294" s="31">
        <f>VLOOKUP($A294,kurspris!$A$1:$Q$852,8,FALSE)</f>
        <v>0</v>
      </c>
      <c r="AJ294" s="31">
        <f>VLOOKUP($A294,kurspris!$A$1:$Q$852,9,FALSE)</f>
        <v>0</v>
      </c>
      <c r="AK294" s="31">
        <f>VLOOKUP($A294,kurspris!$A$1:$Q$852,10,FALSE)</f>
        <v>0</v>
      </c>
      <c r="AL294" s="31">
        <f>VLOOKUP($A294,kurspris!$A$1:$Q$852,11,FALSE)</f>
        <v>0</v>
      </c>
      <c r="AM294" s="31">
        <f>VLOOKUP($A294,kurspris!$A$1:$Q$852,12,FALSE)</f>
        <v>0</v>
      </c>
      <c r="AN294" s="31">
        <f>VLOOKUP($A294,kurspris!$A$1:$Q$852,13,FALSE)</f>
        <v>0</v>
      </c>
      <c r="AO294" s="31">
        <f>VLOOKUP($A294,kurspris!$A$1:$Q$852,14,FALSE)</f>
        <v>0</v>
      </c>
      <c r="AP294" s="59" t="s">
        <v>2216</v>
      </c>
      <c r="AR294" s="31">
        <f t="shared" si="138"/>
        <v>0</v>
      </c>
      <c r="AS294" s="237">
        <f t="shared" si="139"/>
        <v>0</v>
      </c>
      <c r="AT294" s="31">
        <f t="shared" si="140"/>
        <v>0</v>
      </c>
      <c r="AU294" s="237">
        <f t="shared" si="141"/>
        <v>0</v>
      </c>
      <c r="AV294" s="31">
        <f t="shared" si="142"/>
        <v>0</v>
      </c>
      <c r="AW294" s="31">
        <f t="shared" si="143"/>
        <v>0</v>
      </c>
      <c r="AX294" s="31">
        <f t="shared" si="144"/>
        <v>1.25</v>
      </c>
      <c r="AY294" s="237">
        <f t="shared" si="145"/>
        <v>1.0625</v>
      </c>
      <c r="AZ294" s="214">
        <f t="shared" si="146"/>
        <v>0</v>
      </c>
      <c r="BA294" s="237">
        <f t="shared" si="147"/>
        <v>0</v>
      </c>
      <c r="BB294" s="31">
        <f t="shared" si="148"/>
        <v>0</v>
      </c>
      <c r="BC294" s="237">
        <f t="shared" si="149"/>
        <v>0</v>
      </c>
      <c r="BD294" s="31">
        <f t="shared" si="150"/>
        <v>0</v>
      </c>
      <c r="BE294" s="237">
        <f t="shared" si="151"/>
        <v>0</v>
      </c>
      <c r="BF294" s="31">
        <f t="shared" si="152"/>
        <v>0</v>
      </c>
      <c r="BG294" s="237">
        <f t="shared" si="153"/>
        <v>0</v>
      </c>
      <c r="BH294" s="31">
        <f t="shared" si="154"/>
        <v>0</v>
      </c>
      <c r="BI294" s="237">
        <f t="shared" si="155"/>
        <v>0</v>
      </c>
      <c r="BJ294" s="31">
        <f t="shared" si="156"/>
        <v>0</v>
      </c>
      <c r="BK294" s="31">
        <f t="shared" si="157"/>
        <v>0</v>
      </c>
      <c r="BL294" s="237">
        <f t="shared" si="158"/>
        <v>0</v>
      </c>
      <c r="BM294" s="31">
        <f t="shared" si="159"/>
        <v>0</v>
      </c>
      <c r="BN294" s="237">
        <f t="shared" si="160"/>
        <v>0</v>
      </c>
    </row>
    <row r="295" spans="1:66" x14ac:dyDescent="0.25">
      <c r="A295" s="159" t="s">
        <v>1550</v>
      </c>
      <c r="B295" s="182" t="str">
        <f>VLOOKUP(A295,kurspris!$A$1:$B$894,2,FALSE)</f>
        <v>Specialpedagogik för grundskolan (UK)</v>
      </c>
      <c r="C295" s="37"/>
      <c r="D295" s="31" t="s">
        <v>486</v>
      </c>
      <c r="F295" s="59">
        <v>2019</v>
      </c>
      <c r="Q295" s="237">
        <v>2.8333300000000001</v>
      </c>
      <c r="R295" s="40">
        <v>0.85</v>
      </c>
      <c r="S295" s="313">
        <f t="shared" si="134"/>
        <v>2.4083304999999999</v>
      </c>
      <c r="T295" s="31">
        <f>VLOOKUP(A295,'Ansvar kurs'!$A$1:$C$1027,2,FALSE)</f>
        <v>2180</v>
      </c>
      <c r="U295" s="31" t="str">
        <f>VLOOKUP(T295,Orgenheter!$A$1:$C$165,2,FALSE)</f>
        <v xml:space="preserve">Pedagogik                     </v>
      </c>
      <c r="V295" s="31" t="str">
        <f>VLOOKUP(T295,Orgenheter!$A$1:$C$165,3,FALSE)</f>
        <v>Sam</v>
      </c>
      <c r="W295" s="37" t="str">
        <f>VLOOKUP(D295,Program!$A$1:$B$34,2,FALSE)</f>
        <v>Grundlärarprogrammet - förskoleklass och åk 1-3</v>
      </c>
      <c r="X295" s="42">
        <f>VLOOKUP(A295,kurspris!$A$1:$Q$815,15,FALSE)</f>
        <v>23641</v>
      </c>
      <c r="Y295" s="42">
        <f>VLOOKUP(A295,kurspris!$A$1:$Q$815,16,FALSE)</f>
        <v>28786</v>
      </c>
      <c r="Z295" s="42">
        <f t="shared" si="135"/>
        <v>136308.95630299998</v>
      </c>
      <c r="AA295" s="42">
        <f>VLOOKUP(A295,kurspris!$A$1:$Q$815,17,FALSE)</f>
        <v>5800</v>
      </c>
      <c r="AB295" s="42">
        <f t="shared" si="136"/>
        <v>16433.314000000002</v>
      </c>
      <c r="AC295" s="42">
        <f t="shared" si="137"/>
        <v>152742.270303</v>
      </c>
      <c r="AD295" s="31">
        <f>VLOOKUP($A295,kurspris!$A$1:$Q$852,3,FALSE)</f>
        <v>0</v>
      </c>
      <c r="AE295" s="31">
        <f>VLOOKUP($A295,kurspris!$A$1:$Q$852,4,FALSE)</f>
        <v>0</v>
      </c>
      <c r="AF295" s="31">
        <f>VLOOKUP($A295,kurspris!$A$1:$Q$852,5,FALSE)</f>
        <v>0</v>
      </c>
      <c r="AG295" s="31">
        <f>VLOOKUP($A295,kurspris!$A$1:$Q$852,6,FALSE)</f>
        <v>1</v>
      </c>
      <c r="AH295" s="31">
        <f>VLOOKUP($A295,kurspris!$A$1:$Q$852,7,FALSE)</f>
        <v>0</v>
      </c>
      <c r="AI295" s="31">
        <f>VLOOKUP($A295,kurspris!$A$1:$Q$852,8,FALSE)</f>
        <v>0</v>
      </c>
      <c r="AJ295" s="31">
        <f>VLOOKUP($A295,kurspris!$A$1:$Q$852,9,FALSE)</f>
        <v>0</v>
      </c>
      <c r="AK295" s="31">
        <f>VLOOKUP($A295,kurspris!$A$1:$Q$852,10,FALSE)</f>
        <v>0</v>
      </c>
      <c r="AL295" s="31">
        <f>VLOOKUP($A295,kurspris!$A$1:$Q$852,11,FALSE)</f>
        <v>0</v>
      </c>
      <c r="AM295" s="31">
        <f>VLOOKUP($A295,kurspris!$A$1:$Q$852,12,FALSE)</f>
        <v>0</v>
      </c>
      <c r="AN295" s="31">
        <f>VLOOKUP($A295,kurspris!$A$1:$Q$852,13,FALSE)</f>
        <v>0</v>
      </c>
      <c r="AO295" s="31">
        <f>VLOOKUP($A295,kurspris!$A$1:$Q$852,14,FALSE)</f>
        <v>0</v>
      </c>
      <c r="AP295" s="59" t="s">
        <v>2216</v>
      </c>
      <c r="AR295" s="31">
        <f t="shared" si="138"/>
        <v>0</v>
      </c>
      <c r="AS295" s="237">
        <f t="shared" si="139"/>
        <v>0</v>
      </c>
      <c r="AT295" s="31">
        <f t="shared" si="140"/>
        <v>0</v>
      </c>
      <c r="AU295" s="237">
        <f t="shared" si="141"/>
        <v>0</v>
      </c>
      <c r="AV295" s="31">
        <f t="shared" si="142"/>
        <v>0</v>
      </c>
      <c r="AW295" s="31">
        <f t="shared" si="143"/>
        <v>0</v>
      </c>
      <c r="AX295" s="31">
        <f t="shared" si="144"/>
        <v>2.8333300000000001</v>
      </c>
      <c r="AY295" s="237">
        <f t="shared" si="145"/>
        <v>2.4083304999999999</v>
      </c>
      <c r="AZ295" s="214">
        <f t="shared" si="146"/>
        <v>0</v>
      </c>
      <c r="BA295" s="237">
        <f t="shared" si="147"/>
        <v>0</v>
      </c>
      <c r="BB295" s="31">
        <f t="shared" si="148"/>
        <v>0</v>
      </c>
      <c r="BC295" s="237">
        <f t="shared" si="149"/>
        <v>0</v>
      </c>
      <c r="BD295" s="31">
        <f t="shared" si="150"/>
        <v>0</v>
      </c>
      <c r="BE295" s="237">
        <f t="shared" si="151"/>
        <v>0</v>
      </c>
      <c r="BF295" s="31">
        <f t="shared" si="152"/>
        <v>0</v>
      </c>
      <c r="BG295" s="237">
        <f t="shared" si="153"/>
        <v>0</v>
      </c>
      <c r="BH295" s="31">
        <f t="shared" si="154"/>
        <v>0</v>
      </c>
      <c r="BI295" s="237">
        <f t="shared" si="155"/>
        <v>0</v>
      </c>
      <c r="BJ295" s="31">
        <f t="shared" si="156"/>
        <v>0</v>
      </c>
      <c r="BK295" s="31">
        <f t="shared" si="157"/>
        <v>0</v>
      </c>
      <c r="BL295" s="237">
        <f t="shared" si="158"/>
        <v>0</v>
      </c>
      <c r="BM295" s="31">
        <f t="shared" si="159"/>
        <v>0</v>
      </c>
      <c r="BN295" s="237">
        <f t="shared" si="160"/>
        <v>0</v>
      </c>
    </row>
    <row r="296" spans="1:66" x14ac:dyDescent="0.25">
      <c r="A296" s="159" t="s">
        <v>1550</v>
      </c>
      <c r="B296" s="182" t="str">
        <f>VLOOKUP(A296,kurspris!$A$1:$B$894,2,FALSE)</f>
        <v>Specialpedagogik för grundskolan (UK)</v>
      </c>
      <c r="C296" s="37"/>
      <c r="D296" s="31" t="s">
        <v>524</v>
      </c>
      <c r="F296" s="59">
        <v>2019</v>
      </c>
      <c r="Q296" s="237">
        <v>2.8333300000000001</v>
      </c>
      <c r="R296" s="40">
        <v>0.85</v>
      </c>
      <c r="S296" s="313">
        <f t="shared" si="134"/>
        <v>2.4083304999999999</v>
      </c>
      <c r="T296" s="31">
        <f>VLOOKUP(A296,'Ansvar kurs'!$A$1:$C$1027,2,FALSE)</f>
        <v>2180</v>
      </c>
      <c r="U296" s="31" t="str">
        <f>VLOOKUP(T296,Orgenheter!$A$1:$C$165,2,FALSE)</f>
        <v xml:space="preserve">Pedagogik                     </v>
      </c>
      <c r="V296" s="31" t="str">
        <f>VLOOKUP(T296,Orgenheter!$A$1:$C$165,3,FALSE)</f>
        <v>Sam</v>
      </c>
      <c r="W296" s="37" t="str">
        <f>VLOOKUP(D296,Program!$A$1:$B$34,2,FALSE)</f>
        <v>Grundlärarprogrammet - grundskolans åk 4-6</v>
      </c>
      <c r="X296" s="42">
        <f>VLOOKUP(A296,kurspris!$A$1:$Q$815,15,FALSE)</f>
        <v>23641</v>
      </c>
      <c r="Y296" s="42">
        <f>VLOOKUP(A296,kurspris!$A$1:$Q$815,16,FALSE)</f>
        <v>28786</v>
      </c>
      <c r="Z296" s="42">
        <f t="shared" si="135"/>
        <v>136308.95630299998</v>
      </c>
      <c r="AA296" s="42">
        <f>VLOOKUP(A296,kurspris!$A$1:$Q$815,17,FALSE)</f>
        <v>5800</v>
      </c>
      <c r="AB296" s="42">
        <f t="shared" si="136"/>
        <v>16433.314000000002</v>
      </c>
      <c r="AC296" s="42">
        <f t="shared" si="137"/>
        <v>152742.270303</v>
      </c>
      <c r="AD296" s="31">
        <f>VLOOKUP($A296,kurspris!$A$1:$Q$852,3,FALSE)</f>
        <v>0</v>
      </c>
      <c r="AE296" s="31">
        <f>VLOOKUP($A296,kurspris!$A$1:$Q$852,4,FALSE)</f>
        <v>0</v>
      </c>
      <c r="AF296" s="31">
        <f>VLOOKUP($A296,kurspris!$A$1:$Q$852,5,FALSE)</f>
        <v>0</v>
      </c>
      <c r="AG296" s="31">
        <f>VLOOKUP($A296,kurspris!$A$1:$Q$852,6,FALSE)</f>
        <v>1</v>
      </c>
      <c r="AH296" s="31">
        <f>VLOOKUP($A296,kurspris!$A$1:$Q$852,7,FALSE)</f>
        <v>0</v>
      </c>
      <c r="AI296" s="31">
        <f>VLOOKUP($A296,kurspris!$A$1:$Q$852,8,FALSE)</f>
        <v>0</v>
      </c>
      <c r="AJ296" s="31">
        <f>VLOOKUP($A296,kurspris!$A$1:$Q$852,9,FALSE)</f>
        <v>0</v>
      </c>
      <c r="AK296" s="31">
        <f>VLOOKUP($A296,kurspris!$A$1:$Q$852,10,FALSE)</f>
        <v>0</v>
      </c>
      <c r="AL296" s="31">
        <f>VLOOKUP($A296,kurspris!$A$1:$Q$852,11,FALSE)</f>
        <v>0</v>
      </c>
      <c r="AM296" s="31">
        <f>VLOOKUP($A296,kurspris!$A$1:$Q$852,12,FALSE)</f>
        <v>0</v>
      </c>
      <c r="AN296" s="31">
        <f>VLOOKUP($A296,kurspris!$A$1:$Q$852,13,FALSE)</f>
        <v>0</v>
      </c>
      <c r="AO296" s="31">
        <f>VLOOKUP($A296,kurspris!$A$1:$Q$852,14,FALSE)</f>
        <v>0</v>
      </c>
      <c r="AP296" s="59" t="s">
        <v>2216</v>
      </c>
      <c r="AR296" s="31">
        <f t="shared" si="138"/>
        <v>0</v>
      </c>
      <c r="AS296" s="237">
        <f t="shared" si="139"/>
        <v>0</v>
      </c>
      <c r="AT296" s="31">
        <f t="shared" si="140"/>
        <v>0</v>
      </c>
      <c r="AU296" s="237">
        <f t="shared" si="141"/>
        <v>0</v>
      </c>
      <c r="AV296" s="31">
        <f t="shared" si="142"/>
        <v>0</v>
      </c>
      <c r="AW296" s="31">
        <f t="shared" si="143"/>
        <v>0</v>
      </c>
      <c r="AX296" s="31">
        <f t="shared" si="144"/>
        <v>2.8333300000000001</v>
      </c>
      <c r="AY296" s="237">
        <f t="shared" si="145"/>
        <v>2.4083304999999999</v>
      </c>
      <c r="AZ296" s="214">
        <f t="shared" si="146"/>
        <v>0</v>
      </c>
      <c r="BA296" s="237">
        <f t="shared" si="147"/>
        <v>0</v>
      </c>
      <c r="BB296" s="31">
        <f t="shared" si="148"/>
        <v>0</v>
      </c>
      <c r="BC296" s="237">
        <f t="shared" si="149"/>
        <v>0</v>
      </c>
      <c r="BD296" s="31">
        <f t="shared" si="150"/>
        <v>0</v>
      </c>
      <c r="BE296" s="237">
        <f t="shared" si="151"/>
        <v>0</v>
      </c>
      <c r="BF296" s="31">
        <f t="shared" si="152"/>
        <v>0</v>
      </c>
      <c r="BG296" s="237">
        <f t="shared" si="153"/>
        <v>0</v>
      </c>
      <c r="BH296" s="31">
        <f t="shared" si="154"/>
        <v>0</v>
      </c>
      <c r="BI296" s="237">
        <f t="shared" si="155"/>
        <v>0</v>
      </c>
      <c r="BJ296" s="31">
        <f t="shared" si="156"/>
        <v>0</v>
      </c>
      <c r="BK296" s="31">
        <f t="shared" si="157"/>
        <v>0</v>
      </c>
      <c r="BL296" s="237">
        <f t="shared" si="158"/>
        <v>0</v>
      </c>
      <c r="BM296" s="31">
        <f t="shared" si="159"/>
        <v>0</v>
      </c>
      <c r="BN296" s="237">
        <f t="shared" si="160"/>
        <v>0</v>
      </c>
    </row>
    <row r="297" spans="1:66" x14ac:dyDescent="0.25">
      <c r="A297" s="159" t="s">
        <v>1550</v>
      </c>
      <c r="B297" s="182" t="str">
        <f>VLOOKUP(A297,kurspris!$A$1:$B$894,2,FALSE)</f>
        <v>Specialpedagogik för grundskolan (UK)</v>
      </c>
      <c r="C297" s="37"/>
      <c r="D297" s="31" t="s">
        <v>117</v>
      </c>
      <c r="F297" s="59">
        <v>2019</v>
      </c>
      <c r="Q297" s="237">
        <v>0.25</v>
      </c>
      <c r="R297" s="40">
        <v>0.8</v>
      </c>
      <c r="S297" s="313">
        <f t="shared" si="134"/>
        <v>0.2</v>
      </c>
      <c r="T297" s="31">
        <f>VLOOKUP(A297,'Ansvar kurs'!$A$1:$C$1027,2,FALSE)</f>
        <v>2180</v>
      </c>
      <c r="U297" s="31" t="str">
        <f>VLOOKUP(T297,Orgenheter!$A$1:$C$165,2,FALSE)</f>
        <v xml:space="preserve">Pedagogik                     </v>
      </c>
      <c r="V297" s="31" t="str">
        <f>VLOOKUP(T297,Orgenheter!$A$1:$C$165,3,FALSE)</f>
        <v>Sam</v>
      </c>
      <c r="W297" s="37" t="str">
        <f>VLOOKUP(D297,Program!$A$1:$B$34,2,FALSE)</f>
        <v>Fristående och övriga kurser</v>
      </c>
      <c r="X297" s="42">
        <f>VLOOKUP(A297,kurspris!$A$1:$Q$815,15,FALSE)</f>
        <v>23641</v>
      </c>
      <c r="Y297" s="42">
        <f>VLOOKUP(A297,kurspris!$A$1:$Q$815,16,FALSE)</f>
        <v>28786</v>
      </c>
      <c r="Z297" s="42">
        <f t="shared" si="135"/>
        <v>11667.45</v>
      </c>
      <c r="AA297" s="42">
        <f>VLOOKUP(A297,kurspris!$A$1:$Q$815,17,FALSE)</f>
        <v>5800</v>
      </c>
      <c r="AB297" s="42">
        <f t="shared" si="136"/>
        <v>1450</v>
      </c>
      <c r="AC297" s="42">
        <f t="shared" si="137"/>
        <v>13117.45</v>
      </c>
      <c r="AD297" s="31">
        <f>VLOOKUP($A297,kurspris!$A$1:$Q$852,3,FALSE)</f>
        <v>0</v>
      </c>
      <c r="AE297" s="31">
        <f>VLOOKUP($A297,kurspris!$A$1:$Q$852,4,FALSE)</f>
        <v>0</v>
      </c>
      <c r="AF297" s="31">
        <f>VLOOKUP($A297,kurspris!$A$1:$Q$852,5,FALSE)</f>
        <v>0</v>
      </c>
      <c r="AG297" s="31">
        <f>VLOOKUP($A297,kurspris!$A$1:$Q$852,6,FALSE)</f>
        <v>1</v>
      </c>
      <c r="AH297" s="31">
        <f>VLOOKUP($A297,kurspris!$A$1:$Q$852,7,FALSE)</f>
        <v>0</v>
      </c>
      <c r="AI297" s="31">
        <f>VLOOKUP($A297,kurspris!$A$1:$Q$852,8,FALSE)</f>
        <v>0</v>
      </c>
      <c r="AJ297" s="31">
        <f>VLOOKUP($A297,kurspris!$A$1:$Q$852,9,FALSE)</f>
        <v>0</v>
      </c>
      <c r="AK297" s="31">
        <f>VLOOKUP($A297,kurspris!$A$1:$Q$852,10,FALSE)</f>
        <v>0</v>
      </c>
      <c r="AL297" s="31">
        <f>VLOOKUP($A297,kurspris!$A$1:$Q$852,11,FALSE)</f>
        <v>0</v>
      </c>
      <c r="AM297" s="31">
        <f>VLOOKUP($A297,kurspris!$A$1:$Q$852,12,FALSE)</f>
        <v>0</v>
      </c>
      <c r="AN297" s="31">
        <f>VLOOKUP($A297,kurspris!$A$1:$Q$852,13,FALSE)</f>
        <v>0</v>
      </c>
      <c r="AO297" s="31">
        <f>VLOOKUP($A297,kurspris!$A$1:$Q$852,14,FALSE)</f>
        <v>0</v>
      </c>
      <c r="AP297" s="59" t="s">
        <v>2216</v>
      </c>
      <c r="AQ297" s="59"/>
      <c r="AR297" s="31">
        <f t="shared" si="138"/>
        <v>0</v>
      </c>
      <c r="AS297" s="237">
        <f t="shared" si="139"/>
        <v>0</v>
      </c>
      <c r="AT297" s="31">
        <f t="shared" si="140"/>
        <v>0</v>
      </c>
      <c r="AU297" s="237">
        <f t="shared" si="141"/>
        <v>0</v>
      </c>
      <c r="AV297" s="31">
        <f t="shared" si="142"/>
        <v>0</v>
      </c>
      <c r="AW297" s="31">
        <f t="shared" si="143"/>
        <v>0</v>
      </c>
      <c r="AX297" s="31">
        <f t="shared" si="144"/>
        <v>0.25</v>
      </c>
      <c r="AY297" s="237">
        <f t="shared" si="145"/>
        <v>0.2</v>
      </c>
      <c r="AZ297" s="214">
        <f t="shared" si="146"/>
        <v>0</v>
      </c>
      <c r="BA297" s="237">
        <f t="shared" si="147"/>
        <v>0</v>
      </c>
      <c r="BB297" s="31">
        <f t="shared" si="148"/>
        <v>0</v>
      </c>
      <c r="BC297" s="237">
        <f t="shared" si="149"/>
        <v>0</v>
      </c>
      <c r="BD297" s="31">
        <f t="shared" si="150"/>
        <v>0</v>
      </c>
      <c r="BE297" s="237">
        <f t="shared" si="151"/>
        <v>0</v>
      </c>
      <c r="BF297" s="31">
        <f t="shared" si="152"/>
        <v>0</v>
      </c>
      <c r="BG297" s="237">
        <f t="shared" si="153"/>
        <v>0</v>
      </c>
      <c r="BH297" s="31">
        <f t="shared" si="154"/>
        <v>0</v>
      </c>
      <c r="BI297" s="237">
        <f t="shared" si="155"/>
        <v>0</v>
      </c>
      <c r="BJ297" s="31">
        <f t="shared" si="156"/>
        <v>0</v>
      </c>
      <c r="BK297" s="31">
        <f t="shared" si="157"/>
        <v>0</v>
      </c>
      <c r="BL297" s="237">
        <f t="shared" si="158"/>
        <v>0</v>
      </c>
      <c r="BM297" s="31">
        <f t="shared" si="159"/>
        <v>0</v>
      </c>
      <c r="BN297" s="237">
        <f t="shared" si="160"/>
        <v>0</v>
      </c>
    </row>
    <row r="298" spans="1:66" x14ac:dyDescent="0.25">
      <c r="A298" s="274" t="s">
        <v>1637</v>
      </c>
      <c r="B298" s="182" t="str">
        <f>VLOOKUP(A298,kurspris!$A$1:$B$894,2,FALSE)</f>
        <v>Specialpedagogik - åk 7-9 och gymnasieskolan (UK)</v>
      </c>
      <c r="D298" s="31" t="s">
        <v>482</v>
      </c>
      <c r="F298" s="59">
        <v>2019</v>
      </c>
      <c r="G298" s="31" t="s">
        <v>2220</v>
      </c>
      <c r="M298" s="31">
        <v>5</v>
      </c>
      <c r="P298" s="274">
        <v>4</v>
      </c>
      <c r="Q298" s="581">
        <f>P298*M298/60</f>
        <v>0.33333333333333331</v>
      </c>
      <c r="R298" s="582">
        <v>0.85</v>
      </c>
      <c r="S298" s="583">
        <f t="shared" si="134"/>
        <v>0.28333333333333333</v>
      </c>
      <c r="T298" s="31">
        <f>VLOOKUP(A298,'Ansvar kurs'!$A$1:$C$1027,2,FALSE)</f>
        <v>2180</v>
      </c>
      <c r="U298" s="31" t="str">
        <f>VLOOKUP(T298,Orgenheter!$A$1:$C$165,2,FALSE)</f>
        <v xml:space="preserve">Pedagogik                     </v>
      </c>
      <c r="V298" s="31" t="str">
        <f>VLOOKUP(T298,Orgenheter!$A$1:$C$165,3,FALSE)</f>
        <v>Sam</v>
      </c>
      <c r="W298" s="37" t="str">
        <f>VLOOKUP(D298,Program!$A$1:$B$34,2,FALSE)</f>
        <v>Ämneslärarprogrammet - åk 7-9</v>
      </c>
      <c r="X298" s="42">
        <f>VLOOKUP(A298,kurspris!$A$1:$Q$815,15,FALSE)</f>
        <v>23641</v>
      </c>
      <c r="Y298" s="42">
        <f>VLOOKUP(A298,kurspris!$A$1:$Q$815,16,FALSE)</f>
        <v>28786</v>
      </c>
      <c r="Z298" s="42">
        <f t="shared" si="135"/>
        <v>16036.366666666665</v>
      </c>
      <c r="AA298" s="42">
        <f>VLOOKUP(A298,kurspris!$A$1:$Q$815,17,FALSE)</f>
        <v>5800</v>
      </c>
      <c r="AB298" s="42">
        <f t="shared" si="136"/>
        <v>1933.3333333333333</v>
      </c>
      <c r="AC298" s="42">
        <f t="shared" si="137"/>
        <v>17969.699999999997</v>
      </c>
      <c r="AD298" s="31">
        <f>VLOOKUP($A298,kurspris!$A$1:$Q$852,3,FALSE)</f>
        <v>0</v>
      </c>
      <c r="AE298" s="31">
        <f>VLOOKUP($A298,kurspris!$A$1:$Q$852,4,FALSE)</f>
        <v>0</v>
      </c>
      <c r="AF298" s="31">
        <f>VLOOKUP($A298,kurspris!$A$1:$Q$852,5,FALSE)</f>
        <v>0</v>
      </c>
      <c r="AG298" s="31">
        <f>VLOOKUP($A298,kurspris!$A$1:$Q$852,6,FALSE)</f>
        <v>1</v>
      </c>
      <c r="AH298" s="31">
        <f>VLOOKUP($A298,kurspris!$A$1:$Q$852,7,FALSE)</f>
        <v>0</v>
      </c>
      <c r="AI298" s="31">
        <f>VLOOKUP($A298,kurspris!$A$1:$Q$852,8,FALSE)</f>
        <v>0</v>
      </c>
      <c r="AJ298" s="31">
        <f>VLOOKUP($A298,kurspris!$A$1:$Q$852,9,FALSE)</f>
        <v>0</v>
      </c>
      <c r="AK298" s="31">
        <f>VLOOKUP($A298,kurspris!$A$1:$Q$852,10,FALSE)</f>
        <v>0</v>
      </c>
      <c r="AL298" s="31">
        <f>VLOOKUP($A298,kurspris!$A$1:$Q$852,11,FALSE)</f>
        <v>0</v>
      </c>
      <c r="AM298" s="31">
        <f>VLOOKUP($A298,kurspris!$A$1:$Q$852,12,FALSE)</f>
        <v>0</v>
      </c>
      <c r="AN298" s="31">
        <f>VLOOKUP($A298,kurspris!$A$1:$Q$852,13,FALSE)</f>
        <v>0</v>
      </c>
      <c r="AO298" s="31">
        <f>VLOOKUP($A298,kurspris!$A$1:$Q$852,14,FALSE)</f>
        <v>0</v>
      </c>
      <c r="AP298" s="59" t="s">
        <v>2219</v>
      </c>
      <c r="AR298" s="31">
        <f t="shared" si="138"/>
        <v>0</v>
      </c>
      <c r="AS298" s="237">
        <f t="shared" si="139"/>
        <v>0</v>
      </c>
      <c r="AT298" s="31">
        <f t="shared" si="140"/>
        <v>0</v>
      </c>
      <c r="AU298" s="237">
        <f t="shared" si="141"/>
        <v>0</v>
      </c>
      <c r="AV298" s="31">
        <f t="shared" si="142"/>
        <v>0</v>
      </c>
      <c r="AW298" s="31">
        <f t="shared" si="143"/>
        <v>0</v>
      </c>
      <c r="AX298" s="31">
        <f t="shared" si="144"/>
        <v>0.33333333333333331</v>
      </c>
      <c r="AY298" s="237">
        <f t="shared" si="145"/>
        <v>0.28333333333333333</v>
      </c>
      <c r="AZ298" s="214">
        <f t="shared" si="146"/>
        <v>0</v>
      </c>
      <c r="BA298" s="237">
        <f t="shared" si="147"/>
        <v>0</v>
      </c>
      <c r="BB298" s="31">
        <f t="shared" si="148"/>
        <v>0</v>
      </c>
      <c r="BC298" s="237">
        <f t="shared" si="149"/>
        <v>0</v>
      </c>
      <c r="BD298" s="31">
        <f t="shared" si="150"/>
        <v>0</v>
      </c>
      <c r="BE298" s="237">
        <f t="shared" si="151"/>
        <v>0</v>
      </c>
      <c r="BF298" s="31">
        <f t="shared" si="152"/>
        <v>0</v>
      </c>
      <c r="BG298" s="237">
        <f t="shared" si="153"/>
        <v>0</v>
      </c>
      <c r="BH298" s="31">
        <f t="shared" si="154"/>
        <v>0</v>
      </c>
      <c r="BI298" s="237">
        <f t="shared" si="155"/>
        <v>0</v>
      </c>
      <c r="BJ298" s="31">
        <f t="shared" si="156"/>
        <v>0</v>
      </c>
      <c r="BK298" s="31">
        <f t="shared" si="157"/>
        <v>0</v>
      </c>
      <c r="BL298" s="237">
        <f t="shared" si="158"/>
        <v>0</v>
      </c>
      <c r="BM298" s="31">
        <f t="shared" si="159"/>
        <v>0</v>
      </c>
      <c r="BN298" s="237">
        <f t="shared" si="160"/>
        <v>0</v>
      </c>
    </row>
    <row r="299" spans="1:66" x14ac:dyDescent="0.25">
      <c r="A299" s="274" t="s">
        <v>1637</v>
      </c>
      <c r="B299" s="182" t="str">
        <f>VLOOKUP(A299,kurspris!$A$1:$B$894,2,FALSE)</f>
        <v>Specialpedagogik - åk 7-9 och gymnasieskolan (UK)</v>
      </c>
      <c r="D299" s="31" t="s">
        <v>483</v>
      </c>
      <c r="F299" s="59">
        <v>2019</v>
      </c>
      <c r="G299" s="31" t="s">
        <v>2220</v>
      </c>
      <c r="M299" s="31">
        <v>5</v>
      </c>
      <c r="P299" s="274">
        <v>102</v>
      </c>
      <c r="Q299" s="581">
        <f>P299*M299/60</f>
        <v>8.5</v>
      </c>
      <c r="R299" s="582">
        <v>0.85</v>
      </c>
      <c r="S299" s="583">
        <f t="shared" si="134"/>
        <v>7.2249999999999996</v>
      </c>
      <c r="T299" s="31">
        <f>VLOOKUP(A299,'Ansvar kurs'!$A$1:$C$1027,2,FALSE)</f>
        <v>2180</v>
      </c>
      <c r="U299" s="31" t="str">
        <f>VLOOKUP(T299,Orgenheter!$A$1:$C$165,2,FALSE)</f>
        <v xml:space="preserve">Pedagogik                     </v>
      </c>
      <c r="V299" s="31" t="str">
        <f>VLOOKUP(T299,Orgenheter!$A$1:$C$165,3,FALSE)</f>
        <v>Sam</v>
      </c>
      <c r="W299" s="37" t="str">
        <f>VLOOKUP(D299,Program!$A$1:$B$34,2,FALSE)</f>
        <v>Ämneslärarprogrammet - Gy</v>
      </c>
      <c r="X299" s="42">
        <f>VLOOKUP(A299,kurspris!$A$1:$Q$815,15,FALSE)</f>
        <v>23641</v>
      </c>
      <c r="Y299" s="42">
        <f>VLOOKUP(A299,kurspris!$A$1:$Q$815,16,FALSE)</f>
        <v>28786</v>
      </c>
      <c r="Z299" s="42">
        <f t="shared" ref="Z299" si="161">X299*Q299+S299*Y299</f>
        <v>408927.35</v>
      </c>
      <c r="AA299" s="42">
        <f>VLOOKUP(A299,kurspris!$A$1:$Q$815,17,FALSE)</f>
        <v>5800</v>
      </c>
      <c r="AB299" s="42">
        <f t="shared" ref="AB299" si="162">AA299*Q299</f>
        <v>49300</v>
      </c>
      <c r="AC299" s="42">
        <f t="shared" ref="AC299" si="163">Z299+AB299</f>
        <v>458227.35</v>
      </c>
      <c r="AD299" s="31">
        <f>VLOOKUP($A299,kurspris!$A$1:$Q$852,3,FALSE)</f>
        <v>0</v>
      </c>
      <c r="AE299" s="31">
        <f>VLOOKUP($A299,kurspris!$A$1:$Q$852,4,FALSE)</f>
        <v>0</v>
      </c>
      <c r="AF299" s="31">
        <f>VLOOKUP($A299,kurspris!$A$1:$Q$852,5,FALSE)</f>
        <v>0</v>
      </c>
      <c r="AG299" s="31">
        <f>VLOOKUP($A299,kurspris!$A$1:$Q$852,6,FALSE)</f>
        <v>1</v>
      </c>
      <c r="AH299" s="31">
        <f>VLOOKUP($A299,kurspris!$A$1:$Q$852,7,FALSE)</f>
        <v>0</v>
      </c>
      <c r="AI299" s="31">
        <f>VLOOKUP($A299,kurspris!$A$1:$Q$852,8,FALSE)</f>
        <v>0</v>
      </c>
      <c r="AJ299" s="31">
        <f>VLOOKUP($A299,kurspris!$A$1:$Q$852,9,FALSE)</f>
        <v>0</v>
      </c>
      <c r="AK299" s="31">
        <f>VLOOKUP($A299,kurspris!$A$1:$Q$852,10,FALSE)</f>
        <v>0</v>
      </c>
      <c r="AL299" s="31">
        <f>VLOOKUP($A299,kurspris!$A$1:$Q$852,11,FALSE)</f>
        <v>0</v>
      </c>
      <c r="AM299" s="31">
        <f>VLOOKUP($A299,kurspris!$A$1:$Q$852,12,FALSE)</f>
        <v>0</v>
      </c>
      <c r="AN299" s="31">
        <f>VLOOKUP($A299,kurspris!$A$1:$Q$852,13,FALSE)</f>
        <v>0</v>
      </c>
      <c r="AO299" s="31">
        <f>VLOOKUP($A299,kurspris!$A$1:$Q$852,14,FALSE)</f>
        <v>0</v>
      </c>
      <c r="AP299" s="59" t="s">
        <v>2219</v>
      </c>
      <c r="AR299" s="31">
        <f t="shared" ref="AR299" si="164">$Q299*AD299</f>
        <v>0</v>
      </c>
      <c r="AS299" s="237">
        <f t="shared" ref="AS299" si="165">$S299*AD299</f>
        <v>0</v>
      </c>
      <c r="AT299" s="31">
        <f t="shared" ref="AT299" si="166">$Q299*AE299</f>
        <v>0</v>
      </c>
      <c r="AU299" s="237">
        <f t="shared" ref="AU299" si="167">$S299*AE299</f>
        <v>0</v>
      </c>
      <c r="AV299" s="31">
        <f t="shared" ref="AV299" si="168">$Q299*AF299</f>
        <v>0</v>
      </c>
      <c r="AW299" s="31">
        <f t="shared" ref="AW299" si="169">$S299*AF299</f>
        <v>0</v>
      </c>
      <c r="AX299" s="31">
        <f t="shared" ref="AX299" si="170">$Q299*AG299</f>
        <v>8.5</v>
      </c>
      <c r="AY299" s="237">
        <f t="shared" ref="AY299" si="171">$S299*AG299</f>
        <v>7.2249999999999996</v>
      </c>
      <c r="AZ299" s="214">
        <f t="shared" ref="AZ299" si="172">$Q299*AH299</f>
        <v>0</v>
      </c>
      <c r="BA299" s="237">
        <f t="shared" ref="BA299" si="173">$S299*AH299</f>
        <v>0</v>
      </c>
      <c r="BB299" s="31">
        <f t="shared" ref="BB299" si="174">$Q299*AI299</f>
        <v>0</v>
      </c>
      <c r="BC299" s="237">
        <f t="shared" ref="BC299" si="175">$S299*AI299</f>
        <v>0</v>
      </c>
      <c r="BD299" s="31">
        <f t="shared" ref="BD299" si="176">$Q299*AJ299</f>
        <v>0</v>
      </c>
      <c r="BE299" s="237">
        <f t="shared" ref="BE299" si="177">$S299*AJ299</f>
        <v>0</v>
      </c>
      <c r="BF299" s="31">
        <f t="shared" ref="BF299" si="178">$Q299*AK299</f>
        <v>0</v>
      </c>
      <c r="BG299" s="237">
        <f t="shared" ref="BG299" si="179">$S299*AK299</f>
        <v>0</v>
      </c>
      <c r="BH299" s="31">
        <f t="shared" ref="BH299" si="180">$Q299*AL299</f>
        <v>0</v>
      </c>
      <c r="BI299" s="237">
        <f t="shared" ref="BI299" si="181">$S299*AL299</f>
        <v>0</v>
      </c>
      <c r="BJ299" s="31">
        <f t="shared" ref="BJ299" si="182">$Q299*AM299</f>
        <v>0</v>
      </c>
      <c r="BK299" s="31">
        <f t="shared" ref="BK299" si="183">$Q299*AN299</f>
        <v>0</v>
      </c>
      <c r="BL299" s="237">
        <f t="shared" ref="BL299" si="184">$S299*AN299</f>
        <v>0</v>
      </c>
      <c r="BM299" s="31">
        <f t="shared" ref="BM299" si="185">$Q299*AO299</f>
        <v>0</v>
      </c>
      <c r="BN299" s="237">
        <f t="shared" ref="BN299" si="186">$S299*AO299</f>
        <v>0</v>
      </c>
    </row>
    <row r="300" spans="1:66" x14ac:dyDescent="0.25">
      <c r="A300" s="31" t="s">
        <v>1567</v>
      </c>
      <c r="B300" s="182" t="str">
        <f>VLOOKUP(A300,kurspris!$A$1:$B$894,2,FALSE)</f>
        <v>Utbildningsvetenskap, undervisning och lärande för grundskolan - fritidshem (UK)</v>
      </c>
      <c r="D300" s="31" t="s">
        <v>485</v>
      </c>
      <c r="F300" s="59">
        <v>2019</v>
      </c>
      <c r="Q300" s="237">
        <v>2</v>
      </c>
      <c r="R300" s="40">
        <v>0.85</v>
      </c>
      <c r="S300" s="313">
        <f t="shared" si="134"/>
        <v>1.7</v>
      </c>
      <c r="T300" s="31">
        <f>VLOOKUP(A300,'Ansvar kurs'!$A$1:$C$1027,2,FALSE)</f>
        <v>2180</v>
      </c>
      <c r="U300" s="31" t="str">
        <f>VLOOKUP(T300,Orgenheter!$A$1:$C$165,2,FALSE)</f>
        <v xml:space="preserve">Pedagogik                     </v>
      </c>
      <c r="V300" s="31" t="str">
        <f>VLOOKUP(T300,Orgenheter!$A$1:$C$165,3,FALSE)</f>
        <v>Sam</v>
      </c>
      <c r="W300" s="37" t="str">
        <f>VLOOKUP(D300,Program!$A$1:$B$34,2,FALSE)</f>
        <v>Grundlärarprogrammet - fritidshem</v>
      </c>
      <c r="X300" s="42">
        <f>VLOOKUP(A300,kurspris!$A$1:$Q$815,15,FALSE)</f>
        <v>23641</v>
      </c>
      <c r="Y300" s="42">
        <f>VLOOKUP(A300,kurspris!$A$1:$Q$815,16,FALSE)</f>
        <v>28786</v>
      </c>
      <c r="Z300" s="42">
        <f t="shared" si="135"/>
        <v>96218.2</v>
      </c>
      <c r="AA300" s="42">
        <f>VLOOKUP(A300,kurspris!$A$1:$Q$815,17,FALSE)</f>
        <v>5800</v>
      </c>
      <c r="AB300" s="42">
        <f t="shared" si="136"/>
        <v>11600</v>
      </c>
      <c r="AC300" s="42">
        <f t="shared" si="137"/>
        <v>107818.2</v>
      </c>
      <c r="AD300" s="31">
        <f>VLOOKUP($A300,kurspris!$A$1:$Q$852,3,FALSE)</f>
        <v>0</v>
      </c>
      <c r="AE300" s="31">
        <f>VLOOKUP($A300,kurspris!$A$1:$Q$852,4,FALSE)</f>
        <v>0</v>
      </c>
      <c r="AF300" s="31">
        <f>VLOOKUP($A300,kurspris!$A$1:$Q$852,5,FALSE)</f>
        <v>0</v>
      </c>
      <c r="AG300" s="31">
        <f>VLOOKUP($A300,kurspris!$A$1:$Q$852,6,FALSE)</f>
        <v>1</v>
      </c>
      <c r="AH300" s="31">
        <f>VLOOKUP($A300,kurspris!$A$1:$Q$852,7,FALSE)</f>
        <v>0</v>
      </c>
      <c r="AI300" s="31">
        <f>VLOOKUP($A300,kurspris!$A$1:$Q$852,8,FALSE)</f>
        <v>0</v>
      </c>
      <c r="AJ300" s="31">
        <f>VLOOKUP($A300,kurspris!$A$1:$Q$852,9,FALSE)</f>
        <v>0</v>
      </c>
      <c r="AK300" s="31">
        <f>VLOOKUP($A300,kurspris!$A$1:$Q$852,10,FALSE)</f>
        <v>0</v>
      </c>
      <c r="AL300" s="31">
        <f>VLOOKUP($A300,kurspris!$A$1:$Q$852,11,FALSE)</f>
        <v>0</v>
      </c>
      <c r="AM300" s="31">
        <f>VLOOKUP($A300,kurspris!$A$1:$Q$852,12,FALSE)</f>
        <v>0</v>
      </c>
      <c r="AN300" s="31">
        <f>VLOOKUP($A300,kurspris!$A$1:$Q$852,13,FALSE)</f>
        <v>0</v>
      </c>
      <c r="AO300" s="31">
        <f>VLOOKUP($A300,kurspris!$A$1:$Q$852,14,FALSE)</f>
        <v>0</v>
      </c>
      <c r="AP300" s="59" t="s">
        <v>2216</v>
      </c>
      <c r="AR300" s="31">
        <f t="shared" si="138"/>
        <v>0</v>
      </c>
      <c r="AS300" s="237">
        <f t="shared" si="139"/>
        <v>0</v>
      </c>
      <c r="AT300" s="31">
        <f t="shared" si="140"/>
        <v>0</v>
      </c>
      <c r="AU300" s="237">
        <f t="shared" si="141"/>
        <v>0</v>
      </c>
      <c r="AV300" s="31">
        <f t="shared" si="142"/>
        <v>0</v>
      </c>
      <c r="AW300" s="31">
        <f t="shared" si="143"/>
        <v>0</v>
      </c>
      <c r="AX300" s="31">
        <f t="shared" si="144"/>
        <v>2</v>
      </c>
      <c r="AY300" s="237">
        <f t="shared" si="145"/>
        <v>1.7</v>
      </c>
      <c r="AZ300" s="214">
        <f t="shared" si="146"/>
        <v>0</v>
      </c>
      <c r="BA300" s="237">
        <f t="shared" si="147"/>
        <v>0</v>
      </c>
      <c r="BB300" s="31">
        <f t="shared" si="148"/>
        <v>0</v>
      </c>
      <c r="BC300" s="237">
        <f t="shared" si="149"/>
        <v>0</v>
      </c>
      <c r="BD300" s="31">
        <f t="shared" si="150"/>
        <v>0</v>
      </c>
      <c r="BE300" s="237">
        <f t="shared" si="151"/>
        <v>0</v>
      </c>
      <c r="BF300" s="31">
        <f t="shared" si="152"/>
        <v>0</v>
      </c>
      <c r="BG300" s="237">
        <f t="shared" si="153"/>
        <v>0</v>
      </c>
      <c r="BH300" s="31">
        <f t="shared" si="154"/>
        <v>0</v>
      </c>
      <c r="BI300" s="237">
        <f t="shared" si="155"/>
        <v>0</v>
      </c>
      <c r="BJ300" s="31">
        <f t="shared" si="156"/>
        <v>0</v>
      </c>
      <c r="BK300" s="31">
        <f t="shared" si="157"/>
        <v>0</v>
      </c>
      <c r="BL300" s="237">
        <f t="shared" si="158"/>
        <v>0</v>
      </c>
      <c r="BM300" s="31">
        <f t="shared" si="159"/>
        <v>0</v>
      </c>
      <c r="BN300" s="237">
        <f t="shared" si="160"/>
        <v>0</v>
      </c>
    </row>
    <row r="301" spans="1:66" x14ac:dyDescent="0.25">
      <c r="A301" s="31" t="s">
        <v>1568</v>
      </c>
      <c r="B301" s="182" t="str">
        <f>VLOOKUP(A301,kurspris!$A$1:$B$894,2,FALSE)</f>
        <v>Utbildningsvetenskap, undervisning och lärande för grundskolan (UK)</v>
      </c>
      <c r="D301" s="31" t="s">
        <v>486</v>
      </c>
      <c r="F301" s="59">
        <v>2019</v>
      </c>
      <c r="Q301" s="237">
        <v>4.9333299999999998</v>
      </c>
      <c r="R301" s="40">
        <v>0.85</v>
      </c>
      <c r="S301" s="313">
        <f t="shared" si="134"/>
        <v>4.1933305000000001</v>
      </c>
      <c r="T301" s="31">
        <f>VLOOKUP(A301,'Ansvar kurs'!$A$1:$C$1027,2,FALSE)</f>
        <v>2180</v>
      </c>
      <c r="U301" s="31" t="str">
        <f>VLOOKUP(T301,Orgenheter!$A$1:$C$165,2,FALSE)</f>
        <v xml:space="preserve">Pedagogik                     </v>
      </c>
      <c r="V301" s="31" t="str">
        <f>VLOOKUP(T301,Orgenheter!$A$1:$C$165,3,FALSE)</f>
        <v>Sam</v>
      </c>
      <c r="W301" s="37" t="str">
        <f>VLOOKUP(D301,Program!$A$1:$B$34,2,FALSE)</f>
        <v>Grundlärarprogrammet - förskoleklass och åk 1-3</v>
      </c>
      <c r="X301" s="42">
        <f>VLOOKUP(A301,kurspris!$A$1:$Q$815,15,FALSE)</f>
        <v>23641</v>
      </c>
      <c r="Y301" s="42">
        <f>VLOOKUP(A301,kurspris!$A$1:$Q$815,16,FALSE)</f>
        <v>28786</v>
      </c>
      <c r="Z301" s="42">
        <f t="shared" si="135"/>
        <v>237338.066303</v>
      </c>
      <c r="AA301" s="42">
        <f>VLOOKUP(A301,kurspris!$A$1:$Q$815,17,FALSE)</f>
        <v>5800</v>
      </c>
      <c r="AB301" s="42">
        <f t="shared" si="136"/>
        <v>28613.313999999998</v>
      </c>
      <c r="AC301" s="42">
        <f t="shared" si="137"/>
        <v>265951.38030299998</v>
      </c>
      <c r="AD301" s="31">
        <f>VLOOKUP($A301,kurspris!$A$1:$Q$852,3,FALSE)</f>
        <v>0</v>
      </c>
      <c r="AE301" s="31">
        <f>VLOOKUP($A301,kurspris!$A$1:$Q$852,4,FALSE)</f>
        <v>0</v>
      </c>
      <c r="AF301" s="31">
        <f>VLOOKUP($A301,kurspris!$A$1:$Q$852,5,FALSE)</f>
        <v>0</v>
      </c>
      <c r="AG301" s="31">
        <f>VLOOKUP($A301,kurspris!$A$1:$Q$852,6,FALSE)</f>
        <v>1</v>
      </c>
      <c r="AH301" s="31">
        <f>VLOOKUP($A301,kurspris!$A$1:$Q$852,7,FALSE)</f>
        <v>0</v>
      </c>
      <c r="AI301" s="31">
        <f>VLOOKUP($A301,kurspris!$A$1:$Q$852,8,FALSE)</f>
        <v>0</v>
      </c>
      <c r="AJ301" s="31">
        <f>VLOOKUP($A301,kurspris!$A$1:$Q$852,9,FALSE)</f>
        <v>0</v>
      </c>
      <c r="AK301" s="31">
        <f>VLOOKUP($A301,kurspris!$A$1:$Q$852,10,FALSE)</f>
        <v>0</v>
      </c>
      <c r="AL301" s="31">
        <f>VLOOKUP($A301,kurspris!$A$1:$Q$852,11,FALSE)</f>
        <v>0</v>
      </c>
      <c r="AM301" s="31">
        <f>VLOOKUP($A301,kurspris!$A$1:$Q$852,12,FALSE)</f>
        <v>0</v>
      </c>
      <c r="AN301" s="31">
        <f>VLOOKUP($A301,kurspris!$A$1:$Q$852,13,FALSE)</f>
        <v>0</v>
      </c>
      <c r="AO301" s="31">
        <f>VLOOKUP($A301,kurspris!$A$1:$Q$852,14,FALSE)</f>
        <v>0</v>
      </c>
      <c r="AP301" s="59" t="s">
        <v>2216</v>
      </c>
      <c r="AR301" s="31">
        <f t="shared" si="138"/>
        <v>0</v>
      </c>
      <c r="AS301" s="237">
        <f t="shared" si="139"/>
        <v>0</v>
      </c>
      <c r="AT301" s="31">
        <f t="shared" si="140"/>
        <v>0</v>
      </c>
      <c r="AU301" s="237">
        <f t="shared" si="141"/>
        <v>0</v>
      </c>
      <c r="AV301" s="31">
        <f t="shared" si="142"/>
        <v>0</v>
      </c>
      <c r="AW301" s="31">
        <f t="shared" si="143"/>
        <v>0</v>
      </c>
      <c r="AX301" s="31">
        <f t="shared" si="144"/>
        <v>4.9333299999999998</v>
      </c>
      <c r="AY301" s="237">
        <f t="shared" si="145"/>
        <v>4.1933305000000001</v>
      </c>
      <c r="AZ301" s="214">
        <f t="shared" si="146"/>
        <v>0</v>
      </c>
      <c r="BA301" s="237">
        <f t="shared" si="147"/>
        <v>0</v>
      </c>
      <c r="BB301" s="31">
        <f t="shared" si="148"/>
        <v>0</v>
      </c>
      <c r="BC301" s="237">
        <f t="shared" si="149"/>
        <v>0</v>
      </c>
      <c r="BD301" s="31">
        <f t="shared" si="150"/>
        <v>0</v>
      </c>
      <c r="BE301" s="237">
        <f t="shared" si="151"/>
        <v>0</v>
      </c>
      <c r="BF301" s="31">
        <f t="shared" si="152"/>
        <v>0</v>
      </c>
      <c r="BG301" s="237">
        <f t="shared" si="153"/>
        <v>0</v>
      </c>
      <c r="BH301" s="31">
        <f t="shared" si="154"/>
        <v>0</v>
      </c>
      <c r="BI301" s="237">
        <f t="shared" si="155"/>
        <v>0</v>
      </c>
      <c r="BJ301" s="31">
        <f t="shared" si="156"/>
        <v>0</v>
      </c>
      <c r="BK301" s="31">
        <f t="shared" si="157"/>
        <v>0</v>
      </c>
      <c r="BL301" s="237">
        <f t="shared" si="158"/>
        <v>0</v>
      </c>
      <c r="BM301" s="31">
        <f t="shared" si="159"/>
        <v>0</v>
      </c>
      <c r="BN301" s="237">
        <f t="shared" si="160"/>
        <v>0</v>
      </c>
    </row>
    <row r="302" spans="1:66" x14ac:dyDescent="0.25">
      <c r="A302" s="31" t="s">
        <v>1568</v>
      </c>
      <c r="B302" s="182" t="str">
        <f>VLOOKUP(A302,kurspris!$A$1:$B$894,2,FALSE)</f>
        <v>Utbildningsvetenskap, undervisning och lärande för grundskolan (UK)</v>
      </c>
      <c r="D302" s="31" t="s">
        <v>524</v>
      </c>
      <c r="F302" s="59">
        <v>2019</v>
      </c>
      <c r="Q302" s="237">
        <v>4.6666699999999999</v>
      </c>
      <c r="R302" s="40">
        <v>0.85</v>
      </c>
      <c r="S302" s="313">
        <f t="shared" si="134"/>
        <v>3.9666694999999996</v>
      </c>
      <c r="T302" s="31">
        <f>VLOOKUP(A302,'Ansvar kurs'!$A$1:$C$1027,2,FALSE)</f>
        <v>2180</v>
      </c>
      <c r="U302" s="31" t="str">
        <f>VLOOKUP(T302,Orgenheter!$A$1:$C$165,2,FALSE)</f>
        <v xml:space="preserve">Pedagogik                     </v>
      </c>
      <c r="V302" s="31" t="str">
        <f>VLOOKUP(T302,Orgenheter!$A$1:$C$165,3,FALSE)</f>
        <v>Sam</v>
      </c>
      <c r="W302" s="37" t="str">
        <f>VLOOKUP(D302,Program!$A$1:$B$34,2,FALSE)</f>
        <v>Grundlärarprogrammet - grundskolans åk 4-6</v>
      </c>
      <c r="X302" s="42">
        <f>VLOOKUP(A302,kurspris!$A$1:$Q$815,15,FALSE)</f>
        <v>23641</v>
      </c>
      <c r="Y302" s="42">
        <f>VLOOKUP(A302,kurspris!$A$1:$Q$815,16,FALSE)</f>
        <v>28786</v>
      </c>
      <c r="Z302" s="42">
        <f t="shared" si="135"/>
        <v>224509.29369699999</v>
      </c>
      <c r="AA302" s="42">
        <f>VLOOKUP(A302,kurspris!$A$1:$Q$815,17,FALSE)</f>
        <v>5800</v>
      </c>
      <c r="AB302" s="42">
        <f t="shared" si="136"/>
        <v>27066.685999999998</v>
      </c>
      <c r="AC302" s="42">
        <f t="shared" si="137"/>
        <v>251575.97969699997</v>
      </c>
      <c r="AD302" s="31">
        <f>VLOOKUP($A302,kurspris!$A$1:$Q$852,3,FALSE)</f>
        <v>0</v>
      </c>
      <c r="AE302" s="31">
        <f>VLOOKUP($A302,kurspris!$A$1:$Q$852,4,FALSE)</f>
        <v>0</v>
      </c>
      <c r="AF302" s="31">
        <f>VLOOKUP($A302,kurspris!$A$1:$Q$852,5,FALSE)</f>
        <v>0</v>
      </c>
      <c r="AG302" s="31">
        <f>VLOOKUP($A302,kurspris!$A$1:$Q$852,6,FALSE)</f>
        <v>1</v>
      </c>
      <c r="AH302" s="31">
        <f>VLOOKUP($A302,kurspris!$A$1:$Q$852,7,FALSE)</f>
        <v>0</v>
      </c>
      <c r="AI302" s="31">
        <f>VLOOKUP($A302,kurspris!$A$1:$Q$852,8,FALSE)</f>
        <v>0</v>
      </c>
      <c r="AJ302" s="31">
        <f>VLOOKUP($A302,kurspris!$A$1:$Q$852,9,FALSE)</f>
        <v>0</v>
      </c>
      <c r="AK302" s="31">
        <f>VLOOKUP($A302,kurspris!$A$1:$Q$852,10,FALSE)</f>
        <v>0</v>
      </c>
      <c r="AL302" s="31">
        <f>VLOOKUP($A302,kurspris!$A$1:$Q$852,11,FALSE)</f>
        <v>0</v>
      </c>
      <c r="AM302" s="31">
        <f>VLOOKUP($A302,kurspris!$A$1:$Q$852,12,FALSE)</f>
        <v>0</v>
      </c>
      <c r="AN302" s="31">
        <f>VLOOKUP($A302,kurspris!$A$1:$Q$852,13,FALSE)</f>
        <v>0</v>
      </c>
      <c r="AO302" s="31">
        <f>VLOOKUP($A302,kurspris!$A$1:$Q$852,14,FALSE)</f>
        <v>0</v>
      </c>
      <c r="AP302" s="59" t="s">
        <v>2216</v>
      </c>
      <c r="AR302" s="31">
        <f t="shared" si="138"/>
        <v>0</v>
      </c>
      <c r="AS302" s="237">
        <f t="shared" si="139"/>
        <v>0</v>
      </c>
      <c r="AT302" s="31">
        <f t="shared" si="140"/>
        <v>0</v>
      </c>
      <c r="AU302" s="237">
        <f t="shared" si="141"/>
        <v>0</v>
      </c>
      <c r="AV302" s="31">
        <f t="shared" si="142"/>
        <v>0</v>
      </c>
      <c r="AW302" s="31">
        <f t="shared" si="143"/>
        <v>0</v>
      </c>
      <c r="AX302" s="31">
        <f t="shared" si="144"/>
        <v>4.6666699999999999</v>
      </c>
      <c r="AY302" s="237">
        <f t="shared" si="145"/>
        <v>3.9666694999999996</v>
      </c>
      <c r="AZ302" s="214">
        <f t="shared" si="146"/>
        <v>0</v>
      </c>
      <c r="BA302" s="237">
        <f t="shared" si="147"/>
        <v>0</v>
      </c>
      <c r="BB302" s="31">
        <f t="shared" si="148"/>
        <v>0</v>
      </c>
      <c r="BC302" s="237">
        <f t="shared" si="149"/>
        <v>0</v>
      </c>
      <c r="BD302" s="31">
        <f t="shared" si="150"/>
        <v>0</v>
      </c>
      <c r="BE302" s="237">
        <f t="shared" si="151"/>
        <v>0</v>
      </c>
      <c r="BF302" s="31">
        <f t="shared" si="152"/>
        <v>0</v>
      </c>
      <c r="BG302" s="237">
        <f t="shared" si="153"/>
        <v>0</v>
      </c>
      <c r="BH302" s="31">
        <f t="shared" si="154"/>
        <v>0</v>
      </c>
      <c r="BI302" s="237">
        <f t="shared" si="155"/>
        <v>0</v>
      </c>
      <c r="BJ302" s="31">
        <f t="shared" si="156"/>
        <v>0</v>
      </c>
      <c r="BK302" s="31">
        <f t="shared" si="157"/>
        <v>0</v>
      </c>
      <c r="BL302" s="237">
        <f t="shared" si="158"/>
        <v>0</v>
      </c>
      <c r="BM302" s="31">
        <f t="shared" si="159"/>
        <v>0</v>
      </c>
      <c r="BN302" s="237">
        <f t="shared" si="160"/>
        <v>0</v>
      </c>
    </row>
    <row r="303" spans="1:66" x14ac:dyDescent="0.25">
      <c r="A303" s="31" t="s">
        <v>1669</v>
      </c>
      <c r="B303" s="182" t="str">
        <f>VLOOKUP(A303,kurspris!$A$1:$B$894,2,FALSE)</f>
        <v>Utbildningsvetenskap, undervisning och lärande - Ämneslärarprogrammet (UK)</v>
      </c>
      <c r="D303" s="31" t="s">
        <v>482</v>
      </c>
      <c r="F303" s="59">
        <v>2019</v>
      </c>
      <c r="Q303" s="237">
        <v>0.53332999999999997</v>
      </c>
      <c r="R303" s="40">
        <v>0.85</v>
      </c>
      <c r="S303" s="313">
        <f t="shared" si="134"/>
        <v>0.45333049999999997</v>
      </c>
      <c r="T303" s="31">
        <f>VLOOKUP(A303,'Ansvar kurs'!$A$1:$C$1027,2,FALSE)</f>
        <v>2180</v>
      </c>
      <c r="U303" s="31" t="str">
        <f>VLOOKUP(T303,Orgenheter!$A$1:$C$165,2,FALSE)</f>
        <v xml:space="preserve">Pedagogik                     </v>
      </c>
      <c r="V303" s="31" t="str">
        <f>VLOOKUP(T303,Orgenheter!$A$1:$C$165,3,FALSE)</f>
        <v>Sam</v>
      </c>
      <c r="W303" s="37" t="str">
        <f>VLOOKUP(D303,Program!$A$1:$B$34,2,FALSE)</f>
        <v>Ämneslärarprogrammet - åk 7-9</v>
      </c>
      <c r="X303" s="42">
        <f>VLOOKUP(A303,kurspris!$A$1:$Q$815,15,FALSE)</f>
        <v>23641</v>
      </c>
      <c r="Y303" s="42">
        <f>VLOOKUP(A303,kurspris!$A$1:$Q$815,16,FALSE)</f>
        <v>28786</v>
      </c>
      <c r="Z303" s="42">
        <f t="shared" si="135"/>
        <v>25658.026302999999</v>
      </c>
      <c r="AA303" s="42">
        <f>VLOOKUP(A303,kurspris!$A$1:$Q$815,17,FALSE)</f>
        <v>5800</v>
      </c>
      <c r="AB303" s="42">
        <f t="shared" si="136"/>
        <v>3093.3139999999999</v>
      </c>
      <c r="AC303" s="42">
        <f t="shared" si="137"/>
        <v>28751.340302999997</v>
      </c>
      <c r="AD303" s="31">
        <f>VLOOKUP($A303,kurspris!$A$1:$Q$852,3,FALSE)</f>
        <v>0</v>
      </c>
      <c r="AE303" s="31">
        <f>VLOOKUP($A303,kurspris!$A$1:$Q$852,4,FALSE)</f>
        <v>0</v>
      </c>
      <c r="AF303" s="31">
        <f>VLOOKUP($A303,kurspris!$A$1:$Q$852,5,FALSE)</f>
        <v>0</v>
      </c>
      <c r="AG303" s="31">
        <f>VLOOKUP($A303,kurspris!$A$1:$Q$852,6,FALSE)</f>
        <v>1</v>
      </c>
      <c r="AH303" s="31">
        <f>VLOOKUP($A303,kurspris!$A$1:$Q$852,7,FALSE)</f>
        <v>0</v>
      </c>
      <c r="AI303" s="31">
        <f>VLOOKUP($A303,kurspris!$A$1:$Q$852,8,FALSE)</f>
        <v>0</v>
      </c>
      <c r="AJ303" s="31">
        <f>VLOOKUP($A303,kurspris!$A$1:$Q$852,9,FALSE)</f>
        <v>0</v>
      </c>
      <c r="AK303" s="31">
        <f>VLOOKUP($A303,kurspris!$A$1:$Q$852,10,FALSE)</f>
        <v>0</v>
      </c>
      <c r="AL303" s="31">
        <f>VLOOKUP($A303,kurspris!$A$1:$Q$852,11,FALSE)</f>
        <v>0</v>
      </c>
      <c r="AM303" s="31">
        <f>VLOOKUP($A303,kurspris!$A$1:$Q$852,12,FALSE)</f>
        <v>0</v>
      </c>
      <c r="AN303" s="31">
        <f>VLOOKUP($A303,kurspris!$A$1:$Q$852,13,FALSE)</f>
        <v>0</v>
      </c>
      <c r="AO303" s="31">
        <f>VLOOKUP($A303,kurspris!$A$1:$Q$852,14,FALSE)</f>
        <v>0</v>
      </c>
      <c r="AP303" s="59" t="s">
        <v>2216</v>
      </c>
      <c r="AR303" s="31">
        <f t="shared" si="138"/>
        <v>0</v>
      </c>
      <c r="AS303" s="237">
        <f t="shared" si="139"/>
        <v>0</v>
      </c>
      <c r="AT303" s="31">
        <f t="shared" si="140"/>
        <v>0</v>
      </c>
      <c r="AU303" s="237">
        <f t="shared" si="141"/>
        <v>0</v>
      </c>
      <c r="AV303" s="31">
        <f t="shared" si="142"/>
        <v>0</v>
      </c>
      <c r="AW303" s="31">
        <f t="shared" si="143"/>
        <v>0</v>
      </c>
      <c r="AX303" s="31">
        <f t="shared" si="144"/>
        <v>0.53332999999999997</v>
      </c>
      <c r="AY303" s="237">
        <f t="shared" si="145"/>
        <v>0.45333049999999997</v>
      </c>
      <c r="AZ303" s="214">
        <f t="shared" si="146"/>
        <v>0</v>
      </c>
      <c r="BA303" s="237">
        <f t="shared" si="147"/>
        <v>0</v>
      </c>
      <c r="BB303" s="31">
        <f t="shared" si="148"/>
        <v>0</v>
      </c>
      <c r="BC303" s="237">
        <f t="shared" si="149"/>
        <v>0</v>
      </c>
      <c r="BD303" s="31">
        <f t="shared" si="150"/>
        <v>0</v>
      </c>
      <c r="BE303" s="237">
        <f t="shared" si="151"/>
        <v>0</v>
      </c>
      <c r="BF303" s="31">
        <f t="shared" si="152"/>
        <v>0</v>
      </c>
      <c r="BG303" s="237">
        <f t="shared" si="153"/>
        <v>0</v>
      </c>
      <c r="BH303" s="31">
        <f t="shared" si="154"/>
        <v>0</v>
      </c>
      <c r="BI303" s="237">
        <f t="shared" si="155"/>
        <v>0</v>
      </c>
      <c r="BJ303" s="31">
        <f t="shared" si="156"/>
        <v>0</v>
      </c>
      <c r="BK303" s="31">
        <f t="shared" si="157"/>
        <v>0</v>
      </c>
      <c r="BL303" s="237">
        <f t="shared" si="158"/>
        <v>0</v>
      </c>
      <c r="BM303" s="31">
        <f t="shared" si="159"/>
        <v>0</v>
      </c>
      <c r="BN303" s="237">
        <f t="shared" si="160"/>
        <v>0</v>
      </c>
    </row>
    <row r="304" spans="1:66" x14ac:dyDescent="0.25">
      <c r="A304" s="159" t="s">
        <v>1669</v>
      </c>
      <c r="B304" s="182" t="str">
        <f>VLOOKUP(A304,kurspris!$A$1:$B$894,2,FALSE)</f>
        <v>Utbildningsvetenskap, undervisning och lärande - Ämneslärarprogrammet (UK)</v>
      </c>
      <c r="C304" s="37"/>
      <c r="D304" s="31" t="s">
        <v>483</v>
      </c>
      <c r="F304" s="59">
        <v>2019</v>
      </c>
      <c r="Q304" s="237">
        <v>12.93333</v>
      </c>
      <c r="R304" s="40">
        <v>0.85</v>
      </c>
      <c r="S304" s="313">
        <f t="shared" si="134"/>
        <v>10.993330499999999</v>
      </c>
      <c r="T304" s="31">
        <f>VLOOKUP(A304,'Ansvar kurs'!$A$1:$C$1027,2,FALSE)</f>
        <v>2180</v>
      </c>
      <c r="U304" s="31" t="str">
        <f>VLOOKUP(T304,Orgenheter!$A$1:$C$165,2,FALSE)</f>
        <v xml:space="preserve">Pedagogik                     </v>
      </c>
      <c r="V304" s="31" t="str">
        <f>VLOOKUP(T304,Orgenheter!$A$1:$C$165,3,FALSE)</f>
        <v>Sam</v>
      </c>
      <c r="W304" s="37" t="str">
        <f>VLOOKUP(D304,Program!$A$1:$B$34,2,FALSE)</f>
        <v>Ämneslärarprogrammet - Gy</v>
      </c>
      <c r="X304" s="42">
        <f>VLOOKUP(A304,kurspris!$A$1:$Q$815,15,FALSE)</f>
        <v>23641</v>
      </c>
      <c r="Y304" s="42">
        <f>VLOOKUP(A304,kurspris!$A$1:$Q$815,16,FALSE)</f>
        <v>28786</v>
      </c>
      <c r="Z304" s="42">
        <f t="shared" si="135"/>
        <v>622210.8663029999</v>
      </c>
      <c r="AA304" s="42">
        <f>VLOOKUP(A304,kurspris!$A$1:$Q$815,17,FALSE)</f>
        <v>5800</v>
      </c>
      <c r="AB304" s="42">
        <f t="shared" si="136"/>
        <v>75013.313999999998</v>
      </c>
      <c r="AC304" s="42">
        <f t="shared" si="137"/>
        <v>697224.18030299991</v>
      </c>
      <c r="AD304" s="31">
        <f>VLOOKUP($A304,kurspris!$A$1:$Q$852,3,FALSE)</f>
        <v>0</v>
      </c>
      <c r="AE304" s="31">
        <f>VLOOKUP($A304,kurspris!$A$1:$Q$852,4,FALSE)</f>
        <v>0</v>
      </c>
      <c r="AF304" s="31">
        <f>VLOOKUP($A304,kurspris!$A$1:$Q$852,5,FALSE)</f>
        <v>0</v>
      </c>
      <c r="AG304" s="31">
        <f>VLOOKUP($A304,kurspris!$A$1:$Q$852,6,FALSE)</f>
        <v>1</v>
      </c>
      <c r="AH304" s="31">
        <f>VLOOKUP($A304,kurspris!$A$1:$Q$852,7,FALSE)</f>
        <v>0</v>
      </c>
      <c r="AI304" s="31">
        <f>VLOOKUP($A304,kurspris!$A$1:$Q$852,8,FALSE)</f>
        <v>0</v>
      </c>
      <c r="AJ304" s="31">
        <f>VLOOKUP($A304,kurspris!$A$1:$Q$852,9,FALSE)</f>
        <v>0</v>
      </c>
      <c r="AK304" s="31">
        <f>VLOOKUP($A304,kurspris!$A$1:$Q$852,10,FALSE)</f>
        <v>0</v>
      </c>
      <c r="AL304" s="31">
        <f>VLOOKUP($A304,kurspris!$A$1:$Q$852,11,FALSE)</f>
        <v>0</v>
      </c>
      <c r="AM304" s="31">
        <f>VLOOKUP($A304,kurspris!$A$1:$Q$852,12,FALSE)</f>
        <v>0</v>
      </c>
      <c r="AN304" s="31">
        <f>VLOOKUP($A304,kurspris!$A$1:$Q$852,13,FALSE)</f>
        <v>0</v>
      </c>
      <c r="AO304" s="31">
        <f>VLOOKUP($A304,kurspris!$A$1:$Q$852,14,FALSE)</f>
        <v>0</v>
      </c>
      <c r="AP304" s="59" t="s">
        <v>2216</v>
      </c>
      <c r="AQ304" s="59"/>
      <c r="AR304" s="31">
        <f t="shared" si="138"/>
        <v>0</v>
      </c>
      <c r="AS304" s="237">
        <f t="shared" si="139"/>
        <v>0</v>
      </c>
      <c r="AT304" s="31">
        <f t="shared" si="140"/>
        <v>0</v>
      </c>
      <c r="AU304" s="237">
        <f t="shared" si="141"/>
        <v>0</v>
      </c>
      <c r="AV304" s="31">
        <f t="shared" si="142"/>
        <v>0</v>
      </c>
      <c r="AW304" s="31">
        <f t="shared" si="143"/>
        <v>0</v>
      </c>
      <c r="AX304" s="31">
        <f t="shared" si="144"/>
        <v>12.93333</v>
      </c>
      <c r="AY304" s="237">
        <f t="shared" si="145"/>
        <v>10.993330499999999</v>
      </c>
      <c r="AZ304" s="214">
        <f t="shared" si="146"/>
        <v>0</v>
      </c>
      <c r="BA304" s="237">
        <f t="shared" si="147"/>
        <v>0</v>
      </c>
      <c r="BB304" s="31">
        <f t="shared" si="148"/>
        <v>0</v>
      </c>
      <c r="BC304" s="237">
        <f t="shared" si="149"/>
        <v>0</v>
      </c>
      <c r="BD304" s="31">
        <f t="shared" si="150"/>
        <v>0</v>
      </c>
      <c r="BE304" s="237">
        <f t="shared" si="151"/>
        <v>0</v>
      </c>
      <c r="BF304" s="31">
        <f t="shared" si="152"/>
        <v>0</v>
      </c>
      <c r="BG304" s="237">
        <f t="shared" si="153"/>
        <v>0</v>
      </c>
      <c r="BH304" s="31">
        <f t="shared" si="154"/>
        <v>0</v>
      </c>
      <c r="BI304" s="237">
        <f t="shared" si="155"/>
        <v>0</v>
      </c>
      <c r="BJ304" s="31">
        <f t="shared" si="156"/>
        <v>0</v>
      </c>
      <c r="BK304" s="31">
        <f t="shared" si="157"/>
        <v>0</v>
      </c>
      <c r="BL304" s="237">
        <f t="shared" si="158"/>
        <v>0</v>
      </c>
      <c r="BM304" s="31">
        <f t="shared" si="159"/>
        <v>0</v>
      </c>
      <c r="BN304" s="237">
        <f t="shared" si="160"/>
        <v>0</v>
      </c>
    </row>
    <row r="305" spans="1:66" x14ac:dyDescent="0.25">
      <c r="A305" s="31" t="s">
        <v>1610</v>
      </c>
      <c r="B305" s="182" t="str">
        <f>VLOOKUP(A305,kurspris!$A$1:$B$894,2,FALSE)</f>
        <v>Den professionella läraren 2: Uppdrag, ledarskap och undervisning (UK)</v>
      </c>
      <c r="D305" s="31" t="s">
        <v>1614</v>
      </c>
      <c r="F305" s="59">
        <v>2019</v>
      </c>
      <c r="Q305" s="237">
        <v>1.75</v>
      </c>
      <c r="R305" s="40">
        <v>0.85</v>
      </c>
      <c r="S305" s="313">
        <f t="shared" si="134"/>
        <v>1.4875</v>
      </c>
      <c r="T305" s="31">
        <f>VLOOKUP(A305,'Ansvar kurs'!$A$1:$C$1027,2,FALSE)</f>
        <v>2180</v>
      </c>
      <c r="U305" s="31" t="str">
        <f>VLOOKUP(T305,Orgenheter!$A$1:$C$165,2,FALSE)</f>
        <v xml:space="preserve">Pedagogik                     </v>
      </c>
      <c r="V305" s="31" t="str">
        <f>VLOOKUP(T305,Orgenheter!$A$1:$C$165,3,FALSE)</f>
        <v>Sam</v>
      </c>
      <c r="W305" s="37" t="str">
        <f>VLOOKUP(D305,Program!$A$1:$B$34,2,FALSE)</f>
        <v>KPU - Förhöjd studietakt - utbildningsbidrag</v>
      </c>
      <c r="X305" s="42">
        <f>VLOOKUP(A305,kurspris!$A$1:$Q$815,15,FALSE)</f>
        <v>23641</v>
      </c>
      <c r="Y305" s="42">
        <f>VLOOKUP(A305,kurspris!$A$1:$Q$815,16,FALSE)</f>
        <v>28786</v>
      </c>
      <c r="Z305" s="42">
        <f t="shared" si="135"/>
        <v>84190.925000000003</v>
      </c>
      <c r="AA305" s="42">
        <f>VLOOKUP(A305,kurspris!$A$1:$Q$815,17,FALSE)</f>
        <v>5800</v>
      </c>
      <c r="AB305" s="42">
        <f t="shared" si="136"/>
        <v>10150</v>
      </c>
      <c r="AC305" s="42">
        <f t="shared" si="137"/>
        <v>94340.925000000003</v>
      </c>
      <c r="AD305" s="31">
        <f>VLOOKUP($A305,kurspris!$A$1:$Q$852,3,FALSE)</f>
        <v>0</v>
      </c>
      <c r="AE305" s="31">
        <f>VLOOKUP($A305,kurspris!$A$1:$Q$852,4,FALSE)</f>
        <v>0</v>
      </c>
      <c r="AF305" s="31">
        <f>VLOOKUP($A305,kurspris!$A$1:$Q$852,5,FALSE)</f>
        <v>0</v>
      </c>
      <c r="AG305" s="31">
        <f>VLOOKUP($A305,kurspris!$A$1:$Q$852,6,FALSE)</f>
        <v>1</v>
      </c>
      <c r="AH305" s="31">
        <f>VLOOKUP($A305,kurspris!$A$1:$Q$852,7,FALSE)</f>
        <v>0</v>
      </c>
      <c r="AI305" s="31">
        <f>VLOOKUP($A305,kurspris!$A$1:$Q$852,8,FALSE)</f>
        <v>0</v>
      </c>
      <c r="AJ305" s="31">
        <f>VLOOKUP($A305,kurspris!$A$1:$Q$852,9,FALSE)</f>
        <v>0</v>
      </c>
      <c r="AK305" s="31">
        <f>VLOOKUP($A305,kurspris!$A$1:$Q$852,10,FALSE)</f>
        <v>0</v>
      </c>
      <c r="AL305" s="31">
        <f>VLOOKUP($A305,kurspris!$A$1:$Q$852,11,FALSE)</f>
        <v>0</v>
      </c>
      <c r="AM305" s="31">
        <f>VLOOKUP($A305,kurspris!$A$1:$Q$852,12,FALSE)</f>
        <v>0</v>
      </c>
      <c r="AN305" s="31">
        <f>VLOOKUP($A305,kurspris!$A$1:$Q$852,13,FALSE)</f>
        <v>0</v>
      </c>
      <c r="AO305" s="31">
        <f>VLOOKUP($A305,kurspris!$A$1:$Q$852,14,FALSE)</f>
        <v>0</v>
      </c>
      <c r="AP305" s="59" t="s">
        <v>2216</v>
      </c>
      <c r="AR305" s="31">
        <f t="shared" si="138"/>
        <v>0</v>
      </c>
      <c r="AS305" s="237">
        <f t="shared" si="139"/>
        <v>0</v>
      </c>
      <c r="AT305" s="31">
        <f t="shared" si="140"/>
        <v>0</v>
      </c>
      <c r="AU305" s="237">
        <f t="shared" si="141"/>
        <v>0</v>
      </c>
      <c r="AV305" s="31">
        <f t="shared" si="142"/>
        <v>0</v>
      </c>
      <c r="AW305" s="31">
        <f t="shared" si="143"/>
        <v>0</v>
      </c>
      <c r="AX305" s="31">
        <f t="shared" si="144"/>
        <v>1.75</v>
      </c>
      <c r="AY305" s="237">
        <f t="shared" si="145"/>
        <v>1.4875</v>
      </c>
      <c r="AZ305" s="214">
        <f t="shared" si="146"/>
        <v>0</v>
      </c>
      <c r="BA305" s="237">
        <f t="shared" si="147"/>
        <v>0</v>
      </c>
      <c r="BB305" s="31">
        <f t="shared" si="148"/>
        <v>0</v>
      </c>
      <c r="BC305" s="237">
        <f t="shared" si="149"/>
        <v>0</v>
      </c>
      <c r="BD305" s="31">
        <f t="shared" si="150"/>
        <v>0</v>
      </c>
      <c r="BE305" s="237">
        <f t="shared" si="151"/>
        <v>0</v>
      </c>
      <c r="BF305" s="31">
        <f t="shared" si="152"/>
        <v>0</v>
      </c>
      <c r="BG305" s="237">
        <f t="shared" si="153"/>
        <v>0</v>
      </c>
      <c r="BH305" s="31">
        <f t="shared" si="154"/>
        <v>0</v>
      </c>
      <c r="BI305" s="237">
        <f t="shared" si="155"/>
        <v>0</v>
      </c>
      <c r="BJ305" s="31">
        <f t="shared" si="156"/>
        <v>0</v>
      </c>
      <c r="BK305" s="31">
        <f t="shared" si="157"/>
        <v>0</v>
      </c>
      <c r="BL305" s="237">
        <f t="shared" si="158"/>
        <v>0</v>
      </c>
      <c r="BM305" s="31">
        <f t="shared" si="159"/>
        <v>0</v>
      </c>
      <c r="BN305" s="237">
        <f t="shared" si="160"/>
        <v>0</v>
      </c>
    </row>
    <row r="306" spans="1:66" x14ac:dyDescent="0.25">
      <c r="A306" s="31" t="s">
        <v>1610</v>
      </c>
      <c r="B306" s="182" t="str">
        <f>VLOOKUP(A306,kurspris!$A$1:$B$894,2,FALSE)</f>
        <v>Den professionella läraren 2: Uppdrag, ledarskap och undervisning (UK)</v>
      </c>
      <c r="D306" s="31" t="s">
        <v>628</v>
      </c>
      <c r="F306" s="59">
        <v>2019</v>
      </c>
      <c r="Q306" s="237">
        <v>2.125</v>
      </c>
      <c r="R306" s="40">
        <v>0.85</v>
      </c>
      <c r="S306" s="313">
        <f t="shared" si="134"/>
        <v>1.8062499999999999</v>
      </c>
      <c r="T306" s="31">
        <f>VLOOKUP(A306,'Ansvar kurs'!$A$1:$C$1027,2,FALSE)</f>
        <v>2180</v>
      </c>
      <c r="U306" s="31" t="str">
        <f>VLOOKUP(T306,Orgenheter!$A$1:$C$165,2,FALSE)</f>
        <v xml:space="preserve">Pedagogik                     </v>
      </c>
      <c r="V306" s="31" t="str">
        <f>VLOOKUP(T306,Orgenheter!$A$1:$C$165,3,FALSE)</f>
        <v>Sam</v>
      </c>
      <c r="W306" s="37" t="str">
        <f>VLOOKUP(D306,Program!$A$1:$B$34,2,FALSE)</f>
        <v>KPU - åk 7-9</v>
      </c>
      <c r="X306" s="42">
        <f>VLOOKUP(A306,kurspris!$A$1:$Q$815,15,FALSE)</f>
        <v>23641</v>
      </c>
      <c r="Y306" s="42">
        <f>VLOOKUP(A306,kurspris!$A$1:$Q$815,16,FALSE)</f>
        <v>28786</v>
      </c>
      <c r="Z306" s="42">
        <f t="shared" si="135"/>
        <v>102231.83749999999</v>
      </c>
      <c r="AA306" s="42">
        <f>VLOOKUP(A306,kurspris!$A$1:$Q$815,17,FALSE)</f>
        <v>5800</v>
      </c>
      <c r="AB306" s="42">
        <f t="shared" si="136"/>
        <v>12325</v>
      </c>
      <c r="AC306" s="42">
        <f t="shared" si="137"/>
        <v>114556.83749999999</v>
      </c>
      <c r="AD306" s="31">
        <f>VLOOKUP($A306,kurspris!$A$1:$Q$852,3,FALSE)</f>
        <v>0</v>
      </c>
      <c r="AE306" s="31">
        <f>VLOOKUP($A306,kurspris!$A$1:$Q$852,4,FALSE)</f>
        <v>0</v>
      </c>
      <c r="AF306" s="31">
        <f>VLOOKUP($A306,kurspris!$A$1:$Q$852,5,FALSE)</f>
        <v>0</v>
      </c>
      <c r="AG306" s="31">
        <f>VLOOKUP($A306,kurspris!$A$1:$Q$852,6,FALSE)</f>
        <v>1</v>
      </c>
      <c r="AH306" s="31">
        <f>VLOOKUP($A306,kurspris!$A$1:$Q$852,7,FALSE)</f>
        <v>0</v>
      </c>
      <c r="AI306" s="31">
        <f>VLOOKUP($A306,kurspris!$A$1:$Q$852,8,FALSE)</f>
        <v>0</v>
      </c>
      <c r="AJ306" s="31">
        <f>VLOOKUP($A306,kurspris!$A$1:$Q$852,9,FALSE)</f>
        <v>0</v>
      </c>
      <c r="AK306" s="31">
        <f>VLOOKUP($A306,kurspris!$A$1:$Q$852,10,FALSE)</f>
        <v>0</v>
      </c>
      <c r="AL306" s="31">
        <f>VLOOKUP($A306,kurspris!$A$1:$Q$852,11,FALSE)</f>
        <v>0</v>
      </c>
      <c r="AM306" s="31">
        <f>VLOOKUP($A306,kurspris!$A$1:$Q$852,12,FALSE)</f>
        <v>0</v>
      </c>
      <c r="AN306" s="31">
        <f>VLOOKUP($A306,kurspris!$A$1:$Q$852,13,FALSE)</f>
        <v>0</v>
      </c>
      <c r="AO306" s="31">
        <f>VLOOKUP($A306,kurspris!$A$1:$Q$852,14,FALSE)</f>
        <v>0</v>
      </c>
      <c r="AP306" s="59" t="s">
        <v>2216</v>
      </c>
      <c r="AR306" s="31">
        <f t="shared" si="138"/>
        <v>0</v>
      </c>
      <c r="AS306" s="237">
        <f t="shared" si="139"/>
        <v>0</v>
      </c>
      <c r="AT306" s="31">
        <f t="shared" si="140"/>
        <v>0</v>
      </c>
      <c r="AU306" s="237">
        <f t="shared" si="141"/>
        <v>0</v>
      </c>
      <c r="AV306" s="31">
        <f t="shared" si="142"/>
        <v>0</v>
      </c>
      <c r="AW306" s="31">
        <f t="shared" si="143"/>
        <v>0</v>
      </c>
      <c r="AX306" s="31">
        <f t="shared" si="144"/>
        <v>2.125</v>
      </c>
      <c r="AY306" s="237">
        <f t="shared" si="145"/>
        <v>1.8062499999999999</v>
      </c>
      <c r="AZ306" s="214">
        <f t="shared" si="146"/>
        <v>0</v>
      </c>
      <c r="BA306" s="237">
        <f t="shared" si="147"/>
        <v>0</v>
      </c>
      <c r="BB306" s="31">
        <f t="shared" si="148"/>
        <v>0</v>
      </c>
      <c r="BC306" s="237">
        <f t="shared" si="149"/>
        <v>0</v>
      </c>
      <c r="BD306" s="31">
        <f t="shared" si="150"/>
        <v>0</v>
      </c>
      <c r="BE306" s="237">
        <f t="shared" si="151"/>
        <v>0</v>
      </c>
      <c r="BF306" s="31">
        <f t="shared" si="152"/>
        <v>0</v>
      </c>
      <c r="BG306" s="237">
        <f t="shared" si="153"/>
        <v>0</v>
      </c>
      <c r="BH306" s="31">
        <f t="shared" si="154"/>
        <v>0</v>
      </c>
      <c r="BI306" s="237">
        <f t="shared" si="155"/>
        <v>0</v>
      </c>
      <c r="BJ306" s="31">
        <f t="shared" si="156"/>
        <v>0</v>
      </c>
      <c r="BK306" s="31">
        <f t="shared" si="157"/>
        <v>0</v>
      </c>
      <c r="BL306" s="237">
        <f t="shared" si="158"/>
        <v>0</v>
      </c>
      <c r="BM306" s="31">
        <f t="shared" si="159"/>
        <v>0</v>
      </c>
      <c r="BN306" s="237">
        <f t="shared" si="160"/>
        <v>0</v>
      </c>
    </row>
    <row r="307" spans="1:66" x14ac:dyDescent="0.25">
      <c r="A307" s="31" t="s">
        <v>1610</v>
      </c>
      <c r="B307" s="182" t="str">
        <f>VLOOKUP(A307,kurspris!$A$1:$B$894,2,FALSE)</f>
        <v>Den professionella läraren 2: Uppdrag, ledarskap och undervisning (UK)</v>
      </c>
      <c r="D307" s="31" t="s">
        <v>629</v>
      </c>
      <c r="F307" s="59">
        <v>2019</v>
      </c>
      <c r="Q307" s="237">
        <v>2.125</v>
      </c>
      <c r="R307" s="40">
        <v>0.85</v>
      </c>
      <c r="S307" s="313">
        <f t="shared" si="134"/>
        <v>1.8062499999999999</v>
      </c>
      <c r="T307" s="31">
        <f>VLOOKUP(A307,'Ansvar kurs'!$A$1:$C$1027,2,FALSE)</f>
        <v>2180</v>
      </c>
      <c r="U307" s="31" t="str">
        <f>VLOOKUP(T307,Orgenheter!$A$1:$C$165,2,FALSE)</f>
        <v xml:space="preserve">Pedagogik                     </v>
      </c>
      <c r="V307" s="31" t="str">
        <f>VLOOKUP(T307,Orgenheter!$A$1:$C$165,3,FALSE)</f>
        <v>Sam</v>
      </c>
      <c r="W307" s="37" t="str">
        <f>VLOOKUP(D307,Program!$A$1:$B$34,2,FALSE)</f>
        <v>KPU - Gy</v>
      </c>
      <c r="X307" s="42">
        <f>VLOOKUP(A307,kurspris!$A$1:$Q$815,15,FALSE)</f>
        <v>23641</v>
      </c>
      <c r="Y307" s="42">
        <f>VLOOKUP(A307,kurspris!$A$1:$Q$815,16,FALSE)</f>
        <v>28786</v>
      </c>
      <c r="Z307" s="42">
        <f t="shared" si="135"/>
        <v>102231.83749999999</v>
      </c>
      <c r="AA307" s="42">
        <f>VLOOKUP(A307,kurspris!$A$1:$Q$815,17,FALSE)</f>
        <v>5800</v>
      </c>
      <c r="AB307" s="42">
        <f t="shared" si="136"/>
        <v>12325</v>
      </c>
      <c r="AC307" s="42">
        <f t="shared" si="137"/>
        <v>114556.83749999999</v>
      </c>
      <c r="AD307" s="31">
        <f>VLOOKUP($A307,kurspris!$A$1:$Q$852,3,FALSE)</f>
        <v>0</v>
      </c>
      <c r="AE307" s="31">
        <f>VLOOKUP($A307,kurspris!$A$1:$Q$852,4,FALSE)</f>
        <v>0</v>
      </c>
      <c r="AF307" s="31">
        <f>VLOOKUP($A307,kurspris!$A$1:$Q$852,5,FALSE)</f>
        <v>0</v>
      </c>
      <c r="AG307" s="31">
        <f>VLOOKUP($A307,kurspris!$A$1:$Q$852,6,FALSE)</f>
        <v>1</v>
      </c>
      <c r="AH307" s="31">
        <f>VLOOKUP($A307,kurspris!$A$1:$Q$852,7,FALSE)</f>
        <v>0</v>
      </c>
      <c r="AI307" s="31">
        <f>VLOOKUP($A307,kurspris!$A$1:$Q$852,8,FALSE)</f>
        <v>0</v>
      </c>
      <c r="AJ307" s="31">
        <f>VLOOKUP($A307,kurspris!$A$1:$Q$852,9,FALSE)</f>
        <v>0</v>
      </c>
      <c r="AK307" s="31">
        <f>VLOOKUP($A307,kurspris!$A$1:$Q$852,10,FALSE)</f>
        <v>0</v>
      </c>
      <c r="AL307" s="31">
        <f>VLOOKUP($A307,kurspris!$A$1:$Q$852,11,FALSE)</f>
        <v>0</v>
      </c>
      <c r="AM307" s="31">
        <f>VLOOKUP($A307,kurspris!$A$1:$Q$852,12,FALSE)</f>
        <v>0</v>
      </c>
      <c r="AN307" s="31">
        <f>VLOOKUP($A307,kurspris!$A$1:$Q$852,13,FALSE)</f>
        <v>0</v>
      </c>
      <c r="AO307" s="31">
        <f>VLOOKUP($A307,kurspris!$A$1:$Q$852,14,FALSE)</f>
        <v>0</v>
      </c>
      <c r="AP307" s="59" t="s">
        <v>2216</v>
      </c>
      <c r="AR307" s="31">
        <f t="shared" si="138"/>
        <v>0</v>
      </c>
      <c r="AS307" s="237">
        <f t="shared" si="139"/>
        <v>0</v>
      </c>
      <c r="AT307" s="31">
        <f t="shared" si="140"/>
        <v>0</v>
      </c>
      <c r="AU307" s="237">
        <f t="shared" si="141"/>
        <v>0</v>
      </c>
      <c r="AV307" s="31">
        <f t="shared" si="142"/>
        <v>0</v>
      </c>
      <c r="AW307" s="31">
        <f t="shared" si="143"/>
        <v>0</v>
      </c>
      <c r="AX307" s="31">
        <f t="shared" si="144"/>
        <v>2.125</v>
      </c>
      <c r="AY307" s="237">
        <f t="shared" si="145"/>
        <v>1.8062499999999999</v>
      </c>
      <c r="AZ307" s="214">
        <f t="shared" si="146"/>
        <v>0</v>
      </c>
      <c r="BA307" s="237">
        <f t="shared" si="147"/>
        <v>0</v>
      </c>
      <c r="BB307" s="31">
        <f t="shared" si="148"/>
        <v>0</v>
      </c>
      <c r="BC307" s="237">
        <f t="shared" si="149"/>
        <v>0</v>
      </c>
      <c r="BD307" s="31">
        <f t="shared" si="150"/>
        <v>0</v>
      </c>
      <c r="BE307" s="237">
        <f t="shared" si="151"/>
        <v>0</v>
      </c>
      <c r="BF307" s="31">
        <f t="shared" si="152"/>
        <v>0</v>
      </c>
      <c r="BG307" s="237">
        <f t="shared" si="153"/>
        <v>0</v>
      </c>
      <c r="BH307" s="31">
        <f t="shared" si="154"/>
        <v>0</v>
      </c>
      <c r="BI307" s="237">
        <f t="shared" si="155"/>
        <v>0</v>
      </c>
      <c r="BJ307" s="31">
        <f t="shared" si="156"/>
        <v>0</v>
      </c>
      <c r="BK307" s="31">
        <f t="shared" si="157"/>
        <v>0</v>
      </c>
      <c r="BL307" s="237">
        <f t="shared" si="158"/>
        <v>0</v>
      </c>
      <c r="BM307" s="31">
        <f t="shared" si="159"/>
        <v>0</v>
      </c>
      <c r="BN307" s="237">
        <f t="shared" si="160"/>
        <v>0</v>
      </c>
    </row>
    <row r="308" spans="1:66" x14ac:dyDescent="0.25">
      <c r="A308" s="31" t="s">
        <v>1563</v>
      </c>
      <c r="B308" s="182" t="str">
        <f>VLOOKUP(A308,kurspris!$A$1:$B$894,2,FALSE)</f>
        <v>Barnet, omvärlden och fritidshemmets uppdrag</v>
      </c>
      <c r="D308" s="31" t="s">
        <v>485</v>
      </c>
      <c r="F308" s="59">
        <v>2019</v>
      </c>
      <c r="Q308" s="237">
        <v>6.5</v>
      </c>
      <c r="R308" s="40">
        <v>0.85</v>
      </c>
      <c r="S308" s="313">
        <f t="shared" si="134"/>
        <v>5.5249999999999995</v>
      </c>
      <c r="T308" s="31">
        <f>VLOOKUP(A308,'Ansvar kurs'!$A$1:$C$1027,2,FALSE)</f>
        <v>2193</v>
      </c>
      <c r="U308" s="31" t="str">
        <f>VLOOKUP(T308,Orgenheter!$A$1:$C$165,2,FALSE)</f>
        <v xml:space="preserve">TUV </v>
      </c>
      <c r="V308" s="31" t="str">
        <f>VLOOKUP(T308,Orgenheter!$A$1:$C$165,3,FALSE)</f>
        <v>Sam</v>
      </c>
      <c r="W308" s="37" t="str">
        <f>VLOOKUP(D308,Program!$A$1:$B$34,2,FALSE)</f>
        <v>Grundlärarprogrammet - fritidshem</v>
      </c>
      <c r="X308" s="42">
        <f>VLOOKUP(A308,kurspris!$A$1:$Q$815,15,FALSE)</f>
        <v>18405</v>
      </c>
      <c r="Y308" s="42">
        <f>VLOOKUP(A308,kurspris!$A$1:$Q$815,16,FALSE)</f>
        <v>15773</v>
      </c>
      <c r="Z308" s="42">
        <f t="shared" si="135"/>
        <v>206778.32500000001</v>
      </c>
      <c r="AA308" s="42">
        <f>VLOOKUP(A308,kurspris!$A$1:$Q$815,17,FALSE)</f>
        <v>5800</v>
      </c>
      <c r="AB308" s="42">
        <f t="shared" si="136"/>
        <v>37700</v>
      </c>
      <c r="AC308" s="42">
        <f t="shared" si="137"/>
        <v>244478.32500000001</v>
      </c>
      <c r="AD308" s="31">
        <f>VLOOKUP($A308,kurspris!$A$1:$Q$852,3,FALSE)</f>
        <v>0</v>
      </c>
      <c r="AE308" s="31">
        <f>VLOOKUP($A308,kurspris!$A$1:$Q$852,4,FALSE)</f>
        <v>0</v>
      </c>
      <c r="AF308" s="31">
        <f>VLOOKUP($A308,kurspris!$A$1:$Q$852,5,FALSE)</f>
        <v>0</v>
      </c>
      <c r="AG308" s="31">
        <f>VLOOKUP($A308,kurspris!$A$1:$Q$852,6,FALSE)</f>
        <v>0</v>
      </c>
      <c r="AH308" s="31">
        <f>VLOOKUP($A308,kurspris!$A$1:$Q$852,7,FALSE)</f>
        <v>0</v>
      </c>
      <c r="AI308" s="31">
        <f>VLOOKUP($A308,kurspris!$A$1:$Q$852,8,FALSE)</f>
        <v>0</v>
      </c>
      <c r="AJ308" s="31">
        <f>VLOOKUP($A308,kurspris!$A$1:$Q$852,9,FALSE)</f>
        <v>1</v>
      </c>
      <c r="AK308" s="31">
        <f>VLOOKUP($A308,kurspris!$A$1:$Q$852,10,FALSE)</f>
        <v>0</v>
      </c>
      <c r="AL308" s="31">
        <f>VLOOKUP($A308,kurspris!$A$1:$Q$852,11,FALSE)</f>
        <v>0</v>
      </c>
      <c r="AM308" s="31">
        <f>VLOOKUP($A308,kurspris!$A$1:$Q$852,12,FALSE)</f>
        <v>0</v>
      </c>
      <c r="AN308" s="31">
        <f>VLOOKUP($A308,kurspris!$A$1:$Q$852,13,FALSE)</f>
        <v>0</v>
      </c>
      <c r="AO308" s="31">
        <f>VLOOKUP($A308,kurspris!$A$1:$Q$852,14,FALSE)</f>
        <v>0</v>
      </c>
      <c r="AP308" s="59" t="s">
        <v>2216</v>
      </c>
      <c r="AR308" s="31">
        <f t="shared" si="138"/>
        <v>0</v>
      </c>
      <c r="AS308" s="237">
        <f t="shared" si="139"/>
        <v>0</v>
      </c>
      <c r="AT308" s="31">
        <f t="shared" si="140"/>
        <v>0</v>
      </c>
      <c r="AU308" s="237">
        <f t="shared" si="141"/>
        <v>0</v>
      </c>
      <c r="AV308" s="31">
        <f t="shared" si="142"/>
        <v>0</v>
      </c>
      <c r="AW308" s="31">
        <f t="shared" si="143"/>
        <v>0</v>
      </c>
      <c r="AX308" s="31">
        <f t="shared" si="144"/>
        <v>0</v>
      </c>
      <c r="AY308" s="237">
        <f t="shared" si="145"/>
        <v>0</v>
      </c>
      <c r="AZ308" s="214">
        <f t="shared" si="146"/>
        <v>0</v>
      </c>
      <c r="BA308" s="237">
        <f t="shared" si="147"/>
        <v>0</v>
      </c>
      <c r="BB308" s="31">
        <f t="shared" si="148"/>
        <v>0</v>
      </c>
      <c r="BC308" s="237">
        <f t="shared" si="149"/>
        <v>0</v>
      </c>
      <c r="BD308" s="31">
        <f t="shared" si="150"/>
        <v>6.5</v>
      </c>
      <c r="BE308" s="237">
        <f t="shared" si="151"/>
        <v>5.5249999999999995</v>
      </c>
      <c r="BF308" s="31">
        <f t="shared" si="152"/>
        <v>0</v>
      </c>
      <c r="BG308" s="237">
        <f t="shared" si="153"/>
        <v>0</v>
      </c>
      <c r="BH308" s="31">
        <f t="shared" si="154"/>
        <v>0</v>
      </c>
      <c r="BI308" s="237">
        <f t="shared" si="155"/>
        <v>0</v>
      </c>
      <c r="BJ308" s="31">
        <f t="shared" si="156"/>
        <v>0</v>
      </c>
      <c r="BK308" s="31">
        <f t="shared" si="157"/>
        <v>0</v>
      </c>
      <c r="BL308" s="237">
        <f t="shared" si="158"/>
        <v>0</v>
      </c>
      <c r="BM308" s="31">
        <f t="shared" si="159"/>
        <v>0</v>
      </c>
      <c r="BN308" s="237">
        <f t="shared" si="160"/>
        <v>0</v>
      </c>
    </row>
    <row r="309" spans="1:66" x14ac:dyDescent="0.25">
      <c r="A309" s="159" t="s">
        <v>1566</v>
      </c>
      <c r="B309" s="182" t="str">
        <f>VLOOKUP(A309,kurspris!$A$1:$B$894,2,FALSE)</f>
        <v>Läraryrkets dimensioner för fritidshem 1 (VFU)</v>
      </c>
      <c r="C309" s="37"/>
      <c r="D309" s="31" t="s">
        <v>485</v>
      </c>
      <c r="F309" s="59">
        <v>2019</v>
      </c>
      <c r="Q309" s="237">
        <v>2.75</v>
      </c>
      <c r="R309" s="40">
        <v>0.85</v>
      </c>
      <c r="S309" s="313">
        <f t="shared" si="134"/>
        <v>2.3374999999999999</v>
      </c>
      <c r="T309" s="31">
        <f>VLOOKUP(A309,'Ansvar kurs'!$A$1:$C$1027,2,FALSE)</f>
        <v>2193</v>
      </c>
      <c r="U309" s="31" t="str">
        <f>VLOOKUP(T309,Orgenheter!$A$1:$C$165,2,FALSE)</f>
        <v xml:space="preserve">TUV </v>
      </c>
      <c r="V309" s="31" t="str">
        <f>VLOOKUP(T309,Orgenheter!$A$1:$C$165,3,FALSE)</f>
        <v>Sam</v>
      </c>
      <c r="W309" s="37" t="str">
        <f>VLOOKUP(D309,Program!$A$1:$B$34,2,FALSE)</f>
        <v>Grundlärarprogrammet - fritidshem</v>
      </c>
      <c r="X309" s="42">
        <f>VLOOKUP(A309,kurspris!$A$1:$Q$815,15,FALSE)</f>
        <v>21634</v>
      </c>
      <c r="Y309" s="42">
        <f>VLOOKUP(A309,kurspris!$A$1:$Q$815,16,FALSE)</f>
        <v>26986</v>
      </c>
      <c r="Z309" s="42">
        <f t="shared" si="135"/>
        <v>122573.27499999999</v>
      </c>
      <c r="AA309" s="42">
        <f>VLOOKUP(A309,kurspris!$A$1:$Q$815,17,FALSE)</f>
        <v>3400</v>
      </c>
      <c r="AB309" s="42">
        <f t="shared" si="136"/>
        <v>9350</v>
      </c>
      <c r="AC309" s="42">
        <f t="shared" si="137"/>
        <v>131923.27499999999</v>
      </c>
      <c r="AD309" s="31">
        <f>VLOOKUP($A309,kurspris!$A$1:$Q$852,3,FALSE)</f>
        <v>0</v>
      </c>
      <c r="AE309" s="31">
        <f>VLOOKUP($A309,kurspris!$A$1:$Q$852,4,FALSE)</f>
        <v>0</v>
      </c>
      <c r="AF309" s="31">
        <f>VLOOKUP($A309,kurspris!$A$1:$Q$852,5,FALSE)</f>
        <v>0</v>
      </c>
      <c r="AG309" s="31">
        <f>VLOOKUP($A309,kurspris!$A$1:$Q$852,6,FALSE)</f>
        <v>0</v>
      </c>
      <c r="AH309" s="31">
        <f>VLOOKUP($A309,kurspris!$A$1:$Q$852,7,FALSE)</f>
        <v>0</v>
      </c>
      <c r="AI309" s="31">
        <f>VLOOKUP($A309,kurspris!$A$1:$Q$852,8,FALSE)</f>
        <v>0</v>
      </c>
      <c r="AJ309" s="31">
        <f>VLOOKUP($A309,kurspris!$A$1:$Q$852,9,FALSE)</f>
        <v>0</v>
      </c>
      <c r="AK309" s="31">
        <f>VLOOKUP($A309,kurspris!$A$1:$Q$852,10,FALSE)</f>
        <v>0</v>
      </c>
      <c r="AL309" s="31">
        <f>VLOOKUP($A309,kurspris!$A$1:$Q$852,11,FALSE)</f>
        <v>1</v>
      </c>
      <c r="AM309" s="31">
        <f>VLOOKUP($A309,kurspris!$A$1:$Q$852,12,FALSE)</f>
        <v>0</v>
      </c>
      <c r="AN309" s="31">
        <f>VLOOKUP($A309,kurspris!$A$1:$Q$852,13,FALSE)</f>
        <v>0</v>
      </c>
      <c r="AO309" s="31">
        <f>VLOOKUP($A309,kurspris!$A$1:$Q$852,14,FALSE)</f>
        <v>0</v>
      </c>
      <c r="AP309" s="59" t="s">
        <v>2216</v>
      </c>
      <c r="AR309" s="31">
        <f t="shared" si="138"/>
        <v>0</v>
      </c>
      <c r="AS309" s="237">
        <f t="shared" si="139"/>
        <v>0</v>
      </c>
      <c r="AT309" s="31">
        <f t="shared" si="140"/>
        <v>0</v>
      </c>
      <c r="AU309" s="237">
        <f t="shared" si="141"/>
        <v>0</v>
      </c>
      <c r="AV309" s="31">
        <f t="shared" si="142"/>
        <v>0</v>
      </c>
      <c r="AW309" s="31">
        <f t="shared" si="143"/>
        <v>0</v>
      </c>
      <c r="AX309" s="31">
        <f t="shared" si="144"/>
        <v>0</v>
      </c>
      <c r="AY309" s="237">
        <f t="shared" si="145"/>
        <v>0</v>
      </c>
      <c r="AZ309" s="214">
        <f t="shared" si="146"/>
        <v>0</v>
      </c>
      <c r="BA309" s="237">
        <f t="shared" si="147"/>
        <v>0</v>
      </c>
      <c r="BB309" s="31">
        <f t="shared" si="148"/>
        <v>0</v>
      </c>
      <c r="BC309" s="237">
        <f t="shared" si="149"/>
        <v>0</v>
      </c>
      <c r="BD309" s="31">
        <f t="shared" si="150"/>
        <v>0</v>
      </c>
      <c r="BE309" s="237">
        <f t="shared" si="151"/>
        <v>0</v>
      </c>
      <c r="BF309" s="31">
        <f t="shared" si="152"/>
        <v>0</v>
      </c>
      <c r="BG309" s="237">
        <f t="shared" si="153"/>
        <v>0</v>
      </c>
      <c r="BH309" s="31">
        <f t="shared" si="154"/>
        <v>2.75</v>
      </c>
      <c r="BI309" s="237">
        <f t="shared" si="155"/>
        <v>2.3374999999999999</v>
      </c>
      <c r="BJ309" s="31">
        <f t="shared" si="156"/>
        <v>0</v>
      </c>
      <c r="BK309" s="31">
        <f t="shared" si="157"/>
        <v>0</v>
      </c>
      <c r="BL309" s="237">
        <f t="shared" si="158"/>
        <v>0</v>
      </c>
      <c r="BM309" s="31">
        <f t="shared" si="159"/>
        <v>0</v>
      </c>
      <c r="BN309" s="237">
        <f t="shared" si="160"/>
        <v>0</v>
      </c>
    </row>
    <row r="310" spans="1:66" x14ac:dyDescent="0.25">
      <c r="A310" s="159" t="s">
        <v>1580</v>
      </c>
      <c r="B310" s="182" t="str">
        <f>VLOOKUP(A310,kurspris!$A$1:$B$894,2,FALSE)</f>
        <v>Verksamhets förlagd utbildning (VFU)</v>
      </c>
      <c r="C310" s="37"/>
      <c r="D310" s="31" t="s">
        <v>1614</v>
      </c>
      <c r="F310" s="59">
        <v>2019</v>
      </c>
      <c r="Q310" s="237">
        <v>6.65</v>
      </c>
      <c r="R310" s="40">
        <v>0.85</v>
      </c>
      <c r="S310" s="313">
        <f t="shared" si="134"/>
        <v>5.6524999999999999</v>
      </c>
      <c r="T310" s="31">
        <f>VLOOKUP(A310,'Ansvar kurs'!$A$1:$C$1027,2,FALSE)</f>
        <v>5740</v>
      </c>
      <c r="U310" s="31" t="str">
        <f>VLOOKUP(T310,Orgenheter!$A$1:$C$165,2,FALSE)</f>
        <v>NMD</v>
      </c>
      <c r="V310" s="31" t="str">
        <f>VLOOKUP(T310,Orgenheter!$A$1:$C$165,3,FALSE)</f>
        <v>TekNat</v>
      </c>
      <c r="W310" s="37" t="str">
        <f>VLOOKUP(D310,Program!$A$1:$B$34,2,FALSE)</f>
        <v>KPU - Förhöjd studietakt - utbildningsbidrag</v>
      </c>
      <c r="X310" s="42">
        <f>VLOOKUP(A310,kurspris!$A$1:$Q$815,15,FALSE)</f>
        <v>21634</v>
      </c>
      <c r="Y310" s="42">
        <f>VLOOKUP(A310,kurspris!$A$1:$Q$815,16,FALSE)</f>
        <v>26986</v>
      </c>
      <c r="Z310" s="42">
        <f t="shared" si="135"/>
        <v>296404.46499999997</v>
      </c>
      <c r="AA310" s="42">
        <f>VLOOKUP(A310,kurspris!$A$1:$Q$815,17,FALSE)</f>
        <v>3400</v>
      </c>
      <c r="AB310" s="42">
        <f t="shared" si="136"/>
        <v>22610</v>
      </c>
      <c r="AC310" s="42">
        <f t="shared" si="137"/>
        <v>319014.46499999997</v>
      </c>
      <c r="AD310" s="31">
        <f>VLOOKUP($A310,kurspris!$A$1:$Q$852,3,FALSE)</f>
        <v>0</v>
      </c>
      <c r="AE310" s="31">
        <f>VLOOKUP($A310,kurspris!$A$1:$Q$852,4,FALSE)</f>
        <v>0</v>
      </c>
      <c r="AF310" s="31">
        <f>VLOOKUP($A310,kurspris!$A$1:$Q$852,5,FALSE)</f>
        <v>0</v>
      </c>
      <c r="AG310" s="31">
        <f>VLOOKUP($A310,kurspris!$A$1:$Q$852,6,FALSE)</f>
        <v>0</v>
      </c>
      <c r="AH310" s="31">
        <f>VLOOKUP($A310,kurspris!$A$1:$Q$852,7,FALSE)</f>
        <v>0</v>
      </c>
      <c r="AI310" s="31">
        <f>VLOOKUP($A310,kurspris!$A$1:$Q$852,8,FALSE)</f>
        <v>0</v>
      </c>
      <c r="AJ310" s="31">
        <f>VLOOKUP($A310,kurspris!$A$1:$Q$852,9,FALSE)</f>
        <v>0</v>
      </c>
      <c r="AK310" s="31">
        <f>VLOOKUP($A310,kurspris!$A$1:$Q$852,10,FALSE)</f>
        <v>0</v>
      </c>
      <c r="AL310" s="31">
        <f>VLOOKUP($A310,kurspris!$A$1:$Q$852,11,FALSE)</f>
        <v>1</v>
      </c>
      <c r="AM310" s="31">
        <f>VLOOKUP($A310,kurspris!$A$1:$Q$852,12,FALSE)</f>
        <v>0</v>
      </c>
      <c r="AN310" s="31">
        <f>VLOOKUP($A310,kurspris!$A$1:$Q$852,13,FALSE)</f>
        <v>0</v>
      </c>
      <c r="AO310" s="31">
        <f>VLOOKUP($A310,kurspris!$A$1:$Q$852,14,FALSE)</f>
        <v>0</v>
      </c>
      <c r="AP310" s="59" t="s">
        <v>2216</v>
      </c>
      <c r="AR310" s="31">
        <f t="shared" si="138"/>
        <v>0</v>
      </c>
      <c r="AS310" s="237">
        <f t="shared" si="139"/>
        <v>0</v>
      </c>
      <c r="AT310" s="31">
        <f t="shared" si="140"/>
        <v>0</v>
      </c>
      <c r="AU310" s="237">
        <f t="shared" si="141"/>
        <v>0</v>
      </c>
      <c r="AV310" s="31">
        <f t="shared" si="142"/>
        <v>0</v>
      </c>
      <c r="AW310" s="31">
        <f t="shared" si="143"/>
        <v>0</v>
      </c>
      <c r="AX310" s="31">
        <f t="shared" si="144"/>
        <v>0</v>
      </c>
      <c r="AY310" s="237">
        <f t="shared" si="145"/>
        <v>0</v>
      </c>
      <c r="AZ310" s="214">
        <f t="shared" si="146"/>
        <v>0</v>
      </c>
      <c r="BA310" s="237">
        <f t="shared" si="147"/>
        <v>0</v>
      </c>
      <c r="BB310" s="31">
        <f t="shared" si="148"/>
        <v>0</v>
      </c>
      <c r="BC310" s="237">
        <f t="shared" si="149"/>
        <v>0</v>
      </c>
      <c r="BD310" s="31">
        <f t="shared" si="150"/>
        <v>0</v>
      </c>
      <c r="BE310" s="237">
        <f t="shared" si="151"/>
        <v>0</v>
      </c>
      <c r="BF310" s="31">
        <f t="shared" si="152"/>
        <v>0</v>
      </c>
      <c r="BG310" s="237">
        <f t="shared" si="153"/>
        <v>0</v>
      </c>
      <c r="BH310" s="31">
        <f t="shared" si="154"/>
        <v>6.65</v>
      </c>
      <c r="BI310" s="237">
        <f t="shared" si="155"/>
        <v>5.6524999999999999</v>
      </c>
      <c r="BJ310" s="31">
        <f t="shared" si="156"/>
        <v>0</v>
      </c>
      <c r="BK310" s="31">
        <f t="shared" si="157"/>
        <v>0</v>
      </c>
      <c r="BL310" s="237">
        <f t="shared" si="158"/>
        <v>0</v>
      </c>
      <c r="BM310" s="31">
        <f t="shared" si="159"/>
        <v>0</v>
      </c>
      <c r="BN310" s="237">
        <f t="shared" si="160"/>
        <v>0</v>
      </c>
    </row>
    <row r="311" spans="1:66" x14ac:dyDescent="0.25">
      <c r="A311" s="159" t="s">
        <v>1580</v>
      </c>
      <c r="B311" s="182" t="str">
        <f>VLOOKUP(A311,kurspris!$A$1:$B$894,2,FALSE)</f>
        <v>Verksamhets förlagd utbildning (VFU)</v>
      </c>
      <c r="C311" s="37"/>
      <c r="D311" s="31" t="s">
        <v>628</v>
      </c>
      <c r="F311" s="59">
        <v>2019</v>
      </c>
      <c r="Q311" s="237">
        <v>5.2249999999999996</v>
      </c>
      <c r="R311" s="40">
        <v>0.85</v>
      </c>
      <c r="S311" s="313">
        <f t="shared" si="134"/>
        <v>4.4412499999999993</v>
      </c>
      <c r="T311" s="31">
        <f>VLOOKUP(A311,'Ansvar kurs'!$A$1:$C$1027,2,FALSE)</f>
        <v>5740</v>
      </c>
      <c r="U311" s="31" t="str">
        <f>VLOOKUP(T311,Orgenheter!$A$1:$C$165,2,FALSE)</f>
        <v>NMD</v>
      </c>
      <c r="V311" s="31" t="str">
        <f>VLOOKUP(T311,Orgenheter!$A$1:$C$165,3,FALSE)</f>
        <v>TekNat</v>
      </c>
      <c r="W311" s="37" t="str">
        <f>VLOOKUP(D311,Program!$A$1:$B$34,2,FALSE)</f>
        <v>KPU - åk 7-9</v>
      </c>
      <c r="X311" s="42">
        <f>VLOOKUP(A311,kurspris!$A$1:$Q$815,15,FALSE)</f>
        <v>21634</v>
      </c>
      <c r="Y311" s="42">
        <f>VLOOKUP(A311,kurspris!$A$1:$Q$815,16,FALSE)</f>
        <v>26986</v>
      </c>
      <c r="Z311" s="42">
        <f t="shared" si="135"/>
        <v>232889.22249999997</v>
      </c>
      <c r="AA311" s="42">
        <f>VLOOKUP(A311,kurspris!$A$1:$Q$815,17,FALSE)</f>
        <v>3400</v>
      </c>
      <c r="AB311" s="42">
        <f t="shared" si="136"/>
        <v>17765</v>
      </c>
      <c r="AC311" s="42">
        <f t="shared" si="137"/>
        <v>250654.22249999997</v>
      </c>
      <c r="AD311" s="31">
        <f>VLOOKUP($A311,kurspris!$A$1:$Q$852,3,FALSE)</f>
        <v>0</v>
      </c>
      <c r="AE311" s="31">
        <f>VLOOKUP($A311,kurspris!$A$1:$Q$852,4,FALSE)</f>
        <v>0</v>
      </c>
      <c r="AF311" s="31">
        <f>VLOOKUP($A311,kurspris!$A$1:$Q$852,5,FALSE)</f>
        <v>0</v>
      </c>
      <c r="AG311" s="31">
        <f>VLOOKUP($A311,kurspris!$A$1:$Q$852,6,FALSE)</f>
        <v>0</v>
      </c>
      <c r="AH311" s="31">
        <f>VLOOKUP($A311,kurspris!$A$1:$Q$852,7,FALSE)</f>
        <v>0</v>
      </c>
      <c r="AI311" s="31">
        <f>VLOOKUP($A311,kurspris!$A$1:$Q$852,8,FALSE)</f>
        <v>0</v>
      </c>
      <c r="AJ311" s="31">
        <f>VLOOKUP($A311,kurspris!$A$1:$Q$852,9,FALSE)</f>
        <v>0</v>
      </c>
      <c r="AK311" s="31">
        <f>VLOOKUP($A311,kurspris!$A$1:$Q$852,10,FALSE)</f>
        <v>0</v>
      </c>
      <c r="AL311" s="31">
        <f>VLOOKUP($A311,kurspris!$A$1:$Q$852,11,FALSE)</f>
        <v>1</v>
      </c>
      <c r="AM311" s="31">
        <f>VLOOKUP($A311,kurspris!$A$1:$Q$852,12,FALSE)</f>
        <v>0</v>
      </c>
      <c r="AN311" s="31">
        <f>VLOOKUP($A311,kurspris!$A$1:$Q$852,13,FALSE)</f>
        <v>0</v>
      </c>
      <c r="AO311" s="31">
        <f>VLOOKUP($A311,kurspris!$A$1:$Q$852,14,FALSE)</f>
        <v>0</v>
      </c>
      <c r="AP311" s="59" t="s">
        <v>2216</v>
      </c>
      <c r="AR311" s="31">
        <f t="shared" si="138"/>
        <v>0</v>
      </c>
      <c r="AS311" s="237">
        <f t="shared" si="139"/>
        <v>0</v>
      </c>
      <c r="AT311" s="31">
        <f t="shared" si="140"/>
        <v>0</v>
      </c>
      <c r="AU311" s="237">
        <f t="shared" si="141"/>
        <v>0</v>
      </c>
      <c r="AV311" s="31">
        <f t="shared" si="142"/>
        <v>0</v>
      </c>
      <c r="AW311" s="31">
        <f t="shared" si="143"/>
        <v>0</v>
      </c>
      <c r="AX311" s="31">
        <f t="shared" si="144"/>
        <v>0</v>
      </c>
      <c r="AY311" s="237">
        <f t="shared" si="145"/>
        <v>0</v>
      </c>
      <c r="AZ311" s="214">
        <f t="shared" si="146"/>
        <v>0</v>
      </c>
      <c r="BA311" s="237">
        <f t="shared" si="147"/>
        <v>0</v>
      </c>
      <c r="BB311" s="31">
        <f t="shared" si="148"/>
        <v>0</v>
      </c>
      <c r="BC311" s="237">
        <f t="shared" si="149"/>
        <v>0</v>
      </c>
      <c r="BD311" s="31">
        <f t="shared" si="150"/>
        <v>0</v>
      </c>
      <c r="BE311" s="237">
        <f t="shared" si="151"/>
        <v>0</v>
      </c>
      <c r="BF311" s="31">
        <f t="shared" si="152"/>
        <v>0</v>
      </c>
      <c r="BG311" s="237">
        <f t="shared" si="153"/>
        <v>0</v>
      </c>
      <c r="BH311" s="31">
        <f t="shared" si="154"/>
        <v>5.2249999999999996</v>
      </c>
      <c r="BI311" s="237">
        <f t="shared" si="155"/>
        <v>4.4412499999999993</v>
      </c>
      <c r="BJ311" s="31">
        <f t="shared" si="156"/>
        <v>0</v>
      </c>
      <c r="BK311" s="31">
        <f t="shared" si="157"/>
        <v>0</v>
      </c>
      <c r="BL311" s="237">
        <f t="shared" si="158"/>
        <v>0</v>
      </c>
      <c r="BM311" s="31">
        <f t="shared" si="159"/>
        <v>0</v>
      </c>
      <c r="BN311" s="237">
        <f t="shared" si="160"/>
        <v>0</v>
      </c>
    </row>
    <row r="312" spans="1:66" x14ac:dyDescent="0.25">
      <c r="A312" s="159" t="s">
        <v>1580</v>
      </c>
      <c r="B312" s="182" t="str">
        <f>VLOOKUP(A312,kurspris!$A$1:$B$894,2,FALSE)</f>
        <v>Verksamhets förlagd utbildning (VFU)</v>
      </c>
      <c r="C312" s="37"/>
      <c r="D312" s="31" t="s">
        <v>629</v>
      </c>
      <c r="F312" s="59">
        <v>2019</v>
      </c>
      <c r="Q312" s="237">
        <v>6.65</v>
      </c>
      <c r="R312" s="40">
        <v>0.85</v>
      </c>
      <c r="S312" s="313">
        <f t="shared" si="134"/>
        <v>5.6524999999999999</v>
      </c>
      <c r="T312" s="31">
        <f>VLOOKUP(A312,'Ansvar kurs'!$A$1:$C$1027,2,FALSE)</f>
        <v>5740</v>
      </c>
      <c r="U312" s="31" t="str">
        <f>VLOOKUP(T312,Orgenheter!$A$1:$C$165,2,FALSE)</f>
        <v>NMD</v>
      </c>
      <c r="V312" s="31" t="str">
        <f>VLOOKUP(T312,Orgenheter!$A$1:$C$165,3,FALSE)</f>
        <v>TekNat</v>
      </c>
      <c r="W312" s="37" t="str">
        <f>VLOOKUP(D312,Program!$A$1:$B$34,2,FALSE)</f>
        <v>KPU - Gy</v>
      </c>
      <c r="X312" s="42">
        <f>VLOOKUP(A312,kurspris!$A$1:$Q$815,15,FALSE)</f>
        <v>21634</v>
      </c>
      <c r="Y312" s="42">
        <f>VLOOKUP(A312,kurspris!$A$1:$Q$815,16,FALSE)</f>
        <v>26986</v>
      </c>
      <c r="Z312" s="42">
        <f t="shared" si="135"/>
        <v>296404.46499999997</v>
      </c>
      <c r="AA312" s="42">
        <f>VLOOKUP(A312,kurspris!$A$1:$Q$815,17,FALSE)</f>
        <v>3400</v>
      </c>
      <c r="AB312" s="42">
        <f t="shared" si="136"/>
        <v>22610</v>
      </c>
      <c r="AC312" s="42">
        <f t="shared" si="137"/>
        <v>319014.46499999997</v>
      </c>
      <c r="AD312" s="31">
        <f>VLOOKUP($A312,kurspris!$A$1:$Q$852,3,FALSE)</f>
        <v>0</v>
      </c>
      <c r="AE312" s="31">
        <f>VLOOKUP($A312,kurspris!$A$1:$Q$852,4,FALSE)</f>
        <v>0</v>
      </c>
      <c r="AF312" s="31">
        <f>VLOOKUP($A312,kurspris!$A$1:$Q$852,5,FALSE)</f>
        <v>0</v>
      </c>
      <c r="AG312" s="31">
        <f>VLOOKUP($A312,kurspris!$A$1:$Q$852,6,FALSE)</f>
        <v>0</v>
      </c>
      <c r="AH312" s="31">
        <f>VLOOKUP($A312,kurspris!$A$1:$Q$852,7,FALSE)</f>
        <v>0</v>
      </c>
      <c r="AI312" s="31">
        <f>VLOOKUP($A312,kurspris!$A$1:$Q$852,8,FALSE)</f>
        <v>0</v>
      </c>
      <c r="AJ312" s="31">
        <f>VLOOKUP($A312,kurspris!$A$1:$Q$852,9,FALSE)</f>
        <v>0</v>
      </c>
      <c r="AK312" s="31">
        <f>VLOOKUP($A312,kurspris!$A$1:$Q$852,10,FALSE)</f>
        <v>0</v>
      </c>
      <c r="AL312" s="31">
        <f>VLOOKUP($A312,kurspris!$A$1:$Q$852,11,FALSE)</f>
        <v>1</v>
      </c>
      <c r="AM312" s="31">
        <f>VLOOKUP($A312,kurspris!$A$1:$Q$852,12,FALSE)</f>
        <v>0</v>
      </c>
      <c r="AN312" s="31">
        <f>VLOOKUP($A312,kurspris!$A$1:$Q$852,13,FALSE)</f>
        <v>0</v>
      </c>
      <c r="AO312" s="31">
        <f>VLOOKUP($A312,kurspris!$A$1:$Q$852,14,FALSE)</f>
        <v>0</v>
      </c>
      <c r="AP312" s="59" t="s">
        <v>2216</v>
      </c>
      <c r="AR312" s="31">
        <f t="shared" si="138"/>
        <v>0</v>
      </c>
      <c r="AS312" s="237">
        <f t="shared" si="139"/>
        <v>0</v>
      </c>
      <c r="AT312" s="31">
        <f t="shared" si="140"/>
        <v>0</v>
      </c>
      <c r="AU312" s="237">
        <f t="shared" si="141"/>
        <v>0</v>
      </c>
      <c r="AV312" s="31">
        <f t="shared" si="142"/>
        <v>0</v>
      </c>
      <c r="AW312" s="31">
        <f t="shared" si="143"/>
        <v>0</v>
      </c>
      <c r="AX312" s="31">
        <f t="shared" si="144"/>
        <v>0</v>
      </c>
      <c r="AY312" s="237">
        <f t="shared" si="145"/>
        <v>0</v>
      </c>
      <c r="AZ312" s="214">
        <f t="shared" si="146"/>
        <v>0</v>
      </c>
      <c r="BA312" s="237">
        <f t="shared" si="147"/>
        <v>0</v>
      </c>
      <c r="BB312" s="31">
        <f t="shared" si="148"/>
        <v>0</v>
      </c>
      <c r="BC312" s="237">
        <f t="shared" si="149"/>
        <v>0</v>
      </c>
      <c r="BD312" s="31">
        <f t="shared" si="150"/>
        <v>0</v>
      </c>
      <c r="BE312" s="237">
        <f t="shared" si="151"/>
        <v>0</v>
      </c>
      <c r="BF312" s="31">
        <f t="shared" si="152"/>
        <v>0</v>
      </c>
      <c r="BG312" s="237">
        <f t="shared" si="153"/>
        <v>0</v>
      </c>
      <c r="BH312" s="31">
        <f t="shared" si="154"/>
        <v>6.65</v>
      </c>
      <c r="BI312" s="237">
        <f t="shared" si="155"/>
        <v>5.6524999999999999</v>
      </c>
      <c r="BJ312" s="31">
        <f t="shared" si="156"/>
        <v>0</v>
      </c>
      <c r="BK312" s="31">
        <f t="shared" si="157"/>
        <v>0</v>
      </c>
      <c r="BL312" s="237">
        <f t="shared" si="158"/>
        <v>0</v>
      </c>
      <c r="BM312" s="31">
        <f t="shared" si="159"/>
        <v>0</v>
      </c>
      <c r="BN312" s="237">
        <f t="shared" si="160"/>
        <v>0</v>
      </c>
    </row>
    <row r="313" spans="1:66" x14ac:dyDescent="0.25">
      <c r="A313" s="159" t="s">
        <v>1579</v>
      </c>
      <c r="B313" s="182" t="str">
        <f>VLOOKUP(A313,kurspris!$A$1:$B$894,2,FALSE)</f>
        <v>Examensarbete med ämnesdidaktisk inriktning (UK)</v>
      </c>
      <c r="C313" s="37"/>
      <c r="D313" s="31" t="s">
        <v>1614</v>
      </c>
      <c r="F313" s="59">
        <v>2019</v>
      </c>
      <c r="Q313" s="237">
        <v>3.25</v>
      </c>
      <c r="R313" s="40">
        <v>0.85</v>
      </c>
      <c r="S313" s="313">
        <f t="shared" si="134"/>
        <v>2.7624999999999997</v>
      </c>
      <c r="T313" s="31">
        <f>VLOOKUP(A313,'Ansvar kurs'!$A$1:$C$1027,2,FALSE)</f>
        <v>5740</v>
      </c>
      <c r="U313" s="31" t="str">
        <f>VLOOKUP(T313,Orgenheter!$A$1:$C$165,2,FALSE)</f>
        <v>NMD</v>
      </c>
      <c r="V313" s="31" t="str">
        <f>VLOOKUP(T313,Orgenheter!$A$1:$C$165,3,FALSE)</f>
        <v>TekNat</v>
      </c>
      <c r="W313" s="37" t="str">
        <f>VLOOKUP(D313,Program!$A$1:$B$34,2,FALSE)</f>
        <v>KPU - Förhöjd studietakt - utbildningsbidrag</v>
      </c>
      <c r="X313" s="42">
        <f>VLOOKUP(A313,kurspris!$A$1:$Q$815,15,FALSE)</f>
        <v>23641</v>
      </c>
      <c r="Y313" s="42">
        <f>VLOOKUP(A313,kurspris!$A$1:$Q$815,16,FALSE)</f>
        <v>28786</v>
      </c>
      <c r="Z313" s="42">
        <f t="shared" si="135"/>
        <v>156354.57500000001</v>
      </c>
      <c r="AA313" s="42">
        <f>VLOOKUP(A313,kurspris!$A$1:$Q$815,17,FALSE)</f>
        <v>5800</v>
      </c>
      <c r="AB313" s="42">
        <f t="shared" si="136"/>
        <v>18850</v>
      </c>
      <c r="AC313" s="42">
        <f t="shared" si="137"/>
        <v>175204.57500000001</v>
      </c>
      <c r="AD313" s="31">
        <f>VLOOKUP($A313,kurspris!$A$1:$Q$852,3,FALSE)</f>
        <v>0</v>
      </c>
      <c r="AE313" s="31">
        <f>VLOOKUP($A313,kurspris!$A$1:$Q$852,4,FALSE)</f>
        <v>0</v>
      </c>
      <c r="AF313" s="31">
        <f>VLOOKUP($A313,kurspris!$A$1:$Q$852,5,FALSE)</f>
        <v>0</v>
      </c>
      <c r="AG313" s="31">
        <f>VLOOKUP($A313,kurspris!$A$1:$Q$852,6,FALSE)</f>
        <v>1</v>
      </c>
      <c r="AH313" s="31">
        <f>VLOOKUP($A313,kurspris!$A$1:$Q$852,7,FALSE)</f>
        <v>0</v>
      </c>
      <c r="AI313" s="31">
        <f>VLOOKUP($A313,kurspris!$A$1:$Q$852,8,FALSE)</f>
        <v>0</v>
      </c>
      <c r="AJ313" s="31">
        <f>VLOOKUP($A313,kurspris!$A$1:$Q$852,9,FALSE)</f>
        <v>0</v>
      </c>
      <c r="AK313" s="31">
        <f>VLOOKUP($A313,kurspris!$A$1:$Q$852,10,FALSE)</f>
        <v>0</v>
      </c>
      <c r="AL313" s="31">
        <f>VLOOKUP($A313,kurspris!$A$1:$Q$852,11,FALSE)</f>
        <v>0</v>
      </c>
      <c r="AM313" s="31">
        <f>VLOOKUP($A313,kurspris!$A$1:$Q$852,12,FALSE)</f>
        <v>0</v>
      </c>
      <c r="AN313" s="31">
        <f>VLOOKUP($A313,kurspris!$A$1:$Q$852,13,FALSE)</f>
        <v>0</v>
      </c>
      <c r="AO313" s="31">
        <f>VLOOKUP($A313,kurspris!$A$1:$Q$852,14,FALSE)</f>
        <v>0</v>
      </c>
      <c r="AP313" s="59" t="s">
        <v>2216</v>
      </c>
      <c r="AR313" s="31">
        <f t="shared" si="138"/>
        <v>0</v>
      </c>
      <c r="AS313" s="237">
        <f t="shared" si="139"/>
        <v>0</v>
      </c>
      <c r="AT313" s="31">
        <f t="shared" si="140"/>
        <v>0</v>
      </c>
      <c r="AU313" s="237">
        <f t="shared" si="141"/>
        <v>0</v>
      </c>
      <c r="AV313" s="31">
        <f t="shared" si="142"/>
        <v>0</v>
      </c>
      <c r="AW313" s="31">
        <f t="shared" si="143"/>
        <v>0</v>
      </c>
      <c r="AX313" s="31">
        <f t="shared" si="144"/>
        <v>3.25</v>
      </c>
      <c r="AY313" s="237">
        <f t="shared" si="145"/>
        <v>2.7624999999999997</v>
      </c>
      <c r="AZ313" s="214">
        <f t="shared" si="146"/>
        <v>0</v>
      </c>
      <c r="BA313" s="237">
        <f t="shared" si="147"/>
        <v>0</v>
      </c>
      <c r="BB313" s="31">
        <f t="shared" si="148"/>
        <v>0</v>
      </c>
      <c r="BC313" s="237">
        <f t="shared" si="149"/>
        <v>0</v>
      </c>
      <c r="BD313" s="31">
        <f t="shared" si="150"/>
        <v>0</v>
      </c>
      <c r="BE313" s="237">
        <f t="shared" si="151"/>
        <v>0</v>
      </c>
      <c r="BF313" s="31">
        <f t="shared" si="152"/>
        <v>0</v>
      </c>
      <c r="BG313" s="237">
        <f t="shared" si="153"/>
        <v>0</v>
      </c>
      <c r="BH313" s="31">
        <f t="shared" si="154"/>
        <v>0</v>
      </c>
      <c r="BI313" s="237">
        <f t="shared" si="155"/>
        <v>0</v>
      </c>
      <c r="BJ313" s="31">
        <f t="shared" si="156"/>
        <v>0</v>
      </c>
      <c r="BK313" s="31">
        <f t="shared" si="157"/>
        <v>0</v>
      </c>
      <c r="BL313" s="237">
        <f t="shared" si="158"/>
        <v>0</v>
      </c>
      <c r="BM313" s="31">
        <f t="shared" si="159"/>
        <v>0</v>
      </c>
      <c r="BN313" s="237">
        <f t="shared" si="160"/>
        <v>0</v>
      </c>
    </row>
    <row r="314" spans="1:66" x14ac:dyDescent="0.25">
      <c r="A314" s="159" t="s">
        <v>1579</v>
      </c>
      <c r="B314" s="182" t="str">
        <f>VLOOKUP(A314,kurspris!$A$1:$B$894,2,FALSE)</f>
        <v>Examensarbete med ämnesdidaktisk inriktning (UK)</v>
      </c>
      <c r="C314" s="37"/>
      <c r="D314" s="31" t="s">
        <v>628</v>
      </c>
      <c r="F314" s="59">
        <v>2019</v>
      </c>
      <c r="Q314" s="237">
        <v>3.5</v>
      </c>
      <c r="R314" s="40">
        <v>0.85</v>
      </c>
      <c r="S314" s="313">
        <f t="shared" si="134"/>
        <v>2.9750000000000001</v>
      </c>
      <c r="T314" s="31">
        <f>VLOOKUP(A314,'Ansvar kurs'!$A$1:$C$1027,2,FALSE)</f>
        <v>5740</v>
      </c>
      <c r="U314" s="31" t="str">
        <f>VLOOKUP(T314,Orgenheter!$A$1:$C$165,2,FALSE)</f>
        <v>NMD</v>
      </c>
      <c r="V314" s="31" t="str">
        <f>VLOOKUP(T314,Orgenheter!$A$1:$C$165,3,FALSE)</f>
        <v>TekNat</v>
      </c>
      <c r="W314" s="37" t="str">
        <f>VLOOKUP(D314,Program!$A$1:$B$34,2,FALSE)</f>
        <v>KPU - åk 7-9</v>
      </c>
      <c r="X314" s="42">
        <f>VLOOKUP(A314,kurspris!$A$1:$Q$815,15,FALSE)</f>
        <v>23641</v>
      </c>
      <c r="Y314" s="42">
        <f>VLOOKUP(A314,kurspris!$A$1:$Q$815,16,FALSE)</f>
        <v>28786</v>
      </c>
      <c r="Z314" s="42">
        <f t="shared" si="135"/>
        <v>168381.85</v>
      </c>
      <c r="AA314" s="42">
        <f>VLOOKUP(A314,kurspris!$A$1:$Q$815,17,FALSE)</f>
        <v>5800</v>
      </c>
      <c r="AB314" s="42">
        <f t="shared" si="136"/>
        <v>20300</v>
      </c>
      <c r="AC314" s="42">
        <f t="shared" si="137"/>
        <v>188681.85</v>
      </c>
      <c r="AD314" s="31">
        <f>VLOOKUP($A314,kurspris!$A$1:$Q$852,3,FALSE)</f>
        <v>0</v>
      </c>
      <c r="AE314" s="31">
        <f>VLOOKUP($A314,kurspris!$A$1:$Q$852,4,FALSE)</f>
        <v>0</v>
      </c>
      <c r="AF314" s="31">
        <f>VLOOKUP($A314,kurspris!$A$1:$Q$852,5,FALSE)</f>
        <v>0</v>
      </c>
      <c r="AG314" s="31">
        <f>VLOOKUP($A314,kurspris!$A$1:$Q$852,6,FALSE)</f>
        <v>1</v>
      </c>
      <c r="AH314" s="31">
        <f>VLOOKUP($A314,kurspris!$A$1:$Q$852,7,FALSE)</f>
        <v>0</v>
      </c>
      <c r="AI314" s="31">
        <f>VLOOKUP($A314,kurspris!$A$1:$Q$852,8,FALSE)</f>
        <v>0</v>
      </c>
      <c r="AJ314" s="31">
        <f>VLOOKUP($A314,kurspris!$A$1:$Q$852,9,FALSE)</f>
        <v>0</v>
      </c>
      <c r="AK314" s="31">
        <f>VLOOKUP($A314,kurspris!$A$1:$Q$852,10,FALSE)</f>
        <v>0</v>
      </c>
      <c r="AL314" s="31">
        <f>VLOOKUP($A314,kurspris!$A$1:$Q$852,11,FALSE)</f>
        <v>0</v>
      </c>
      <c r="AM314" s="31">
        <f>VLOOKUP($A314,kurspris!$A$1:$Q$852,12,FALSE)</f>
        <v>0</v>
      </c>
      <c r="AN314" s="31">
        <f>VLOOKUP($A314,kurspris!$A$1:$Q$852,13,FALSE)</f>
        <v>0</v>
      </c>
      <c r="AO314" s="31">
        <f>VLOOKUP($A314,kurspris!$A$1:$Q$852,14,FALSE)</f>
        <v>0</v>
      </c>
      <c r="AP314" s="59" t="s">
        <v>2216</v>
      </c>
      <c r="AR314" s="31">
        <f t="shared" si="138"/>
        <v>0</v>
      </c>
      <c r="AS314" s="237">
        <f t="shared" si="139"/>
        <v>0</v>
      </c>
      <c r="AT314" s="31">
        <f t="shared" si="140"/>
        <v>0</v>
      </c>
      <c r="AU314" s="237">
        <f t="shared" si="141"/>
        <v>0</v>
      </c>
      <c r="AV314" s="31">
        <f t="shared" si="142"/>
        <v>0</v>
      </c>
      <c r="AW314" s="31">
        <f t="shared" si="143"/>
        <v>0</v>
      </c>
      <c r="AX314" s="31">
        <f t="shared" si="144"/>
        <v>3.5</v>
      </c>
      <c r="AY314" s="237">
        <f t="shared" si="145"/>
        <v>2.9750000000000001</v>
      </c>
      <c r="AZ314" s="214">
        <f t="shared" si="146"/>
        <v>0</v>
      </c>
      <c r="BA314" s="237">
        <f t="shared" si="147"/>
        <v>0</v>
      </c>
      <c r="BB314" s="31">
        <f t="shared" si="148"/>
        <v>0</v>
      </c>
      <c r="BC314" s="237">
        <f t="shared" si="149"/>
        <v>0</v>
      </c>
      <c r="BD314" s="31">
        <f t="shared" si="150"/>
        <v>0</v>
      </c>
      <c r="BE314" s="237">
        <f t="shared" si="151"/>
        <v>0</v>
      </c>
      <c r="BF314" s="31">
        <f t="shared" si="152"/>
        <v>0</v>
      </c>
      <c r="BG314" s="237">
        <f t="shared" si="153"/>
        <v>0</v>
      </c>
      <c r="BH314" s="31">
        <f t="shared" si="154"/>
        <v>0</v>
      </c>
      <c r="BI314" s="237">
        <f t="shared" si="155"/>
        <v>0</v>
      </c>
      <c r="BJ314" s="31">
        <f t="shared" si="156"/>
        <v>0</v>
      </c>
      <c r="BK314" s="31">
        <f t="shared" si="157"/>
        <v>0</v>
      </c>
      <c r="BL314" s="237">
        <f t="shared" si="158"/>
        <v>0</v>
      </c>
      <c r="BM314" s="31">
        <f t="shared" si="159"/>
        <v>0</v>
      </c>
      <c r="BN314" s="237">
        <f t="shared" si="160"/>
        <v>0</v>
      </c>
    </row>
    <row r="315" spans="1:66" x14ac:dyDescent="0.25">
      <c r="A315" s="159" t="s">
        <v>1579</v>
      </c>
      <c r="B315" s="182" t="str">
        <f>VLOOKUP(A315,kurspris!$A$1:$B$894,2,FALSE)</f>
        <v>Examensarbete med ämnesdidaktisk inriktning (UK)</v>
      </c>
      <c r="C315" s="37"/>
      <c r="D315" s="31" t="s">
        <v>629</v>
      </c>
      <c r="F315" s="59">
        <v>2019</v>
      </c>
      <c r="Q315" s="237">
        <v>3.5</v>
      </c>
      <c r="R315" s="40">
        <v>0.85</v>
      </c>
      <c r="S315" s="313">
        <f t="shared" si="134"/>
        <v>2.9750000000000001</v>
      </c>
      <c r="T315" s="31">
        <f>VLOOKUP(A315,'Ansvar kurs'!$A$1:$C$1027,2,FALSE)</f>
        <v>5740</v>
      </c>
      <c r="U315" s="31" t="str">
        <f>VLOOKUP(T315,Orgenheter!$A$1:$C$165,2,FALSE)</f>
        <v>NMD</v>
      </c>
      <c r="V315" s="31" t="str">
        <f>VLOOKUP(T315,Orgenheter!$A$1:$C$165,3,FALSE)</f>
        <v>TekNat</v>
      </c>
      <c r="W315" s="37" t="str">
        <f>VLOOKUP(D315,Program!$A$1:$B$34,2,FALSE)</f>
        <v>KPU - Gy</v>
      </c>
      <c r="X315" s="42">
        <f>VLOOKUP(A315,kurspris!$A$1:$Q$815,15,FALSE)</f>
        <v>23641</v>
      </c>
      <c r="Y315" s="42">
        <f>VLOOKUP(A315,kurspris!$A$1:$Q$815,16,FALSE)</f>
        <v>28786</v>
      </c>
      <c r="Z315" s="42">
        <f t="shared" si="135"/>
        <v>168381.85</v>
      </c>
      <c r="AA315" s="42">
        <f>VLOOKUP(A315,kurspris!$A$1:$Q$815,17,FALSE)</f>
        <v>5800</v>
      </c>
      <c r="AB315" s="42">
        <f t="shared" si="136"/>
        <v>20300</v>
      </c>
      <c r="AC315" s="42">
        <f t="shared" si="137"/>
        <v>188681.85</v>
      </c>
      <c r="AD315" s="31">
        <f>VLOOKUP($A315,kurspris!$A$1:$Q$852,3,FALSE)</f>
        <v>0</v>
      </c>
      <c r="AE315" s="31">
        <f>VLOOKUP($A315,kurspris!$A$1:$Q$852,4,FALSE)</f>
        <v>0</v>
      </c>
      <c r="AF315" s="31">
        <f>VLOOKUP($A315,kurspris!$A$1:$Q$852,5,FALSE)</f>
        <v>0</v>
      </c>
      <c r="AG315" s="31">
        <f>VLOOKUP($A315,kurspris!$A$1:$Q$852,6,FALSE)</f>
        <v>1</v>
      </c>
      <c r="AH315" s="31">
        <f>VLOOKUP($A315,kurspris!$A$1:$Q$852,7,FALSE)</f>
        <v>0</v>
      </c>
      <c r="AI315" s="31">
        <f>VLOOKUP($A315,kurspris!$A$1:$Q$852,8,FALSE)</f>
        <v>0</v>
      </c>
      <c r="AJ315" s="31">
        <f>VLOOKUP($A315,kurspris!$A$1:$Q$852,9,FALSE)</f>
        <v>0</v>
      </c>
      <c r="AK315" s="31">
        <f>VLOOKUP($A315,kurspris!$A$1:$Q$852,10,FALSE)</f>
        <v>0</v>
      </c>
      <c r="AL315" s="31">
        <f>VLOOKUP($A315,kurspris!$A$1:$Q$852,11,FALSE)</f>
        <v>0</v>
      </c>
      <c r="AM315" s="31">
        <f>VLOOKUP($A315,kurspris!$A$1:$Q$852,12,FALSE)</f>
        <v>0</v>
      </c>
      <c r="AN315" s="31">
        <f>VLOOKUP($A315,kurspris!$A$1:$Q$852,13,FALSE)</f>
        <v>0</v>
      </c>
      <c r="AO315" s="31">
        <f>VLOOKUP($A315,kurspris!$A$1:$Q$852,14,FALSE)</f>
        <v>0</v>
      </c>
      <c r="AP315" s="59" t="s">
        <v>2216</v>
      </c>
      <c r="AR315" s="31">
        <f t="shared" si="138"/>
        <v>0</v>
      </c>
      <c r="AS315" s="237">
        <f t="shared" si="139"/>
        <v>0</v>
      </c>
      <c r="AT315" s="31">
        <f t="shared" si="140"/>
        <v>0</v>
      </c>
      <c r="AU315" s="237">
        <f t="shared" si="141"/>
        <v>0</v>
      </c>
      <c r="AV315" s="31">
        <f t="shared" si="142"/>
        <v>0</v>
      </c>
      <c r="AW315" s="31">
        <f t="shared" si="143"/>
        <v>0</v>
      </c>
      <c r="AX315" s="31">
        <f t="shared" si="144"/>
        <v>3.5</v>
      </c>
      <c r="AY315" s="237">
        <f t="shared" si="145"/>
        <v>2.9750000000000001</v>
      </c>
      <c r="AZ315" s="214">
        <f t="shared" si="146"/>
        <v>0</v>
      </c>
      <c r="BA315" s="237">
        <f t="shared" si="147"/>
        <v>0</v>
      </c>
      <c r="BB315" s="31">
        <f t="shared" si="148"/>
        <v>0</v>
      </c>
      <c r="BC315" s="237">
        <f t="shared" si="149"/>
        <v>0</v>
      </c>
      <c r="BD315" s="31">
        <f t="shared" si="150"/>
        <v>0</v>
      </c>
      <c r="BE315" s="237">
        <f t="shared" si="151"/>
        <v>0</v>
      </c>
      <c r="BF315" s="31">
        <f t="shared" si="152"/>
        <v>0</v>
      </c>
      <c r="BG315" s="237">
        <f t="shared" si="153"/>
        <v>0</v>
      </c>
      <c r="BH315" s="31">
        <f t="shared" si="154"/>
        <v>0</v>
      </c>
      <c r="BI315" s="237">
        <f t="shared" si="155"/>
        <v>0</v>
      </c>
      <c r="BJ315" s="31">
        <f t="shared" si="156"/>
        <v>0</v>
      </c>
      <c r="BK315" s="31">
        <f t="shared" si="157"/>
        <v>0</v>
      </c>
      <c r="BL315" s="237">
        <f t="shared" si="158"/>
        <v>0</v>
      </c>
      <c r="BM315" s="31">
        <f t="shared" si="159"/>
        <v>0</v>
      </c>
      <c r="BN315" s="237">
        <f t="shared" si="160"/>
        <v>0</v>
      </c>
    </row>
    <row r="316" spans="1:66" x14ac:dyDescent="0.25">
      <c r="A316" s="159" t="s">
        <v>1569</v>
      </c>
      <c r="B316" s="182" t="str">
        <f>VLOOKUP(A316,kurspris!$A$1:$B$894,2,FALSE)</f>
        <v>Bedömning för och av lärande i grundskolan (UK)</v>
      </c>
      <c r="C316" s="37"/>
      <c r="D316" s="31" t="s">
        <v>485</v>
      </c>
      <c r="F316" s="59">
        <v>2019</v>
      </c>
      <c r="Q316" s="237">
        <v>2.5666699999999998</v>
      </c>
      <c r="R316" s="40">
        <v>0.85</v>
      </c>
      <c r="S316" s="313">
        <f t="shared" si="134"/>
        <v>2.1816694999999999</v>
      </c>
      <c r="T316" s="31">
        <f>VLOOKUP(A316,'Ansvar kurs'!$A$1:$C$1027,2,FALSE)</f>
        <v>5740</v>
      </c>
      <c r="U316" s="31" t="str">
        <f>VLOOKUP(T316,Orgenheter!$A$1:$C$165,2,FALSE)</f>
        <v>NMD</v>
      </c>
      <c r="V316" s="31" t="str">
        <f>VLOOKUP(T316,Orgenheter!$A$1:$C$165,3,FALSE)</f>
        <v>TekNat</v>
      </c>
      <c r="W316" s="37" t="str">
        <f>VLOOKUP(D316,Program!$A$1:$B$34,2,FALSE)</f>
        <v>Grundlärarprogrammet - fritidshem</v>
      </c>
      <c r="X316" s="42">
        <f>VLOOKUP(A316,kurspris!$A$1:$Q$815,15,FALSE)</f>
        <v>23641</v>
      </c>
      <c r="Y316" s="42">
        <f>VLOOKUP(A316,kurspris!$A$1:$Q$815,16,FALSE)</f>
        <v>28786</v>
      </c>
      <c r="Z316" s="42">
        <f t="shared" si="135"/>
        <v>123480.183697</v>
      </c>
      <c r="AA316" s="42">
        <f>VLOOKUP(A316,kurspris!$A$1:$Q$815,17,FALSE)</f>
        <v>5800</v>
      </c>
      <c r="AB316" s="42">
        <f t="shared" si="136"/>
        <v>14886.685999999998</v>
      </c>
      <c r="AC316" s="42">
        <f t="shared" si="137"/>
        <v>138366.86969699999</v>
      </c>
      <c r="AD316" s="31">
        <f>VLOOKUP($A316,kurspris!$A$1:$Q$852,3,FALSE)</f>
        <v>0</v>
      </c>
      <c r="AE316" s="31">
        <f>VLOOKUP($A316,kurspris!$A$1:$Q$852,4,FALSE)</f>
        <v>0</v>
      </c>
      <c r="AF316" s="31">
        <f>VLOOKUP($A316,kurspris!$A$1:$Q$852,5,FALSE)</f>
        <v>0</v>
      </c>
      <c r="AG316" s="31">
        <f>VLOOKUP($A316,kurspris!$A$1:$Q$852,6,FALSE)</f>
        <v>1</v>
      </c>
      <c r="AH316" s="31">
        <f>VLOOKUP($A316,kurspris!$A$1:$Q$852,7,FALSE)</f>
        <v>0</v>
      </c>
      <c r="AI316" s="31">
        <f>VLOOKUP($A316,kurspris!$A$1:$Q$852,8,FALSE)</f>
        <v>0</v>
      </c>
      <c r="AJ316" s="31">
        <f>VLOOKUP($A316,kurspris!$A$1:$Q$852,9,FALSE)</f>
        <v>0</v>
      </c>
      <c r="AK316" s="31">
        <f>VLOOKUP($A316,kurspris!$A$1:$Q$852,10,FALSE)</f>
        <v>0</v>
      </c>
      <c r="AL316" s="31">
        <f>VLOOKUP($A316,kurspris!$A$1:$Q$852,11,FALSE)</f>
        <v>0</v>
      </c>
      <c r="AM316" s="31">
        <f>VLOOKUP($A316,kurspris!$A$1:$Q$852,12,FALSE)</f>
        <v>0</v>
      </c>
      <c r="AN316" s="31">
        <f>VLOOKUP($A316,kurspris!$A$1:$Q$852,13,FALSE)</f>
        <v>0</v>
      </c>
      <c r="AO316" s="31">
        <f>VLOOKUP($A316,kurspris!$A$1:$Q$852,14,FALSE)</f>
        <v>0</v>
      </c>
      <c r="AP316" s="59" t="s">
        <v>2216</v>
      </c>
      <c r="AR316" s="31">
        <f t="shared" si="138"/>
        <v>0</v>
      </c>
      <c r="AS316" s="237">
        <f t="shared" si="139"/>
        <v>0</v>
      </c>
      <c r="AT316" s="31">
        <f t="shared" si="140"/>
        <v>0</v>
      </c>
      <c r="AU316" s="237">
        <f t="shared" si="141"/>
        <v>0</v>
      </c>
      <c r="AV316" s="31">
        <f t="shared" si="142"/>
        <v>0</v>
      </c>
      <c r="AW316" s="31">
        <f t="shared" si="143"/>
        <v>0</v>
      </c>
      <c r="AX316" s="31">
        <f t="shared" si="144"/>
        <v>2.5666699999999998</v>
      </c>
      <c r="AY316" s="237">
        <f t="shared" si="145"/>
        <v>2.1816694999999999</v>
      </c>
      <c r="AZ316" s="214">
        <f t="shared" si="146"/>
        <v>0</v>
      </c>
      <c r="BA316" s="237">
        <f t="shared" si="147"/>
        <v>0</v>
      </c>
      <c r="BB316" s="31">
        <f t="shared" si="148"/>
        <v>0</v>
      </c>
      <c r="BC316" s="237">
        <f t="shared" si="149"/>
        <v>0</v>
      </c>
      <c r="BD316" s="31">
        <f t="shared" si="150"/>
        <v>0</v>
      </c>
      <c r="BE316" s="237">
        <f t="shared" si="151"/>
        <v>0</v>
      </c>
      <c r="BF316" s="31">
        <f t="shared" si="152"/>
        <v>0</v>
      </c>
      <c r="BG316" s="237">
        <f t="shared" si="153"/>
        <v>0</v>
      </c>
      <c r="BH316" s="31">
        <f t="shared" si="154"/>
        <v>0</v>
      </c>
      <c r="BI316" s="237">
        <f t="shared" si="155"/>
        <v>0</v>
      </c>
      <c r="BJ316" s="31">
        <f t="shared" si="156"/>
        <v>0</v>
      </c>
      <c r="BK316" s="31">
        <f t="shared" si="157"/>
        <v>0</v>
      </c>
      <c r="BL316" s="237">
        <f t="shared" si="158"/>
        <v>0</v>
      </c>
      <c r="BM316" s="31">
        <f t="shared" si="159"/>
        <v>0</v>
      </c>
      <c r="BN316" s="237">
        <f t="shared" si="160"/>
        <v>0</v>
      </c>
    </row>
    <row r="317" spans="1:66" x14ac:dyDescent="0.25">
      <c r="A317" s="159" t="s">
        <v>1569</v>
      </c>
      <c r="B317" s="182" t="str">
        <f>VLOOKUP(A317,kurspris!$A$1:$B$894,2,FALSE)</f>
        <v>Bedömning för och av lärande i grundskolan (UK)</v>
      </c>
      <c r="C317" s="37"/>
      <c r="D317" s="31" t="s">
        <v>486</v>
      </c>
      <c r="F317" s="59">
        <v>2019</v>
      </c>
      <c r="Q317" s="237">
        <v>6.4166699999999999</v>
      </c>
      <c r="R317" s="40">
        <v>0.85</v>
      </c>
      <c r="S317" s="313">
        <f t="shared" si="134"/>
        <v>5.4541694999999999</v>
      </c>
      <c r="T317" s="31">
        <f>VLOOKUP(A317,'Ansvar kurs'!$A$1:$C$1027,2,FALSE)</f>
        <v>5740</v>
      </c>
      <c r="U317" s="31" t="str">
        <f>VLOOKUP(T317,Orgenheter!$A$1:$C$165,2,FALSE)</f>
        <v>NMD</v>
      </c>
      <c r="V317" s="31" t="str">
        <f>VLOOKUP(T317,Orgenheter!$A$1:$C$165,3,FALSE)</f>
        <v>TekNat</v>
      </c>
      <c r="W317" s="37" t="str">
        <f>VLOOKUP(D317,Program!$A$1:$B$34,2,FALSE)</f>
        <v>Grundlärarprogrammet - förskoleklass och åk 1-3</v>
      </c>
      <c r="X317" s="42">
        <f>VLOOKUP(A317,kurspris!$A$1:$Q$815,15,FALSE)</f>
        <v>23641</v>
      </c>
      <c r="Y317" s="42">
        <f>VLOOKUP(A317,kurspris!$A$1:$Q$815,16,FALSE)</f>
        <v>28786</v>
      </c>
      <c r="Z317" s="42">
        <f t="shared" si="135"/>
        <v>308700.218697</v>
      </c>
      <c r="AA317" s="42">
        <f>VLOOKUP(A317,kurspris!$A$1:$Q$815,17,FALSE)</f>
        <v>5800</v>
      </c>
      <c r="AB317" s="42">
        <f t="shared" si="136"/>
        <v>37216.686000000002</v>
      </c>
      <c r="AC317" s="42">
        <f t="shared" si="137"/>
        <v>345916.90469699999</v>
      </c>
      <c r="AD317" s="31">
        <f>VLOOKUP($A317,kurspris!$A$1:$Q$852,3,FALSE)</f>
        <v>0</v>
      </c>
      <c r="AE317" s="31">
        <f>VLOOKUP($A317,kurspris!$A$1:$Q$852,4,FALSE)</f>
        <v>0</v>
      </c>
      <c r="AF317" s="31">
        <f>VLOOKUP($A317,kurspris!$A$1:$Q$852,5,FALSE)</f>
        <v>0</v>
      </c>
      <c r="AG317" s="31">
        <f>VLOOKUP($A317,kurspris!$A$1:$Q$852,6,FALSE)</f>
        <v>1</v>
      </c>
      <c r="AH317" s="31">
        <f>VLOOKUP($A317,kurspris!$A$1:$Q$852,7,FALSE)</f>
        <v>0</v>
      </c>
      <c r="AI317" s="31">
        <f>VLOOKUP($A317,kurspris!$A$1:$Q$852,8,FALSE)</f>
        <v>0</v>
      </c>
      <c r="AJ317" s="31">
        <f>VLOOKUP($A317,kurspris!$A$1:$Q$852,9,FALSE)</f>
        <v>0</v>
      </c>
      <c r="AK317" s="31">
        <f>VLOOKUP($A317,kurspris!$A$1:$Q$852,10,FALSE)</f>
        <v>0</v>
      </c>
      <c r="AL317" s="31">
        <f>VLOOKUP($A317,kurspris!$A$1:$Q$852,11,FALSE)</f>
        <v>0</v>
      </c>
      <c r="AM317" s="31">
        <f>VLOOKUP($A317,kurspris!$A$1:$Q$852,12,FALSE)</f>
        <v>0</v>
      </c>
      <c r="AN317" s="31">
        <f>VLOOKUP($A317,kurspris!$A$1:$Q$852,13,FALSE)</f>
        <v>0</v>
      </c>
      <c r="AO317" s="31">
        <f>VLOOKUP($A317,kurspris!$A$1:$Q$852,14,FALSE)</f>
        <v>0</v>
      </c>
      <c r="AP317" s="59" t="s">
        <v>2216</v>
      </c>
      <c r="AR317" s="31">
        <f t="shared" si="138"/>
        <v>0</v>
      </c>
      <c r="AS317" s="237">
        <f t="shared" si="139"/>
        <v>0</v>
      </c>
      <c r="AT317" s="31">
        <f t="shared" si="140"/>
        <v>0</v>
      </c>
      <c r="AU317" s="237">
        <f t="shared" si="141"/>
        <v>0</v>
      </c>
      <c r="AV317" s="31">
        <f t="shared" si="142"/>
        <v>0</v>
      </c>
      <c r="AW317" s="31">
        <f t="shared" si="143"/>
        <v>0</v>
      </c>
      <c r="AX317" s="31">
        <f t="shared" si="144"/>
        <v>6.4166699999999999</v>
      </c>
      <c r="AY317" s="237">
        <f t="shared" si="145"/>
        <v>5.4541694999999999</v>
      </c>
      <c r="AZ317" s="214">
        <f t="shared" si="146"/>
        <v>0</v>
      </c>
      <c r="BA317" s="237">
        <f t="shared" si="147"/>
        <v>0</v>
      </c>
      <c r="BB317" s="31">
        <f t="shared" si="148"/>
        <v>0</v>
      </c>
      <c r="BC317" s="237">
        <f t="shared" si="149"/>
        <v>0</v>
      </c>
      <c r="BD317" s="31">
        <f t="shared" si="150"/>
        <v>0</v>
      </c>
      <c r="BE317" s="237">
        <f t="shared" si="151"/>
        <v>0</v>
      </c>
      <c r="BF317" s="31">
        <f t="shared" si="152"/>
        <v>0</v>
      </c>
      <c r="BG317" s="237">
        <f t="shared" si="153"/>
        <v>0</v>
      </c>
      <c r="BH317" s="31">
        <f t="shared" si="154"/>
        <v>0</v>
      </c>
      <c r="BI317" s="237">
        <f t="shared" si="155"/>
        <v>0</v>
      </c>
      <c r="BJ317" s="31">
        <f t="shared" si="156"/>
        <v>0</v>
      </c>
      <c r="BK317" s="31">
        <f t="shared" si="157"/>
        <v>0</v>
      </c>
      <c r="BL317" s="237">
        <f t="shared" si="158"/>
        <v>0</v>
      </c>
      <c r="BM317" s="31">
        <f t="shared" si="159"/>
        <v>0</v>
      </c>
      <c r="BN317" s="237">
        <f t="shared" si="160"/>
        <v>0</v>
      </c>
    </row>
    <row r="318" spans="1:66" x14ac:dyDescent="0.25">
      <c r="A318" s="31" t="s">
        <v>1569</v>
      </c>
      <c r="B318" s="182" t="str">
        <f>VLOOKUP(A318,kurspris!$A$1:$B$894,2,FALSE)</f>
        <v>Bedömning för och av lärande i grundskolan (UK)</v>
      </c>
      <c r="D318" s="31" t="s">
        <v>524</v>
      </c>
      <c r="F318" s="59">
        <v>2019</v>
      </c>
      <c r="Q318" s="237">
        <v>6.05</v>
      </c>
      <c r="R318" s="40">
        <v>0.85</v>
      </c>
      <c r="S318" s="313">
        <f t="shared" si="134"/>
        <v>5.1425000000000001</v>
      </c>
      <c r="T318" s="31">
        <f>VLOOKUP(A318,'Ansvar kurs'!$A$1:$C$1027,2,FALSE)</f>
        <v>5740</v>
      </c>
      <c r="U318" s="31" t="str">
        <f>VLOOKUP(T318,Orgenheter!$A$1:$C$165,2,FALSE)</f>
        <v>NMD</v>
      </c>
      <c r="V318" s="31" t="str">
        <f>VLOOKUP(T318,Orgenheter!$A$1:$C$165,3,FALSE)</f>
        <v>TekNat</v>
      </c>
      <c r="W318" s="37" t="str">
        <f>VLOOKUP(D318,Program!$A$1:$B$34,2,FALSE)</f>
        <v>Grundlärarprogrammet - grundskolans åk 4-6</v>
      </c>
      <c r="X318" s="42">
        <f>VLOOKUP(A318,kurspris!$A$1:$Q$815,15,FALSE)</f>
        <v>23641</v>
      </c>
      <c r="Y318" s="42">
        <f>VLOOKUP(A318,kurspris!$A$1:$Q$815,16,FALSE)</f>
        <v>28786</v>
      </c>
      <c r="Z318" s="42">
        <f t="shared" si="135"/>
        <v>291060.05499999999</v>
      </c>
      <c r="AA318" s="42">
        <f>VLOOKUP(A318,kurspris!$A$1:$Q$815,17,FALSE)</f>
        <v>5800</v>
      </c>
      <c r="AB318" s="42">
        <f t="shared" si="136"/>
        <v>35090</v>
      </c>
      <c r="AC318" s="42">
        <f t="shared" si="137"/>
        <v>326150.05499999999</v>
      </c>
      <c r="AD318" s="31">
        <f>VLOOKUP($A318,kurspris!$A$1:$Q$852,3,FALSE)</f>
        <v>0</v>
      </c>
      <c r="AE318" s="31">
        <f>VLOOKUP($A318,kurspris!$A$1:$Q$852,4,FALSE)</f>
        <v>0</v>
      </c>
      <c r="AF318" s="31">
        <f>VLOOKUP($A318,kurspris!$A$1:$Q$852,5,FALSE)</f>
        <v>0</v>
      </c>
      <c r="AG318" s="31">
        <f>VLOOKUP($A318,kurspris!$A$1:$Q$852,6,FALSE)</f>
        <v>1</v>
      </c>
      <c r="AH318" s="31">
        <f>VLOOKUP($A318,kurspris!$A$1:$Q$852,7,FALSE)</f>
        <v>0</v>
      </c>
      <c r="AI318" s="31">
        <f>VLOOKUP($A318,kurspris!$A$1:$Q$852,8,FALSE)</f>
        <v>0</v>
      </c>
      <c r="AJ318" s="31">
        <f>VLOOKUP($A318,kurspris!$A$1:$Q$852,9,FALSE)</f>
        <v>0</v>
      </c>
      <c r="AK318" s="31">
        <f>VLOOKUP($A318,kurspris!$A$1:$Q$852,10,FALSE)</f>
        <v>0</v>
      </c>
      <c r="AL318" s="31">
        <f>VLOOKUP($A318,kurspris!$A$1:$Q$852,11,FALSE)</f>
        <v>0</v>
      </c>
      <c r="AM318" s="31">
        <f>VLOOKUP($A318,kurspris!$A$1:$Q$852,12,FALSE)</f>
        <v>0</v>
      </c>
      <c r="AN318" s="31">
        <f>VLOOKUP($A318,kurspris!$A$1:$Q$852,13,FALSE)</f>
        <v>0</v>
      </c>
      <c r="AO318" s="31">
        <f>VLOOKUP($A318,kurspris!$A$1:$Q$852,14,FALSE)</f>
        <v>0</v>
      </c>
      <c r="AP318" s="59" t="s">
        <v>2216</v>
      </c>
      <c r="AR318" s="31">
        <f t="shared" si="138"/>
        <v>0</v>
      </c>
      <c r="AS318" s="237">
        <f t="shared" si="139"/>
        <v>0</v>
      </c>
      <c r="AT318" s="31">
        <f t="shared" si="140"/>
        <v>0</v>
      </c>
      <c r="AU318" s="237">
        <f t="shared" si="141"/>
        <v>0</v>
      </c>
      <c r="AV318" s="31">
        <f t="shared" si="142"/>
        <v>0</v>
      </c>
      <c r="AW318" s="31">
        <f t="shared" si="143"/>
        <v>0</v>
      </c>
      <c r="AX318" s="31">
        <f t="shared" si="144"/>
        <v>6.05</v>
      </c>
      <c r="AY318" s="237">
        <f t="shared" si="145"/>
        <v>5.1425000000000001</v>
      </c>
      <c r="AZ318" s="214">
        <f t="shared" si="146"/>
        <v>0</v>
      </c>
      <c r="BA318" s="237">
        <f t="shared" si="147"/>
        <v>0</v>
      </c>
      <c r="BB318" s="31">
        <f t="shared" si="148"/>
        <v>0</v>
      </c>
      <c r="BC318" s="237">
        <f t="shared" si="149"/>
        <v>0</v>
      </c>
      <c r="BD318" s="31">
        <f t="shared" si="150"/>
        <v>0</v>
      </c>
      <c r="BE318" s="237">
        <f t="shared" si="151"/>
        <v>0</v>
      </c>
      <c r="BF318" s="31">
        <f t="shared" si="152"/>
        <v>0</v>
      </c>
      <c r="BG318" s="237">
        <f t="shared" si="153"/>
        <v>0</v>
      </c>
      <c r="BH318" s="31">
        <f t="shared" si="154"/>
        <v>0</v>
      </c>
      <c r="BI318" s="237">
        <f t="shared" si="155"/>
        <v>0</v>
      </c>
      <c r="BJ318" s="31">
        <f t="shared" si="156"/>
        <v>0</v>
      </c>
      <c r="BK318" s="31">
        <f t="shared" si="157"/>
        <v>0</v>
      </c>
      <c r="BL318" s="237">
        <f t="shared" si="158"/>
        <v>0</v>
      </c>
      <c r="BM318" s="31">
        <f t="shared" si="159"/>
        <v>0</v>
      </c>
      <c r="BN318" s="237">
        <f t="shared" si="160"/>
        <v>0</v>
      </c>
    </row>
    <row r="319" spans="1:66" x14ac:dyDescent="0.25">
      <c r="A319" s="31" t="s">
        <v>1560</v>
      </c>
      <c r="B319" s="182" t="str">
        <f>VLOOKUP(A319,kurspris!$A$1:$B$894,2,FALSE)</f>
        <v>Bedömning för lärande i förskolan (UK)</v>
      </c>
      <c r="D319" s="31" t="s">
        <v>484</v>
      </c>
      <c r="F319" s="59">
        <v>2019</v>
      </c>
      <c r="Q319" s="237">
        <v>10.1</v>
      </c>
      <c r="R319" s="40">
        <v>0.85</v>
      </c>
      <c r="S319" s="313">
        <f t="shared" si="134"/>
        <v>8.5849999999999991</v>
      </c>
      <c r="T319" s="31">
        <f>VLOOKUP(A319,'Ansvar kurs'!$A$1:$C$1027,2,FALSE)</f>
        <v>5740</v>
      </c>
      <c r="U319" s="31" t="str">
        <f>VLOOKUP(T319,Orgenheter!$A$1:$C$165,2,FALSE)</f>
        <v>NMD</v>
      </c>
      <c r="V319" s="31" t="str">
        <f>VLOOKUP(T319,Orgenheter!$A$1:$C$165,3,FALSE)</f>
        <v>TekNat</v>
      </c>
      <c r="W319" s="37" t="str">
        <f>VLOOKUP(D319,Program!$A$1:$B$34,2,FALSE)</f>
        <v>Förskollärarprogrammet</v>
      </c>
      <c r="X319" s="42">
        <f>VLOOKUP(A319,kurspris!$A$1:$Q$815,15,FALSE)</f>
        <v>23641</v>
      </c>
      <c r="Y319" s="42">
        <f>VLOOKUP(A319,kurspris!$A$1:$Q$815,16,FALSE)</f>
        <v>28786</v>
      </c>
      <c r="Z319" s="42">
        <f t="shared" si="135"/>
        <v>485901.91</v>
      </c>
      <c r="AA319" s="42">
        <f>VLOOKUP(A319,kurspris!$A$1:$Q$815,17,FALSE)</f>
        <v>5800</v>
      </c>
      <c r="AB319" s="42">
        <f t="shared" si="136"/>
        <v>58580</v>
      </c>
      <c r="AC319" s="42">
        <f t="shared" si="137"/>
        <v>544481.90999999992</v>
      </c>
      <c r="AD319" s="31">
        <f>VLOOKUP($A319,kurspris!$A$1:$Q$852,3,FALSE)</f>
        <v>0</v>
      </c>
      <c r="AE319" s="31">
        <f>VLOOKUP($A319,kurspris!$A$1:$Q$852,4,FALSE)</f>
        <v>0</v>
      </c>
      <c r="AF319" s="31">
        <f>VLOOKUP($A319,kurspris!$A$1:$Q$852,5,FALSE)</f>
        <v>0</v>
      </c>
      <c r="AG319" s="31">
        <f>VLOOKUP($A319,kurspris!$A$1:$Q$852,6,FALSE)</f>
        <v>1</v>
      </c>
      <c r="AH319" s="31">
        <f>VLOOKUP($A319,kurspris!$A$1:$Q$852,7,FALSE)</f>
        <v>0</v>
      </c>
      <c r="AI319" s="31">
        <f>VLOOKUP($A319,kurspris!$A$1:$Q$852,8,FALSE)</f>
        <v>0</v>
      </c>
      <c r="AJ319" s="31">
        <f>VLOOKUP($A319,kurspris!$A$1:$Q$852,9,FALSE)</f>
        <v>0</v>
      </c>
      <c r="AK319" s="31">
        <f>VLOOKUP($A319,kurspris!$A$1:$Q$852,10,FALSE)</f>
        <v>0</v>
      </c>
      <c r="AL319" s="31">
        <f>VLOOKUP($A319,kurspris!$A$1:$Q$852,11,FALSE)</f>
        <v>0</v>
      </c>
      <c r="AM319" s="31">
        <f>VLOOKUP($A319,kurspris!$A$1:$Q$852,12,FALSE)</f>
        <v>0</v>
      </c>
      <c r="AN319" s="31">
        <f>VLOOKUP($A319,kurspris!$A$1:$Q$852,13,FALSE)</f>
        <v>0</v>
      </c>
      <c r="AO319" s="31">
        <f>VLOOKUP($A319,kurspris!$A$1:$Q$852,14,FALSE)</f>
        <v>0</v>
      </c>
      <c r="AP319" s="59" t="s">
        <v>2216</v>
      </c>
      <c r="AR319" s="31">
        <f t="shared" si="138"/>
        <v>0</v>
      </c>
      <c r="AS319" s="237">
        <f t="shared" si="139"/>
        <v>0</v>
      </c>
      <c r="AT319" s="31">
        <f t="shared" si="140"/>
        <v>0</v>
      </c>
      <c r="AU319" s="237">
        <f t="shared" si="141"/>
        <v>0</v>
      </c>
      <c r="AV319" s="31">
        <f t="shared" si="142"/>
        <v>0</v>
      </c>
      <c r="AW319" s="31">
        <f t="shared" si="143"/>
        <v>0</v>
      </c>
      <c r="AX319" s="31">
        <f t="shared" si="144"/>
        <v>10.1</v>
      </c>
      <c r="AY319" s="237">
        <f t="shared" si="145"/>
        <v>8.5849999999999991</v>
      </c>
      <c r="AZ319" s="214">
        <f t="shared" si="146"/>
        <v>0</v>
      </c>
      <c r="BA319" s="237">
        <f t="shared" si="147"/>
        <v>0</v>
      </c>
      <c r="BB319" s="31">
        <f t="shared" si="148"/>
        <v>0</v>
      </c>
      <c r="BC319" s="237">
        <f t="shared" si="149"/>
        <v>0</v>
      </c>
      <c r="BD319" s="31">
        <f t="shared" si="150"/>
        <v>0</v>
      </c>
      <c r="BE319" s="237">
        <f t="shared" si="151"/>
        <v>0</v>
      </c>
      <c r="BF319" s="31">
        <f t="shared" si="152"/>
        <v>0</v>
      </c>
      <c r="BG319" s="237">
        <f t="shared" si="153"/>
        <v>0</v>
      </c>
      <c r="BH319" s="31">
        <f t="shared" si="154"/>
        <v>0</v>
      </c>
      <c r="BI319" s="237">
        <f t="shared" si="155"/>
        <v>0</v>
      </c>
      <c r="BJ319" s="31">
        <f t="shared" si="156"/>
        <v>0</v>
      </c>
      <c r="BK319" s="31">
        <f t="shared" si="157"/>
        <v>0</v>
      </c>
      <c r="BL319" s="237">
        <f t="shared" si="158"/>
        <v>0</v>
      </c>
      <c r="BM319" s="31">
        <f t="shared" si="159"/>
        <v>0</v>
      </c>
      <c r="BN319" s="237">
        <f t="shared" si="160"/>
        <v>0</v>
      </c>
    </row>
    <row r="320" spans="1:66" x14ac:dyDescent="0.25">
      <c r="A320" s="31" t="s">
        <v>1686</v>
      </c>
      <c r="B320" s="182" t="str">
        <f>VLOOKUP(A320,kurspris!$A$1:$B$894,2,FALSE)</f>
        <v>Bedömning för och av lärande för åk 7-9 och gymnasium (UK)</v>
      </c>
      <c r="D320" s="31" t="s">
        <v>482</v>
      </c>
      <c r="F320" s="59">
        <v>2019</v>
      </c>
      <c r="Q320" s="237">
        <v>0.73333000000000004</v>
      </c>
      <c r="R320" s="40">
        <v>0.85</v>
      </c>
      <c r="S320" s="313">
        <f t="shared" si="134"/>
        <v>0.62333050000000001</v>
      </c>
      <c r="T320" s="31">
        <f>VLOOKUP(A320,'Ansvar kurs'!$A$1:$C$1027,2,FALSE)</f>
        <v>5740</v>
      </c>
      <c r="U320" s="31" t="str">
        <f>VLOOKUP(T320,Orgenheter!$A$1:$C$165,2,FALSE)</f>
        <v>NMD</v>
      </c>
      <c r="V320" s="31" t="str">
        <f>VLOOKUP(T320,Orgenheter!$A$1:$C$165,3,FALSE)</f>
        <v>TekNat</v>
      </c>
      <c r="W320" s="37" t="str">
        <f>VLOOKUP(D320,Program!$A$1:$B$34,2,FALSE)</f>
        <v>Ämneslärarprogrammet - åk 7-9</v>
      </c>
      <c r="X320" s="42">
        <f>VLOOKUP(A320,kurspris!$A$1:$Q$815,15,FALSE)</f>
        <v>23641</v>
      </c>
      <c r="Y320" s="42">
        <f>VLOOKUP(A320,kurspris!$A$1:$Q$815,16,FALSE)</f>
        <v>28786</v>
      </c>
      <c r="Z320" s="42">
        <f t="shared" si="135"/>
        <v>35279.846302999998</v>
      </c>
      <c r="AA320" s="42">
        <f>VLOOKUP(A320,kurspris!$A$1:$Q$815,17,FALSE)</f>
        <v>5800</v>
      </c>
      <c r="AB320" s="42">
        <f t="shared" si="136"/>
        <v>4253.3140000000003</v>
      </c>
      <c r="AC320" s="42">
        <f t="shared" si="137"/>
        <v>39533.160302999997</v>
      </c>
      <c r="AD320" s="31">
        <f>VLOOKUP($A320,kurspris!$A$1:$Q$852,3,FALSE)</f>
        <v>0</v>
      </c>
      <c r="AE320" s="31">
        <f>VLOOKUP($A320,kurspris!$A$1:$Q$852,4,FALSE)</f>
        <v>0</v>
      </c>
      <c r="AF320" s="31">
        <f>VLOOKUP($A320,kurspris!$A$1:$Q$852,5,FALSE)</f>
        <v>0</v>
      </c>
      <c r="AG320" s="31">
        <f>VLOOKUP($A320,kurspris!$A$1:$Q$852,6,FALSE)</f>
        <v>1</v>
      </c>
      <c r="AH320" s="31">
        <f>VLOOKUP($A320,kurspris!$A$1:$Q$852,7,FALSE)</f>
        <v>0</v>
      </c>
      <c r="AI320" s="31">
        <f>VLOOKUP($A320,kurspris!$A$1:$Q$852,8,FALSE)</f>
        <v>0</v>
      </c>
      <c r="AJ320" s="31">
        <f>VLOOKUP($A320,kurspris!$A$1:$Q$852,9,FALSE)</f>
        <v>0</v>
      </c>
      <c r="AK320" s="31">
        <f>VLOOKUP($A320,kurspris!$A$1:$Q$852,10,FALSE)</f>
        <v>0</v>
      </c>
      <c r="AL320" s="31">
        <f>VLOOKUP($A320,kurspris!$A$1:$Q$852,11,FALSE)</f>
        <v>0</v>
      </c>
      <c r="AM320" s="31">
        <f>VLOOKUP($A320,kurspris!$A$1:$Q$852,12,FALSE)</f>
        <v>0</v>
      </c>
      <c r="AN320" s="31">
        <f>VLOOKUP($A320,kurspris!$A$1:$Q$852,13,FALSE)</f>
        <v>0</v>
      </c>
      <c r="AO320" s="31">
        <f>VLOOKUP($A320,kurspris!$A$1:$Q$852,14,FALSE)</f>
        <v>0</v>
      </c>
      <c r="AP320" s="59" t="s">
        <v>2216</v>
      </c>
      <c r="AR320" s="31">
        <f t="shared" si="138"/>
        <v>0</v>
      </c>
      <c r="AS320" s="237">
        <f t="shared" si="139"/>
        <v>0</v>
      </c>
      <c r="AT320" s="31">
        <f t="shared" si="140"/>
        <v>0</v>
      </c>
      <c r="AU320" s="237">
        <f t="shared" si="141"/>
        <v>0</v>
      </c>
      <c r="AV320" s="31">
        <f t="shared" si="142"/>
        <v>0</v>
      </c>
      <c r="AW320" s="31">
        <f t="shared" si="143"/>
        <v>0</v>
      </c>
      <c r="AX320" s="31">
        <f t="shared" si="144"/>
        <v>0.73333000000000004</v>
      </c>
      <c r="AY320" s="237">
        <f t="shared" si="145"/>
        <v>0.62333050000000001</v>
      </c>
      <c r="AZ320" s="214">
        <f t="shared" si="146"/>
        <v>0</v>
      </c>
      <c r="BA320" s="237">
        <f t="shared" si="147"/>
        <v>0</v>
      </c>
      <c r="BB320" s="31">
        <f t="shared" si="148"/>
        <v>0</v>
      </c>
      <c r="BC320" s="237">
        <f t="shared" si="149"/>
        <v>0</v>
      </c>
      <c r="BD320" s="31">
        <f t="shared" si="150"/>
        <v>0</v>
      </c>
      <c r="BE320" s="237">
        <f t="shared" si="151"/>
        <v>0</v>
      </c>
      <c r="BF320" s="31">
        <f t="shared" si="152"/>
        <v>0</v>
      </c>
      <c r="BG320" s="237">
        <f t="shared" si="153"/>
        <v>0</v>
      </c>
      <c r="BH320" s="31">
        <f t="shared" si="154"/>
        <v>0</v>
      </c>
      <c r="BI320" s="237">
        <f t="shared" si="155"/>
        <v>0</v>
      </c>
      <c r="BJ320" s="31">
        <f t="shared" si="156"/>
        <v>0</v>
      </c>
      <c r="BK320" s="31">
        <f t="shared" si="157"/>
        <v>0</v>
      </c>
      <c r="BL320" s="237">
        <f t="shared" si="158"/>
        <v>0</v>
      </c>
      <c r="BM320" s="31">
        <f t="shared" si="159"/>
        <v>0</v>
      </c>
      <c r="BN320" s="237">
        <f t="shared" si="160"/>
        <v>0</v>
      </c>
    </row>
    <row r="321" spans="1:66" x14ac:dyDescent="0.25">
      <c r="A321" s="31" t="s">
        <v>1686</v>
      </c>
      <c r="B321" s="182" t="str">
        <f>VLOOKUP(A321,kurspris!$A$1:$B$894,2,FALSE)</f>
        <v>Bedömning för och av lärande för åk 7-9 och gymnasium (UK)</v>
      </c>
      <c r="D321" s="31" t="s">
        <v>483</v>
      </c>
      <c r="F321" s="59">
        <v>2019</v>
      </c>
      <c r="Q321" s="237">
        <v>17.41667</v>
      </c>
      <c r="R321" s="40">
        <v>0.85</v>
      </c>
      <c r="S321" s="313">
        <f t="shared" si="134"/>
        <v>14.804169499999999</v>
      </c>
      <c r="T321" s="31">
        <f>VLOOKUP(A321,'Ansvar kurs'!$A$1:$C$1027,2,FALSE)</f>
        <v>5740</v>
      </c>
      <c r="U321" s="31" t="str">
        <f>VLOOKUP(T321,Orgenheter!$A$1:$C$165,2,FALSE)</f>
        <v>NMD</v>
      </c>
      <c r="V321" s="31" t="str">
        <f>VLOOKUP(T321,Orgenheter!$A$1:$C$165,3,FALSE)</f>
        <v>TekNat</v>
      </c>
      <c r="W321" s="37" t="str">
        <f>VLOOKUP(D321,Program!$A$1:$B$34,2,FALSE)</f>
        <v>Ämneslärarprogrammet - Gy</v>
      </c>
      <c r="X321" s="42">
        <f>VLOOKUP(A321,kurspris!$A$1:$Q$815,15,FALSE)</f>
        <v>23641</v>
      </c>
      <c r="Y321" s="42">
        <f>VLOOKUP(A321,kurspris!$A$1:$Q$815,16,FALSE)</f>
        <v>28786</v>
      </c>
      <c r="Z321" s="42">
        <f t="shared" si="135"/>
        <v>837900.31869699992</v>
      </c>
      <c r="AA321" s="42">
        <f>VLOOKUP(A321,kurspris!$A$1:$Q$815,17,FALSE)</f>
        <v>5800</v>
      </c>
      <c r="AB321" s="42">
        <f t="shared" si="136"/>
        <v>101016.686</v>
      </c>
      <c r="AC321" s="42">
        <f t="shared" si="137"/>
        <v>938917.00469699991</v>
      </c>
      <c r="AD321" s="31">
        <f>VLOOKUP($A321,kurspris!$A$1:$Q$852,3,FALSE)</f>
        <v>0</v>
      </c>
      <c r="AE321" s="31">
        <f>VLOOKUP($A321,kurspris!$A$1:$Q$852,4,FALSE)</f>
        <v>0</v>
      </c>
      <c r="AF321" s="31">
        <f>VLOOKUP($A321,kurspris!$A$1:$Q$852,5,FALSE)</f>
        <v>0</v>
      </c>
      <c r="AG321" s="31">
        <f>VLOOKUP($A321,kurspris!$A$1:$Q$852,6,FALSE)</f>
        <v>1</v>
      </c>
      <c r="AH321" s="31">
        <f>VLOOKUP($A321,kurspris!$A$1:$Q$852,7,FALSE)</f>
        <v>0</v>
      </c>
      <c r="AI321" s="31">
        <f>VLOOKUP($A321,kurspris!$A$1:$Q$852,8,FALSE)</f>
        <v>0</v>
      </c>
      <c r="AJ321" s="31">
        <f>VLOOKUP($A321,kurspris!$A$1:$Q$852,9,FALSE)</f>
        <v>0</v>
      </c>
      <c r="AK321" s="31">
        <f>VLOOKUP($A321,kurspris!$A$1:$Q$852,10,FALSE)</f>
        <v>0</v>
      </c>
      <c r="AL321" s="31">
        <f>VLOOKUP($A321,kurspris!$A$1:$Q$852,11,FALSE)</f>
        <v>0</v>
      </c>
      <c r="AM321" s="31">
        <f>VLOOKUP($A321,kurspris!$A$1:$Q$852,12,FALSE)</f>
        <v>0</v>
      </c>
      <c r="AN321" s="31">
        <f>VLOOKUP($A321,kurspris!$A$1:$Q$852,13,FALSE)</f>
        <v>0</v>
      </c>
      <c r="AO321" s="31">
        <f>VLOOKUP($A321,kurspris!$A$1:$Q$852,14,FALSE)</f>
        <v>0</v>
      </c>
      <c r="AP321" s="59" t="s">
        <v>2216</v>
      </c>
      <c r="AR321" s="31">
        <f t="shared" si="138"/>
        <v>0</v>
      </c>
      <c r="AS321" s="237">
        <f t="shared" si="139"/>
        <v>0</v>
      </c>
      <c r="AT321" s="31">
        <f t="shared" si="140"/>
        <v>0</v>
      </c>
      <c r="AU321" s="237">
        <f t="shared" si="141"/>
        <v>0</v>
      </c>
      <c r="AV321" s="31">
        <f t="shared" si="142"/>
        <v>0</v>
      </c>
      <c r="AW321" s="31">
        <f t="shared" si="143"/>
        <v>0</v>
      </c>
      <c r="AX321" s="31">
        <f t="shared" si="144"/>
        <v>17.41667</v>
      </c>
      <c r="AY321" s="237">
        <f t="shared" si="145"/>
        <v>14.804169499999999</v>
      </c>
      <c r="AZ321" s="214">
        <f t="shared" si="146"/>
        <v>0</v>
      </c>
      <c r="BA321" s="237">
        <f t="shared" si="147"/>
        <v>0</v>
      </c>
      <c r="BB321" s="31">
        <f t="shared" si="148"/>
        <v>0</v>
      </c>
      <c r="BC321" s="237">
        <f t="shared" si="149"/>
        <v>0</v>
      </c>
      <c r="BD321" s="31">
        <f t="shared" si="150"/>
        <v>0</v>
      </c>
      <c r="BE321" s="237">
        <f t="shared" si="151"/>
        <v>0</v>
      </c>
      <c r="BF321" s="31">
        <f t="shared" si="152"/>
        <v>0</v>
      </c>
      <c r="BG321" s="237">
        <f t="shared" si="153"/>
        <v>0</v>
      </c>
      <c r="BH321" s="31">
        <f t="shared" si="154"/>
        <v>0</v>
      </c>
      <c r="BI321" s="237">
        <f t="shared" si="155"/>
        <v>0</v>
      </c>
      <c r="BJ321" s="31">
        <f t="shared" si="156"/>
        <v>0</v>
      </c>
      <c r="BK321" s="31">
        <f t="shared" si="157"/>
        <v>0</v>
      </c>
      <c r="BL321" s="237">
        <f t="shared" si="158"/>
        <v>0</v>
      </c>
      <c r="BM321" s="31">
        <f t="shared" si="159"/>
        <v>0</v>
      </c>
      <c r="BN321" s="237">
        <f t="shared" si="160"/>
        <v>0</v>
      </c>
    </row>
    <row r="322" spans="1:66" x14ac:dyDescent="0.25">
      <c r="A322" s="31" t="s">
        <v>1692</v>
      </c>
      <c r="B322" s="182" t="str">
        <f>VLOOKUP(A322,kurspris!$A$1:$B$894,2,FALSE)</f>
        <v>Magisteruppsats i Pedagogisk yrkesverksamhet</v>
      </c>
      <c r="D322" s="31" t="s">
        <v>117</v>
      </c>
      <c r="F322" s="59">
        <v>2019</v>
      </c>
      <c r="Q322" s="237">
        <v>0.25</v>
      </c>
      <c r="R322" s="40">
        <v>0.8</v>
      </c>
      <c r="S322" s="313">
        <f t="shared" si="134"/>
        <v>0.2</v>
      </c>
      <c r="T322" s="31">
        <f>VLOOKUP(A322,'Ansvar kurs'!$A$1:$C$1027,2,FALSE)</f>
        <v>2193</v>
      </c>
      <c r="U322" s="31" t="str">
        <f>VLOOKUP(T322,Orgenheter!$A$1:$C$165,2,FALSE)</f>
        <v xml:space="preserve">TUV </v>
      </c>
      <c r="V322" s="31" t="str">
        <f>VLOOKUP(T322,Orgenheter!$A$1:$C$165,3,FALSE)</f>
        <v>Sam</v>
      </c>
      <c r="W322" s="37" t="str">
        <f>VLOOKUP(D322,Program!$A$1:$B$34,2,FALSE)</f>
        <v>Fristående och övriga kurser</v>
      </c>
      <c r="X322" s="42">
        <f>VLOOKUP(A322,kurspris!$A$1:$Q$815,15,FALSE)</f>
        <v>18405</v>
      </c>
      <c r="Y322" s="42">
        <f>VLOOKUP(A322,kurspris!$A$1:$Q$815,16,FALSE)</f>
        <v>15773</v>
      </c>
      <c r="Z322" s="42">
        <f t="shared" si="135"/>
        <v>7755.85</v>
      </c>
      <c r="AA322" s="42">
        <f>VLOOKUP(A322,kurspris!$A$1:$Q$815,17,FALSE)</f>
        <v>5800</v>
      </c>
      <c r="AB322" s="42">
        <f t="shared" si="136"/>
        <v>1450</v>
      </c>
      <c r="AC322" s="42">
        <f t="shared" si="137"/>
        <v>9205.85</v>
      </c>
      <c r="AD322" s="31">
        <f>VLOOKUP($A322,kurspris!$A$1:$Q$852,3,FALSE)</f>
        <v>0</v>
      </c>
      <c r="AE322" s="31">
        <f>VLOOKUP($A322,kurspris!$A$1:$Q$852,4,FALSE)</f>
        <v>0</v>
      </c>
      <c r="AF322" s="31">
        <f>VLOOKUP($A322,kurspris!$A$1:$Q$852,5,FALSE)</f>
        <v>0</v>
      </c>
      <c r="AG322" s="31">
        <f>VLOOKUP($A322,kurspris!$A$1:$Q$852,6,FALSE)</f>
        <v>0</v>
      </c>
      <c r="AH322" s="31">
        <f>VLOOKUP($A322,kurspris!$A$1:$Q$852,7,FALSE)</f>
        <v>0</v>
      </c>
      <c r="AI322" s="31">
        <f>VLOOKUP($A322,kurspris!$A$1:$Q$852,8,FALSE)</f>
        <v>0</v>
      </c>
      <c r="AJ322" s="31">
        <f>VLOOKUP($A322,kurspris!$A$1:$Q$852,9,FALSE)</f>
        <v>1</v>
      </c>
      <c r="AK322" s="31">
        <f>VLOOKUP($A322,kurspris!$A$1:$Q$852,10,FALSE)</f>
        <v>0</v>
      </c>
      <c r="AL322" s="31">
        <f>VLOOKUP($A322,kurspris!$A$1:$Q$852,11,FALSE)</f>
        <v>0</v>
      </c>
      <c r="AM322" s="31">
        <f>VLOOKUP($A322,kurspris!$A$1:$Q$852,12,FALSE)</f>
        <v>0</v>
      </c>
      <c r="AN322" s="31">
        <f>VLOOKUP($A322,kurspris!$A$1:$Q$852,13,FALSE)</f>
        <v>0</v>
      </c>
      <c r="AO322" s="31">
        <f>VLOOKUP($A322,kurspris!$A$1:$Q$852,14,FALSE)</f>
        <v>0</v>
      </c>
      <c r="AP322" s="59" t="s">
        <v>2216</v>
      </c>
      <c r="AR322" s="31">
        <f t="shared" si="138"/>
        <v>0</v>
      </c>
      <c r="AS322" s="237">
        <f t="shared" si="139"/>
        <v>0</v>
      </c>
      <c r="AT322" s="31">
        <f t="shared" si="140"/>
        <v>0</v>
      </c>
      <c r="AU322" s="237">
        <f t="shared" si="141"/>
        <v>0</v>
      </c>
      <c r="AV322" s="31">
        <f t="shared" si="142"/>
        <v>0</v>
      </c>
      <c r="AW322" s="31">
        <f t="shared" si="143"/>
        <v>0</v>
      </c>
      <c r="AX322" s="31">
        <f t="shared" si="144"/>
        <v>0</v>
      </c>
      <c r="AY322" s="237">
        <f t="shared" si="145"/>
        <v>0</v>
      </c>
      <c r="AZ322" s="214">
        <f t="shared" si="146"/>
        <v>0</v>
      </c>
      <c r="BA322" s="237">
        <f t="shared" si="147"/>
        <v>0</v>
      </c>
      <c r="BB322" s="31">
        <f t="shared" si="148"/>
        <v>0</v>
      </c>
      <c r="BC322" s="237">
        <f t="shared" si="149"/>
        <v>0</v>
      </c>
      <c r="BD322" s="31">
        <f t="shared" si="150"/>
        <v>0.25</v>
      </c>
      <c r="BE322" s="237">
        <f t="shared" si="151"/>
        <v>0.2</v>
      </c>
      <c r="BF322" s="31">
        <f t="shared" si="152"/>
        <v>0</v>
      </c>
      <c r="BG322" s="237">
        <f t="shared" si="153"/>
        <v>0</v>
      </c>
      <c r="BH322" s="31">
        <f t="shared" si="154"/>
        <v>0</v>
      </c>
      <c r="BI322" s="237">
        <f t="shared" si="155"/>
        <v>0</v>
      </c>
      <c r="BJ322" s="31">
        <f t="shared" si="156"/>
        <v>0</v>
      </c>
      <c r="BK322" s="31">
        <f t="shared" si="157"/>
        <v>0</v>
      </c>
      <c r="BL322" s="237">
        <f t="shared" si="158"/>
        <v>0</v>
      </c>
      <c r="BM322" s="31">
        <f t="shared" si="159"/>
        <v>0</v>
      </c>
      <c r="BN322" s="237">
        <f t="shared" si="160"/>
        <v>0</v>
      </c>
    </row>
    <row r="323" spans="1:66" x14ac:dyDescent="0.25">
      <c r="A323" s="31" t="s">
        <v>1693</v>
      </c>
      <c r="B323" s="182" t="str">
        <f>VLOOKUP(A323,kurspris!$A$1:$B$894,2,FALSE)</f>
        <v>Magisteruppsats i Pedagogisk yrkesverksamhet</v>
      </c>
      <c r="D323" s="31" t="s">
        <v>117</v>
      </c>
      <c r="F323" s="59">
        <v>2019</v>
      </c>
      <c r="Q323" s="237">
        <v>1</v>
      </c>
      <c r="R323" s="40">
        <v>0.8</v>
      </c>
      <c r="S323" s="313">
        <f t="shared" ref="S323:S388" si="187">Q323*R323</f>
        <v>0.8</v>
      </c>
      <c r="T323" s="31">
        <f>VLOOKUP(A323,'Ansvar kurs'!$A$1:$C$1027,2,FALSE)</f>
        <v>2193</v>
      </c>
      <c r="U323" s="31" t="str">
        <f>VLOOKUP(T323,Orgenheter!$A$1:$C$165,2,FALSE)</f>
        <v xml:space="preserve">TUV </v>
      </c>
      <c r="V323" s="31" t="str">
        <f>VLOOKUP(T323,Orgenheter!$A$1:$C$165,3,FALSE)</f>
        <v>Sam</v>
      </c>
      <c r="W323" s="37" t="str">
        <f>VLOOKUP(D323,Program!$A$1:$B$34,2,FALSE)</f>
        <v>Fristående och övriga kurser</v>
      </c>
      <c r="X323" s="42">
        <f>VLOOKUP(A323,kurspris!$A$1:$Q$815,15,FALSE)</f>
        <v>18405</v>
      </c>
      <c r="Y323" s="42">
        <f>VLOOKUP(A323,kurspris!$A$1:$Q$815,16,FALSE)</f>
        <v>15773</v>
      </c>
      <c r="Z323" s="42">
        <f t="shared" ref="Z323:Z388" si="188">X323*Q323+S323*Y323</f>
        <v>31023.4</v>
      </c>
      <c r="AA323" s="42">
        <f>VLOOKUP(A323,kurspris!$A$1:$Q$815,17,FALSE)</f>
        <v>5800</v>
      </c>
      <c r="AB323" s="42">
        <f t="shared" ref="AB323:AB388" si="189">AA323*Q323</f>
        <v>5800</v>
      </c>
      <c r="AC323" s="42">
        <f t="shared" ref="AC323:AC388" si="190">Z323+AB323</f>
        <v>36823.4</v>
      </c>
      <c r="AD323" s="31">
        <f>VLOOKUP($A323,kurspris!$A$1:$Q$852,3,FALSE)</f>
        <v>0</v>
      </c>
      <c r="AE323" s="31">
        <f>VLOOKUP($A323,kurspris!$A$1:$Q$852,4,FALSE)</f>
        <v>0</v>
      </c>
      <c r="AF323" s="31">
        <f>VLOOKUP($A323,kurspris!$A$1:$Q$852,5,FALSE)</f>
        <v>0</v>
      </c>
      <c r="AG323" s="31">
        <f>VLOOKUP($A323,kurspris!$A$1:$Q$852,6,FALSE)</f>
        <v>0</v>
      </c>
      <c r="AH323" s="31">
        <f>VLOOKUP($A323,kurspris!$A$1:$Q$852,7,FALSE)</f>
        <v>0</v>
      </c>
      <c r="AI323" s="31">
        <f>VLOOKUP($A323,kurspris!$A$1:$Q$852,8,FALSE)</f>
        <v>0</v>
      </c>
      <c r="AJ323" s="31">
        <f>VLOOKUP($A323,kurspris!$A$1:$Q$852,9,FALSE)</f>
        <v>1</v>
      </c>
      <c r="AK323" s="31">
        <f>VLOOKUP($A323,kurspris!$A$1:$Q$852,10,FALSE)</f>
        <v>0</v>
      </c>
      <c r="AL323" s="31">
        <f>VLOOKUP($A323,kurspris!$A$1:$Q$852,11,FALSE)</f>
        <v>0</v>
      </c>
      <c r="AM323" s="31">
        <f>VLOOKUP($A323,kurspris!$A$1:$Q$852,12,FALSE)</f>
        <v>0</v>
      </c>
      <c r="AN323" s="31">
        <f>VLOOKUP($A323,kurspris!$A$1:$Q$852,13,FALSE)</f>
        <v>0</v>
      </c>
      <c r="AO323" s="31">
        <f>VLOOKUP($A323,kurspris!$A$1:$Q$852,14,FALSE)</f>
        <v>0</v>
      </c>
      <c r="AP323" s="59" t="s">
        <v>2216</v>
      </c>
      <c r="AR323" s="31">
        <f t="shared" ref="AR323:AR388" si="191">$Q323*AD323</f>
        <v>0</v>
      </c>
      <c r="AS323" s="237">
        <f t="shared" ref="AS323:AS388" si="192">$S323*AD323</f>
        <v>0</v>
      </c>
      <c r="AT323" s="31">
        <f t="shared" ref="AT323:AT388" si="193">$Q323*AE323</f>
        <v>0</v>
      </c>
      <c r="AU323" s="237">
        <f t="shared" ref="AU323:AU388" si="194">$S323*AE323</f>
        <v>0</v>
      </c>
      <c r="AV323" s="31">
        <f t="shared" ref="AV323:AV388" si="195">$Q323*AF323</f>
        <v>0</v>
      </c>
      <c r="AW323" s="31">
        <f t="shared" ref="AW323:AW388" si="196">$S323*AF323</f>
        <v>0</v>
      </c>
      <c r="AX323" s="31">
        <f t="shared" ref="AX323:AX388" si="197">$Q323*AG323</f>
        <v>0</v>
      </c>
      <c r="AY323" s="237">
        <f t="shared" ref="AY323:AY388" si="198">$S323*AG323</f>
        <v>0</v>
      </c>
      <c r="AZ323" s="214">
        <f t="shared" ref="AZ323:AZ388" si="199">$Q323*AH323</f>
        <v>0</v>
      </c>
      <c r="BA323" s="237">
        <f t="shared" ref="BA323:BA388" si="200">$S323*AH323</f>
        <v>0</v>
      </c>
      <c r="BB323" s="31">
        <f t="shared" ref="BB323:BB388" si="201">$Q323*AI323</f>
        <v>0</v>
      </c>
      <c r="BC323" s="237">
        <f t="shared" ref="BC323:BC388" si="202">$S323*AI323</f>
        <v>0</v>
      </c>
      <c r="BD323" s="31">
        <f t="shared" ref="BD323:BD388" si="203">$Q323*AJ323</f>
        <v>1</v>
      </c>
      <c r="BE323" s="237">
        <f t="shared" ref="BE323:BE388" si="204">$S323*AJ323</f>
        <v>0.8</v>
      </c>
      <c r="BF323" s="31">
        <f t="shared" ref="BF323:BF388" si="205">$Q323*AK323</f>
        <v>0</v>
      </c>
      <c r="BG323" s="237">
        <f t="shared" ref="BG323:BG388" si="206">$S323*AK323</f>
        <v>0</v>
      </c>
      <c r="BH323" s="31">
        <f t="shared" ref="BH323:BH388" si="207">$Q323*AL323</f>
        <v>0</v>
      </c>
      <c r="BI323" s="237">
        <f t="shared" ref="BI323:BI388" si="208">$S323*AL323</f>
        <v>0</v>
      </c>
      <c r="BJ323" s="31">
        <f t="shared" ref="BJ323:BJ388" si="209">$Q323*AM323</f>
        <v>0</v>
      </c>
      <c r="BK323" s="31">
        <f t="shared" ref="BK323:BK388" si="210">$Q323*AN323</f>
        <v>0</v>
      </c>
      <c r="BL323" s="237">
        <f t="shared" ref="BL323:BL388" si="211">$S323*AN323</f>
        <v>0</v>
      </c>
      <c r="BM323" s="31">
        <f t="shared" ref="BM323:BM388" si="212">$Q323*AO323</f>
        <v>0</v>
      </c>
      <c r="BN323" s="237">
        <f t="shared" ref="BN323:BN388" si="213">$S323*AO323</f>
        <v>0</v>
      </c>
    </row>
    <row r="324" spans="1:66" x14ac:dyDescent="0.25">
      <c r="A324" s="31" t="s">
        <v>1696</v>
      </c>
      <c r="B324" s="182" t="str">
        <f>VLOOKUP(A324,kurspris!$A$1:$B$894,2,FALSE)</f>
        <v>Trygga lärmiljöer, identitet och intersektionalitet</v>
      </c>
      <c r="D324" s="31" t="s">
        <v>117</v>
      </c>
      <c r="F324" s="59">
        <v>2019</v>
      </c>
      <c r="Q324" s="237">
        <v>3.25</v>
      </c>
      <c r="R324" s="40">
        <v>0.8</v>
      </c>
      <c r="S324" s="313">
        <f t="shared" si="187"/>
        <v>2.6</v>
      </c>
      <c r="T324" s="31">
        <f>VLOOKUP(A324,'Ansvar kurs'!$A$1:$C$1027,2,FALSE)</f>
        <v>2193</v>
      </c>
      <c r="U324" s="31" t="str">
        <f>VLOOKUP(T324,Orgenheter!$A$1:$C$165,2,FALSE)</f>
        <v xml:space="preserve">TUV </v>
      </c>
      <c r="V324" s="31" t="str">
        <f>VLOOKUP(T324,Orgenheter!$A$1:$C$165,3,FALSE)</f>
        <v>Sam</v>
      </c>
      <c r="W324" s="37" t="str">
        <f>VLOOKUP(D324,Program!$A$1:$B$34,2,FALSE)</f>
        <v>Fristående och övriga kurser</v>
      </c>
      <c r="X324" s="42">
        <f>VLOOKUP(A324,kurspris!$A$1:$Q$815,15,FALSE)</f>
        <v>18405</v>
      </c>
      <c r="Y324" s="42">
        <f>VLOOKUP(A324,kurspris!$A$1:$Q$815,16,FALSE)</f>
        <v>15773</v>
      </c>
      <c r="Z324" s="42">
        <f t="shared" si="188"/>
        <v>100826.05</v>
      </c>
      <c r="AA324" s="42">
        <f>VLOOKUP(A324,kurspris!$A$1:$Q$815,17,FALSE)</f>
        <v>5800</v>
      </c>
      <c r="AB324" s="42">
        <f t="shared" si="189"/>
        <v>18850</v>
      </c>
      <c r="AC324" s="42">
        <f t="shared" si="190"/>
        <v>119676.05</v>
      </c>
      <c r="AD324" s="31">
        <f>VLOOKUP($A324,kurspris!$A$1:$Q$852,3,FALSE)</f>
        <v>0</v>
      </c>
      <c r="AE324" s="31">
        <f>VLOOKUP($A324,kurspris!$A$1:$Q$852,4,FALSE)</f>
        <v>0</v>
      </c>
      <c r="AF324" s="31">
        <f>VLOOKUP($A324,kurspris!$A$1:$Q$852,5,FALSE)</f>
        <v>0</v>
      </c>
      <c r="AG324" s="31">
        <f>VLOOKUP($A324,kurspris!$A$1:$Q$852,6,FALSE)</f>
        <v>0</v>
      </c>
      <c r="AH324" s="31">
        <f>VLOOKUP($A324,kurspris!$A$1:$Q$852,7,FALSE)</f>
        <v>0</v>
      </c>
      <c r="AI324" s="31">
        <f>VLOOKUP($A324,kurspris!$A$1:$Q$852,8,FALSE)</f>
        <v>0</v>
      </c>
      <c r="AJ324" s="31">
        <f>VLOOKUP($A324,kurspris!$A$1:$Q$852,9,FALSE)</f>
        <v>1</v>
      </c>
      <c r="AK324" s="31">
        <f>VLOOKUP($A324,kurspris!$A$1:$Q$852,10,FALSE)</f>
        <v>0</v>
      </c>
      <c r="AL324" s="31">
        <f>VLOOKUP($A324,kurspris!$A$1:$Q$852,11,FALSE)</f>
        <v>0</v>
      </c>
      <c r="AM324" s="31">
        <f>VLOOKUP($A324,kurspris!$A$1:$Q$852,12,FALSE)</f>
        <v>0</v>
      </c>
      <c r="AN324" s="31">
        <f>VLOOKUP($A324,kurspris!$A$1:$Q$852,13,FALSE)</f>
        <v>0</v>
      </c>
      <c r="AO324" s="31">
        <f>VLOOKUP($A324,kurspris!$A$1:$Q$852,14,FALSE)</f>
        <v>0</v>
      </c>
      <c r="AP324" s="59" t="s">
        <v>2216</v>
      </c>
      <c r="AR324" s="31">
        <f t="shared" si="191"/>
        <v>0</v>
      </c>
      <c r="AS324" s="237">
        <f t="shared" si="192"/>
        <v>0</v>
      </c>
      <c r="AT324" s="31">
        <f t="shared" si="193"/>
        <v>0</v>
      </c>
      <c r="AU324" s="237">
        <f t="shared" si="194"/>
        <v>0</v>
      </c>
      <c r="AV324" s="31">
        <f t="shared" si="195"/>
        <v>0</v>
      </c>
      <c r="AW324" s="31">
        <f t="shared" si="196"/>
        <v>0</v>
      </c>
      <c r="AX324" s="31">
        <f t="shared" si="197"/>
        <v>0</v>
      </c>
      <c r="AY324" s="237">
        <f t="shared" si="198"/>
        <v>0</v>
      </c>
      <c r="AZ324" s="214">
        <f t="shared" si="199"/>
        <v>0</v>
      </c>
      <c r="BA324" s="237">
        <f t="shared" si="200"/>
        <v>0</v>
      </c>
      <c r="BB324" s="31">
        <f t="shared" si="201"/>
        <v>0</v>
      </c>
      <c r="BC324" s="237">
        <f t="shared" si="202"/>
        <v>0</v>
      </c>
      <c r="BD324" s="31">
        <f t="shared" si="203"/>
        <v>3.25</v>
      </c>
      <c r="BE324" s="237">
        <f t="shared" si="204"/>
        <v>2.6</v>
      </c>
      <c r="BF324" s="31">
        <f t="shared" si="205"/>
        <v>0</v>
      </c>
      <c r="BG324" s="237">
        <f t="shared" si="206"/>
        <v>0</v>
      </c>
      <c r="BH324" s="31">
        <f t="shared" si="207"/>
        <v>0</v>
      </c>
      <c r="BI324" s="237">
        <f t="shared" si="208"/>
        <v>0</v>
      </c>
      <c r="BJ324" s="31">
        <f t="shared" si="209"/>
        <v>0</v>
      </c>
      <c r="BK324" s="31">
        <f t="shared" si="210"/>
        <v>0</v>
      </c>
      <c r="BL324" s="237">
        <f t="shared" si="211"/>
        <v>0</v>
      </c>
      <c r="BM324" s="31">
        <f t="shared" si="212"/>
        <v>0</v>
      </c>
      <c r="BN324" s="237">
        <f t="shared" si="213"/>
        <v>0</v>
      </c>
    </row>
    <row r="325" spans="1:66" x14ac:dyDescent="0.25">
      <c r="A325" s="31" t="s">
        <v>1720</v>
      </c>
      <c r="B325" s="182" t="str">
        <f>VLOOKUP(A325,kurspris!$A$1:$B$894,2,FALSE)</f>
        <v>Normkritisk genuspedagogik</v>
      </c>
      <c r="D325" s="31" t="s">
        <v>117</v>
      </c>
      <c r="F325" s="59">
        <v>2019</v>
      </c>
      <c r="Q325" s="237">
        <v>6</v>
      </c>
      <c r="R325" s="40">
        <v>0.8</v>
      </c>
      <c r="S325" s="313">
        <f t="shared" si="187"/>
        <v>4.8000000000000007</v>
      </c>
      <c r="T325" s="31">
        <f>VLOOKUP(A325,'Ansvar kurs'!$A$1:$C$1027,2,FALSE)</f>
        <v>2193</v>
      </c>
      <c r="U325" s="31" t="str">
        <f>VLOOKUP(T325,Orgenheter!$A$1:$C$165,2,FALSE)</f>
        <v xml:space="preserve">TUV </v>
      </c>
      <c r="V325" s="31" t="str">
        <f>VLOOKUP(T325,Orgenheter!$A$1:$C$165,3,FALSE)</f>
        <v>Sam</v>
      </c>
      <c r="W325" s="37" t="str">
        <f>VLOOKUP(D325,Program!$A$1:$B$34,2,FALSE)</f>
        <v>Fristående och övriga kurser</v>
      </c>
      <c r="X325" s="42">
        <f>VLOOKUP(A325,kurspris!$A$1:$Q$815,15,FALSE)</f>
        <v>18405</v>
      </c>
      <c r="Y325" s="42">
        <f>VLOOKUP(A325,kurspris!$A$1:$Q$815,16,FALSE)</f>
        <v>15773</v>
      </c>
      <c r="Z325" s="42">
        <f t="shared" si="188"/>
        <v>186140.40000000002</v>
      </c>
      <c r="AA325" s="42">
        <f>VLOOKUP(A325,kurspris!$A$1:$Q$815,17,FALSE)</f>
        <v>5800</v>
      </c>
      <c r="AB325" s="42">
        <f t="shared" si="189"/>
        <v>34800</v>
      </c>
      <c r="AC325" s="42">
        <f t="shared" si="190"/>
        <v>220940.40000000002</v>
      </c>
      <c r="AD325" s="31">
        <f>VLOOKUP($A325,kurspris!$A$1:$Q$852,3,FALSE)</f>
        <v>0</v>
      </c>
      <c r="AE325" s="31">
        <f>VLOOKUP($A325,kurspris!$A$1:$Q$852,4,FALSE)</f>
        <v>0</v>
      </c>
      <c r="AF325" s="31">
        <f>VLOOKUP($A325,kurspris!$A$1:$Q$852,5,FALSE)</f>
        <v>0</v>
      </c>
      <c r="AG325" s="31">
        <f>VLOOKUP($A325,kurspris!$A$1:$Q$852,6,FALSE)</f>
        <v>0</v>
      </c>
      <c r="AH325" s="31">
        <f>VLOOKUP($A325,kurspris!$A$1:$Q$852,7,FALSE)</f>
        <v>0</v>
      </c>
      <c r="AI325" s="31">
        <f>VLOOKUP($A325,kurspris!$A$1:$Q$852,8,FALSE)</f>
        <v>0</v>
      </c>
      <c r="AJ325" s="31">
        <f>VLOOKUP($A325,kurspris!$A$1:$Q$852,9,FALSE)</f>
        <v>1</v>
      </c>
      <c r="AK325" s="31">
        <f>VLOOKUP($A325,kurspris!$A$1:$Q$852,10,FALSE)</f>
        <v>0</v>
      </c>
      <c r="AL325" s="31">
        <f>VLOOKUP($A325,kurspris!$A$1:$Q$852,11,FALSE)</f>
        <v>0</v>
      </c>
      <c r="AM325" s="31">
        <f>VLOOKUP($A325,kurspris!$A$1:$Q$852,12,FALSE)</f>
        <v>0</v>
      </c>
      <c r="AN325" s="31">
        <f>VLOOKUP($A325,kurspris!$A$1:$Q$852,13,FALSE)</f>
        <v>0</v>
      </c>
      <c r="AO325" s="31">
        <f>VLOOKUP($A325,kurspris!$A$1:$Q$852,14,FALSE)</f>
        <v>0</v>
      </c>
      <c r="AP325" s="59" t="s">
        <v>2216</v>
      </c>
      <c r="AR325" s="31">
        <f t="shared" si="191"/>
        <v>0</v>
      </c>
      <c r="AS325" s="237">
        <f t="shared" si="192"/>
        <v>0</v>
      </c>
      <c r="AT325" s="31">
        <f t="shared" si="193"/>
        <v>0</v>
      </c>
      <c r="AU325" s="237">
        <f t="shared" si="194"/>
        <v>0</v>
      </c>
      <c r="AV325" s="31">
        <f t="shared" si="195"/>
        <v>0</v>
      </c>
      <c r="AW325" s="31">
        <f t="shared" si="196"/>
        <v>0</v>
      </c>
      <c r="AX325" s="31">
        <f t="shared" si="197"/>
        <v>0</v>
      </c>
      <c r="AY325" s="237">
        <f t="shared" si="198"/>
        <v>0</v>
      </c>
      <c r="AZ325" s="214">
        <f t="shared" si="199"/>
        <v>0</v>
      </c>
      <c r="BA325" s="237">
        <f t="shared" si="200"/>
        <v>0</v>
      </c>
      <c r="BB325" s="31">
        <f t="shared" si="201"/>
        <v>0</v>
      </c>
      <c r="BC325" s="237">
        <f t="shared" si="202"/>
        <v>0</v>
      </c>
      <c r="BD325" s="31">
        <f t="shared" si="203"/>
        <v>6</v>
      </c>
      <c r="BE325" s="237">
        <f t="shared" si="204"/>
        <v>4.8000000000000007</v>
      </c>
      <c r="BF325" s="31">
        <f t="shared" si="205"/>
        <v>0</v>
      </c>
      <c r="BG325" s="237">
        <f t="shared" si="206"/>
        <v>0</v>
      </c>
      <c r="BH325" s="31">
        <f t="shared" si="207"/>
        <v>0</v>
      </c>
      <c r="BI325" s="237">
        <f t="shared" si="208"/>
        <v>0</v>
      </c>
      <c r="BJ325" s="31">
        <f t="shared" si="209"/>
        <v>0</v>
      </c>
      <c r="BK325" s="31">
        <f t="shared" si="210"/>
        <v>0</v>
      </c>
      <c r="BL325" s="237">
        <f t="shared" si="211"/>
        <v>0</v>
      </c>
      <c r="BM325" s="31">
        <f t="shared" si="212"/>
        <v>0</v>
      </c>
      <c r="BN325" s="237">
        <f t="shared" si="213"/>
        <v>0</v>
      </c>
    </row>
    <row r="326" spans="1:66" x14ac:dyDescent="0.25">
      <c r="A326" s="31" t="s">
        <v>2125</v>
      </c>
      <c r="B326" s="182" t="str">
        <f>VLOOKUP(A326,kurspris!$A$1:$B$894,2,FALSE)</f>
        <v>Barns och ungas identitetsskapande på nätet</v>
      </c>
      <c r="D326" s="31" t="s">
        <v>117</v>
      </c>
      <c r="F326" s="59">
        <v>2019</v>
      </c>
      <c r="Q326" s="237">
        <v>1.125</v>
      </c>
      <c r="R326" s="40">
        <v>0.8</v>
      </c>
      <c r="S326" s="313">
        <f t="shared" si="187"/>
        <v>0.9</v>
      </c>
      <c r="T326" s="31">
        <f>VLOOKUP(A326,'Ansvar kurs'!$A$1:$C$1027,2,FALSE)</f>
        <v>2193</v>
      </c>
      <c r="U326" s="31" t="str">
        <f>VLOOKUP(T326,Orgenheter!$A$1:$C$165,2,FALSE)</f>
        <v xml:space="preserve">TUV </v>
      </c>
      <c r="V326" s="31" t="str">
        <f>VLOOKUP(T326,Orgenheter!$A$1:$C$165,3,FALSE)</f>
        <v>Sam</v>
      </c>
      <c r="W326" s="37" t="str">
        <f>VLOOKUP(D326,Program!$A$1:$B$34,2,FALSE)</f>
        <v>Fristående och övriga kurser</v>
      </c>
      <c r="X326" s="42">
        <f>VLOOKUP(A326,kurspris!$A$1:$Q$815,15,FALSE)</f>
        <v>18405</v>
      </c>
      <c r="Y326" s="42">
        <f>VLOOKUP(A326,kurspris!$A$1:$Q$815,16,FALSE)</f>
        <v>15773</v>
      </c>
      <c r="Z326" s="42">
        <f t="shared" si="188"/>
        <v>34901.324999999997</v>
      </c>
      <c r="AA326" s="42">
        <f>VLOOKUP(A326,kurspris!$A$1:$Q$815,17,FALSE)</f>
        <v>5800</v>
      </c>
      <c r="AB326" s="42">
        <f t="shared" si="189"/>
        <v>6525</v>
      </c>
      <c r="AC326" s="42">
        <f t="shared" si="190"/>
        <v>41426.324999999997</v>
      </c>
      <c r="AD326" s="31">
        <f>VLOOKUP($A326,kurspris!$A$1:$Q$852,3,FALSE)</f>
        <v>0</v>
      </c>
      <c r="AE326" s="31">
        <f>VLOOKUP($A326,kurspris!$A$1:$Q$852,4,FALSE)</f>
        <v>0</v>
      </c>
      <c r="AF326" s="31">
        <f>VLOOKUP($A326,kurspris!$A$1:$Q$852,5,FALSE)</f>
        <v>0</v>
      </c>
      <c r="AG326" s="31">
        <f>VLOOKUP($A326,kurspris!$A$1:$Q$852,6,FALSE)</f>
        <v>0</v>
      </c>
      <c r="AH326" s="31">
        <f>VLOOKUP($A326,kurspris!$A$1:$Q$852,7,FALSE)</f>
        <v>0</v>
      </c>
      <c r="AI326" s="31">
        <f>VLOOKUP($A326,kurspris!$A$1:$Q$852,8,FALSE)</f>
        <v>0</v>
      </c>
      <c r="AJ326" s="31">
        <f>VLOOKUP($A326,kurspris!$A$1:$Q$852,9,FALSE)</f>
        <v>1</v>
      </c>
      <c r="AK326" s="31">
        <f>VLOOKUP($A326,kurspris!$A$1:$Q$852,10,FALSE)</f>
        <v>0</v>
      </c>
      <c r="AL326" s="31">
        <f>VLOOKUP($A326,kurspris!$A$1:$Q$852,11,FALSE)</f>
        <v>0</v>
      </c>
      <c r="AM326" s="31">
        <f>VLOOKUP($A326,kurspris!$A$1:$Q$852,12,FALSE)</f>
        <v>0</v>
      </c>
      <c r="AN326" s="31">
        <f>VLOOKUP($A326,kurspris!$A$1:$Q$852,13,FALSE)</f>
        <v>0</v>
      </c>
      <c r="AO326" s="31">
        <f>VLOOKUP($A326,kurspris!$A$1:$Q$852,14,FALSE)</f>
        <v>0</v>
      </c>
      <c r="AP326" s="59" t="s">
        <v>2216</v>
      </c>
      <c r="AR326" s="31">
        <f t="shared" si="191"/>
        <v>0</v>
      </c>
      <c r="AS326" s="237">
        <f t="shared" si="192"/>
        <v>0</v>
      </c>
      <c r="AT326" s="31">
        <f t="shared" si="193"/>
        <v>0</v>
      </c>
      <c r="AU326" s="237">
        <f t="shared" si="194"/>
        <v>0</v>
      </c>
      <c r="AV326" s="31">
        <f t="shared" si="195"/>
        <v>0</v>
      </c>
      <c r="AW326" s="31">
        <f t="shared" si="196"/>
        <v>0</v>
      </c>
      <c r="AX326" s="31">
        <f t="shared" si="197"/>
        <v>0</v>
      </c>
      <c r="AY326" s="237">
        <f t="shared" si="198"/>
        <v>0</v>
      </c>
      <c r="AZ326" s="214">
        <f t="shared" si="199"/>
        <v>0</v>
      </c>
      <c r="BA326" s="237">
        <f t="shared" si="200"/>
        <v>0</v>
      </c>
      <c r="BB326" s="31">
        <f t="shared" si="201"/>
        <v>0</v>
      </c>
      <c r="BC326" s="237">
        <f t="shared" si="202"/>
        <v>0</v>
      </c>
      <c r="BD326" s="31">
        <f t="shared" si="203"/>
        <v>1.125</v>
      </c>
      <c r="BE326" s="237">
        <f t="shared" si="204"/>
        <v>0.9</v>
      </c>
      <c r="BF326" s="31">
        <f t="shared" si="205"/>
        <v>0</v>
      </c>
      <c r="BG326" s="237">
        <f t="shared" si="206"/>
        <v>0</v>
      </c>
      <c r="BH326" s="31">
        <f t="shared" si="207"/>
        <v>0</v>
      </c>
      <c r="BI326" s="237">
        <f t="shared" si="208"/>
        <v>0</v>
      </c>
      <c r="BJ326" s="31">
        <f t="shared" si="209"/>
        <v>0</v>
      </c>
      <c r="BK326" s="31">
        <f t="shared" si="210"/>
        <v>0</v>
      </c>
      <c r="BL326" s="237">
        <f t="shared" si="211"/>
        <v>0</v>
      </c>
      <c r="BM326" s="31">
        <f t="shared" si="212"/>
        <v>0</v>
      </c>
      <c r="BN326" s="237">
        <f t="shared" si="213"/>
        <v>0</v>
      </c>
    </row>
    <row r="327" spans="1:66" x14ac:dyDescent="0.25">
      <c r="A327" s="31" t="s">
        <v>2126</v>
      </c>
      <c r="B327" s="182" t="str">
        <f>VLOOKUP(A327,kurspris!$A$1:$B$894,2,FALSE)</f>
        <v>Mobbning och kränkande handlingar i teori och praktik</v>
      </c>
      <c r="D327" s="31" t="s">
        <v>117</v>
      </c>
      <c r="F327" s="59">
        <v>2019</v>
      </c>
      <c r="Q327" s="237">
        <v>1.625</v>
      </c>
      <c r="R327" s="40">
        <v>0.8</v>
      </c>
      <c r="S327" s="313">
        <f t="shared" si="187"/>
        <v>1.3</v>
      </c>
      <c r="T327" s="31">
        <f>VLOOKUP(A327,'Ansvar kurs'!$A$1:$C$1027,2,FALSE)</f>
        <v>2193</v>
      </c>
      <c r="U327" s="31" t="str">
        <f>VLOOKUP(T327,Orgenheter!$A$1:$C$165,2,FALSE)</f>
        <v xml:space="preserve">TUV </v>
      </c>
      <c r="V327" s="31" t="str">
        <f>VLOOKUP(T327,Orgenheter!$A$1:$C$165,3,FALSE)</f>
        <v>Sam</v>
      </c>
      <c r="W327" s="37" t="str">
        <f>VLOOKUP(D327,Program!$A$1:$B$34,2,FALSE)</f>
        <v>Fristående och övriga kurser</v>
      </c>
      <c r="X327" s="42">
        <f>VLOOKUP(A327,kurspris!$A$1:$Q$815,15,FALSE)</f>
        <v>18405</v>
      </c>
      <c r="Y327" s="42">
        <f>VLOOKUP(A327,kurspris!$A$1:$Q$815,16,FALSE)</f>
        <v>15773</v>
      </c>
      <c r="Z327" s="42">
        <f t="shared" si="188"/>
        <v>50413.025000000001</v>
      </c>
      <c r="AA327" s="42">
        <f>VLOOKUP(A327,kurspris!$A$1:$Q$815,17,FALSE)</f>
        <v>5800</v>
      </c>
      <c r="AB327" s="42">
        <f t="shared" si="189"/>
        <v>9425</v>
      </c>
      <c r="AC327" s="42">
        <f t="shared" si="190"/>
        <v>59838.025000000001</v>
      </c>
      <c r="AD327" s="31">
        <f>VLOOKUP($A327,kurspris!$A$1:$Q$852,3,FALSE)</f>
        <v>0</v>
      </c>
      <c r="AE327" s="31">
        <f>VLOOKUP($A327,kurspris!$A$1:$Q$852,4,FALSE)</f>
        <v>0</v>
      </c>
      <c r="AF327" s="31">
        <f>VLOOKUP($A327,kurspris!$A$1:$Q$852,5,FALSE)</f>
        <v>0</v>
      </c>
      <c r="AG327" s="31">
        <f>VLOOKUP($A327,kurspris!$A$1:$Q$852,6,FALSE)</f>
        <v>0</v>
      </c>
      <c r="AH327" s="31">
        <f>VLOOKUP($A327,kurspris!$A$1:$Q$852,7,FALSE)</f>
        <v>0</v>
      </c>
      <c r="AI327" s="31">
        <f>VLOOKUP($A327,kurspris!$A$1:$Q$852,8,FALSE)</f>
        <v>0</v>
      </c>
      <c r="AJ327" s="31">
        <f>VLOOKUP($A327,kurspris!$A$1:$Q$852,9,FALSE)</f>
        <v>1</v>
      </c>
      <c r="AK327" s="31">
        <f>VLOOKUP($A327,kurspris!$A$1:$Q$852,10,FALSE)</f>
        <v>0</v>
      </c>
      <c r="AL327" s="31">
        <f>VLOOKUP($A327,kurspris!$A$1:$Q$852,11,FALSE)</f>
        <v>0</v>
      </c>
      <c r="AM327" s="31">
        <f>VLOOKUP($A327,kurspris!$A$1:$Q$852,12,FALSE)</f>
        <v>0</v>
      </c>
      <c r="AN327" s="31">
        <f>VLOOKUP($A327,kurspris!$A$1:$Q$852,13,FALSE)</f>
        <v>0</v>
      </c>
      <c r="AO327" s="31">
        <f>VLOOKUP($A327,kurspris!$A$1:$Q$852,14,FALSE)</f>
        <v>0</v>
      </c>
      <c r="AP327" s="59" t="s">
        <v>2216</v>
      </c>
      <c r="AR327" s="31">
        <f t="shared" si="191"/>
        <v>0</v>
      </c>
      <c r="AS327" s="237">
        <f t="shared" si="192"/>
        <v>0</v>
      </c>
      <c r="AT327" s="31">
        <f t="shared" si="193"/>
        <v>0</v>
      </c>
      <c r="AU327" s="237">
        <f t="shared" si="194"/>
        <v>0</v>
      </c>
      <c r="AV327" s="31">
        <f t="shared" si="195"/>
        <v>0</v>
      </c>
      <c r="AW327" s="31">
        <f t="shared" si="196"/>
        <v>0</v>
      </c>
      <c r="AX327" s="31">
        <f t="shared" si="197"/>
        <v>0</v>
      </c>
      <c r="AY327" s="237">
        <f t="shared" si="198"/>
        <v>0</v>
      </c>
      <c r="AZ327" s="214">
        <f t="shared" si="199"/>
        <v>0</v>
      </c>
      <c r="BA327" s="237">
        <f t="shared" si="200"/>
        <v>0</v>
      </c>
      <c r="BB327" s="31">
        <f t="shared" si="201"/>
        <v>0</v>
      </c>
      <c r="BC327" s="237">
        <f t="shared" si="202"/>
        <v>0</v>
      </c>
      <c r="BD327" s="31">
        <f t="shared" si="203"/>
        <v>1.625</v>
      </c>
      <c r="BE327" s="237">
        <f t="shared" si="204"/>
        <v>1.3</v>
      </c>
      <c r="BF327" s="31">
        <f t="shared" si="205"/>
        <v>0</v>
      </c>
      <c r="BG327" s="237">
        <f t="shared" si="206"/>
        <v>0</v>
      </c>
      <c r="BH327" s="31">
        <f t="shared" si="207"/>
        <v>0</v>
      </c>
      <c r="BI327" s="237">
        <f t="shared" si="208"/>
        <v>0</v>
      </c>
      <c r="BJ327" s="31">
        <f t="shared" si="209"/>
        <v>0</v>
      </c>
      <c r="BK327" s="31">
        <f t="shared" si="210"/>
        <v>0</v>
      </c>
      <c r="BL327" s="237">
        <f t="shared" si="211"/>
        <v>0</v>
      </c>
      <c r="BM327" s="31">
        <f t="shared" si="212"/>
        <v>0</v>
      </c>
      <c r="BN327" s="237">
        <f t="shared" si="213"/>
        <v>0</v>
      </c>
    </row>
    <row r="328" spans="1:66" x14ac:dyDescent="0.25">
      <c r="A328" s="31" t="s">
        <v>1710</v>
      </c>
      <c r="B328" s="182" t="str">
        <f>VLOOKUP(A328,kurspris!$A$1:$B$894,2,FALSE)</f>
        <v>Läraryrkets dimensioner för fritidshem 2 (VFU)</v>
      </c>
      <c r="D328" s="31" t="s">
        <v>485</v>
      </c>
      <c r="F328" s="59">
        <v>2019</v>
      </c>
      <c r="Q328" s="237">
        <v>0.41666999999999998</v>
      </c>
      <c r="R328" s="40">
        <v>0.85</v>
      </c>
      <c r="S328" s="313">
        <f t="shared" si="187"/>
        <v>0.35416949999999997</v>
      </c>
      <c r="T328" s="31">
        <f>VLOOKUP(A328,'Ansvar kurs'!$A$1:$C$1027,2,FALSE)</f>
        <v>2180</v>
      </c>
      <c r="U328" s="31" t="str">
        <f>VLOOKUP(T328,Orgenheter!$A$1:$C$165,2,FALSE)</f>
        <v xml:space="preserve">Pedagogik                     </v>
      </c>
      <c r="V328" s="31" t="str">
        <f>VLOOKUP(T328,Orgenheter!$A$1:$C$165,3,FALSE)</f>
        <v>Sam</v>
      </c>
      <c r="W328" s="37" t="str">
        <f>VLOOKUP(D328,Program!$A$1:$B$34,2,FALSE)</f>
        <v>Grundlärarprogrammet - fritidshem</v>
      </c>
      <c r="X328" s="42">
        <f>VLOOKUP(A328,kurspris!$A$1:$Q$815,15,FALSE)</f>
        <v>21634</v>
      </c>
      <c r="Y328" s="42">
        <f>VLOOKUP(A328,kurspris!$A$1:$Q$815,16,FALSE)</f>
        <v>26986</v>
      </c>
      <c r="Z328" s="42">
        <f t="shared" si="188"/>
        <v>18571.856907000001</v>
      </c>
      <c r="AA328" s="42">
        <f>VLOOKUP(A328,kurspris!$A$1:$Q$815,17,FALSE)</f>
        <v>3400</v>
      </c>
      <c r="AB328" s="42">
        <f t="shared" si="189"/>
        <v>1416.6779999999999</v>
      </c>
      <c r="AC328" s="42">
        <f t="shared" si="190"/>
        <v>19988.534907000001</v>
      </c>
      <c r="AD328" s="31">
        <f>VLOOKUP($A328,kurspris!$A$1:$Q$852,3,FALSE)</f>
        <v>0</v>
      </c>
      <c r="AE328" s="31">
        <f>VLOOKUP($A328,kurspris!$A$1:$Q$852,4,FALSE)</f>
        <v>0</v>
      </c>
      <c r="AF328" s="31">
        <f>VLOOKUP($A328,kurspris!$A$1:$Q$852,5,FALSE)</f>
        <v>0</v>
      </c>
      <c r="AG328" s="31">
        <f>VLOOKUP($A328,kurspris!$A$1:$Q$852,6,FALSE)</f>
        <v>0</v>
      </c>
      <c r="AH328" s="31">
        <f>VLOOKUP($A328,kurspris!$A$1:$Q$852,7,FALSE)</f>
        <v>0</v>
      </c>
      <c r="AI328" s="31">
        <f>VLOOKUP($A328,kurspris!$A$1:$Q$852,8,FALSE)</f>
        <v>0</v>
      </c>
      <c r="AJ328" s="31">
        <f>VLOOKUP($A328,kurspris!$A$1:$Q$852,9,FALSE)</f>
        <v>0</v>
      </c>
      <c r="AK328" s="31">
        <f>VLOOKUP($A328,kurspris!$A$1:$Q$852,10,FALSE)</f>
        <v>0</v>
      </c>
      <c r="AL328" s="31">
        <f>VLOOKUP($A328,kurspris!$A$1:$Q$852,11,FALSE)</f>
        <v>1</v>
      </c>
      <c r="AM328" s="31">
        <f>VLOOKUP($A328,kurspris!$A$1:$Q$852,12,FALSE)</f>
        <v>0</v>
      </c>
      <c r="AN328" s="31">
        <f>VLOOKUP($A328,kurspris!$A$1:$Q$852,13,FALSE)</f>
        <v>0</v>
      </c>
      <c r="AO328" s="31">
        <f>VLOOKUP($A328,kurspris!$A$1:$Q$852,14,FALSE)</f>
        <v>0</v>
      </c>
      <c r="AP328" s="59" t="s">
        <v>2216</v>
      </c>
      <c r="AR328" s="31">
        <f t="shared" si="191"/>
        <v>0</v>
      </c>
      <c r="AS328" s="237">
        <f t="shared" si="192"/>
        <v>0</v>
      </c>
      <c r="AT328" s="31">
        <f t="shared" si="193"/>
        <v>0</v>
      </c>
      <c r="AU328" s="237">
        <f t="shared" si="194"/>
        <v>0</v>
      </c>
      <c r="AV328" s="31">
        <f t="shared" si="195"/>
        <v>0</v>
      </c>
      <c r="AW328" s="31">
        <f t="shared" si="196"/>
        <v>0</v>
      </c>
      <c r="AX328" s="31">
        <f t="shared" si="197"/>
        <v>0</v>
      </c>
      <c r="AY328" s="237">
        <f t="shared" si="198"/>
        <v>0</v>
      </c>
      <c r="AZ328" s="214">
        <f t="shared" si="199"/>
        <v>0</v>
      </c>
      <c r="BA328" s="237">
        <f t="shared" si="200"/>
        <v>0</v>
      </c>
      <c r="BB328" s="31">
        <f t="shared" si="201"/>
        <v>0</v>
      </c>
      <c r="BC328" s="237">
        <f t="shared" si="202"/>
        <v>0</v>
      </c>
      <c r="BD328" s="31">
        <f t="shared" si="203"/>
        <v>0</v>
      </c>
      <c r="BE328" s="237">
        <f t="shared" si="204"/>
        <v>0</v>
      </c>
      <c r="BF328" s="31">
        <f t="shared" si="205"/>
        <v>0</v>
      </c>
      <c r="BG328" s="237">
        <f t="shared" si="206"/>
        <v>0</v>
      </c>
      <c r="BH328" s="31">
        <f t="shared" si="207"/>
        <v>0.41666999999999998</v>
      </c>
      <c r="BI328" s="237">
        <f t="shared" si="208"/>
        <v>0.35416949999999997</v>
      </c>
      <c r="BJ328" s="31">
        <f t="shared" si="209"/>
        <v>0</v>
      </c>
      <c r="BK328" s="31">
        <f t="shared" si="210"/>
        <v>0</v>
      </c>
      <c r="BL328" s="237">
        <f t="shared" si="211"/>
        <v>0</v>
      </c>
      <c r="BM328" s="31">
        <f t="shared" si="212"/>
        <v>0</v>
      </c>
      <c r="BN328" s="237">
        <f t="shared" si="213"/>
        <v>0</v>
      </c>
    </row>
    <row r="329" spans="1:66" x14ac:dyDescent="0.25">
      <c r="A329" s="31" t="s">
        <v>1712</v>
      </c>
      <c r="B329" s="182" t="str">
        <f>VLOOKUP(A329,kurspris!$A$1:$B$894,2,FALSE)</f>
        <v>Elever i behov av extra anpassningar och särskilt stöd ur ett fritidshemsperspektiv</v>
      </c>
      <c r="D329" s="31" t="s">
        <v>485</v>
      </c>
      <c r="F329" s="59">
        <v>2019</v>
      </c>
      <c r="Q329" s="237">
        <v>2</v>
      </c>
      <c r="R329" s="40">
        <v>0.85</v>
      </c>
      <c r="S329" s="313">
        <f t="shared" si="187"/>
        <v>1.7</v>
      </c>
      <c r="T329" s="31">
        <f>VLOOKUP(A329,'Ansvar kurs'!$A$1:$C$1027,2,FALSE)</f>
        <v>2193</v>
      </c>
      <c r="U329" s="31" t="str">
        <f>VLOOKUP(T329,Orgenheter!$A$1:$C$165,2,FALSE)</f>
        <v xml:space="preserve">TUV </v>
      </c>
      <c r="V329" s="31" t="str">
        <f>VLOOKUP(T329,Orgenheter!$A$1:$C$165,3,FALSE)</f>
        <v>Sam</v>
      </c>
      <c r="W329" s="37" t="str">
        <f>VLOOKUP(D329,Program!$A$1:$B$34,2,FALSE)</f>
        <v>Grundlärarprogrammet - fritidshem</v>
      </c>
      <c r="X329" s="42">
        <f>VLOOKUP(A329,kurspris!$A$1:$Q$815,15,FALSE)</f>
        <v>18405</v>
      </c>
      <c r="Y329" s="42">
        <f>VLOOKUP(A329,kurspris!$A$1:$Q$815,16,FALSE)</f>
        <v>15773</v>
      </c>
      <c r="Z329" s="42">
        <f t="shared" si="188"/>
        <v>63624.1</v>
      </c>
      <c r="AA329" s="42">
        <f>VLOOKUP(A329,kurspris!$A$1:$Q$815,17,FALSE)</f>
        <v>5800</v>
      </c>
      <c r="AB329" s="42">
        <f t="shared" si="189"/>
        <v>11600</v>
      </c>
      <c r="AC329" s="42">
        <f t="shared" si="190"/>
        <v>75224.100000000006</v>
      </c>
      <c r="AD329" s="31">
        <f>VLOOKUP($A329,kurspris!$A$1:$Q$852,3,FALSE)</f>
        <v>0</v>
      </c>
      <c r="AE329" s="31">
        <f>VLOOKUP($A329,kurspris!$A$1:$Q$852,4,FALSE)</f>
        <v>0</v>
      </c>
      <c r="AF329" s="31">
        <f>VLOOKUP($A329,kurspris!$A$1:$Q$852,5,FALSE)</f>
        <v>0</v>
      </c>
      <c r="AG329" s="31">
        <f>VLOOKUP($A329,kurspris!$A$1:$Q$852,6,FALSE)</f>
        <v>0</v>
      </c>
      <c r="AH329" s="31">
        <f>VLOOKUP($A329,kurspris!$A$1:$Q$852,7,FALSE)</f>
        <v>0</v>
      </c>
      <c r="AI329" s="31">
        <f>VLOOKUP($A329,kurspris!$A$1:$Q$852,8,FALSE)</f>
        <v>0</v>
      </c>
      <c r="AJ329" s="31">
        <f>VLOOKUP($A329,kurspris!$A$1:$Q$852,9,FALSE)</f>
        <v>1</v>
      </c>
      <c r="AK329" s="31">
        <f>VLOOKUP($A329,kurspris!$A$1:$Q$852,10,FALSE)</f>
        <v>0</v>
      </c>
      <c r="AL329" s="31">
        <f>VLOOKUP($A329,kurspris!$A$1:$Q$852,11,FALSE)</f>
        <v>0</v>
      </c>
      <c r="AM329" s="31">
        <f>VLOOKUP($A329,kurspris!$A$1:$Q$852,12,FALSE)</f>
        <v>0</v>
      </c>
      <c r="AN329" s="31">
        <f>VLOOKUP($A329,kurspris!$A$1:$Q$852,13,FALSE)</f>
        <v>0</v>
      </c>
      <c r="AO329" s="31">
        <f>VLOOKUP($A329,kurspris!$A$1:$Q$852,14,FALSE)</f>
        <v>0</v>
      </c>
      <c r="AP329" s="59" t="s">
        <v>2216</v>
      </c>
      <c r="AR329" s="31">
        <f t="shared" si="191"/>
        <v>0</v>
      </c>
      <c r="AS329" s="237">
        <f t="shared" si="192"/>
        <v>0</v>
      </c>
      <c r="AT329" s="31">
        <f t="shared" si="193"/>
        <v>0</v>
      </c>
      <c r="AU329" s="237">
        <f t="shared" si="194"/>
        <v>0</v>
      </c>
      <c r="AV329" s="31">
        <f t="shared" si="195"/>
        <v>0</v>
      </c>
      <c r="AW329" s="31">
        <f t="shared" si="196"/>
        <v>0</v>
      </c>
      <c r="AX329" s="31">
        <f t="shared" si="197"/>
        <v>0</v>
      </c>
      <c r="AY329" s="237">
        <f t="shared" si="198"/>
        <v>0</v>
      </c>
      <c r="AZ329" s="214">
        <f t="shared" si="199"/>
        <v>0</v>
      </c>
      <c r="BA329" s="237">
        <f t="shared" si="200"/>
        <v>0</v>
      </c>
      <c r="BB329" s="31">
        <f t="shared" si="201"/>
        <v>0</v>
      </c>
      <c r="BC329" s="237">
        <f t="shared" si="202"/>
        <v>0</v>
      </c>
      <c r="BD329" s="31">
        <f t="shared" si="203"/>
        <v>2</v>
      </c>
      <c r="BE329" s="237">
        <f t="shared" si="204"/>
        <v>1.7</v>
      </c>
      <c r="BF329" s="31">
        <f t="shared" si="205"/>
        <v>0</v>
      </c>
      <c r="BG329" s="237">
        <f t="shared" si="206"/>
        <v>0</v>
      </c>
      <c r="BH329" s="31">
        <f t="shared" si="207"/>
        <v>0</v>
      </c>
      <c r="BI329" s="237">
        <f t="shared" si="208"/>
        <v>0</v>
      </c>
      <c r="BJ329" s="31">
        <f t="shared" si="209"/>
        <v>0</v>
      </c>
      <c r="BK329" s="31">
        <f t="shared" si="210"/>
        <v>0</v>
      </c>
      <c r="BL329" s="237">
        <f t="shared" si="211"/>
        <v>0</v>
      </c>
      <c r="BM329" s="31">
        <f t="shared" si="212"/>
        <v>0</v>
      </c>
      <c r="BN329" s="237">
        <f t="shared" si="213"/>
        <v>0</v>
      </c>
    </row>
    <row r="330" spans="1:66" x14ac:dyDescent="0.25">
      <c r="A330" s="31" t="s">
        <v>1735</v>
      </c>
      <c r="B330" s="182" t="str">
        <f>VLOOKUP(A330,kurspris!$A$1:$B$894,2,FALSE)</f>
        <v>Att undervisa i förskolan (VFU)</v>
      </c>
      <c r="D330" s="31" t="s">
        <v>484</v>
      </c>
      <c r="F330" s="59">
        <v>2019</v>
      </c>
      <c r="Q330" s="237">
        <v>10.5</v>
      </c>
      <c r="R330" s="40">
        <v>0.85</v>
      </c>
      <c r="S330" s="313">
        <f t="shared" si="187"/>
        <v>8.9249999999999989</v>
      </c>
      <c r="T330" s="31">
        <f>VLOOKUP(A330,'Ansvar kurs'!$A$1:$C$1027,2,FALSE)</f>
        <v>2193</v>
      </c>
      <c r="U330" s="31" t="str">
        <f>VLOOKUP(T330,Orgenheter!$A$1:$C$165,2,FALSE)</f>
        <v xml:space="preserve">TUV </v>
      </c>
      <c r="V330" s="31" t="str">
        <f>VLOOKUP(T330,Orgenheter!$A$1:$C$165,3,FALSE)</f>
        <v>Sam</v>
      </c>
      <c r="W330" s="37" t="str">
        <f>VLOOKUP(D330,Program!$A$1:$B$34,2,FALSE)</f>
        <v>Förskollärarprogrammet</v>
      </c>
      <c r="X330" s="42">
        <f>VLOOKUP(A330,kurspris!$A$1:$Q$815,15,FALSE)</f>
        <v>21634</v>
      </c>
      <c r="Y330" s="42">
        <f>VLOOKUP(A330,kurspris!$A$1:$Q$815,16,FALSE)</f>
        <v>26986</v>
      </c>
      <c r="Z330" s="42">
        <f t="shared" si="188"/>
        <v>468007.04999999993</v>
      </c>
      <c r="AA330" s="42">
        <f>VLOOKUP(A330,kurspris!$A$1:$Q$815,17,FALSE)</f>
        <v>3400</v>
      </c>
      <c r="AB330" s="42">
        <f t="shared" si="189"/>
        <v>35700</v>
      </c>
      <c r="AC330" s="42">
        <f t="shared" si="190"/>
        <v>503707.04999999993</v>
      </c>
      <c r="AD330" s="31">
        <f>VLOOKUP($A330,kurspris!$A$1:$Q$852,3,FALSE)</f>
        <v>0</v>
      </c>
      <c r="AE330" s="31">
        <f>VLOOKUP($A330,kurspris!$A$1:$Q$852,4,FALSE)</f>
        <v>0</v>
      </c>
      <c r="AF330" s="31">
        <f>VLOOKUP($A330,kurspris!$A$1:$Q$852,5,FALSE)</f>
        <v>0</v>
      </c>
      <c r="AG330" s="31">
        <f>VLOOKUP($A330,kurspris!$A$1:$Q$852,6,FALSE)</f>
        <v>0</v>
      </c>
      <c r="AH330" s="31">
        <f>VLOOKUP($A330,kurspris!$A$1:$Q$852,7,FALSE)</f>
        <v>0</v>
      </c>
      <c r="AI330" s="31">
        <f>VLOOKUP($A330,kurspris!$A$1:$Q$852,8,FALSE)</f>
        <v>0</v>
      </c>
      <c r="AJ330" s="31">
        <f>VLOOKUP($A330,kurspris!$A$1:$Q$852,9,FALSE)</f>
        <v>0</v>
      </c>
      <c r="AK330" s="31">
        <f>VLOOKUP($A330,kurspris!$A$1:$Q$852,10,FALSE)</f>
        <v>0</v>
      </c>
      <c r="AL330" s="31">
        <f>VLOOKUP($A330,kurspris!$A$1:$Q$852,11,FALSE)</f>
        <v>1</v>
      </c>
      <c r="AM330" s="31">
        <f>VLOOKUP($A330,kurspris!$A$1:$Q$852,12,FALSE)</f>
        <v>0</v>
      </c>
      <c r="AN330" s="31">
        <f>VLOOKUP($A330,kurspris!$A$1:$Q$852,13,FALSE)</f>
        <v>0</v>
      </c>
      <c r="AO330" s="31">
        <f>VLOOKUP($A330,kurspris!$A$1:$Q$852,14,FALSE)</f>
        <v>0</v>
      </c>
      <c r="AP330" s="59" t="s">
        <v>2216</v>
      </c>
      <c r="AR330" s="31">
        <f t="shared" si="191"/>
        <v>0</v>
      </c>
      <c r="AS330" s="237">
        <f t="shared" si="192"/>
        <v>0</v>
      </c>
      <c r="AT330" s="31">
        <f t="shared" si="193"/>
        <v>0</v>
      </c>
      <c r="AU330" s="237">
        <f t="shared" si="194"/>
        <v>0</v>
      </c>
      <c r="AV330" s="31">
        <f t="shared" si="195"/>
        <v>0</v>
      </c>
      <c r="AW330" s="31">
        <f t="shared" si="196"/>
        <v>0</v>
      </c>
      <c r="AX330" s="31">
        <f t="shared" si="197"/>
        <v>0</v>
      </c>
      <c r="AY330" s="237">
        <f t="shared" si="198"/>
        <v>0</v>
      </c>
      <c r="AZ330" s="214">
        <f t="shared" si="199"/>
        <v>0</v>
      </c>
      <c r="BA330" s="237">
        <f t="shared" si="200"/>
        <v>0</v>
      </c>
      <c r="BB330" s="31">
        <f t="shared" si="201"/>
        <v>0</v>
      </c>
      <c r="BC330" s="237">
        <f t="shared" si="202"/>
        <v>0</v>
      </c>
      <c r="BD330" s="31">
        <f t="shared" si="203"/>
        <v>0</v>
      </c>
      <c r="BE330" s="237">
        <f t="shared" si="204"/>
        <v>0</v>
      </c>
      <c r="BF330" s="31">
        <f t="shared" si="205"/>
        <v>0</v>
      </c>
      <c r="BG330" s="237">
        <f t="shared" si="206"/>
        <v>0</v>
      </c>
      <c r="BH330" s="31">
        <f t="shared" si="207"/>
        <v>10.5</v>
      </c>
      <c r="BI330" s="237">
        <f t="shared" si="208"/>
        <v>8.9249999999999989</v>
      </c>
      <c r="BJ330" s="31">
        <f t="shared" si="209"/>
        <v>0</v>
      </c>
      <c r="BK330" s="31">
        <f t="shared" si="210"/>
        <v>0</v>
      </c>
      <c r="BL330" s="237">
        <f t="shared" si="211"/>
        <v>0</v>
      </c>
      <c r="BM330" s="31">
        <f t="shared" si="212"/>
        <v>0</v>
      </c>
      <c r="BN330" s="237">
        <f t="shared" si="213"/>
        <v>0</v>
      </c>
    </row>
    <row r="331" spans="1:66" x14ac:dyDescent="0.25">
      <c r="A331" s="31" t="s">
        <v>1714</v>
      </c>
      <c r="B331" s="182" t="str">
        <f>VLOOKUP(A331,kurspris!$A$1:$B$894,2,FALSE)</f>
        <v>Förskolans uppdrag och arbetssätt 2</v>
      </c>
      <c r="D331" s="31" t="s">
        <v>484</v>
      </c>
      <c r="F331" s="59">
        <v>2019</v>
      </c>
      <c r="Q331" s="237">
        <v>12.16667</v>
      </c>
      <c r="R331" s="40">
        <v>0.85</v>
      </c>
      <c r="S331" s="313">
        <f t="shared" si="187"/>
        <v>10.3416695</v>
      </c>
      <c r="T331" s="31">
        <f>VLOOKUP(A331,'Ansvar kurs'!$A$1:$C$1027,2,FALSE)</f>
        <v>2193</v>
      </c>
      <c r="U331" s="31" t="str">
        <f>VLOOKUP(T331,Orgenheter!$A$1:$C$165,2,FALSE)</f>
        <v xml:space="preserve">TUV </v>
      </c>
      <c r="V331" s="31" t="str">
        <f>VLOOKUP(T331,Orgenheter!$A$1:$C$165,3,FALSE)</f>
        <v>Sam</v>
      </c>
      <c r="W331" s="37" t="str">
        <f>VLOOKUP(D331,Program!$A$1:$B$34,2,FALSE)</f>
        <v>Förskollärarprogrammet</v>
      </c>
      <c r="X331" s="42">
        <f>VLOOKUP(A331,kurspris!$A$1:$Q$815,15,FALSE)</f>
        <v>18405</v>
      </c>
      <c r="Y331" s="42">
        <f>VLOOKUP(A331,kurspris!$A$1:$Q$815,16,FALSE)</f>
        <v>15773</v>
      </c>
      <c r="Z331" s="42">
        <f t="shared" si="188"/>
        <v>387046.71437349997</v>
      </c>
      <c r="AA331" s="42">
        <f>VLOOKUP(A331,kurspris!$A$1:$Q$815,17,FALSE)</f>
        <v>5800</v>
      </c>
      <c r="AB331" s="42">
        <f t="shared" si="189"/>
        <v>70566.686000000002</v>
      </c>
      <c r="AC331" s="42">
        <f t="shared" si="190"/>
        <v>457613.40037349996</v>
      </c>
      <c r="AD331" s="31">
        <f>VLOOKUP($A331,kurspris!$A$1:$Q$852,3,FALSE)</f>
        <v>0</v>
      </c>
      <c r="AE331" s="31">
        <f>VLOOKUP($A331,kurspris!$A$1:$Q$852,4,FALSE)</f>
        <v>0</v>
      </c>
      <c r="AF331" s="31">
        <f>VLOOKUP($A331,kurspris!$A$1:$Q$852,5,FALSE)</f>
        <v>0</v>
      </c>
      <c r="AG331" s="31">
        <f>VLOOKUP($A331,kurspris!$A$1:$Q$852,6,FALSE)</f>
        <v>0</v>
      </c>
      <c r="AH331" s="31">
        <f>VLOOKUP($A331,kurspris!$A$1:$Q$852,7,FALSE)</f>
        <v>0</v>
      </c>
      <c r="AI331" s="31">
        <f>VLOOKUP($A331,kurspris!$A$1:$Q$852,8,FALSE)</f>
        <v>0</v>
      </c>
      <c r="AJ331" s="31">
        <f>VLOOKUP($A331,kurspris!$A$1:$Q$852,9,FALSE)</f>
        <v>1</v>
      </c>
      <c r="AK331" s="31">
        <f>VLOOKUP($A331,kurspris!$A$1:$Q$852,10,FALSE)</f>
        <v>0</v>
      </c>
      <c r="AL331" s="31">
        <f>VLOOKUP($A331,kurspris!$A$1:$Q$852,11,FALSE)</f>
        <v>0</v>
      </c>
      <c r="AM331" s="31">
        <f>VLOOKUP($A331,kurspris!$A$1:$Q$852,12,FALSE)</f>
        <v>0</v>
      </c>
      <c r="AN331" s="31">
        <f>VLOOKUP($A331,kurspris!$A$1:$Q$852,13,FALSE)</f>
        <v>0</v>
      </c>
      <c r="AO331" s="31">
        <f>VLOOKUP($A331,kurspris!$A$1:$Q$852,14,FALSE)</f>
        <v>0</v>
      </c>
      <c r="AP331" s="59" t="s">
        <v>2216</v>
      </c>
      <c r="AR331" s="31">
        <f t="shared" si="191"/>
        <v>0</v>
      </c>
      <c r="AS331" s="237">
        <f t="shared" si="192"/>
        <v>0</v>
      </c>
      <c r="AT331" s="31">
        <f t="shared" si="193"/>
        <v>0</v>
      </c>
      <c r="AU331" s="237">
        <f t="shared" si="194"/>
        <v>0</v>
      </c>
      <c r="AV331" s="31">
        <f t="shared" si="195"/>
        <v>0</v>
      </c>
      <c r="AW331" s="31">
        <f t="shared" si="196"/>
        <v>0</v>
      </c>
      <c r="AX331" s="31">
        <f t="shared" si="197"/>
        <v>0</v>
      </c>
      <c r="AY331" s="237">
        <f t="shared" si="198"/>
        <v>0</v>
      </c>
      <c r="AZ331" s="214">
        <f t="shared" si="199"/>
        <v>0</v>
      </c>
      <c r="BA331" s="237">
        <f t="shared" si="200"/>
        <v>0</v>
      </c>
      <c r="BB331" s="31">
        <f t="shared" si="201"/>
        <v>0</v>
      </c>
      <c r="BC331" s="237">
        <f t="shared" si="202"/>
        <v>0</v>
      </c>
      <c r="BD331" s="31">
        <f t="shared" si="203"/>
        <v>12.16667</v>
      </c>
      <c r="BE331" s="237">
        <f t="shared" si="204"/>
        <v>10.3416695</v>
      </c>
      <c r="BF331" s="31">
        <f t="shared" si="205"/>
        <v>0</v>
      </c>
      <c r="BG331" s="237">
        <f t="shared" si="206"/>
        <v>0</v>
      </c>
      <c r="BH331" s="31">
        <f t="shared" si="207"/>
        <v>0</v>
      </c>
      <c r="BI331" s="237">
        <f t="shared" si="208"/>
        <v>0</v>
      </c>
      <c r="BJ331" s="31">
        <f t="shared" si="209"/>
        <v>0</v>
      </c>
      <c r="BK331" s="31">
        <f t="shared" si="210"/>
        <v>0</v>
      </c>
      <c r="BL331" s="237">
        <f t="shared" si="211"/>
        <v>0</v>
      </c>
      <c r="BM331" s="31">
        <f t="shared" si="212"/>
        <v>0</v>
      </c>
      <c r="BN331" s="237">
        <f t="shared" si="213"/>
        <v>0</v>
      </c>
    </row>
    <row r="332" spans="1:66" x14ac:dyDescent="0.25">
      <c r="A332" s="159" t="s">
        <v>1705</v>
      </c>
      <c r="B332" s="182" t="str">
        <f>VLOOKUP(A332,kurspris!$A$1:$B$894,2,FALSE)</f>
        <v>Läraryrkets dimensioner för förskolan 1 (VFU)</v>
      </c>
      <c r="C332" s="37"/>
      <c r="D332" s="31" t="s">
        <v>484</v>
      </c>
      <c r="F332" s="59">
        <v>2019</v>
      </c>
      <c r="Q332" s="237">
        <v>9.35</v>
      </c>
      <c r="R332" s="40">
        <v>0.85</v>
      </c>
      <c r="S332" s="313">
        <f t="shared" si="187"/>
        <v>7.9474999999999998</v>
      </c>
      <c r="T332" s="31">
        <f>VLOOKUP(A332,'Ansvar kurs'!$A$1:$C$1027,2,FALSE)</f>
        <v>2193</v>
      </c>
      <c r="U332" s="31" t="str">
        <f>VLOOKUP(T332,Orgenheter!$A$1:$C$165,2,FALSE)</f>
        <v xml:space="preserve">TUV </v>
      </c>
      <c r="V332" s="31" t="str">
        <f>VLOOKUP(T332,Orgenheter!$A$1:$C$165,3,FALSE)</f>
        <v>Sam</v>
      </c>
      <c r="W332" s="37" t="str">
        <f>VLOOKUP(D332,Program!$A$1:$B$34,2,FALSE)</f>
        <v>Förskollärarprogrammet</v>
      </c>
      <c r="X332" s="42">
        <f>VLOOKUP(A332,kurspris!$A$1:$Q$815,15,FALSE)</f>
        <v>21634</v>
      </c>
      <c r="Y332" s="42">
        <f>VLOOKUP(A332,kurspris!$A$1:$Q$815,16,FALSE)</f>
        <v>26986</v>
      </c>
      <c r="Z332" s="42">
        <f t="shared" si="188"/>
        <v>416749.13500000001</v>
      </c>
      <c r="AA332" s="42">
        <f>VLOOKUP(A332,kurspris!$A$1:$Q$815,17,FALSE)</f>
        <v>3400</v>
      </c>
      <c r="AB332" s="42">
        <f t="shared" si="189"/>
        <v>31790</v>
      </c>
      <c r="AC332" s="42">
        <f t="shared" si="190"/>
        <v>448539.13500000001</v>
      </c>
      <c r="AD332" s="31">
        <f>VLOOKUP($A332,kurspris!$A$1:$Q$852,3,FALSE)</f>
        <v>0</v>
      </c>
      <c r="AE332" s="31">
        <f>VLOOKUP($A332,kurspris!$A$1:$Q$852,4,FALSE)</f>
        <v>0</v>
      </c>
      <c r="AF332" s="31">
        <f>VLOOKUP($A332,kurspris!$A$1:$Q$852,5,FALSE)</f>
        <v>0</v>
      </c>
      <c r="AG332" s="31">
        <f>VLOOKUP($A332,kurspris!$A$1:$Q$852,6,FALSE)</f>
        <v>0</v>
      </c>
      <c r="AH332" s="31">
        <f>VLOOKUP($A332,kurspris!$A$1:$Q$852,7,FALSE)</f>
        <v>0</v>
      </c>
      <c r="AI332" s="31">
        <f>VLOOKUP($A332,kurspris!$A$1:$Q$852,8,FALSE)</f>
        <v>0</v>
      </c>
      <c r="AJ332" s="31">
        <f>VLOOKUP($A332,kurspris!$A$1:$Q$852,9,FALSE)</f>
        <v>0</v>
      </c>
      <c r="AK332" s="31">
        <f>VLOOKUP($A332,kurspris!$A$1:$Q$852,10,FALSE)</f>
        <v>0</v>
      </c>
      <c r="AL332" s="31">
        <f>VLOOKUP($A332,kurspris!$A$1:$Q$852,11,FALSE)</f>
        <v>1</v>
      </c>
      <c r="AM332" s="31">
        <f>VLOOKUP($A332,kurspris!$A$1:$Q$852,12,FALSE)</f>
        <v>0</v>
      </c>
      <c r="AN332" s="31">
        <f>VLOOKUP($A332,kurspris!$A$1:$Q$852,13,FALSE)</f>
        <v>0</v>
      </c>
      <c r="AO332" s="31">
        <f>VLOOKUP($A332,kurspris!$A$1:$Q$852,14,FALSE)</f>
        <v>0</v>
      </c>
      <c r="AP332" s="59" t="s">
        <v>2216</v>
      </c>
      <c r="AR332" s="31">
        <f t="shared" si="191"/>
        <v>0</v>
      </c>
      <c r="AS332" s="237">
        <f t="shared" si="192"/>
        <v>0</v>
      </c>
      <c r="AT332" s="31">
        <f t="shared" si="193"/>
        <v>0</v>
      </c>
      <c r="AU332" s="237">
        <f t="shared" si="194"/>
        <v>0</v>
      </c>
      <c r="AV332" s="31">
        <f t="shared" si="195"/>
        <v>0</v>
      </c>
      <c r="AW332" s="31">
        <f t="shared" si="196"/>
        <v>0</v>
      </c>
      <c r="AX332" s="31">
        <f t="shared" si="197"/>
        <v>0</v>
      </c>
      <c r="AY332" s="237">
        <f t="shared" si="198"/>
        <v>0</v>
      </c>
      <c r="AZ332" s="214">
        <f t="shared" si="199"/>
        <v>0</v>
      </c>
      <c r="BA332" s="237">
        <f t="shared" si="200"/>
        <v>0</v>
      </c>
      <c r="BB332" s="31">
        <f t="shared" si="201"/>
        <v>0</v>
      </c>
      <c r="BC332" s="237">
        <f t="shared" si="202"/>
        <v>0</v>
      </c>
      <c r="BD332" s="31">
        <f t="shared" si="203"/>
        <v>0</v>
      </c>
      <c r="BE332" s="237">
        <f t="shared" si="204"/>
        <v>0</v>
      </c>
      <c r="BF332" s="31">
        <f t="shared" si="205"/>
        <v>0</v>
      </c>
      <c r="BG332" s="237">
        <f t="shared" si="206"/>
        <v>0</v>
      </c>
      <c r="BH332" s="31">
        <f t="shared" si="207"/>
        <v>9.35</v>
      </c>
      <c r="BI332" s="237">
        <f t="shared" si="208"/>
        <v>7.9474999999999998</v>
      </c>
      <c r="BJ332" s="31">
        <f t="shared" si="209"/>
        <v>0</v>
      </c>
      <c r="BK332" s="31">
        <f t="shared" si="210"/>
        <v>0</v>
      </c>
      <c r="BL332" s="237">
        <f t="shared" si="211"/>
        <v>0</v>
      </c>
      <c r="BM332" s="31">
        <f t="shared" si="212"/>
        <v>0</v>
      </c>
      <c r="BN332" s="237">
        <f t="shared" si="213"/>
        <v>0</v>
      </c>
    </row>
    <row r="333" spans="1:66" x14ac:dyDescent="0.25">
      <c r="A333" s="159" t="s">
        <v>1707</v>
      </c>
      <c r="B333" s="182" t="str">
        <f>VLOOKUP(A333,kurspris!$A$1:$B$894,2,FALSE)</f>
        <v>Läraryrkets dimensioner för förskolan 2 (VFU)</v>
      </c>
      <c r="C333" s="37"/>
      <c r="D333" s="31" t="s">
        <v>484</v>
      </c>
      <c r="F333" s="59">
        <v>2019</v>
      </c>
      <c r="Q333" s="237">
        <v>10.625</v>
      </c>
      <c r="R333" s="40">
        <v>0.85</v>
      </c>
      <c r="S333" s="313">
        <f t="shared" si="187"/>
        <v>9.03125</v>
      </c>
      <c r="T333" s="31">
        <f>VLOOKUP(A333,'Ansvar kurs'!$A$1:$C$1027,2,FALSE)</f>
        <v>2193</v>
      </c>
      <c r="U333" s="31" t="str">
        <f>VLOOKUP(T333,Orgenheter!$A$1:$C$165,2,FALSE)</f>
        <v xml:space="preserve">TUV </v>
      </c>
      <c r="V333" s="31" t="str">
        <f>VLOOKUP(T333,Orgenheter!$A$1:$C$165,3,FALSE)</f>
        <v>Sam</v>
      </c>
      <c r="W333" s="37" t="str">
        <f>VLOOKUP(D333,Program!$A$1:$B$34,2,FALSE)</f>
        <v>Förskollärarprogrammet</v>
      </c>
      <c r="X333" s="42">
        <f>VLOOKUP(A333,kurspris!$A$1:$Q$815,15,FALSE)</f>
        <v>21634</v>
      </c>
      <c r="Y333" s="42">
        <f>VLOOKUP(A333,kurspris!$A$1:$Q$815,16,FALSE)</f>
        <v>26986</v>
      </c>
      <c r="Z333" s="42">
        <f t="shared" si="188"/>
        <v>473578.5625</v>
      </c>
      <c r="AA333" s="42">
        <f>VLOOKUP(A333,kurspris!$A$1:$Q$815,17,FALSE)</f>
        <v>3400</v>
      </c>
      <c r="AB333" s="42">
        <f t="shared" si="189"/>
        <v>36125</v>
      </c>
      <c r="AC333" s="42">
        <f t="shared" si="190"/>
        <v>509703.5625</v>
      </c>
      <c r="AD333" s="31">
        <f>VLOOKUP($A333,kurspris!$A$1:$Q$852,3,FALSE)</f>
        <v>0</v>
      </c>
      <c r="AE333" s="31">
        <f>VLOOKUP($A333,kurspris!$A$1:$Q$852,4,FALSE)</f>
        <v>0</v>
      </c>
      <c r="AF333" s="31">
        <f>VLOOKUP($A333,kurspris!$A$1:$Q$852,5,FALSE)</f>
        <v>0</v>
      </c>
      <c r="AG333" s="31">
        <f>VLOOKUP($A333,kurspris!$A$1:$Q$852,6,FALSE)</f>
        <v>0</v>
      </c>
      <c r="AH333" s="31">
        <f>VLOOKUP($A333,kurspris!$A$1:$Q$852,7,FALSE)</f>
        <v>0</v>
      </c>
      <c r="AI333" s="31">
        <f>VLOOKUP($A333,kurspris!$A$1:$Q$852,8,FALSE)</f>
        <v>0</v>
      </c>
      <c r="AJ333" s="31">
        <f>VLOOKUP($A333,kurspris!$A$1:$Q$852,9,FALSE)</f>
        <v>0</v>
      </c>
      <c r="AK333" s="31">
        <f>VLOOKUP($A333,kurspris!$A$1:$Q$852,10,FALSE)</f>
        <v>0</v>
      </c>
      <c r="AL333" s="31">
        <f>VLOOKUP($A333,kurspris!$A$1:$Q$852,11,FALSE)</f>
        <v>1</v>
      </c>
      <c r="AM333" s="31">
        <f>VLOOKUP($A333,kurspris!$A$1:$Q$852,12,FALSE)</f>
        <v>0</v>
      </c>
      <c r="AN333" s="31">
        <f>VLOOKUP($A333,kurspris!$A$1:$Q$852,13,FALSE)</f>
        <v>0</v>
      </c>
      <c r="AO333" s="31">
        <f>VLOOKUP($A333,kurspris!$A$1:$Q$852,14,FALSE)</f>
        <v>0</v>
      </c>
      <c r="AP333" s="59" t="s">
        <v>2216</v>
      </c>
      <c r="AR333" s="31">
        <f t="shared" si="191"/>
        <v>0</v>
      </c>
      <c r="AS333" s="237">
        <f t="shared" si="192"/>
        <v>0</v>
      </c>
      <c r="AT333" s="31">
        <f t="shared" si="193"/>
        <v>0</v>
      </c>
      <c r="AU333" s="237">
        <f t="shared" si="194"/>
        <v>0</v>
      </c>
      <c r="AV333" s="31">
        <f t="shared" si="195"/>
        <v>0</v>
      </c>
      <c r="AW333" s="31">
        <f t="shared" si="196"/>
        <v>0</v>
      </c>
      <c r="AX333" s="31">
        <f t="shared" si="197"/>
        <v>0</v>
      </c>
      <c r="AY333" s="237">
        <f t="shared" si="198"/>
        <v>0</v>
      </c>
      <c r="AZ333" s="214">
        <f t="shared" si="199"/>
        <v>0</v>
      </c>
      <c r="BA333" s="237">
        <f t="shared" si="200"/>
        <v>0</v>
      </c>
      <c r="BB333" s="31">
        <f t="shared" si="201"/>
        <v>0</v>
      </c>
      <c r="BC333" s="237">
        <f t="shared" si="202"/>
        <v>0</v>
      </c>
      <c r="BD333" s="31">
        <f t="shared" si="203"/>
        <v>0</v>
      </c>
      <c r="BE333" s="237">
        <f t="shared" si="204"/>
        <v>0</v>
      </c>
      <c r="BF333" s="31">
        <f t="shared" si="205"/>
        <v>0</v>
      </c>
      <c r="BG333" s="237">
        <f t="shared" si="206"/>
        <v>0</v>
      </c>
      <c r="BH333" s="31">
        <f t="shared" si="207"/>
        <v>10.625</v>
      </c>
      <c r="BI333" s="237">
        <f t="shared" si="208"/>
        <v>9.03125</v>
      </c>
      <c r="BJ333" s="31">
        <f t="shared" si="209"/>
        <v>0</v>
      </c>
      <c r="BK333" s="31">
        <f t="shared" si="210"/>
        <v>0</v>
      </c>
      <c r="BL333" s="237">
        <f t="shared" si="211"/>
        <v>0</v>
      </c>
      <c r="BM333" s="31">
        <f t="shared" si="212"/>
        <v>0</v>
      </c>
      <c r="BN333" s="237">
        <f t="shared" si="213"/>
        <v>0</v>
      </c>
    </row>
    <row r="334" spans="1:66" x14ac:dyDescent="0.25">
      <c r="A334" s="159" t="s">
        <v>1791</v>
      </c>
      <c r="B334" s="182" t="str">
        <f>VLOOKUP(A334,kurspris!$A$1:$B$894,2,FALSE)</f>
        <v>Examensarbete för förskollärarexamen</v>
      </c>
      <c r="C334" s="37"/>
      <c r="D334" s="31" t="s">
        <v>484</v>
      </c>
      <c r="F334" s="59">
        <v>2019</v>
      </c>
      <c r="Q334" s="237">
        <v>21</v>
      </c>
      <c r="R334" s="40">
        <v>0.85</v>
      </c>
      <c r="S334" s="313">
        <f t="shared" si="187"/>
        <v>17.849999999999998</v>
      </c>
      <c r="T334" s="31">
        <f>VLOOKUP(A334,'Ansvar kurs'!$A$1:$C$1027,2,FALSE)</f>
        <v>2193</v>
      </c>
      <c r="U334" s="31" t="str">
        <f>VLOOKUP(T334,Orgenheter!$A$1:$C$165,2,FALSE)</f>
        <v xml:space="preserve">TUV </v>
      </c>
      <c r="V334" s="31" t="str">
        <f>VLOOKUP(T334,Orgenheter!$A$1:$C$165,3,FALSE)</f>
        <v>Sam</v>
      </c>
      <c r="W334" s="37" t="str">
        <f>VLOOKUP(D334,Program!$A$1:$B$34,2,FALSE)</f>
        <v>Förskollärarprogrammet</v>
      </c>
      <c r="X334" s="42">
        <f>VLOOKUP(A334,kurspris!$A$1:$Q$815,15,FALSE)</f>
        <v>18405</v>
      </c>
      <c r="Y334" s="42">
        <f>VLOOKUP(A334,kurspris!$A$1:$Q$815,16,FALSE)</f>
        <v>15773</v>
      </c>
      <c r="Z334" s="42">
        <f t="shared" si="188"/>
        <v>668053.05000000005</v>
      </c>
      <c r="AA334" s="42">
        <f>VLOOKUP(A334,kurspris!$A$1:$Q$815,17,FALSE)</f>
        <v>5800</v>
      </c>
      <c r="AB334" s="42">
        <f t="shared" si="189"/>
        <v>121800</v>
      </c>
      <c r="AC334" s="42">
        <f t="shared" si="190"/>
        <v>789853.05</v>
      </c>
      <c r="AD334" s="31">
        <f>VLOOKUP($A334,kurspris!$A$1:$Q$852,3,FALSE)</f>
        <v>0</v>
      </c>
      <c r="AE334" s="31">
        <f>VLOOKUP($A334,kurspris!$A$1:$Q$852,4,FALSE)</f>
        <v>0</v>
      </c>
      <c r="AF334" s="31">
        <f>VLOOKUP($A334,kurspris!$A$1:$Q$852,5,FALSE)</f>
        <v>0</v>
      </c>
      <c r="AG334" s="31">
        <f>VLOOKUP($A334,kurspris!$A$1:$Q$852,6,FALSE)</f>
        <v>0</v>
      </c>
      <c r="AH334" s="31">
        <f>VLOOKUP($A334,kurspris!$A$1:$Q$852,7,FALSE)</f>
        <v>0</v>
      </c>
      <c r="AI334" s="31">
        <f>VLOOKUP($A334,kurspris!$A$1:$Q$852,8,FALSE)</f>
        <v>0</v>
      </c>
      <c r="AJ334" s="31">
        <f>VLOOKUP($A334,kurspris!$A$1:$Q$852,9,FALSE)</f>
        <v>1</v>
      </c>
      <c r="AK334" s="31">
        <f>VLOOKUP($A334,kurspris!$A$1:$Q$852,10,FALSE)</f>
        <v>0</v>
      </c>
      <c r="AL334" s="31">
        <f>VLOOKUP($A334,kurspris!$A$1:$Q$852,11,FALSE)</f>
        <v>0</v>
      </c>
      <c r="AM334" s="31">
        <f>VLOOKUP($A334,kurspris!$A$1:$Q$852,12,FALSE)</f>
        <v>0</v>
      </c>
      <c r="AN334" s="31">
        <f>VLOOKUP($A334,kurspris!$A$1:$Q$852,13,FALSE)</f>
        <v>0</v>
      </c>
      <c r="AO334" s="31">
        <f>VLOOKUP($A334,kurspris!$A$1:$Q$852,14,FALSE)</f>
        <v>0</v>
      </c>
      <c r="AP334" s="59" t="s">
        <v>2216</v>
      </c>
      <c r="AR334" s="31">
        <f t="shared" si="191"/>
        <v>0</v>
      </c>
      <c r="AS334" s="237">
        <f t="shared" si="192"/>
        <v>0</v>
      </c>
      <c r="AT334" s="31">
        <f t="shared" si="193"/>
        <v>0</v>
      </c>
      <c r="AU334" s="237">
        <f t="shared" si="194"/>
        <v>0</v>
      </c>
      <c r="AV334" s="31">
        <f t="shared" si="195"/>
        <v>0</v>
      </c>
      <c r="AW334" s="31">
        <f t="shared" si="196"/>
        <v>0</v>
      </c>
      <c r="AX334" s="31">
        <f t="shared" si="197"/>
        <v>0</v>
      </c>
      <c r="AY334" s="237">
        <f t="shared" si="198"/>
        <v>0</v>
      </c>
      <c r="AZ334" s="214">
        <f t="shared" si="199"/>
        <v>0</v>
      </c>
      <c r="BA334" s="237">
        <f t="shared" si="200"/>
        <v>0</v>
      </c>
      <c r="BB334" s="31">
        <f t="shared" si="201"/>
        <v>0</v>
      </c>
      <c r="BC334" s="237">
        <f t="shared" si="202"/>
        <v>0</v>
      </c>
      <c r="BD334" s="31">
        <f t="shared" si="203"/>
        <v>21</v>
      </c>
      <c r="BE334" s="237">
        <f t="shared" si="204"/>
        <v>17.849999999999998</v>
      </c>
      <c r="BF334" s="31">
        <f t="shared" si="205"/>
        <v>0</v>
      </c>
      <c r="BG334" s="237">
        <f t="shared" si="206"/>
        <v>0</v>
      </c>
      <c r="BH334" s="31">
        <f t="shared" si="207"/>
        <v>0</v>
      </c>
      <c r="BI334" s="237">
        <f t="shared" si="208"/>
        <v>0</v>
      </c>
      <c r="BJ334" s="31">
        <f t="shared" si="209"/>
        <v>0</v>
      </c>
      <c r="BK334" s="31">
        <f t="shared" si="210"/>
        <v>0</v>
      </c>
      <c r="BL334" s="237">
        <f t="shared" si="211"/>
        <v>0</v>
      </c>
      <c r="BM334" s="31">
        <f t="shared" si="212"/>
        <v>0</v>
      </c>
      <c r="BN334" s="237">
        <f t="shared" si="213"/>
        <v>0</v>
      </c>
    </row>
    <row r="335" spans="1:66" x14ac:dyDescent="0.25">
      <c r="A335" s="159" t="s">
        <v>1745</v>
      </c>
      <c r="B335" s="182" t="str">
        <f>VLOOKUP(A335,kurspris!$A$1:$B$894,2,FALSE)</f>
        <v>Kunskap, undervisning och lärande 2</v>
      </c>
      <c r="C335" s="37"/>
      <c r="D335" s="31" t="s">
        <v>628</v>
      </c>
      <c r="F335" s="59">
        <v>2019</v>
      </c>
      <c r="Q335" s="237">
        <v>3.5</v>
      </c>
      <c r="R335" s="40">
        <v>0.85</v>
      </c>
      <c r="S335" s="313">
        <f t="shared" si="187"/>
        <v>2.9750000000000001</v>
      </c>
      <c r="T335" s="31">
        <f>VLOOKUP(A335,'Ansvar kurs'!$A$1:$C$1027,2,FALSE)</f>
        <v>5740</v>
      </c>
      <c r="U335" s="31" t="str">
        <f>VLOOKUP(T335,Orgenheter!$A$1:$C$165,2,FALSE)</f>
        <v>NMD</v>
      </c>
      <c r="V335" s="31" t="str">
        <f>VLOOKUP(T335,Orgenheter!$A$1:$C$165,3,FALSE)</f>
        <v>TekNat</v>
      </c>
      <c r="W335" s="37" t="str">
        <f>VLOOKUP(D335,Program!$A$1:$B$34,2,FALSE)</f>
        <v>KPU - åk 7-9</v>
      </c>
      <c r="X335" s="42">
        <f>VLOOKUP(A335,kurspris!$A$1:$Q$815,15,FALSE)</f>
        <v>23641</v>
      </c>
      <c r="Y335" s="42">
        <f>VLOOKUP(A335,kurspris!$A$1:$Q$815,16,FALSE)</f>
        <v>28786</v>
      </c>
      <c r="Z335" s="42">
        <f t="shared" si="188"/>
        <v>168381.85</v>
      </c>
      <c r="AA335" s="42">
        <f>VLOOKUP(A335,kurspris!$A$1:$Q$815,17,FALSE)</f>
        <v>5800</v>
      </c>
      <c r="AB335" s="42">
        <f t="shared" si="189"/>
        <v>20300</v>
      </c>
      <c r="AC335" s="42">
        <f t="shared" si="190"/>
        <v>188681.85</v>
      </c>
      <c r="AD335" s="31">
        <f>VLOOKUP($A335,kurspris!$A$1:$Q$852,3,FALSE)</f>
        <v>0</v>
      </c>
      <c r="AE335" s="31">
        <f>VLOOKUP($A335,kurspris!$A$1:$Q$852,4,FALSE)</f>
        <v>0</v>
      </c>
      <c r="AF335" s="31">
        <f>VLOOKUP($A335,kurspris!$A$1:$Q$852,5,FALSE)</f>
        <v>0</v>
      </c>
      <c r="AG335" s="31">
        <f>VLOOKUP($A335,kurspris!$A$1:$Q$852,6,FALSE)</f>
        <v>1</v>
      </c>
      <c r="AH335" s="31">
        <f>VLOOKUP($A335,kurspris!$A$1:$Q$852,7,FALSE)</f>
        <v>0</v>
      </c>
      <c r="AI335" s="31">
        <f>VLOOKUP($A335,kurspris!$A$1:$Q$852,8,FALSE)</f>
        <v>0</v>
      </c>
      <c r="AJ335" s="31">
        <f>VLOOKUP($A335,kurspris!$A$1:$Q$852,9,FALSE)</f>
        <v>0</v>
      </c>
      <c r="AK335" s="31">
        <f>VLOOKUP($A335,kurspris!$A$1:$Q$852,10,FALSE)</f>
        <v>0</v>
      </c>
      <c r="AL335" s="31">
        <f>VLOOKUP($A335,kurspris!$A$1:$Q$852,11,FALSE)</f>
        <v>0</v>
      </c>
      <c r="AM335" s="31">
        <f>VLOOKUP($A335,kurspris!$A$1:$Q$852,12,FALSE)</f>
        <v>0</v>
      </c>
      <c r="AN335" s="31">
        <f>VLOOKUP($A335,kurspris!$A$1:$Q$852,13,FALSE)</f>
        <v>0</v>
      </c>
      <c r="AO335" s="31">
        <f>VLOOKUP($A335,kurspris!$A$1:$Q$852,14,FALSE)</f>
        <v>0</v>
      </c>
      <c r="AP335" s="59" t="s">
        <v>2216</v>
      </c>
      <c r="AR335" s="31">
        <f t="shared" si="191"/>
        <v>0</v>
      </c>
      <c r="AS335" s="237">
        <f t="shared" si="192"/>
        <v>0</v>
      </c>
      <c r="AT335" s="31">
        <f t="shared" si="193"/>
        <v>0</v>
      </c>
      <c r="AU335" s="237">
        <f t="shared" si="194"/>
        <v>0</v>
      </c>
      <c r="AV335" s="31">
        <f t="shared" si="195"/>
        <v>0</v>
      </c>
      <c r="AW335" s="31">
        <f t="shared" si="196"/>
        <v>0</v>
      </c>
      <c r="AX335" s="31">
        <f t="shared" si="197"/>
        <v>3.5</v>
      </c>
      <c r="AY335" s="237">
        <f t="shared" si="198"/>
        <v>2.9750000000000001</v>
      </c>
      <c r="AZ335" s="214">
        <f t="shared" si="199"/>
        <v>0</v>
      </c>
      <c r="BA335" s="237">
        <f t="shared" si="200"/>
        <v>0</v>
      </c>
      <c r="BB335" s="31">
        <f t="shared" si="201"/>
        <v>0</v>
      </c>
      <c r="BC335" s="237">
        <f t="shared" si="202"/>
        <v>0</v>
      </c>
      <c r="BD335" s="31">
        <f t="shared" si="203"/>
        <v>0</v>
      </c>
      <c r="BE335" s="237">
        <f t="shared" si="204"/>
        <v>0</v>
      </c>
      <c r="BF335" s="31">
        <f t="shared" si="205"/>
        <v>0</v>
      </c>
      <c r="BG335" s="237">
        <f t="shared" si="206"/>
        <v>0</v>
      </c>
      <c r="BH335" s="31">
        <f t="shared" si="207"/>
        <v>0</v>
      </c>
      <c r="BI335" s="237">
        <f t="shared" si="208"/>
        <v>0</v>
      </c>
      <c r="BJ335" s="31">
        <f t="shared" si="209"/>
        <v>0</v>
      </c>
      <c r="BK335" s="31">
        <f t="shared" si="210"/>
        <v>0</v>
      </c>
      <c r="BL335" s="237">
        <f t="shared" si="211"/>
        <v>0</v>
      </c>
      <c r="BM335" s="31">
        <f t="shared" si="212"/>
        <v>0</v>
      </c>
      <c r="BN335" s="237">
        <f t="shared" si="213"/>
        <v>0</v>
      </c>
    </row>
    <row r="336" spans="1:66" x14ac:dyDescent="0.25">
      <c r="A336" s="159" t="s">
        <v>1745</v>
      </c>
      <c r="B336" s="182" t="str">
        <f>VLOOKUP(A336,kurspris!$A$1:$B$894,2,FALSE)</f>
        <v>Kunskap, undervisning och lärande 2</v>
      </c>
      <c r="C336" s="37"/>
      <c r="D336" s="31" t="s">
        <v>629</v>
      </c>
      <c r="F336" s="59">
        <v>2019</v>
      </c>
      <c r="Q336" s="237">
        <v>2.25</v>
      </c>
      <c r="R336" s="40">
        <v>0.85</v>
      </c>
      <c r="S336" s="313">
        <f t="shared" si="187"/>
        <v>1.9124999999999999</v>
      </c>
      <c r="T336" s="31">
        <f>VLOOKUP(A336,'Ansvar kurs'!$A$1:$C$1027,2,FALSE)</f>
        <v>5740</v>
      </c>
      <c r="U336" s="31" t="str">
        <f>VLOOKUP(T336,Orgenheter!$A$1:$C$165,2,FALSE)</f>
        <v>NMD</v>
      </c>
      <c r="V336" s="31" t="str">
        <f>VLOOKUP(T336,Orgenheter!$A$1:$C$165,3,FALSE)</f>
        <v>TekNat</v>
      </c>
      <c r="W336" s="37" t="str">
        <f>VLOOKUP(D336,Program!$A$1:$B$34,2,FALSE)</f>
        <v>KPU - Gy</v>
      </c>
      <c r="X336" s="42">
        <f>VLOOKUP(A336,kurspris!$A$1:$Q$815,15,FALSE)</f>
        <v>23641</v>
      </c>
      <c r="Y336" s="42">
        <f>VLOOKUP(A336,kurspris!$A$1:$Q$815,16,FALSE)</f>
        <v>28786</v>
      </c>
      <c r="Z336" s="42">
        <f t="shared" si="188"/>
        <v>108245.47500000001</v>
      </c>
      <c r="AA336" s="42">
        <f>VLOOKUP(A336,kurspris!$A$1:$Q$815,17,FALSE)</f>
        <v>5800</v>
      </c>
      <c r="AB336" s="42">
        <f t="shared" si="189"/>
        <v>13050</v>
      </c>
      <c r="AC336" s="42">
        <f t="shared" si="190"/>
        <v>121295.47500000001</v>
      </c>
      <c r="AD336" s="31">
        <f>VLOOKUP($A336,kurspris!$A$1:$Q$852,3,FALSE)</f>
        <v>0</v>
      </c>
      <c r="AE336" s="31">
        <f>VLOOKUP($A336,kurspris!$A$1:$Q$852,4,FALSE)</f>
        <v>0</v>
      </c>
      <c r="AF336" s="31">
        <f>VLOOKUP($A336,kurspris!$A$1:$Q$852,5,FALSE)</f>
        <v>0</v>
      </c>
      <c r="AG336" s="31">
        <f>VLOOKUP($A336,kurspris!$A$1:$Q$852,6,FALSE)</f>
        <v>1</v>
      </c>
      <c r="AH336" s="31">
        <f>VLOOKUP($A336,kurspris!$A$1:$Q$852,7,FALSE)</f>
        <v>0</v>
      </c>
      <c r="AI336" s="31">
        <f>VLOOKUP($A336,kurspris!$A$1:$Q$852,8,FALSE)</f>
        <v>0</v>
      </c>
      <c r="AJ336" s="31">
        <f>VLOOKUP($A336,kurspris!$A$1:$Q$852,9,FALSE)</f>
        <v>0</v>
      </c>
      <c r="AK336" s="31">
        <f>VLOOKUP($A336,kurspris!$A$1:$Q$852,10,FALSE)</f>
        <v>0</v>
      </c>
      <c r="AL336" s="31">
        <f>VLOOKUP($A336,kurspris!$A$1:$Q$852,11,FALSE)</f>
        <v>0</v>
      </c>
      <c r="AM336" s="31">
        <f>VLOOKUP($A336,kurspris!$A$1:$Q$852,12,FALSE)</f>
        <v>0</v>
      </c>
      <c r="AN336" s="31">
        <f>VLOOKUP($A336,kurspris!$A$1:$Q$852,13,FALSE)</f>
        <v>0</v>
      </c>
      <c r="AO336" s="31">
        <f>VLOOKUP($A336,kurspris!$A$1:$Q$852,14,FALSE)</f>
        <v>0</v>
      </c>
      <c r="AP336" s="59" t="s">
        <v>2216</v>
      </c>
      <c r="AR336" s="31">
        <f t="shared" si="191"/>
        <v>0</v>
      </c>
      <c r="AS336" s="237">
        <f t="shared" si="192"/>
        <v>0</v>
      </c>
      <c r="AT336" s="31">
        <f t="shared" si="193"/>
        <v>0</v>
      </c>
      <c r="AU336" s="237">
        <f t="shared" si="194"/>
        <v>0</v>
      </c>
      <c r="AV336" s="31">
        <f t="shared" si="195"/>
        <v>0</v>
      </c>
      <c r="AW336" s="31">
        <f t="shared" si="196"/>
        <v>0</v>
      </c>
      <c r="AX336" s="31">
        <f t="shared" si="197"/>
        <v>2.25</v>
      </c>
      <c r="AY336" s="237">
        <f t="shared" si="198"/>
        <v>1.9124999999999999</v>
      </c>
      <c r="AZ336" s="214">
        <f t="shared" si="199"/>
        <v>0</v>
      </c>
      <c r="BA336" s="237">
        <f t="shared" si="200"/>
        <v>0</v>
      </c>
      <c r="BB336" s="31">
        <f t="shared" si="201"/>
        <v>0</v>
      </c>
      <c r="BC336" s="237">
        <f t="shared" si="202"/>
        <v>0</v>
      </c>
      <c r="BD336" s="31">
        <f t="shared" si="203"/>
        <v>0</v>
      </c>
      <c r="BE336" s="237">
        <f t="shared" si="204"/>
        <v>0</v>
      </c>
      <c r="BF336" s="31">
        <f t="shared" si="205"/>
        <v>0</v>
      </c>
      <c r="BG336" s="237">
        <f t="shared" si="206"/>
        <v>0</v>
      </c>
      <c r="BH336" s="31">
        <f t="shared" si="207"/>
        <v>0</v>
      </c>
      <c r="BI336" s="237">
        <f t="shared" si="208"/>
        <v>0</v>
      </c>
      <c r="BJ336" s="31">
        <f t="shared" si="209"/>
        <v>0</v>
      </c>
      <c r="BK336" s="31">
        <f t="shared" si="210"/>
        <v>0</v>
      </c>
      <c r="BL336" s="237">
        <f t="shared" si="211"/>
        <v>0</v>
      </c>
      <c r="BM336" s="31">
        <f t="shared" si="212"/>
        <v>0</v>
      </c>
      <c r="BN336" s="237">
        <f t="shared" si="213"/>
        <v>0</v>
      </c>
    </row>
    <row r="337" spans="1:66" x14ac:dyDescent="0.25">
      <c r="A337" s="159" t="s">
        <v>1733</v>
      </c>
      <c r="B337" s="182" t="str">
        <f>VLOOKUP(A337,kurspris!$A$1:$B$894,2,FALSE)</f>
        <v>Läraryrkets dimensioner för förskoleklass och grundskolans årskurs 1-3 (VFU)</v>
      </c>
      <c r="C337" s="37"/>
      <c r="D337" s="31" t="s">
        <v>486</v>
      </c>
      <c r="F337" s="59">
        <v>2019</v>
      </c>
      <c r="Q337" s="237">
        <v>15</v>
      </c>
      <c r="R337" s="40">
        <v>0.85</v>
      </c>
      <c r="S337" s="313">
        <f t="shared" si="187"/>
        <v>12.75</v>
      </c>
      <c r="T337" s="31">
        <f>VLOOKUP(A337,'Ansvar kurs'!$A$1:$C$1027,2,FALSE)</f>
        <v>5740</v>
      </c>
      <c r="U337" s="31" t="str">
        <f>VLOOKUP(T337,Orgenheter!$A$1:$C$165,2,FALSE)</f>
        <v>NMD</v>
      </c>
      <c r="V337" s="31" t="str">
        <f>VLOOKUP(T337,Orgenheter!$A$1:$C$165,3,FALSE)</f>
        <v>TekNat</v>
      </c>
      <c r="W337" s="37" t="str">
        <f>VLOOKUP(D337,Program!$A$1:$B$34,2,FALSE)</f>
        <v>Grundlärarprogrammet - förskoleklass och åk 1-3</v>
      </c>
      <c r="X337" s="42">
        <f>VLOOKUP(A337,kurspris!$A$1:$Q$815,15,FALSE)</f>
        <v>21634</v>
      </c>
      <c r="Y337" s="42">
        <f>VLOOKUP(A337,kurspris!$A$1:$Q$815,16,FALSE)</f>
        <v>26986</v>
      </c>
      <c r="Z337" s="42">
        <f t="shared" si="188"/>
        <v>668581.5</v>
      </c>
      <c r="AA337" s="42">
        <f>VLOOKUP(A337,kurspris!$A$1:$Q$815,17,FALSE)</f>
        <v>3400</v>
      </c>
      <c r="AB337" s="42">
        <f t="shared" si="189"/>
        <v>51000</v>
      </c>
      <c r="AC337" s="42">
        <f t="shared" si="190"/>
        <v>719581.5</v>
      </c>
      <c r="AD337" s="31">
        <f>VLOOKUP($A337,kurspris!$A$1:$Q$852,3,FALSE)</f>
        <v>0</v>
      </c>
      <c r="AE337" s="31">
        <f>VLOOKUP($A337,kurspris!$A$1:$Q$852,4,FALSE)</f>
        <v>0</v>
      </c>
      <c r="AF337" s="31">
        <f>VLOOKUP($A337,kurspris!$A$1:$Q$852,5,FALSE)</f>
        <v>0</v>
      </c>
      <c r="AG337" s="31">
        <f>VLOOKUP($A337,kurspris!$A$1:$Q$852,6,FALSE)</f>
        <v>0</v>
      </c>
      <c r="AH337" s="31">
        <f>VLOOKUP($A337,kurspris!$A$1:$Q$852,7,FALSE)</f>
        <v>0</v>
      </c>
      <c r="AI337" s="31">
        <f>VLOOKUP($A337,kurspris!$A$1:$Q$852,8,FALSE)</f>
        <v>0</v>
      </c>
      <c r="AJ337" s="31">
        <f>VLOOKUP($A337,kurspris!$A$1:$Q$852,9,FALSE)</f>
        <v>0</v>
      </c>
      <c r="AK337" s="31">
        <f>VLOOKUP($A337,kurspris!$A$1:$Q$852,10,FALSE)</f>
        <v>0</v>
      </c>
      <c r="AL337" s="31">
        <f>VLOOKUP($A337,kurspris!$A$1:$Q$852,11,FALSE)</f>
        <v>1</v>
      </c>
      <c r="AM337" s="31">
        <f>VLOOKUP($A337,kurspris!$A$1:$Q$852,12,FALSE)</f>
        <v>0</v>
      </c>
      <c r="AN337" s="31">
        <f>VLOOKUP($A337,kurspris!$A$1:$Q$852,13,FALSE)</f>
        <v>0</v>
      </c>
      <c r="AO337" s="31">
        <f>VLOOKUP($A337,kurspris!$A$1:$Q$852,14,FALSE)</f>
        <v>0</v>
      </c>
      <c r="AP337" s="59" t="s">
        <v>2216</v>
      </c>
      <c r="AR337" s="31">
        <f t="shared" si="191"/>
        <v>0</v>
      </c>
      <c r="AS337" s="237">
        <f t="shared" si="192"/>
        <v>0</v>
      </c>
      <c r="AT337" s="31">
        <f t="shared" si="193"/>
        <v>0</v>
      </c>
      <c r="AU337" s="237">
        <f t="shared" si="194"/>
        <v>0</v>
      </c>
      <c r="AV337" s="31">
        <f t="shared" si="195"/>
        <v>0</v>
      </c>
      <c r="AW337" s="31">
        <f t="shared" si="196"/>
        <v>0</v>
      </c>
      <c r="AX337" s="31">
        <f t="shared" si="197"/>
        <v>0</v>
      </c>
      <c r="AY337" s="237">
        <f t="shared" si="198"/>
        <v>0</v>
      </c>
      <c r="AZ337" s="214">
        <f t="shared" si="199"/>
        <v>0</v>
      </c>
      <c r="BA337" s="237">
        <f t="shared" si="200"/>
        <v>0</v>
      </c>
      <c r="BB337" s="31">
        <f t="shared" si="201"/>
        <v>0</v>
      </c>
      <c r="BC337" s="237">
        <f t="shared" si="202"/>
        <v>0</v>
      </c>
      <c r="BD337" s="31">
        <f t="shared" si="203"/>
        <v>0</v>
      </c>
      <c r="BE337" s="237">
        <f t="shared" si="204"/>
        <v>0</v>
      </c>
      <c r="BF337" s="31">
        <f t="shared" si="205"/>
        <v>0</v>
      </c>
      <c r="BG337" s="237">
        <f t="shared" si="206"/>
        <v>0</v>
      </c>
      <c r="BH337" s="31">
        <f t="shared" si="207"/>
        <v>15</v>
      </c>
      <c r="BI337" s="237">
        <f t="shared" si="208"/>
        <v>12.75</v>
      </c>
      <c r="BJ337" s="31">
        <f t="shared" si="209"/>
        <v>0</v>
      </c>
      <c r="BK337" s="31">
        <f t="shared" si="210"/>
        <v>0</v>
      </c>
      <c r="BL337" s="237">
        <f t="shared" si="211"/>
        <v>0</v>
      </c>
      <c r="BM337" s="31">
        <f t="shared" si="212"/>
        <v>0</v>
      </c>
      <c r="BN337" s="237">
        <f t="shared" si="213"/>
        <v>0</v>
      </c>
    </row>
    <row r="338" spans="1:66" x14ac:dyDescent="0.25">
      <c r="A338" s="31" t="s">
        <v>1732</v>
      </c>
      <c r="B338" s="182" t="str">
        <f>VLOOKUP(A338,kurspris!$A$1:$B$894,2,FALSE)</f>
        <v>Läraryrkets dimensioner för grundskolans årskurs 4-6 (VFU)</v>
      </c>
      <c r="D338" s="31" t="s">
        <v>524</v>
      </c>
      <c r="F338" s="59">
        <v>2019</v>
      </c>
      <c r="Q338" s="237">
        <v>9.375</v>
      </c>
      <c r="R338" s="40">
        <v>0.85</v>
      </c>
      <c r="S338" s="313">
        <f t="shared" si="187"/>
        <v>7.96875</v>
      </c>
      <c r="T338" s="31">
        <f>VLOOKUP(A338,'Ansvar kurs'!$A$1:$C$1027,2,FALSE)</f>
        <v>5740</v>
      </c>
      <c r="U338" s="31" t="str">
        <f>VLOOKUP(T338,Orgenheter!$A$1:$C$165,2,FALSE)</f>
        <v>NMD</v>
      </c>
      <c r="V338" s="31" t="str">
        <f>VLOOKUP(T338,Orgenheter!$A$1:$C$165,3,FALSE)</f>
        <v>TekNat</v>
      </c>
      <c r="W338" s="37" t="str">
        <f>VLOOKUP(D338,Program!$A$1:$B$34,2,FALSE)</f>
        <v>Grundlärarprogrammet - grundskolans åk 4-6</v>
      </c>
      <c r="X338" s="42">
        <f>VLOOKUP(A338,kurspris!$A$1:$Q$815,15,FALSE)</f>
        <v>21634</v>
      </c>
      <c r="Y338" s="42">
        <f>VLOOKUP(A338,kurspris!$A$1:$Q$815,16,FALSE)</f>
        <v>26986</v>
      </c>
      <c r="Z338" s="42">
        <f t="shared" si="188"/>
        <v>417863.4375</v>
      </c>
      <c r="AA338" s="42">
        <f>VLOOKUP(A338,kurspris!$A$1:$Q$815,17,FALSE)</f>
        <v>3400</v>
      </c>
      <c r="AB338" s="42">
        <f t="shared" si="189"/>
        <v>31875</v>
      </c>
      <c r="AC338" s="42">
        <f t="shared" si="190"/>
        <v>449738.4375</v>
      </c>
      <c r="AD338" s="31">
        <f>VLOOKUP($A338,kurspris!$A$1:$Q$852,3,FALSE)</f>
        <v>0</v>
      </c>
      <c r="AE338" s="31">
        <f>VLOOKUP($A338,kurspris!$A$1:$Q$852,4,FALSE)</f>
        <v>0</v>
      </c>
      <c r="AF338" s="31">
        <f>VLOOKUP($A338,kurspris!$A$1:$Q$852,5,FALSE)</f>
        <v>0</v>
      </c>
      <c r="AG338" s="31">
        <f>VLOOKUP($A338,kurspris!$A$1:$Q$852,6,FALSE)</f>
        <v>0</v>
      </c>
      <c r="AH338" s="31">
        <f>VLOOKUP($A338,kurspris!$A$1:$Q$852,7,FALSE)</f>
        <v>0</v>
      </c>
      <c r="AI338" s="31">
        <f>VLOOKUP($A338,kurspris!$A$1:$Q$852,8,FALSE)</f>
        <v>0</v>
      </c>
      <c r="AJ338" s="31">
        <f>VLOOKUP($A338,kurspris!$A$1:$Q$852,9,FALSE)</f>
        <v>0</v>
      </c>
      <c r="AK338" s="31">
        <f>VLOOKUP($A338,kurspris!$A$1:$Q$852,10,FALSE)</f>
        <v>0</v>
      </c>
      <c r="AL338" s="31">
        <f>VLOOKUP($A338,kurspris!$A$1:$Q$852,11,FALSE)</f>
        <v>1</v>
      </c>
      <c r="AM338" s="31">
        <f>VLOOKUP($A338,kurspris!$A$1:$Q$852,12,FALSE)</f>
        <v>0</v>
      </c>
      <c r="AN338" s="31">
        <f>VLOOKUP($A338,kurspris!$A$1:$Q$852,13,FALSE)</f>
        <v>0</v>
      </c>
      <c r="AO338" s="31">
        <f>VLOOKUP($A338,kurspris!$A$1:$Q$852,14,FALSE)</f>
        <v>0</v>
      </c>
      <c r="AP338" s="59" t="s">
        <v>2216</v>
      </c>
      <c r="AR338" s="31">
        <f t="shared" si="191"/>
        <v>0</v>
      </c>
      <c r="AS338" s="237">
        <f t="shared" si="192"/>
        <v>0</v>
      </c>
      <c r="AT338" s="31">
        <f t="shared" si="193"/>
        <v>0</v>
      </c>
      <c r="AU338" s="237">
        <f t="shared" si="194"/>
        <v>0</v>
      </c>
      <c r="AV338" s="31">
        <f t="shared" si="195"/>
        <v>0</v>
      </c>
      <c r="AW338" s="31">
        <f t="shared" si="196"/>
        <v>0</v>
      </c>
      <c r="AX338" s="31">
        <f t="shared" si="197"/>
        <v>0</v>
      </c>
      <c r="AY338" s="237">
        <f t="shared" si="198"/>
        <v>0</v>
      </c>
      <c r="AZ338" s="214">
        <f t="shared" si="199"/>
        <v>0</v>
      </c>
      <c r="BA338" s="237">
        <f t="shared" si="200"/>
        <v>0</v>
      </c>
      <c r="BB338" s="31">
        <f t="shared" si="201"/>
        <v>0</v>
      </c>
      <c r="BC338" s="237">
        <f t="shared" si="202"/>
        <v>0</v>
      </c>
      <c r="BD338" s="31">
        <f t="shared" si="203"/>
        <v>0</v>
      </c>
      <c r="BE338" s="237">
        <f t="shared" si="204"/>
        <v>0</v>
      </c>
      <c r="BF338" s="31">
        <f t="shared" si="205"/>
        <v>0</v>
      </c>
      <c r="BG338" s="237">
        <f t="shared" si="206"/>
        <v>0</v>
      </c>
      <c r="BH338" s="31">
        <f t="shared" si="207"/>
        <v>9.375</v>
      </c>
      <c r="BI338" s="237">
        <f t="shared" si="208"/>
        <v>7.96875</v>
      </c>
      <c r="BJ338" s="31">
        <f t="shared" si="209"/>
        <v>0</v>
      </c>
      <c r="BK338" s="31">
        <f t="shared" si="210"/>
        <v>0</v>
      </c>
      <c r="BL338" s="237">
        <f t="shared" si="211"/>
        <v>0</v>
      </c>
      <c r="BM338" s="31">
        <f t="shared" si="212"/>
        <v>0</v>
      </c>
      <c r="BN338" s="237">
        <f t="shared" si="213"/>
        <v>0</v>
      </c>
    </row>
    <row r="339" spans="1:66" x14ac:dyDescent="0.25">
      <c r="A339" s="31" t="s">
        <v>1788</v>
      </c>
      <c r="B339" s="182" t="str">
        <f>VLOOKUP(A339,kurspris!$A$1:$B$894,2,FALSE)</f>
        <v>Läraryrkets dimensioner för fritidshem 3 (VFU)</v>
      </c>
      <c r="D339" s="31" t="s">
        <v>485</v>
      </c>
      <c r="F339" s="59">
        <v>2019</v>
      </c>
      <c r="Q339" s="237">
        <v>2.625</v>
      </c>
      <c r="R339" s="40">
        <v>0.85</v>
      </c>
      <c r="S339" s="313">
        <f t="shared" si="187"/>
        <v>2.2312499999999997</v>
      </c>
      <c r="T339" s="31">
        <f>VLOOKUP(A339,'Ansvar kurs'!$A$1:$C$1027,2,FALSE)</f>
        <v>2193</v>
      </c>
      <c r="U339" s="31" t="str">
        <f>VLOOKUP(T339,Orgenheter!$A$1:$C$165,2,FALSE)</f>
        <v xml:space="preserve">TUV </v>
      </c>
      <c r="V339" s="31" t="str">
        <f>VLOOKUP(T339,Orgenheter!$A$1:$C$165,3,FALSE)</f>
        <v>Sam</v>
      </c>
      <c r="W339" s="37" t="str">
        <f>VLOOKUP(D339,Program!$A$1:$B$34,2,FALSE)</f>
        <v>Grundlärarprogrammet - fritidshem</v>
      </c>
      <c r="X339" s="42">
        <f>VLOOKUP(A339,kurspris!$A$1:$Q$815,15,FALSE)</f>
        <v>21634</v>
      </c>
      <c r="Y339" s="42">
        <f>VLOOKUP(A339,kurspris!$A$1:$Q$815,16,FALSE)</f>
        <v>26986</v>
      </c>
      <c r="Z339" s="42">
        <f t="shared" si="188"/>
        <v>117001.76249999998</v>
      </c>
      <c r="AA339" s="42">
        <f>VLOOKUP(A339,kurspris!$A$1:$Q$815,17,FALSE)</f>
        <v>3400</v>
      </c>
      <c r="AB339" s="42">
        <f t="shared" si="189"/>
        <v>8925</v>
      </c>
      <c r="AC339" s="42">
        <f t="shared" si="190"/>
        <v>125926.76249999998</v>
      </c>
      <c r="AD339" s="31">
        <f>VLOOKUP($A339,kurspris!$A$1:$Q$852,3,FALSE)</f>
        <v>0</v>
      </c>
      <c r="AE339" s="31">
        <f>VLOOKUP($A339,kurspris!$A$1:$Q$852,4,FALSE)</f>
        <v>0</v>
      </c>
      <c r="AF339" s="31">
        <f>VLOOKUP($A339,kurspris!$A$1:$Q$852,5,FALSE)</f>
        <v>0</v>
      </c>
      <c r="AG339" s="31">
        <f>VLOOKUP($A339,kurspris!$A$1:$Q$852,6,FALSE)</f>
        <v>0</v>
      </c>
      <c r="AH339" s="31">
        <f>VLOOKUP($A339,kurspris!$A$1:$Q$852,7,FALSE)</f>
        <v>0</v>
      </c>
      <c r="AI339" s="31">
        <f>VLOOKUP($A339,kurspris!$A$1:$Q$852,8,FALSE)</f>
        <v>0</v>
      </c>
      <c r="AJ339" s="31">
        <f>VLOOKUP($A339,kurspris!$A$1:$Q$852,9,FALSE)</f>
        <v>0</v>
      </c>
      <c r="AK339" s="31">
        <f>VLOOKUP($A339,kurspris!$A$1:$Q$852,10,FALSE)</f>
        <v>0</v>
      </c>
      <c r="AL339" s="31">
        <f>VLOOKUP($A339,kurspris!$A$1:$Q$852,11,FALSE)</f>
        <v>1</v>
      </c>
      <c r="AM339" s="31">
        <f>VLOOKUP($A339,kurspris!$A$1:$Q$852,12,FALSE)</f>
        <v>0</v>
      </c>
      <c r="AN339" s="31">
        <f>VLOOKUP($A339,kurspris!$A$1:$Q$852,13,FALSE)</f>
        <v>0</v>
      </c>
      <c r="AO339" s="31">
        <f>VLOOKUP($A339,kurspris!$A$1:$Q$852,14,FALSE)</f>
        <v>0</v>
      </c>
      <c r="AP339" s="59" t="s">
        <v>2216</v>
      </c>
      <c r="AR339" s="31">
        <f t="shared" si="191"/>
        <v>0</v>
      </c>
      <c r="AS339" s="237">
        <f t="shared" si="192"/>
        <v>0</v>
      </c>
      <c r="AT339" s="31">
        <f t="shared" si="193"/>
        <v>0</v>
      </c>
      <c r="AU339" s="237">
        <f t="shared" si="194"/>
        <v>0</v>
      </c>
      <c r="AV339" s="31">
        <f t="shared" si="195"/>
        <v>0</v>
      </c>
      <c r="AW339" s="31">
        <f t="shared" si="196"/>
        <v>0</v>
      </c>
      <c r="AX339" s="31">
        <f t="shared" si="197"/>
        <v>0</v>
      </c>
      <c r="AY339" s="237">
        <f t="shared" si="198"/>
        <v>0</v>
      </c>
      <c r="AZ339" s="214">
        <f t="shared" si="199"/>
        <v>0</v>
      </c>
      <c r="BA339" s="237">
        <f t="shared" si="200"/>
        <v>0</v>
      </c>
      <c r="BB339" s="31">
        <f t="shared" si="201"/>
        <v>0</v>
      </c>
      <c r="BC339" s="237">
        <f t="shared" si="202"/>
        <v>0</v>
      </c>
      <c r="BD339" s="31">
        <f t="shared" si="203"/>
        <v>0</v>
      </c>
      <c r="BE339" s="237">
        <f t="shared" si="204"/>
        <v>0</v>
      </c>
      <c r="BF339" s="31">
        <f t="shared" si="205"/>
        <v>0</v>
      </c>
      <c r="BG339" s="237">
        <f t="shared" si="206"/>
        <v>0</v>
      </c>
      <c r="BH339" s="31">
        <f t="shared" si="207"/>
        <v>2.625</v>
      </c>
      <c r="BI339" s="237">
        <f t="shared" si="208"/>
        <v>2.2312499999999997</v>
      </c>
      <c r="BJ339" s="31">
        <f t="shared" si="209"/>
        <v>0</v>
      </c>
      <c r="BK339" s="31">
        <f t="shared" si="210"/>
        <v>0</v>
      </c>
      <c r="BL339" s="237">
        <f t="shared" si="211"/>
        <v>0</v>
      </c>
      <c r="BM339" s="31">
        <f t="shared" si="212"/>
        <v>0</v>
      </c>
      <c r="BN339" s="237">
        <f t="shared" si="213"/>
        <v>0</v>
      </c>
    </row>
    <row r="340" spans="1:66" x14ac:dyDescent="0.25">
      <c r="A340" s="31" t="s">
        <v>1863</v>
      </c>
      <c r="B340" s="182" t="str">
        <f>VLOOKUP(A340,kurspris!$A$1:$B$894,2,FALSE)</f>
        <v>Samhällsorientering för förskolan</v>
      </c>
      <c r="D340" s="31" t="s">
        <v>484</v>
      </c>
      <c r="F340" s="59">
        <v>2019</v>
      </c>
      <c r="Q340" s="237">
        <v>21.25</v>
      </c>
      <c r="R340" s="40">
        <v>0.85</v>
      </c>
      <c r="S340" s="313">
        <f t="shared" si="187"/>
        <v>18.0625</v>
      </c>
      <c r="T340" s="31">
        <f>VLOOKUP(A340,'Ansvar kurs'!$A$1:$C$1027,2,FALSE)</f>
        <v>2193</v>
      </c>
      <c r="U340" s="31" t="str">
        <f>VLOOKUP(T340,Orgenheter!$A$1:$C$165,2,FALSE)</f>
        <v xml:space="preserve">TUV </v>
      </c>
      <c r="V340" s="31" t="str">
        <f>VLOOKUP(T340,Orgenheter!$A$1:$C$165,3,FALSE)</f>
        <v>Sam</v>
      </c>
      <c r="W340" s="37" t="str">
        <f>VLOOKUP(D340,Program!$A$1:$B$34,2,FALSE)</f>
        <v>Förskollärarprogrammet</v>
      </c>
      <c r="X340" s="42">
        <f>VLOOKUP(A340,kurspris!$A$1:$Q$815,15,FALSE)</f>
        <v>18405</v>
      </c>
      <c r="Y340" s="42">
        <f>VLOOKUP(A340,kurspris!$A$1:$Q$815,16,FALSE)</f>
        <v>15773</v>
      </c>
      <c r="Z340" s="42">
        <f t="shared" si="188"/>
        <v>676006.0625</v>
      </c>
      <c r="AA340" s="42">
        <f>VLOOKUP(A340,kurspris!$A$1:$Q$815,17,FALSE)</f>
        <v>5800</v>
      </c>
      <c r="AB340" s="42">
        <f t="shared" si="189"/>
        <v>123250</v>
      </c>
      <c r="AC340" s="42">
        <f t="shared" si="190"/>
        <v>799256.0625</v>
      </c>
      <c r="AD340" s="31">
        <f>VLOOKUP($A340,kurspris!$A$1:$Q$852,3,FALSE)</f>
        <v>0</v>
      </c>
      <c r="AE340" s="31">
        <f>VLOOKUP($A340,kurspris!$A$1:$Q$852,4,FALSE)</f>
        <v>0</v>
      </c>
      <c r="AF340" s="31">
        <f>VLOOKUP($A340,kurspris!$A$1:$Q$852,5,FALSE)</f>
        <v>0</v>
      </c>
      <c r="AG340" s="31">
        <f>VLOOKUP($A340,kurspris!$A$1:$Q$852,6,FALSE)</f>
        <v>0</v>
      </c>
      <c r="AH340" s="31">
        <f>VLOOKUP($A340,kurspris!$A$1:$Q$852,7,FALSE)</f>
        <v>0</v>
      </c>
      <c r="AI340" s="31">
        <f>VLOOKUP($A340,kurspris!$A$1:$Q$852,8,FALSE)</f>
        <v>0</v>
      </c>
      <c r="AJ340" s="31">
        <f>VLOOKUP($A340,kurspris!$A$1:$Q$852,9,FALSE)</f>
        <v>1</v>
      </c>
      <c r="AK340" s="31">
        <f>VLOOKUP($A340,kurspris!$A$1:$Q$852,10,FALSE)</f>
        <v>0</v>
      </c>
      <c r="AL340" s="31">
        <f>VLOOKUP($A340,kurspris!$A$1:$Q$852,11,FALSE)</f>
        <v>0</v>
      </c>
      <c r="AM340" s="31">
        <f>VLOOKUP($A340,kurspris!$A$1:$Q$852,12,FALSE)</f>
        <v>0</v>
      </c>
      <c r="AN340" s="31">
        <f>VLOOKUP($A340,kurspris!$A$1:$Q$852,13,FALSE)</f>
        <v>0</v>
      </c>
      <c r="AO340" s="31">
        <f>VLOOKUP($A340,kurspris!$A$1:$Q$852,14,FALSE)</f>
        <v>0</v>
      </c>
      <c r="AP340" s="59" t="s">
        <v>2216</v>
      </c>
      <c r="AR340" s="31">
        <f t="shared" si="191"/>
        <v>0</v>
      </c>
      <c r="AS340" s="237">
        <f t="shared" si="192"/>
        <v>0</v>
      </c>
      <c r="AT340" s="31">
        <f t="shared" si="193"/>
        <v>0</v>
      </c>
      <c r="AU340" s="237">
        <f t="shared" si="194"/>
        <v>0</v>
      </c>
      <c r="AV340" s="31">
        <f t="shared" si="195"/>
        <v>0</v>
      </c>
      <c r="AW340" s="31">
        <f t="shared" si="196"/>
        <v>0</v>
      </c>
      <c r="AX340" s="31">
        <f t="shared" si="197"/>
        <v>0</v>
      </c>
      <c r="AY340" s="237">
        <f t="shared" si="198"/>
        <v>0</v>
      </c>
      <c r="AZ340" s="214">
        <f t="shared" si="199"/>
        <v>0</v>
      </c>
      <c r="BA340" s="237">
        <f t="shared" si="200"/>
        <v>0</v>
      </c>
      <c r="BB340" s="31">
        <f t="shared" si="201"/>
        <v>0</v>
      </c>
      <c r="BC340" s="237">
        <f t="shared" si="202"/>
        <v>0</v>
      </c>
      <c r="BD340" s="31">
        <f t="shared" si="203"/>
        <v>21.25</v>
      </c>
      <c r="BE340" s="237">
        <f t="shared" si="204"/>
        <v>18.0625</v>
      </c>
      <c r="BF340" s="31">
        <f t="shared" si="205"/>
        <v>0</v>
      </c>
      <c r="BG340" s="237">
        <f t="shared" si="206"/>
        <v>0</v>
      </c>
      <c r="BH340" s="31">
        <f t="shared" si="207"/>
        <v>0</v>
      </c>
      <c r="BI340" s="237">
        <f t="shared" si="208"/>
        <v>0</v>
      </c>
      <c r="BJ340" s="31">
        <f t="shared" si="209"/>
        <v>0</v>
      </c>
      <c r="BK340" s="31">
        <f t="shared" si="210"/>
        <v>0</v>
      </c>
      <c r="BL340" s="237">
        <f t="shared" si="211"/>
        <v>0</v>
      </c>
      <c r="BM340" s="31">
        <f t="shared" si="212"/>
        <v>0</v>
      </c>
      <c r="BN340" s="237">
        <f t="shared" si="213"/>
        <v>0</v>
      </c>
    </row>
    <row r="341" spans="1:66" x14ac:dyDescent="0.25">
      <c r="A341" s="159" t="s">
        <v>1864</v>
      </c>
      <c r="B341" s="182" t="str">
        <f>VLOOKUP(A341,kurspris!$A$1:$B$894,2,FALSE)</f>
        <v>Profession och vetenskap för förskolan (UK)</v>
      </c>
      <c r="C341" s="37"/>
      <c r="D341" s="31" t="s">
        <v>484</v>
      </c>
      <c r="F341" s="59">
        <v>2019</v>
      </c>
      <c r="Q341" s="237">
        <v>10.625</v>
      </c>
      <c r="R341" s="40">
        <v>0.85</v>
      </c>
      <c r="S341" s="313">
        <f t="shared" si="187"/>
        <v>9.03125</v>
      </c>
      <c r="T341" s="31">
        <f>VLOOKUP(A341,'Ansvar kurs'!$A$1:$C$1027,2,FALSE)</f>
        <v>2193</v>
      </c>
      <c r="U341" s="31" t="str">
        <f>VLOOKUP(T341,Orgenheter!$A$1:$C$165,2,FALSE)</f>
        <v xml:space="preserve">TUV </v>
      </c>
      <c r="V341" s="31" t="str">
        <f>VLOOKUP(T341,Orgenheter!$A$1:$C$165,3,FALSE)</f>
        <v>Sam</v>
      </c>
      <c r="W341" s="37" t="str">
        <f>VLOOKUP(D341,Program!$A$1:$B$34,2,FALSE)</f>
        <v>Förskollärarprogrammet</v>
      </c>
      <c r="X341" s="42">
        <f>VLOOKUP(A341,kurspris!$A$1:$Q$815,15,FALSE)</f>
        <v>23641</v>
      </c>
      <c r="Y341" s="42">
        <f>VLOOKUP(A341,kurspris!$A$1:$Q$815,16,FALSE)</f>
        <v>28786</v>
      </c>
      <c r="Z341" s="42">
        <f t="shared" si="188"/>
        <v>511159.1875</v>
      </c>
      <c r="AA341" s="42">
        <f>VLOOKUP(A341,kurspris!$A$1:$Q$815,17,FALSE)</f>
        <v>5800</v>
      </c>
      <c r="AB341" s="42">
        <f t="shared" si="189"/>
        <v>61625</v>
      </c>
      <c r="AC341" s="42">
        <f t="shared" si="190"/>
        <v>572784.1875</v>
      </c>
      <c r="AD341" s="31">
        <f>VLOOKUP($A341,kurspris!$A$1:$Q$852,3,FALSE)</f>
        <v>0</v>
      </c>
      <c r="AE341" s="31">
        <f>VLOOKUP($A341,kurspris!$A$1:$Q$852,4,FALSE)</f>
        <v>0</v>
      </c>
      <c r="AF341" s="31">
        <f>VLOOKUP($A341,kurspris!$A$1:$Q$852,5,FALSE)</f>
        <v>0</v>
      </c>
      <c r="AG341" s="31">
        <f>VLOOKUP($A341,kurspris!$A$1:$Q$852,6,FALSE)</f>
        <v>1</v>
      </c>
      <c r="AH341" s="31">
        <f>VLOOKUP($A341,kurspris!$A$1:$Q$852,7,FALSE)</f>
        <v>0</v>
      </c>
      <c r="AI341" s="31">
        <f>VLOOKUP($A341,kurspris!$A$1:$Q$852,8,FALSE)</f>
        <v>0</v>
      </c>
      <c r="AJ341" s="31">
        <f>VLOOKUP($A341,kurspris!$A$1:$Q$852,9,FALSE)</f>
        <v>0</v>
      </c>
      <c r="AK341" s="31">
        <f>VLOOKUP($A341,kurspris!$A$1:$Q$852,10,FALSE)</f>
        <v>0</v>
      </c>
      <c r="AL341" s="31">
        <f>VLOOKUP($A341,kurspris!$A$1:$Q$852,11,FALSE)</f>
        <v>0</v>
      </c>
      <c r="AM341" s="31">
        <f>VLOOKUP($A341,kurspris!$A$1:$Q$852,12,FALSE)</f>
        <v>0</v>
      </c>
      <c r="AN341" s="31">
        <f>VLOOKUP($A341,kurspris!$A$1:$Q$852,13,FALSE)</f>
        <v>0</v>
      </c>
      <c r="AO341" s="31">
        <f>VLOOKUP($A341,kurspris!$A$1:$Q$852,14,FALSE)</f>
        <v>0</v>
      </c>
      <c r="AP341" s="59" t="s">
        <v>2216</v>
      </c>
      <c r="AR341" s="31">
        <f t="shared" si="191"/>
        <v>0</v>
      </c>
      <c r="AS341" s="237">
        <f t="shared" si="192"/>
        <v>0</v>
      </c>
      <c r="AT341" s="31">
        <f t="shared" si="193"/>
        <v>0</v>
      </c>
      <c r="AU341" s="237">
        <f t="shared" si="194"/>
        <v>0</v>
      </c>
      <c r="AV341" s="31">
        <f t="shared" si="195"/>
        <v>0</v>
      </c>
      <c r="AW341" s="31">
        <f t="shared" si="196"/>
        <v>0</v>
      </c>
      <c r="AX341" s="31">
        <f t="shared" si="197"/>
        <v>10.625</v>
      </c>
      <c r="AY341" s="237">
        <f t="shared" si="198"/>
        <v>9.03125</v>
      </c>
      <c r="AZ341" s="214">
        <f t="shared" si="199"/>
        <v>0</v>
      </c>
      <c r="BA341" s="237">
        <f t="shared" si="200"/>
        <v>0</v>
      </c>
      <c r="BB341" s="31">
        <f t="shared" si="201"/>
        <v>0</v>
      </c>
      <c r="BC341" s="237">
        <f t="shared" si="202"/>
        <v>0</v>
      </c>
      <c r="BD341" s="31">
        <f t="shared" si="203"/>
        <v>0</v>
      </c>
      <c r="BE341" s="237">
        <f t="shared" si="204"/>
        <v>0</v>
      </c>
      <c r="BF341" s="31">
        <f t="shared" si="205"/>
        <v>0</v>
      </c>
      <c r="BG341" s="237">
        <f t="shared" si="206"/>
        <v>0</v>
      </c>
      <c r="BH341" s="31">
        <f t="shared" si="207"/>
        <v>0</v>
      </c>
      <c r="BI341" s="237">
        <f t="shared" si="208"/>
        <v>0</v>
      </c>
      <c r="BJ341" s="31">
        <f t="shared" si="209"/>
        <v>0</v>
      </c>
      <c r="BK341" s="31">
        <f t="shared" si="210"/>
        <v>0</v>
      </c>
      <c r="BL341" s="237">
        <f t="shared" si="211"/>
        <v>0</v>
      </c>
      <c r="BM341" s="31">
        <f t="shared" si="212"/>
        <v>0</v>
      </c>
      <c r="BN341" s="237">
        <f t="shared" si="213"/>
        <v>0</v>
      </c>
    </row>
    <row r="342" spans="1:66" x14ac:dyDescent="0.25">
      <c r="A342" s="159" t="s">
        <v>1865</v>
      </c>
      <c r="B342" s="182" t="str">
        <f>VLOOKUP(A342,kurspris!$A$1:$B$894,2,FALSE)</f>
        <v>Profession och vetenskap för fritidshem (UK)</v>
      </c>
      <c r="C342" s="37"/>
      <c r="D342" s="31" t="s">
        <v>485</v>
      </c>
      <c r="F342" s="59">
        <v>2019</v>
      </c>
      <c r="Q342" s="237">
        <v>2.75</v>
      </c>
      <c r="R342" s="40">
        <v>0.85</v>
      </c>
      <c r="S342" s="313">
        <f t="shared" si="187"/>
        <v>2.3374999999999999</v>
      </c>
      <c r="T342" s="31">
        <f>VLOOKUP(A342,'Ansvar kurs'!$A$1:$C$1027,2,FALSE)</f>
        <v>2193</v>
      </c>
      <c r="U342" s="31" t="str">
        <f>VLOOKUP(T342,Orgenheter!$A$1:$C$165,2,FALSE)</f>
        <v xml:space="preserve">TUV </v>
      </c>
      <c r="V342" s="31" t="str">
        <f>VLOOKUP(T342,Orgenheter!$A$1:$C$165,3,FALSE)</f>
        <v>Sam</v>
      </c>
      <c r="W342" s="37" t="str">
        <f>VLOOKUP(D342,Program!$A$1:$B$34,2,FALSE)</f>
        <v>Grundlärarprogrammet - fritidshem</v>
      </c>
      <c r="X342" s="42">
        <f>VLOOKUP(A342,kurspris!$A$1:$Q$815,15,FALSE)</f>
        <v>23641</v>
      </c>
      <c r="Y342" s="42">
        <f>VLOOKUP(A342,kurspris!$A$1:$Q$815,16,FALSE)</f>
        <v>28786</v>
      </c>
      <c r="Z342" s="42">
        <f t="shared" si="188"/>
        <v>132300.02499999999</v>
      </c>
      <c r="AA342" s="42">
        <f>VLOOKUP(A342,kurspris!$A$1:$Q$815,17,FALSE)</f>
        <v>5800</v>
      </c>
      <c r="AB342" s="42">
        <f t="shared" si="189"/>
        <v>15950</v>
      </c>
      <c r="AC342" s="42">
        <f t="shared" si="190"/>
        <v>148250.02499999999</v>
      </c>
      <c r="AD342" s="31">
        <f>VLOOKUP($A342,kurspris!$A$1:$Q$852,3,FALSE)</f>
        <v>0</v>
      </c>
      <c r="AE342" s="31">
        <f>VLOOKUP($A342,kurspris!$A$1:$Q$852,4,FALSE)</f>
        <v>0</v>
      </c>
      <c r="AF342" s="31">
        <f>VLOOKUP($A342,kurspris!$A$1:$Q$852,5,FALSE)</f>
        <v>0</v>
      </c>
      <c r="AG342" s="31">
        <f>VLOOKUP($A342,kurspris!$A$1:$Q$852,6,FALSE)</f>
        <v>1</v>
      </c>
      <c r="AH342" s="31">
        <f>VLOOKUP($A342,kurspris!$A$1:$Q$852,7,FALSE)</f>
        <v>0</v>
      </c>
      <c r="AI342" s="31">
        <f>VLOOKUP($A342,kurspris!$A$1:$Q$852,8,FALSE)</f>
        <v>0</v>
      </c>
      <c r="AJ342" s="31">
        <f>VLOOKUP($A342,kurspris!$A$1:$Q$852,9,FALSE)</f>
        <v>0</v>
      </c>
      <c r="AK342" s="31">
        <f>VLOOKUP($A342,kurspris!$A$1:$Q$852,10,FALSE)</f>
        <v>0</v>
      </c>
      <c r="AL342" s="31">
        <f>VLOOKUP($A342,kurspris!$A$1:$Q$852,11,FALSE)</f>
        <v>0</v>
      </c>
      <c r="AM342" s="31">
        <f>VLOOKUP($A342,kurspris!$A$1:$Q$852,12,FALSE)</f>
        <v>0</v>
      </c>
      <c r="AN342" s="31">
        <f>VLOOKUP($A342,kurspris!$A$1:$Q$852,13,FALSE)</f>
        <v>0</v>
      </c>
      <c r="AO342" s="31">
        <f>VLOOKUP($A342,kurspris!$A$1:$Q$852,14,FALSE)</f>
        <v>0</v>
      </c>
      <c r="AP342" s="59" t="s">
        <v>2216</v>
      </c>
      <c r="AR342" s="31">
        <f t="shared" si="191"/>
        <v>0</v>
      </c>
      <c r="AS342" s="237">
        <f t="shared" si="192"/>
        <v>0</v>
      </c>
      <c r="AT342" s="31">
        <f t="shared" si="193"/>
        <v>0</v>
      </c>
      <c r="AU342" s="237">
        <f t="shared" si="194"/>
        <v>0</v>
      </c>
      <c r="AV342" s="31">
        <f t="shared" si="195"/>
        <v>0</v>
      </c>
      <c r="AW342" s="31">
        <f t="shared" si="196"/>
        <v>0</v>
      </c>
      <c r="AX342" s="31">
        <f t="shared" si="197"/>
        <v>2.75</v>
      </c>
      <c r="AY342" s="237">
        <f t="shared" si="198"/>
        <v>2.3374999999999999</v>
      </c>
      <c r="AZ342" s="214">
        <f t="shared" si="199"/>
        <v>0</v>
      </c>
      <c r="BA342" s="237">
        <f t="shared" si="200"/>
        <v>0</v>
      </c>
      <c r="BB342" s="31">
        <f t="shared" si="201"/>
        <v>0</v>
      </c>
      <c r="BC342" s="237">
        <f t="shared" si="202"/>
        <v>0</v>
      </c>
      <c r="BD342" s="31">
        <f t="shared" si="203"/>
        <v>0</v>
      </c>
      <c r="BE342" s="237">
        <f t="shared" si="204"/>
        <v>0</v>
      </c>
      <c r="BF342" s="31">
        <f t="shared" si="205"/>
        <v>0</v>
      </c>
      <c r="BG342" s="237">
        <f t="shared" si="206"/>
        <v>0</v>
      </c>
      <c r="BH342" s="31">
        <f t="shared" si="207"/>
        <v>0</v>
      </c>
      <c r="BI342" s="237">
        <f t="shared" si="208"/>
        <v>0</v>
      </c>
      <c r="BJ342" s="31">
        <f t="shared" si="209"/>
        <v>0</v>
      </c>
      <c r="BK342" s="31">
        <f t="shared" si="210"/>
        <v>0</v>
      </c>
      <c r="BL342" s="237">
        <f t="shared" si="211"/>
        <v>0</v>
      </c>
      <c r="BM342" s="31">
        <f t="shared" si="212"/>
        <v>0</v>
      </c>
      <c r="BN342" s="237">
        <f t="shared" si="213"/>
        <v>0</v>
      </c>
    </row>
    <row r="343" spans="1:66" x14ac:dyDescent="0.25">
      <c r="A343" s="159" t="s">
        <v>1887</v>
      </c>
      <c r="B343" s="182" t="str">
        <f>VLOOKUP(A343,kurspris!$A$1:$B$894,2,FALSE)</f>
        <v>Grundlärare som profession (UK)</v>
      </c>
      <c r="C343" s="37"/>
      <c r="D343" s="31" t="s">
        <v>485</v>
      </c>
      <c r="F343" s="59">
        <v>2019</v>
      </c>
      <c r="Q343" s="237">
        <v>2.2000000000000002</v>
      </c>
      <c r="R343" s="40">
        <v>0.85</v>
      </c>
      <c r="S343" s="313">
        <f t="shared" si="187"/>
        <v>1.87</v>
      </c>
      <c r="T343" s="31">
        <f>VLOOKUP(A343,'Ansvar kurs'!$A$1:$C$1027,2,FALSE)</f>
        <v>5740</v>
      </c>
      <c r="U343" s="31" t="str">
        <f>VLOOKUP(T343,Orgenheter!$A$1:$C$165,2,FALSE)</f>
        <v>NMD</v>
      </c>
      <c r="V343" s="31" t="str">
        <f>VLOOKUP(T343,Orgenheter!$A$1:$C$165,3,FALSE)</f>
        <v>TekNat</v>
      </c>
      <c r="W343" s="37" t="str">
        <f>VLOOKUP(D343,Program!$A$1:$B$34,2,FALSE)</f>
        <v>Grundlärarprogrammet - fritidshem</v>
      </c>
      <c r="X343" s="42">
        <f>VLOOKUP(A343,kurspris!$A$1:$Q$815,15,FALSE)</f>
        <v>23641</v>
      </c>
      <c r="Y343" s="42">
        <f>VLOOKUP(A343,kurspris!$A$1:$Q$815,16,FALSE)</f>
        <v>28786</v>
      </c>
      <c r="Z343" s="42">
        <f t="shared" si="188"/>
        <v>105840.02</v>
      </c>
      <c r="AA343" s="42">
        <f>VLOOKUP(A343,kurspris!$A$1:$Q$815,17,FALSE)</f>
        <v>5800</v>
      </c>
      <c r="AB343" s="42">
        <f t="shared" si="189"/>
        <v>12760.000000000002</v>
      </c>
      <c r="AC343" s="42">
        <f t="shared" si="190"/>
        <v>118600.02</v>
      </c>
      <c r="AD343" s="31">
        <f>VLOOKUP($A343,kurspris!$A$1:$Q$852,3,FALSE)</f>
        <v>0</v>
      </c>
      <c r="AE343" s="31">
        <f>VLOOKUP($A343,kurspris!$A$1:$Q$852,4,FALSE)</f>
        <v>0</v>
      </c>
      <c r="AF343" s="31">
        <f>VLOOKUP($A343,kurspris!$A$1:$Q$852,5,FALSE)</f>
        <v>0</v>
      </c>
      <c r="AG343" s="31">
        <f>VLOOKUP($A343,kurspris!$A$1:$Q$852,6,FALSE)</f>
        <v>1</v>
      </c>
      <c r="AH343" s="31">
        <f>VLOOKUP($A343,kurspris!$A$1:$Q$852,7,FALSE)</f>
        <v>0</v>
      </c>
      <c r="AI343" s="31">
        <f>VLOOKUP($A343,kurspris!$A$1:$Q$852,8,FALSE)</f>
        <v>0</v>
      </c>
      <c r="AJ343" s="31">
        <f>VLOOKUP($A343,kurspris!$A$1:$Q$852,9,FALSE)</f>
        <v>0</v>
      </c>
      <c r="AK343" s="31">
        <f>VLOOKUP($A343,kurspris!$A$1:$Q$852,10,FALSE)</f>
        <v>0</v>
      </c>
      <c r="AL343" s="31">
        <f>VLOOKUP($A343,kurspris!$A$1:$Q$852,11,FALSE)</f>
        <v>0</v>
      </c>
      <c r="AM343" s="31">
        <f>VLOOKUP($A343,kurspris!$A$1:$Q$852,12,FALSE)</f>
        <v>0</v>
      </c>
      <c r="AN343" s="31">
        <f>VLOOKUP($A343,kurspris!$A$1:$Q$852,13,FALSE)</f>
        <v>0</v>
      </c>
      <c r="AO343" s="31">
        <f>VLOOKUP($A343,kurspris!$A$1:$Q$852,14,FALSE)</f>
        <v>0</v>
      </c>
      <c r="AP343" s="59" t="s">
        <v>2216</v>
      </c>
      <c r="AR343" s="31">
        <f t="shared" si="191"/>
        <v>0</v>
      </c>
      <c r="AS343" s="237">
        <f t="shared" si="192"/>
        <v>0</v>
      </c>
      <c r="AT343" s="31">
        <f t="shared" si="193"/>
        <v>0</v>
      </c>
      <c r="AU343" s="237">
        <f t="shared" si="194"/>
        <v>0</v>
      </c>
      <c r="AV343" s="31">
        <f t="shared" si="195"/>
        <v>0</v>
      </c>
      <c r="AW343" s="31">
        <f t="shared" si="196"/>
        <v>0</v>
      </c>
      <c r="AX343" s="31">
        <f t="shared" si="197"/>
        <v>2.2000000000000002</v>
      </c>
      <c r="AY343" s="237">
        <f t="shared" si="198"/>
        <v>1.87</v>
      </c>
      <c r="AZ343" s="214">
        <f t="shared" si="199"/>
        <v>0</v>
      </c>
      <c r="BA343" s="237">
        <f t="shared" si="200"/>
        <v>0</v>
      </c>
      <c r="BB343" s="31">
        <f t="shared" si="201"/>
        <v>0</v>
      </c>
      <c r="BC343" s="237">
        <f t="shared" si="202"/>
        <v>0</v>
      </c>
      <c r="BD343" s="31">
        <f t="shared" si="203"/>
        <v>0</v>
      </c>
      <c r="BE343" s="237">
        <f t="shared" si="204"/>
        <v>0</v>
      </c>
      <c r="BF343" s="31">
        <f t="shared" si="205"/>
        <v>0</v>
      </c>
      <c r="BG343" s="237">
        <f t="shared" si="206"/>
        <v>0</v>
      </c>
      <c r="BH343" s="31">
        <f t="shared" si="207"/>
        <v>0</v>
      </c>
      <c r="BI343" s="237">
        <f t="shared" si="208"/>
        <v>0</v>
      </c>
      <c r="BJ343" s="31">
        <f t="shared" si="209"/>
        <v>0</v>
      </c>
      <c r="BK343" s="31">
        <f t="shared" si="210"/>
        <v>0</v>
      </c>
      <c r="BL343" s="237">
        <f t="shared" si="211"/>
        <v>0</v>
      </c>
      <c r="BM343" s="31">
        <f t="shared" si="212"/>
        <v>0</v>
      </c>
      <c r="BN343" s="237">
        <f t="shared" si="213"/>
        <v>0</v>
      </c>
    </row>
    <row r="344" spans="1:66" x14ac:dyDescent="0.25">
      <c r="A344" s="159" t="s">
        <v>1887</v>
      </c>
      <c r="B344" s="182" t="str">
        <f>VLOOKUP(A344,kurspris!$A$1:$B$894,2,FALSE)</f>
        <v>Grundlärare som profession (UK)</v>
      </c>
      <c r="C344" s="37"/>
      <c r="D344" s="31" t="s">
        <v>486</v>
      </c>
      <c r="F344" s="59">
        <v>2019</v>
      </c>
      <c r="Q344" s="237">
        <v>5.6</v>
      </c>
      <c r="R344" s="40">
        <v>0.85</v>
      </c>
      <c r="S344" s="313">
        <f t="shared" si="187"/>
        <v>4.76</v>
      </c>
      <c r="T344" s="31">
        <f>VLOOKUP(A344,'Ansvar kurs'!$A$1:$C$1027,2,FALSE)</f>
        <v>5740</v>
      </c>
      <c r="U344" s="31" t="str">
        <f>VLOOKUP(T344,Orgenheter!$A$1:$C$165,2,FALSE)</f>
        <v>NMD</v>
      </c>
      <c r="V344" s="31" t="str">
        <f>VLOOKUP(T344,Orgenheter!$A$1:$C$165,3,FALSE)</f>
        <v>TekNat</v>
      </c>
      <c r="W344" s="37" t="str">
        <f>VLOOKUP(D344,Program!$A$1:$B$34,2,FALSE)</f>
        <v>Grundlärarprogrammet - förskoleklass och åk 1-3</v>
      </c>
      <c r="X344" s="42">
        <f>VLOOKUP(A344,kurspris!$A$1:$Q$815,15,FALSE)</f>
        <v>23641</v>
      </c>
      <c r="Y344" s="42">
        <f>VLOOKUP(A344,kurspris!$A$1:$Q$815,16,FALSE)</f>
        <v>28786</v>
      </c>
      <c r="Z344" s="42">
        <f t="shared" si="188"/>
        <v>269410.95999999996</v>
      </c>
      <c r="AA344" s="42">
        <f>VLOOKUP(A344,kurspris!$A$1:$Q$815,17,FALSE)</f>
        <v>5800</v>
      </c>
      <c r="AB344" s="42">
        <f t="shared" si="189"/>
        <v>32479.999999999996</v>
      </c>
      <c r="AC344" s="42">
        <f t="shared" si="190"/>
        <v>301890.95999999996</v>
      </c>
      <c r="AD344" s="31">
        <f>VLOOKUP($A344,kurspris!$A$1:$Q$852,3,FALSE)</f>
        <v>0</v>
      </c>
      <c r="AE344" s="31">
        <f>VLOOKUP($A344,kurspris!$A$1:$Q$852,4,FALSE)</f>
        <v>0</v>
      </c>
      <c r="AF344" s="31">
        <f>VLOOKUP($A344,kurspris!$A$1:$Q$852,5,FALSE)</f>
        <v>0</v>
      </c>
      <c r="AG344" s="31">
        <f>VLOOKUP($A344,kurspris!$A$1:$Q$852,6,FALSE)</f>
        <v>1</v>
      </c>
      <c r="AH344" s="31">
        <f>VLOOKUP($A344,kurspris!$A$1:$Q$852,7,FALSE)</f>
        <v>0</v>
      </c>
      <c r="AI344" s="31">
        <f>VLOOKUP($A344,kurspris!$A$1:$Q$852,8,FALSE)</f>
        <v>0</v>
      </c>
      <c r="AJ344" s="31">
        <f>VLOOKUP($A344,kurspris!$A$1:$Q$852,9,FALSE)</f>
        <v>0</v>
      </c>
      <c r="AK344" s="31">
        <f>VLOOKUP($A344,kurspris!$A$1:$Q$852,10,FALSE)</f>
        <v>0</v>
      </c>
      <c r="AL344" s="31">
        <f>VLOOKUP($A344,kurspris!$A$1:$Q$852,11,FALSE)</f>
        <v>0</v>
      </c>
      <c r="AM344" s="31">
        <f>VLOOKUP($A344,kurspris!$A$1:$Q$852,12,FALSE)</f>
        <v>0</v>
      </c>
      <c r="AN344" s="31">
        <f>VLOOKUP($A344,kurspris!$A$1:$Q$852,13,FALSE)</f>
        <v>0</v>
      </c>
      <c r="AO344" s="31">
        <f>VLOOKUP($A344,kurspris!$A$1:$Q$852,14,FALSE)</f>
        <v>0</v>
      </c>
      <c r="AP344" s="59" t="s">
        <v>2216</v>
      </c>
      <c r="AQ344" s="59"/>
      <c r="AR344" s="31">
        <f t="shared" si="191"/>
        <v>0</v>
      </c>
      <c r="AS344" s="237">
        <f t="shared" si="192"/>
        <v>0</v>
      </c>
      <c r="AT344" s="31">
        <f t="shared" si="193"/>
        <v>0</v>
      </c>
      <c r="AU344" s="237">
        <f t="shared" si="194"/>
        <v>0</v>
      </c>
      <c r="AV344" s="31">
        <f t="shared" si="195"/>
        <v>0</v>
      </c>
      <c r="AW344" s="31">
        <f t="shared" si="196"/>
        <v>0</v>
      </c>
      <c r="AX344" s="31">
        <f t="shared" si="197"/>
        <v>5.6</v>
      </c>
      <c r="AY344" s="237">
        <f t="shared" si="198"/>
        <v>4.76</v>
      </c>
      <c r="AZ344" s="214">
        <f t="shared" si="199"/>
        <v>0</v>
      </c>
      <c r="BA344" s="237">
        <f t="shared" si="200"/>
        <v>0</v>
      </c>
      <c r="BB344" s="31">
        <f t="shared" si="201"/>
        <v>0</v>
      </c>
      <c r="BC344" s="237">
        <f t="shared" si="202"/>
        <v>0</v>
      </c>
      <c r="BD344" s="31">
        <f t="shared" si="203"/>
        <v>0</v>
      </c>
      <c r="BE344" s="237">
        <f t="shared" si="204"/>
        <v>0</v>
      </c>
      <c r="BF344" s="31">
        <f t="shared" si="205"/>
        <v>0</v>
      </c>
      <c r="BG344" s="237">
        <f t="shared" si="206"/>
        <v>0</v>
      </c>
      <c r="BH344" s="31">
        <f t="shared" si="207"/>
        <v>0</v>
      </c>
      <c r="BI344" s="237">
        <f t="shared" si="208"/>
        <v>0</v>
      </c>
      <c r="BJ344" s="31">
        <f t="shared" si="209"/>
        <v>0</v>
      </c>
      <c r="BK344" s="31">
        <f t="shared" si="210"/>
        <v>0</v>
      </c>
      <c r="BL344" s="237">
        <f t="shared" si="211"/>
        <v>0</v>
      </c>
      <c r="BM344" s="31">
        <f t="shared" si="212"/>
        <v>0</v>
      </c>
      <c r="BN344" s="237">
        <f t="shared" si="213"/>
        <v>0</v>
      </c>
    </row>
    <row r="345" spans="1:66" x14ac:dyDescent="0.25">
      <c r="A345" s="31" t="s">
        <v>1887</v>
      </c>
      <c r="B345" s="182" t="str">
        <f>VLOOKUP(A345,kurspris!$A$1:$B$894,2,FALSE)</f>
        <v>Grundlärare som profession (UK)</v>
      </c>
      <c r="D345" s="31" t="s">
        <v>524</v>
      </c>
      <c r="F345" s="59">
        <v>2019</v>
      </c>
      <c r="Q345" s="237">
        <v>3.5</v>
      </c>
      <c r="R345" s="40">
        <v>0.85</v>
      </c>
      <c r="S345" s="313">
        <f t="shared" si="187"/>
        <v>2.9750000000000001</v>
      </c>
      <c r="T345" s="31">
        <f>VLOOKUP(A345,'Ansvar kurs'!$A$1:$C$1027,2,FALSE)</f>
        <v>5740</v>
      </c>
      <c r="U345" s="31" t="str">
        <f>VLOOKUP(T345,Orgenheter!$A$1:$C$165,2,FALSE)</f>
        <v>NMD</v>
      </c>
      <c r="V345" s="31" t="str">
        <f>VLOOKUP(T345,Orgenheter!$A$1:$C$165,3,FALSE)</f>
        <v>TekNat</v>
      </c>
      <c r="W345" s="37" t="str">
        <f>VLOOKUP(D345,Program!$A$1:$B$34,2,FALSE)</f>
        <v>Grundlärarprogrammet - grundskolans åk 4-6</v>
      </c>
      <c r="X345" s="42">
        <f>VLOOKUP(A345,kurspris!$A$1:$Q$815,15,FALSE)</f>
        <v>23641</v>
      </c>
      <c r="Y345" s="42">
        <f>VLOOKUP(A345,kurspris!$A$1:$Q$815,16,FALSE)</f>
        <v>28786</v>
      </c>
      <c r="Z345" s="42">
        <f t="shared" si="188"/>
        <v>168381.85</v>
      </c>
      <c r="AA345" s="42">
        <f>VLOOKUP(A345,kurspris!$A$1:$Q$815,17,FALSE)</f>
        <v>5800</v>
      </c>
      <c r="AB345" s="42">
        <f t="shared" si="189"/>
        <v>20300</v>
      </c>
      <c r="AC345" s="42">
        <f t="shared" si="190"/>
        <v>188681.85</v>
      </c>
      <c r="AD345" s="31">
        <f>VLOOKUP($A345,kurspris!$A$1:$Q$852,3,FALSE)</f>
        <v>0</v>
      </c>
      <c r="AE345" s="31">
        <f>VLOOKUP($A345,kurspris!$A$1:$Q$852,4,FALSE)</f>
        <v>0</v>
      </c>
      <c r="AF345" s="31">
        <f>VLOOKUP($A345,kurspris!$A$1:$Q$852,5,FALSE)</f>
        <v>0</v>
      </c>
      <c r="AG345" s="31">
        <f>VLOOKUP($A345,kurspris!$A$1:$Q$852,6,FALSE)</f>
        <v>1</v>
      </c>
      <c r="AH345" s="31">
        <f>VLOOKUP($A345,kurspris!$A$1:$Q$852,7,FALSE)</f>
        <v>0</v>
      </c>
      <c r="AI345" s="31">
        <f>VLOOKUP($A345,kurspris!$A$1:$Q$852,8,FALSE)</f>
        <v>0</v>
      </c>
      <c r="AJ345" s="31">
        <f>VLOOKUP($A345,kurspris!$A$1:$Q$852,9,FALSE)</f>
        <v>0</v>
      </c>
      <c r="AK345" s="31">
        <f>VLOOKUP($A345,kurspris!$A$1:$Q$852,10,FALSE)</f>
        <v>0</v>
      </c>
      <c r="AL345" s="31">
        <f>VLOOKUP($A345,kurspris!$A$1:$Q$852,11,FALSE)</f>
        <v>0</v>
      </c>
      <c r="AM345" s="31">
        <f>VLOOKUP($A345,kurspris!$A$1:$Q$852,12,FALSE)</f>
        <v>0</v>
      </c>
      <c r="AN345" s="31">
        <f>VLOOKUP($A345,kurspris!$A$1:$Q$852,13,FALSE)</f>
        <v>0</v>
      </c>
      <c r="AO345" s="31">
        <f>VLOOKUP($A345,kurspris!$A$1:$Q$852,14,FALSE)</f>
        <v>0</v>
      </c>
      <c r="AP345" s="59" t="s">
        <v>2216</v>
      </c>
      <c r="AQ345" s="59"/>
      <c r="AR345" s="31">
        <f t="shared" si="191"/>
        <v>0</v>
      </c>
      <c r="AS345" s="237">
        <f t="shared" si="192"/>
        <v>0</v>
      </c>
      <c r="AT345" s="31">
        <f t="shared" si="193"/>
        <v>0</v>
      </c>
      <c r="AU345" s="237">
        <f t="shared" si="194"/>
        <v>0</v>
      </c>
      <c r="AV345" s="31">
        <f t="shared" si="195"/>
        <v>0</v>
      </c>
      <c r="AW345" s="31">
        <f t="shared" si="196"/>
        <v>0</v>
      </c>
      <c r="AX345" s="31">
        <f t="shared" si="197"/>
        <v>3.5</v>
      </c>
      <c r="AY345" s="237">
        <f t="shared" si="198"/>
        <v>2.9750000000000001</v>
      </c>
      <c r="AZ345" s="214">
        <f t="shared" si="199"/>
        <v>0</v>
      </c>
      <c r="BA345" s="237">
        <f t="shared" si="200"/>
        <v>0</v>
      </c>
      <c r="BB345" s="31">
        <f t="shared" si="201"/>
        <v>0</v>
      </c>
      <c r="BC345" s="237">
        <f t="shared" si="202"/>
        <v>0</v>
      </c>
      <c r="BD345" s="31">
        <f t="shared" si="203"/>
        <v>0</v>
      </c>
      <c r="BE345" s="237">
        <f t="shared" si="204"/>
        <v>0</v>
      </c>
      <c r="BF345" s="31">
        <f t="shared" si="205"/>
        <v>0</v>
      </c>
      <c r="BG345" s="237">
        <f t="shared" si="206"/>
        <v>0</v>
      </c>
      <c r="BH345" s="31">
        <f t="shared" si="207"/>
        <v>0</v>
      </c>
      <c r="BI345" s="237">
        <f t="shared" si="208"/>
        <v>0</v>
      </c>
      <c r="BJ345" s="31">
        <f t="shared" si="209"/>
        <v>0</v>
      </c>
      <c r="BK345" s="31">
        <f t="shared" si="210"/>
        <v>0</v>
      </c>
      <c r="BL345" s="237">
        <f t="shared" si="211"/>
        <v>0</v>
      </c>
      <c r="BM345" s="31">
        <f t="shared" si="212"/>
        <v>0</v>
      </c>
      <c r="BN345" s="237">
        <f t="shared" si="213"/>
        <v>0</v>
      </c>
    </row>
    <row r="346" spans="1:66" x14ac:dyDescent="0.25">
      <c r="A346" s="31" t="s">
        <v>1885</v>
      </c>
      <c r="B346" s="182" t="str">
        <f>VLOOKUP(A346,kurspris!$A$1:$B$894,2,FALSE)</f>
        <v>Profession och vetenskap för åk 4-6 (UK III)</v>
      </c>
      <c r="C346" s="37"/>
      <c r="D346" s="31" t="s">
        <v>524</v>
      </c>
      <c r="F346" s="59">
        <v>2019</v>
      </c>
      <c r="Q346" s="237">
        <v>3.375</v>
      </c>
      <c r="R346" s="40">
        <v>0.85</v>
      </c>
      <c r="S346" s="313">
        <f t="shared" si="187"/>
        <v>2.8687499999999999</v>
      </c>
      <c r="T346" s="31">
        <f>VLOOKUP(A346,'Ansvar kurs'!$A$1:$C$1027,2,FALSE)</f>
        <v>5740</v>
      </c>
      <c r="U346" s="31" t="str">
        <f>VLOOKUP(T346,Orgenheter!$A$1:$C$165,2,FALSE)</f>
        <v>NMD</v>
      </c>
      <c r="V346" s="31" t="str">
        <f>VLOOKUP(T346,Orgenheter!$A$1:$C$165,3,FALSE)</f>
        <v>TekNat</v>
      </c>
      <c r="W346" s="37" t="str">
        <f>VLOOKUP(D346,Program!$A$1:$B$34,2,FALSE)</f>
        <v>Grundlärarprogrammet - grundskolans åk 4-6</v>
      </c>
      <c r="X346" s="42">
        <f>VLOOKUP(A346,kurspris!$A$1:$Q$815,15,FALSE)</f>
        <v>23641</v>
      </c>
      <c r="Y346" s="42">
        <f>VLOOKUP(A346,kurspris!$A$1:$Q$815,16,FALSE)</f>
        <v>28786</v>
      </c>
      <c r="Z346" s="42">
        <f t="shared" si="188"/>
        <v>162368.21249999999</v>
      </c>
      <c r="AA346" s="42">
        <f>VLOOKUP(A346,kurspris!$A$1:$Q$815,17,FALSE)</f>
        <v>5800</v>
      </c>
      <c r="AB346" s="42">
        <f t="shared" si="189"/>
        <v>19575</v>
      </c>
      <c r="AC346" s="42">
        <f t="shared" si="190"/>
        <v>181943.21249999999</v>
      </c>
      <c r="AD346" s="31">
        <f>VLOOKUP($A346,kurspris!$A$1:$Q$852,3,FALSE)</f>
        <v>0</v>
      </c>
      <c r="AE346" s="31">
        <f>VLOOKUP($A346,kurspris!$A$1:$Q$852,4,FALSE)</f>
        <v>0</v>
      </c>
      <c r="AF346" s="31">
        <f>VLOOKUP($A346,kurspris!$A$1:$Q$852,5,FALSE)</f>
        <v>0</v>
      </c>
      <c r="AG346" s="31">
        <f>VLOOKUP($A346,kurspris!$A$1:$Q$852,6,FALSE)</f>
        <v>1</v>
      </c>
      <c r="AH346" s="31">
        <f>VLOOKUP($A346,kurspris!$A$1:$Q$852,7,FALSE)</f>
        <v>0</v>
      </c>
      <c r="AI346" s="31">
        <f>VLOOKUP($A346,kurspris!$A$1:$Q$852,8,FALSE)</f>
        <v>0</v>
      </c>
      <c r="AJ346" s="31">
        <f>VLOOKUP($A346,kurspris!$A$1:$Q$852,9,FALSE)</f>
        <v>0</v>
      </c>
      <c r="AK346" s="31">
        <f>VLOOKUP($A346,kurspris!$A$1:$Q$852,10,FALSE)</f>
        <v>0</v>
      </c>
      <c r="AL346" s="31">
        <f>VLOOKUP($A346,kurspris!$A$1:$Q$852,11,FALSE)</f>
        <v>0</v>
      </c>
      <c r="AM346" s="31">
        <f>VLOOKUP($A346,kurspris!$A$1:$Q$852,12,FALSE)</f>
        <v>0</v>
      </c>
      <c r="AN346" s="31">
        <f>VLOOKUP($A346,kurspris!$A$1:$Q$852,13,FALSE)</f>
        <v>0</v>
      </c>
      <c r="AO346" s="31">
        <f>VLOOKUP($A346,kurspris!$A$1:$Q$852,14,FALSE)</f>
        <v>0</v>
      </c>
      <c r="AP346" s="59" t="s">
        <v>2216</v>
      </c>
      <c r="AQ346" s="59"/>
      <c r="AR346" s="31">
        <f t="shared" si="191"/>
        <v>0</v>
      </c>
      <c r="AS346" s="237">
        <f t="shared" si="192"/>
        <v>0</v>
      </c>
      <c r="AT346" s="31">
        <f t="shared" si="193"/>
        <v>0</v>
      </c>
      <c r="AU346" s="237">
        <f t="shared" si="194"/>
        <v>0</v>
      </c>
      <c r="AV346" s="31">
        <f t="shared" si="195"/>
        <v>0</v>
      </c>
      <c r="AW346" s="31">
        <f t="shared" si="196"/>
        <v>0</v>
      </c>
      <c r="AX346" s="31">
        <f t="shared" si="197"/>
        <v>3.375</v>
      </c>
      <c r="AY346" s="237">
        <f t="shared" si="198"/>
        <v>2.8687499999999999</v>
      </c>
      <c r="AZ346" s="214">
        <f t="shared" si="199"/>
        <v>0</v>
      </c>
      <c r="BA346" s="237">
        <f t="shared" si="200"/>
        <v>0</v>
      </c>
      <c r="BB346" s="31">
        <f t="shared" si="201"/>
        <v>0</v>
      </c>
      <c r="BC346" s="237">
        <f t="shared" si="202"/>
        <v>0</v>
      </c>
      <c r="BD346" s="31">
        <f t="shared" si="203"/>
        <v>0</v>
      </c>
      <c r="BE346" s="237">
        <f t="shared" si="204"/>
        <v>0</v>
      </c>
      <c r="BF346" s="31">
        <f t="shared" si="205"/>
        <v>0</v>
      </c>
      <c r="BG346" s="237">
        <f t="shared" si="206"/>
        <v>0</v>
      </c>
      <c r="BH346" s="31">
        <f t="shared" si="207"/>
        <v>0</v>
      </c>
      <c r="BI346" s="237">
        <f t="shared" si="208"/>
        <v>0</v>
      </c>
      <c r="BJ346" s="31">
        <f t="shared" si="209"/>
        <v>0</v>
      </c>
      <c r="BK346" s="31">
        <f t="shared" si="210"/>
        <v>0</v>
      </c>
      <c r="BL346" s="237">
        <f t="shared" si="211"/>
        <v>0</v>
      </c>
      <c r="BM346" s="31">
        <f t="shared" si="212"/>
        <v>0</v>
      </c>
      <c r="BN346" s="237">
        <f t="shared" si="213"/>
        <v>0</v>
      </c>
    </row>
    <row r="347" spans="1:66" x14ac:dyDescent="0.25">
      <c r="A347" s="62" t="s">
        <v>1886</v>
      </c>
      <c r="B347" s="182" t="str">
        <f>VLOOKUP(A347,kurspris!$A$1:$B$894,2,FALSE)</f>
        <v>Profession och vetenskap för F-3 (UK III)</v>
      </c>
      <c r="C347" s="37"/>
      <c r="D347" s="59" t="s">
        <v>486</v>
      </c>
      <c r="F347" s="59">
        <v>2019</v>
      </c>
      <c r="I347" s="159"/>
      <c r="J347" s="159"/>
      <c r="K347" s="159"/>
      <c r="Q347" s="237">
        <v>6</v>
      </c>
      <c r="R347" s="40">
        <v>0.85</v>
      </c>
      <c r="S347" s="313">
        <f t="shared" si="187"/>
        <v>5.0999999999999996</v>
      </c>
      <c r="T347" s="31">
        <f>VLOOKUP(A347,'Ansvar kurs'!$A$1:$C$1027,2,FALSE)</f>
        <v>5740</v>
      </c>
      <c r="U347" s="31" t="str">
        <f>VLOOKUP(T347,Orgenheter!$A$1:$C$165,2,FALSE)</f>
        <v>NMD</v>
      </c>
      <c r="V347" s="31" t="str">
        <f>VLOOKUP(T347,Orgenheter!$A$1:$C$165,3,FALSE)</f>
        <v>TekNat</v>
      </c>
      <c r="W347" s="37" t="str">
        <f>VLOOKUP(D347,Program!$A$1:$B$34,2,FALSE)</f>
        <v>Grundlärarprogrammet - förskoleklass och åk 1-3</v>
      </c>
      <c r="X347" s="42">
        <f>VLOOKUP(A347,kurspris!$A$1:$Q$815,15,FALSE)</f>
        <v>23641</v>
      </c>
      <c r="Y347" s="42">
        <f>VLOOKUP(A347,kurspris!$A$1:$Q$815,16,FALSE)</f>
        <v>28786</v>
      </c>
      <c r="Z347" s="42">
        <f t="shared" si="188"/>
        <v>288654.59999999998</v>
      </c>
      <c r="AA347" s="42">
        <f>VLOOKUP(A347,kurspris!$A$1:$Q$815,17,FALSE)</f>
        <v>5800</v>
      </c>
      <c r="AB347" s="42">
        <f t="shared" si="189"/>
        <v>34800</v>
      </c>
      <c r="AC347" s="42">
        <f t="shared" si="190"/>
        <v>323454.59999999998</v>
      </c>
      <c r="AD347" s="31">
        <f>VLOOKUP($A347,kurspris!$A$1:$Q$852,3,FALSE)</f>
        <v>0</v>
      </c>
      <c r="AE347" s="31">
        <f>VLOOKUP($A347,kurspris!$A$1:$Q$852,4,FALSE)</f>
        <v>0</v>
      </c>
      <c r="AF347" s="31">
        <f>VLOOKUP($A347,kurspris!$A$1:$Q$852,5,FALSE)</f>
        <v>0</v>
      </c>
      <c r="AG347" s="31">
        <f>VLOOKUP($A347,kurspris!$A$1:$Q$852,6,FALSE)</f>
        <v>1</v>
      </c>
      <c r="AH347" s="31">
        <f>VLOOKUP($A347,kurspris!$A$1:$Q$852,7,FALSE)</f>
        <v>0</v>
      </c>
      <c r="AI347" s="31">
        <f>VLOOKUP($A347,kurspris!$A$1:$Q$852,8,FALSE)</f>
        <v>0</v>
      </c>
      <c r="AJ347" s="31">
        <f>VLOOKUP($A347,kurspris!$A$1:$Q$852,9,FALSE)</f>
        <v>0</v>
      </c>
      <c r="AK347" s="31">
        <f>VLOOKUP($A347,kurspris!$A$1:$Q$852,10,FALSE)</f>
        <v>0</v>
      </c>
      <c r="AL347" s="31">
        <f>VLOOKUP($A347,kurspris!$A$1:$Q$852,11,FALSE)</f>
        <v>0</v>
      </c>
      <c r="AM347" s="31">
        <f>VLOOKUP($A347,kurspris!$A$1:$Q$852,12,FALSE)</f>
        <v>0</v>
      </c>
      <c r="AN347" s="31">
        <f>VLOOKUP($A347,kurspris!$A$1:$Q$852,13,FALSE)</f>
        <v>0</v>
      </c>
      <c r="AO347" s="31">
        <f>VLOOKUP($A347,kurspris!$A$1:$Q$852,14,FALSE)</f>
        <v>0</v>
      </c>
      <c r="AP347" s="59" t="s">
        <v>2216</v>
      </c>
      <c r="AQ347" s="59"/>
      <c r="AR347" s="31">
        <f t="shared" si="191"/>
        <v>0</v>
      </c>
      <c r="AS347" s="237">
        <f t="shared" si="192"/>
        <v>0</v>
      </c>
      <c r="AT347" s="31">
        <f t="shared" si="193"/>
        <v>0</v>
      </c>
      <c r="AU347" s="237">
        <f t="shared" si="194"/>
        <v>0</v>
      </c>
      <c r="AV347" s="31">
        <f t="shared" si="195"/>
        <v>0</v>
      </c>
      <c r="AW347" s="31">
        <f t="shared" si="196"/>
        <v>0</v>
      </c>
      <c r="AX347" s="31">
        <f t="shared" si="197"/>
        <v>6</v>
      </c>
      <c r="AY347" s="237">
        <f t="shared" si="198"/>
        <v>5.0999999999999996</v>
      </c>
      <c r="AZ347" s="214">
        <f t="shared" si="199"/>
        <v>0</v>
      </c>
      <c r="BA347" s="237">
        <f t="shared" si="200"/>
        <v>0</v>
      </c>
      <c r="BB347" s="31">
        <f t="shared" si="201"/>
        <v>0</v>
      </c>
      <c r="BC347" s="237">
        <f t="shared" si="202"/>
        <v>0</v>
      </c>
      <c r="BD347" s="31">
        <f t="shared" si="203"/>
        <v>0</v>
      </c>
      <c r="BE347" s="237">
        <f t="shared" si="204"/>
        <v>0</v>
      </c>
      <c r="BF347" s="31">
        <f t="shared" si="205"/>
        <v>0</v>
      </c>
      <c r="BG347" s="237">
        <f t="shared" si="206"/>
        <v>0</v>
      </c>
      <c r="BH347" s="31">
        <f t="shared" si="207"/>
        <v>0</v>
      </c>
      <c r="BI347" s="237">
        <f t="shared" si="208"/>
        <v>0</v>
      </c>
      <c r="BJ347" s="31">
        <f t="shared" si="209"/>
        <v>0</v>
      </c>
      <c r="BK347" s="31">
        <f t="shared" si="210"/>
        <v>0</v>
      </c>
      <c r="BL347" s="237">
        <f t="shared" si="211"/>
        <v>0</v>
      </c>
      <c r="BM347" s="31">
        <f t="shared" si="212"/>
        <v>0</v>
      </c>
      <c r="BN347" s="237">
        <f t="shared" si="213"/>
        <v>0</v>
      </c>
    </row>
    <row r="348" spans="1:66" x14ac:dyDescent="0.25">
      <c r="A348" s="62" t="s">
        <v>1909</v>
      </c>
      <c r="B348" s="182" t="str">
        <f>VLOOKUP(A348,kurspris!$A$1:$B$894,2,FALSE)</f>
        <v>Ämnesdidaktik (UK)</v>
      </c>
      <c r="C348" s="37"/>
      <c r="D348" s="59" t="s">
        <v>1614</v>
      </c>
      <c r="F348" s="59">
        <v>2019</v>
      </c>
      <c r="I348" s="159"/>
      <c r="J348" s="159"/>
      <c r="K348" s="159"/>
      <c r="Q348" s="237">
        <v>1.875</v>
      </c>
      <c r="R348" s="40">
        <v>0.85</v>
      </c>
      <c r="S348" s="313">
        <f t="shared" si="187"/>
        <v>1.59375</v>
      </c>
      <c r="T348" s="31">
        <f>VLOOKUP(A348,'Ansvar kurs'!$A$1:$C$1027,2,FALSE)</f>
        <v>5740</v>
      </c>
      <c r="U348" s="31" t="str">
        <f>VLOOKUP(T348,Orgenheter!$A$1:$C$165,2,FALSE)</f>
        <v>NMD</v>
      </c>
      <c r="V348" s="31" t="str">
        <f>VLOOKUP(T348,Orgenheter!$A$1:$C$165,3,FALSE)</f>
        <v>TekNat</v>
      </c>
      <c r="W348" s="37" t="str">
        <f>VLOOKUP(D348,Program!$A$1:$B$34,2,FALSE)</f>
        <v>KPU - Förhöjd studietakt - utbildningsbidrag</v>
      </c>
      <c r="X348" s="42">
        <f>VLOOKUP(A348,kurspris!$A$1:$Q$815,15,FALSE)</f>
        <v>23641</v>
      </c>
      <c r="Y348" s="42">
        <f>VLOOKUP(A348,kurspris!$A$1:$Q$815,16,FALSE)</f>
        <v>28786</v>
      </c>
      <c r="Z348" s="42">
        <f t="shared" si="188"/>
        <v>90204.5625</v>
      </c>
      <c r="AA348" s="42">
        <f>VLOOKUP(A348,kurspris!$A$1:$Q$815,17,FALSE)</f>
        <v>5800</v>
      </c>
      <c r="AB348" s="42">
        <f t="shared" si="189"/>
        <v>10875</v>
      </c>
      <c r="AC348" s="42">
        <f t="shared" si="190"/>
        <v>101079.5625</v>
      </c>
      <c r="AD348" s="31">
        <f>VLOOKUP($A348,kurspris!$A$1:$Q$852,3,FALSE)</f>
        <v>0</v>
      </c>
      <c r="AE348" s="31">
        <f>VLOOKUP($A348,kurspris!$A$1:$Q$852,4,FALSE)</f>
        <v>0</v>
      </c>
      <c r="AF348" s="31">
        <f>VLOOKUP($A348,kurspris!$A$1:$Q$852,5,FALSE)</f>
        <v>0</v>
      </c>
      <c r="AG348" s="31">
        <f>VLOOKUP($A348,kurspris!$A$1:$Q$852,6,FALSE)</f>
        <v>1</v>
      </c>
      <c r="AH348" s="31">
        <f>VLOOKUP($A348,kurspris!$A$1:$Q$852,7,FALSE)</f>
        <v>0</v>
      </c>
      <c r="AI348" s="31">
        <f>VLOOKUP($A348,kurspris!$A$1:$Q$852,8,FALSE)</f>
        <v>0</v>
      </c>
      <c r="AJ348" s="31">
        <f>VLOOKUP($A348,kurspris!$A$1:$Q$852,9,FALSE)</f>
        <v>0</v>
      </c>
      <c r="AK348" s="31">
        <f>VLOOKUP($A348,kurspris!$A$1:$Q$852,10,FALSE)</f>
        <v>0</v>
      </c>
      <c r="AL348" s="31">
        <f>VLOOKUP($A348,kurspris!$A$1:$Q$852,11,FALSE)</f>
        <v>0</v>
      </c>
      <c r="AM348" s="31">
        <f>VLOOKUP($A348,kurspris!$A$1:$Q$852,12,FALSE)</f>
        <v>0</v>
      </c>
      <c r="AN348" s="31">
        <f>VLOOKUP($A348,kurspris!$A$1:$Q$852,13,FALSE)</f>
        <v>0</v>
      </c>
      <c r="AO348" s="31">
        <f>VLOOKUP($A348,kurspris!$A$1:$Q$852,14,FALSE)</f>
        <v>0</v>
      </c>
      <c r="AP348" s="59" t="s">
        <v>2216</v>
      </c>
      <c r="AQ348" s="59"/>
      <c r="AR348" s="31">
        <f t="shared" si="191"/>
        <v>0</v>
      </c>
      <c r="AS348" s="237">
        <f t="shared" si="192"/>
        <v>0</v>
      </c>
      <c r="AT348" s="31">
        <f t="shared" si="193"/>
        <v>0</v>
      </c>
      <c r="AU348" s="237">
        <f t="shared" si="194"/>
        <v>0</v>
      </c>
      <c r="AV348" s="31">
        <f t="shared" si="195"/>
        <v>0</v>
      </c>
      <c r="AW348" s="31">
        <f t="shared" si="196"/>
        <v>0</v>
      </c>
      <c r="AX348" s="31">
        <f t="shared" si="197"/>
        <v>1.875</v>
      </c>
      <c r="AY348" s="237">
        <f t="shared" si="198"/>
        <v>1.59375</v>
      </c>
      <c r="AZ348" s="214">
        <f t="shared" si="199"/>
        <v>0</v>
      </c>
      <c r="BA348" s="237">
        <f t="shared" si="200"/>
        <v>0</v>
      </c>
      <c r="BB348" s="31">
        <f t="shared" si="201"/>
        <v>0</v>
      </c>
      <c r="BC348" s="237">
        <f t="shared" si="202"/>
        <v>0</v>
      </c>
      <c r="BD348" s="31">
        <f t="shared" si="203"/>
        <v>0</v>
      </c>
      <c r="BE348" s="237">
        <f t="shared" si="204"/>
        <v>0</v>
      </c>
      <c r="BF348" s="31">
        <f t="shared" si="205"/>
        <v>0</v>
      </c>
      <c r="BG348" s="237">
        <f t="shared" si="206"/>
        <v>0</v>
      </c>
      <c r="BH348" s="31">
        <f t="shared" si="207"/>
        <v>0</v>
      </c>
      <c r="BI348" s="237">
        <f t="shared" si="208"/>
        <v>0</v>
      </c>
      <c r="BJ348" s="31">
        <f t="shared" si="209"/>
        <v>0</v>
      </c>
      <c r="BK348" s="31">
        <f t="shared" si="210"/>
        <v>0</v>
      </c>
      <c r="BL348" s="237">
        <f t="shared" si="211"/>
        <v>0</v>
      </c>
      <c r="BM348" s="31">
        <f t="shared" si="212"/>
        <v>0</v>
      </c>
      <c r="BN348" s="237">
        <f t="shared" si="213"/>
        <v>0</v>
      </c>
    </row>
    <row r="349" spans="1:66" x14ac:dyDescent="0.25">
      <c r="A349" s="584" t="s">
        <v>1909</v>
      </c>
      <c r="B349" s="182" t="str">
        <f>VLOOKUP(A349,kurspris!$A$1:$B$894,2,FALSE)</f>
        <v>Ämnesdidaktik (UK)</v>
      </c>
      <c r="C349" s="37"/>
      <c r="D349" s="59" t="s">
        <v>628</v>
      </c>
      <c r="F349" s="59">
        <v>2019</v>
      </c>
      <c r="G349" s="31" t="s">
        <v>2218</v>
      </c>
      <c r="I349" s="159"/>
      <c r="J349" s="159"/>
      <c r="K349" s="159"/>
      <c r="L349" s="31">
        <v>150</v>
      </c>
      <c r="M349" s="31">
        <v>7.5</v>
      </c>
      <c r="P349" s="274">
        <v>18</v>
      </c>
      <c r="Q349" s="581">
        <f>P349*M349/60</f>
        <v>2.25</v>
      </c>
      <c r="R349" s="582">
        <v>0.85</v>
      </c>
      <c r="S349" s="583">
        <f t="shared" si="187"/>
        <v>1.9124999999999999</v>
      </c>
      <c r="T349" s="31">
        <f>VLOOKUP(A349,'Ansvar kurs'!$A$1:$C$1027,2,FALSE)</f>
        <v>5740</v>
      </c>
      <c r="U349" s="31" t="str">
        <f>VLOOKUP(T349,Orgenheter!$A$1:$C$165,2,FALSE)</f>
        <v>NMD</v>
      </c>
      <c r="V349" s="31" t="str">
        <f>VLOOKUP(T349,Orgenheter!$A$1:$C$165,3,FALSE)</f>
        <v>TekNat</v>
      </c>
      <c r="W349" s="37" t="str">
        <f>VLOOKUP(D349,Program!$A$1:$B$34,2,FALSE)</f>
        <v>KPU - åk 7-9</v>
      </c>
      <c r="X349" s="42">
        <f>VLOOKUP(A349,kurspris!$A$1:$Q$815,15,FALSE)</f>
        <v>23641</v>
      </c>
      <c r="Y349" s="42">
        <f>VLOOKUP(A349,kurspris!$A$1:$Q$815,16,FALSE)</f>
        <v>28786</v>
      </c>
      <c r="Z349" s="42">
        <f t="shared" ref="Z349:Z350" si="214">X349*Q349+S349*Y349</f>
        <v>108245.47500000001</v>
      </c>
      <c r="AA349" s="42">
        <f>VLOOKUP(A349,kurspris!$A$1:$Q$815,17,FALSE)</f>
        <v>5800</v>
      </c>
      <c r="AB349" s="42">
        <f t="shared" ref="AB349:AB350" si="215">AA349*Q349</f>
        <v>13050</v>
      </c>
      <c r="AC349" s="42">
        <f t="shared" ref="AC349:AC350" si="216">Z349+AB349</f>
        <v>121295.47500000001</v>
      </c>
      <c r="AD349" s="31">
        <f>VLOOKUP($A349,kurspris!$A$1:$Q$852,3,FALSE)</f>
        <v>0</v>
      </c>
      <c r="AE349" s="31">
        <f>VLOOKUP($A349,kurspris!$A$1:$Q$852,4,FALSE)</f>
        <v>0</v>
      </c>
      <c r="AF349" s="31">
        <f>VLOOKUP($A349,kurspris!$A$1:$Q$852,5,FALSE)</f>
        <v>0</v>
      </c>
      <c r="AG349" s="31">
        <f>VLOOKUP($A349,kurspris!$A$1:$Q$852,6,FALSE)</f>
        <v>1</v>
      </c>
      <c r="AH349" s="31">
        <f>VLOOKUP($A349,kurspris!$A$1:$Q$852,7,FALSE)</f>
        <v>0</v>
      </c>
      <c r="AI349" s="31">
        <f>VLOOKUP($A349,kurspris!$A$1:$Q$852,8,FALSE)</f>
        <v>0</v>
      </c>
      <c r="AJ349" s="31">
        <f>VLOOKUP($A349,kurspris!$A$1:$Q$852,9,FALSE)</f>
        <v>0</v>
      </c>
      <c r="AK349" s="31">
        <f>VLOOKUP($A349,kurspris!$A$1:$Q$852,10,FALSE)</f>
        <v>0</v>
      </c>
      <c r="AL349" s="31">
        <f>VLOOKUP($A349,kurspris!$A$1:$Q$852,11,FALSE)</f>
        <v>0</v>
      </c>
      <c r="AM349" s="31">
        <f>VLOOKUP($A349,kurspris!$A$1:$Q$852,12,FALSE)</f>
        <v>0</v>
      </c>
      <c r="AN349" s="31">
        <f>VLOOKUP($A349,kurspris!$A$1:$Q$852,13,FALSE)</f>
        <v>0</v>
      </c>
      <c r="AO349" s="31">
        <f>VLOOKUP($A349,kurspris!$A$1:$Q$852,14,FALSE)</f>
        <v>0</v>
      </c>
      <c r="AP349" s="59" t="s">
        <v>2219</v>
      </c>
      <c r="AQ349" s="59"/>
      <c r="AR349" s="31">
        <f t="shared" ref="AR349:AR350" si="217">$Q349*AD349</f>
        <v>0</v>
      </c>
      <c r="AS349" s="237">
        <f t="shared" ref="AS349:AS350" si="218">$S349*AD349</f>
        <v>0</v>
      </c>
      <c r="AT349" s="31">
        <f t="shared" ref="AT349:AT350" si="219">$Q349*AE349</f>
        <v>0</v>
      </c>
      <c r="AU349" s="237">
        <f t="shared" ref="AU349:AU350" si="220">$S349*AE349</f>
        <v>0</v>
      </c>
      <c r="AV349" s="31">
        <f t="shared" ref="AV349:AV350" si="221">$Q349*AF349</f>
        <v>0</v>
      </c>
      <c r="AW349" s="31">
        <f t="shared" ref="AW349:AW350" si="222">$S349*AF349</f>
        <v>0</v>
      </c>
      <c r="AX349" s="31">
        <f t="shared" ref="AX349:AX350" si="223">$Q349*AG349</f>
        <v>2.25</v>
      </c>
      <c r="AY349" s="237">
        <f t="shared" ref="AY349:AY350" si="224">$S349*AG349</f>
        <v>1.9124999999999999</v>
      </c>
      <c r="AZ349" s="214">
        <f t="shared" ref="AZ349:AZ350" si="225">$Q349*AH349</f>
        <v>0</v>
      </c>
      <c r="BA349" s="237">
        <f t="shared" ref="BA349:BA350" si="226">$S349*AH349</f>
        <v>0</v>
      </c>
      <c r="BB349" s="31">
        <f t="shared" ref="BB349:BB350" si="227">$Q349*AI349</f>
        <v>0</v>
      </c>
      <c r="BC349" s="237">
        <f t="shared" ref="BC349:BC350" si="228">$S349*AI349</f>
        <v>0</v>
      </c>
      <c r="BD349" s="31">
        <f t="shared" ref="BD349:BD350" si="229">$Q349*AJ349</f>
        <v>0</v>
      </c>
      <c r="BE349" s="237">
        <f t="shared" ref="BE349:BE350" si="230">$S349*AJ349</f>
        <v>0</v>
      </c>
      <c r="BF349" s="31">
        <f t="shared" ref="BF349:BF350" si="231">$Q349*AK349</f>
        <v>0</v>
      </c>
      <c r="BG349" s="237">
        <f t="shared" ref="BG349:BG350" si="232">$S349*AK349</f>
        <v>0</v>
      </c>
      <c r="BH349" s="31">
        <f t="shared" ref="BH349:BH350" si="233">$Q349*AL349</f>
        <v>0</v>
      </c>
      <c r="BI349" s="237">
        <f t="shared" ref="BI349:BI350" si="234">$S349*AL349</f>
        <v>0</v>
      </c>
      <c r="BJ349" s="31">
        <f t="shared" ref="BJ349:BJ350" si="235">$Q349*AM349</f>
        <v>0</v>
      </c>
      <c r="BK349" s="31">
        <f t="shared" ref="BK349:BK350" si="236">$Q349*AN349</f>
        <v>0</v>
      </c>
      <c r="BL349" s="237">
        <f t="shared" ref="BL349:BL350" si="237">$S349*AN349</f>
        <v>0</v>
      </c>
      <c r="BM349" s="31">
        <f t="shared" ref="BM349:BM350" si="238">$Q349*AO349</f>
        <v>0</v>
      </c>
      <c r="BN349" s="237">
        <f t="shared" ref="BN349:BN350" si="239">$S349*AO349</f>
        <v>0</v>
      </c>
    </row>
    <row r="350" spans="1:66" x14ac:dyDescent="0.25">
      <c r="A350" s="584" t="s">
        <v>1909</v>
      </c>
      <c r="B350" s="182" t="str">
        <f>VLOOKUP(A350,kurspris!$A$1:$B$894,2,FALSE)</f>
        <v>Ämnesdidaktik (UK)</v>
      </c>
      <c r="C350" s="37"/>
      <c r="D350" s="59" t="s">
        <v>629</v>
      </c>
      <c r="F350" s="59">
        <v>2019</v>
      </c>
      <c r="G350" s="31" t="s">
        <v>2218</v>
      </c>
      <c r="I350" s="159"/>
      <c r="J350" s="159"/>
      <c r="K350" s="159"/>
      <c r="L350" s="31">
        <v>150</v>
      </c>
      <c r="M350" s="31">
        <v>7.5</v>
      </c>
      <c r="P350" s="274">
        <v>20</v>
      </c>
      <c r="Q350" s="581">
        <f>P350*M350/60</f>
        <v>2.5</v>
      </c>
      <c r="R350" s="582">
        <v>0.85</v>
      </c>
      <c r="S350" s="583">
        <f t="shared" si="187"/>
        <v>2.125</v>
      </c>
      <c r="T350" s="31">
        <f>VLOOKUP(A350,'Ansvar kurs'!$A$1:$C$1027,2,FALSE)</f>
        <v>5740</v>
      </c>
      <c r="U350" s="31" t="str">
        <f>VLOOKUP(T350,Orgenheter!$A$1:$C$165,2,FALSE)</f>
        <v>NMD</v>
      </c>
      <c r="V350" s="31" t="str">
        <f>VLOOKUP(T350,Orgenheter!$A$1:$C$165,3,FALSE)</f>
        <v>TekNat</v>
      </c>
      <c r="W350" s="37" t="str">
        <f>VLOOKUP(D350,Program!$A$1:$B$34,2,FALSE)</f>
        <v>KPU - Gy</v>
      </c>
      <c r="X350" s="42">
        <f>VLOOKUP(A350,kurspris!$A$1:$Q$815,15,FALSE)</f>
        <v>23641</v>
      </c>
      <c r="Y350" s="42">
        <f>VLOOKUP(A350,kurspris!$A$1:$Q$815,16,FALSE)</f>
        <v>28786</v>
      </c>
      <c r="Z350" s="42">
        <f t="shared" si="214"/>
        <v>120272.75</v>
      </c>
      <c r="AA350" s="42">
        <f>VLOOKUP(A350,kurspris!$A$1:$Q$815,17,FALSE)</f>
        <v>5800</v>
      </c>
      <c r="AB350" s="42">
        <f t="shared" si="215"/>
        <v>14500</v>
      </c>
      <c r="AC350" s="42">
        <f t="shared" si="216"/>
        <v>134772.75</v>
      </c>
      <c r="AD350" s="31">
        <f>VLOOKUP($A350,kurspris!$A$1:$Q$852,3,FALSE)</f>
        <v>0</v>
      </c>
      <c r="AE350" s="31">
        <f>VLOOKUP($A350,kurspris!$A$1:$Q$852,4,FALSE)</f>
        <v>0</v>
      </c>
      <c r="AF350" s="31">
        <f>VLOOKUP($A350,kurspris!$A$1:$Q$852,5,FALSE)</f>
        <v>0</v>
      </c>
      <c r="AG350" s="31">
        <f>VLOOKUP($A350,kurspris!$A$1:$Q$852,6,FALSE)</f>
        <v>1</v>
      </c>
      <c r="AH350" s="31">
        <f>VLOOKUP($A350,kurspris!$A$1:$Q$852,7,FALSE)</f>
        <v>0</v>
      </c>
      <c r="AI350" s="31">
        <f>VLOOKUP($A350,kurspris!$A$1:$Q$852,8,FALSE)</f>
        <v>0</v>
      </c>
      <c r="AJ350" s="31">
        <f>VLOOKUP($A350,kurspris!$A$1:$Q$852,9,FALSE)</f>
        <v>0</v>
      </c>
      <c r="AK350" s="31">
        <f>VLOOKUP($A350,kurspris!$A$1:$Q$852,10,FALSE)</f>
        <v>0</v>
      </c>
      <c r="AL350" s="31">
        <f>VLOOKUP($A350,kurspris!$A$1:$Q$852,11,FALSE)</f>
        <v>0</v>
      </c>
      <c r="AM350" s="31">
        <f>VLOOKUP($A350,kurspris!$A$1:$Q$852,12,FALSE)</f>
        <v>0</v>
      </c>
      <c r="AN350" s="31">
        <f>VLOOKUP($A350,kurspris!$A$1:$Q$852,13,FALSE)</f>
        <v>0</v>
      </c>
      <c r="AO350" s="31">
        <f>VLOOKUP($A350,kurspris!$A$1:$Q$852,14,FALSE)</f>
        <v>0</v>
      </c>
      <c r="AP350" s="59" t="s">
        <v>2219</v>
      </c>
      <c r="AQ350" s="59"/>
      <c r="AR350" s="31">
        <f t="shared" si="217"/>
        <v>0</v>
      </c>
      <c r="AS350" s="237">
        <f t="shared" si="218"/>
        <v>0</v>
      </c>
      <c r="AT350" s="31">
        <f t="shared" si="219"/>
        <v>0</v>
      </c>
      <c r="AU350" s="237">
        <f t="shared" si="220"/>
        <v>0</v>
      </c>
      <c r="AV350" s="31">
        <f t="shared" si="221"/>
        <v>0</v>
      </c>
      <c r="AW350" s="31">
        <f t="shared" si="222"/>
        <v>0</v>
      </c>
      <c r="AX350" s="31">
        <f t="shared" si="223"/>
        <v>2.5</v>
      </c>
      <c r="AY350" s="237">
        <f t="shared" si="224"/>
        <v>2.125</v>
      </c>
      <c r="AZ350" s="214">
        <f t="shared" si="225"/>
        <v>0</v>
      </c>
      <c r="BA350" s="237">
        <f t="shared" si="226"/>
        <v>0</v>
      </c>
      <c r="BB350" s="31">
        <f t="shared" si="227"/>
        <v>0</v>
      </c>
      <c r="BC350" s="237">
        <f t="shared" si="228"/>
        <v>0</v>
      </c>
      <c r="BD350" s="31">
        <f t="shared" si="229"/>
        <v>0</v>
      </c>
      <c r="BE350" s="237">
        <f t="shared" si="230"/>
        <v>0</v>
      </c>
      <c r="BF350" s="31">
        <f t="shared" si="231"/>
        <v>0</v>
      </c>
      <c r="BG350" s="237">
        <f t="shared" si="232"/>
        <v>0</v>
      </c>
      <c r="BH350" s="31">
        <f t="shared" si="233"/>
        <v>0</v>
      </c>
      <c r="BI350" s="237">
        <f t="shared" si="234"/>
        <v>0</v>
      </c>
      <c r="BJ350" s="31">
        <f t="shared" si="235"/>
        <v>0</v>
      </c>
      <c r="BK350" s="31">
        <f t="shared" si="236"/>
        <v>0</v>
      </c>
      <c r="BL350" s="237">
        <f t="shared" si="237"/>
        <v>0</v>
      </c>
      <c r="BM350" s="31">
        <f t="shared" si="238"/>
        <v>0</v>
      </c>
      <c r="BN350" s="237">
        <f t="shared" si="239"/>
        <v>0</v>
      </c>
    </row>
    <row r="351" spans="1:66" x14ac:dyDescent="0.25">
      <c r="A351" s="159" t="s">
        <v>1889</v>
      </c>
      <c r="B351" s="182" t="str">
        <f>VLOOKUP(A351,kurspris!$A$1:$B$894,2,FALSE)</f>
        <v>Att vara grundlärare (VFU)</v>
      </c>
      <c r="C351" s="37"/>
      <c r="D351" s="31" t="s">
        <v>485</v>
      </c>
      <c r="F351" s="59">
        <v>2019</v>
      </c>
      <c r="Q351" s="237">
        <v>0.52500000000000002</v>
      </c>
      <c r="R351" s="40">
        <v>0.85</v>
      </c>
      <c r="S351" s="313">
        <f t="shared" si="187"/>
        <v>0.44624999999999998</v>
      </c>
      <c r="T351" s="31">
        <f>VLOOKUP(A351,'Ansvar kurs'!$A$1:$C$1027,2,FALSE)</f>
        <v>5740</v>
      </c>
      <c r="U351" s="31" t="str">
        <f>VLOOKUP(T351,Orgenheter!$A$1:$C$165,2,FALSE)</f>
        <v>NMD</v>
      </c>
      <c r="V351" s="31" t="str">
        <f>VLOOKUP(T351,Orgenheter!$A$1:$C$165,3,FALSE)</f>
        <v>TekNat</v>
      </c>
      <c r="W351" s="37" t="str">
        <f>VLOOKUP(D351,Program!$A$1:$B$34,2,FALSE)</f>
        <v>Grundlärarprogrammet - fritidshem</v>
      </c>
      <c r="X351" s="42">
        <f>VLOOKUP(A351,kurspris!$A$1:$Q$815,15,FALSE)</f>
        <v>21634</v>
      </c>
      <c r="Y351" s="42">
        <f>VLOOKUP(A351,kurspris!$A$1:$Q$815,16,FALSE)</f>
        <v>26986</v>
      </c>
      <c r="Z351" s="42">
        <f t="shared" si="188"/>
        <v>23400.352500000001</v>
      </c>
      <c r="AA351" s="42">
        <f>VLOOKUP(A351,kurspris!$A$1:$Q$815,17,FALSE)</f>
        <v>3400</v>
      </c>
      <c r="AB351" s="42">
        <f t="shared" si="189"/>
        <v>1785</v>
      </c>
      <c r="AC351" s="42">
        <f t="shared" si="190"/>
        <v>25185.352500000001</v>
      </c>
      <c r="AD351" s="31">
        <f>VLOOKUP($A351,kurspris!$A$1:$Q$852,3,FALSE)</f>
        <v>0</v>
      </c>
      <c r="AE351" s="31">
        <f>VLOOKUP($A351,kurspris!$A$1:$Q$852,4,FALSE)</f>
        <v>0</v>
      </c>
      <c r="AF351" s="31">
        <f>VLOOKUP($A351,kurspris!$A$1:$Q$852,5,FALSE)</f>
        <v>0</v>
      </c>
      <c r="AG351" s="31">
        <f>VLOOKUP($A351,kurspris!$A$1:$Q$852,6,FALSE)</f>
        <v>0</v>
      </c>
      <c r="AH351" s="31">
        <f>VLOOKUP($A351,kurspris!$A$1:$Q$852,7,FALSE)</f>
        <v>0</v>
      </c>
      <c r="AI351" s="31">
        <f>VLOOKUP($A351,kurspris!$A$1:$Q$852,8,FALSE)</f>
        <v>0</v>
      </c>
      <c r="AJ351" s="31">
        <f>VLOOKUP($A351,kurspris!$A$1:$Q$852,9,FALSE)</f>
        <v>0</v>
      </c>
      <c r="AK351" s="31">
        <f>VLOOKUP($A351,kurspris!$A$1:$Q$852,10,FALSE)</f>
        <v>0</v>
      </c>
      <c r="AL351" s="31">
        <f>VLOOKUP($A351,kurspris!$A$1:$Q$852,11,FALSE)</f>
        <v>1</v>
      </c>
      <c r="AM351" s="31">
        <f>VLOOKUP($A351,kurspris!$A$1:$Q$852,12,FALSE)</f>
        <v>0</v>
      </c>
      <c r="AN351" s="31">
        <f>VLOOKUP($A351,kurspris!$A$1:$Q$852,13,FALSE)</f>
        <v>0</v>
      </c>
      <c r="AO351" s="31">
        <f>VLOOKUP($A351,kurspris!$A$1:$Q$852,14,FALSE)</f>
        <v>0</v>
      </c>
      <c r="AP351" s="59" t="s">
        <v>2216</v>
      </c>
      <c r="AR351" s="31">
        <f t="shared" si="191"/>
        <v>0</v>
      </c>
      <c r="AS351" s="237">
        <f t="shared" si="192"/>
        <v>0</v>
      </c>
      <c r="AT351" s="31">
        <f t="shared" si="193"/>
        <v>0</v>
      </c>
      <c r="AU351" s="237">
        <f t="shared" si="194"/>
        <v>0</v>
      </c>
      <c r="AV351" s="31">
        <f t="shared" si="195"/>
        <v>0</v>
      </c>
      <c r="AW351" s="31">
        <f t="shared" si="196"/>
        <v>0</v>
      </c>
      <c r="AX351" s="31">
        <f t="shared" si="197"/>
        <v>0</v>
      </c>
      <c r="AY351" s="237">
        <f t="shared" si="198"/>
        <v>0</v>
      </c>
      <c r="AZ351" s="214">
        <f t="shared" si="199"/>
        <v>0</v>
      </c>
      <c r="BA351" s="237">
        <f t="shared" si="200"/>
        <v>0</v>
      </c>
      <c r="BB351" s="31">
        <f t="shared" si="201"/>
        <v>0</v>
      </c>
      <c r="BC351" s="237">
        <f t="shared" si="202"/>
        <v>0</v>
      </c>
      <c r="BD351" s="31">
        <f t="shared" si="203"/>
        <v>0</v>
      </c>
      <c r="BE351" s="237">
        <f t="shared" si="204"/>
        <v>0</v>
      </c>
      <c r="BF351" s="31">
        <f t="shared" si="205"/>
        <v>0</v>
      </c>
      <c r="BG351" s="237">
        <f t="shared" si="206"/>
        <v>0</v>
      </c>
      <c r="BH351" s="31">
        <f t="shared" si="207"/>
        <v>0.52500000000000002</v>
      </c>
      <c r="BI351" s="237">
        <f t="shared" si="208"/>
        <v>0.44624999999999998</v>
      </c>
      <c r="BJ351" s="31">
        <f t="shared" si="209"/>
        <v>0</v>
      </c>
      <c r="BK351" s="31">
        <f t="shared" si="210"/>
        <v>0</v>
      </c>
      <c r="BL351" s="237">
        <f t="shared" si="211"/>
        <v>0</v>
      </c>
      <c r="BM351" s="31">
        <f t="shared" si="212"/>
        <v>0</v>
      </c>
      <c r="BN351" s="237">
        <f t="shared" si="213"/>
        <v>0</v>
      </c>
    </row>
    <row r="352" spans="1:66" x14ac:dyDescent="0.25">
      <c r="A352" s="159" t="s">
        <v>1889</v>
      </c>
      <c r="B352" s="182" t="str">
        <f>VLOOKUP(A352,kurspris!$A$1:$B$894,2,FALSE)</f>
        <v>Att vara grundlärare (VFU)</v>
      </c>
      <c r="C352" s="37"/>
      <c r="D352" s="31" t="s">
        <v>486</v>
      </c>
      <c r="F352" s="59">
        <v>2019</v>
      </c>
      <c r="Q352" s="237">
        <v>1.3</v>
      </c>
      <c r="R352" s="40">
        <v>0.85</v>
      </c>
      <c r="S352" s="313">
        <f t="shared" si="187"/>
        <v>1.105</v>
      </c>
      <c r="T352" s="31">
        <f>VLOOKUP(A352,'Ansvar kurs'!$A$1:$C$1027,2,FALSE)</f>
        <v>5740</v>
      </c>
      <c r="U352" s="31" t="str">
        <f>VLOOKUP(T352,Orgenheter!$A$1:$C$165,2,FALSE)</f>
        <v>NMD</v>
      </c>
      <c r="V352" s="31" t="str">
        <f>VLOOKUP(T352,Orgenheter!$A$1:$C$165,3,FALSE)</f>
        <v>TekNat</v>
      </c>
      <c r="W352" s="37" t="str">
        <f>VLOOKUP(D352,Program!$A$1:$B$34,2,FALSE)</f>
        <v>Grundlärarprogrammet - förskoleklass och åk 1-3</v>
      </c>
      <c r="X352" s="42">
        <f>VLOOKUP(A352,kurspris!$A$1:$Q$815,15,FALSE)</f>
        <v>21634</v>
      </c>
      <c r="Y352" s="42">
        <f>VLOOKUP(A352,kurspris!$A$1:$Q$815,16,FALSE)</f>
        <v>26986</v>
      </c>
      <c r="Z352" s="42">
        <f t="shared" si="188"/>
        <v>57943.729999999996</v>
      </c>
      <c r="AA352" s="42">
        <f>VLOOKUP(A352,kurspris!$A$1:$Q$815,17,FALSE)</f>
        <v>3400</v>
      </c>
      <c r="AB352" s="42">
        <f t="shared" si="189"/>
        <v>4420</v>
      </c>
      <c r="AC352" s="42">
        <f t="shared" si="190"/>
        <v>62363.729999999996</v>
      </c>
      <c r="AD352" s="31">
        <f>VLOOKUP($A352,kurspris!$A$1:$Q$852,3,FALSE)</f>
        <v>0</v>
      </c>
      <c r="AE352" s="31">
        <f>VLOOKUP($A352,kurspris!$A$1:$Q$852,4,FALSE)</f>
        <v>0</v>
      </c>
      <c r="AF352" s="31">
        <f>VLOOKUP($A352,kurspris!$A$1:$Q$852,5,FALSE)</f>
        <v>0</v>
      </c>
      <c r="AG352" s="31">
        <f>VLOOKUP($A352,kurspris!$A$1:$Q$852,6,FALSE)</f>
        <v>0</v>
      </c>
      <c r="AH352" s="31">
        <f>VLOOKUP($A352,kurspris!$A$1:$Q$852,7,FALSE)</f>
        <v>0</v>
      </c>
      <c r="AI352" s="31">
        <f>VLOOKUP($A352,kurspris!$A$1:$Q$852,8,FALSE)</f>
        <v>0</v>
      </c>
      <c r="AJ352" s="31">
        <f>VLOOKUP($A352,kurspris!$A$1:$Q$852,9,FALSE)</f>
        <v>0</v>
      </c>
      <c r="AK352" s="31">
        <f>VLOOKUP($A352,kurspris!$A$1:$Q$852,10,FALSE)</f>
        <v>0</v>
      </c>
      <c r="AL352" s="31">
        <f>VLOOKUP($A352,kurspris!$A$1:$Q$852,11,FALSE)</f>
        <v>1</v>
      </c>
      <c r="AM352" s="31">
        <f>VLOOKUP($A352,kurspris!$A$1:$Q$852,12,FALSE)</f>
        <v>0</v>
      </c>
      <c r="AN352" s="31">
        <f>VLOOKUP($A352,kurspris!$A$1:$Q$852,13,FALSE)</f>
        <v>0</v>
      </c>
      <c r="AO352" s="31">
        <f>VLOOKUP($A352,kurspris!$A$1:$Q$852,14,FALSE)</f>
        <v>0</v>
      </c>
      <c r="AP352" s="59" t="s">
        <v>2216</v>
      </c>
      <c r="AR352" s="31">
        <f t="shared" si="191"/>
        <v>0</v>
      </c>
      <c r="AS352" s="237">
        <f t="shared" si="192"/>
        <v>0</v>
      </c>
      <c r="AT352" s="31">
        <f t="shared" si="193"/>
        <v>0</v>
      </c>
      <c r="AU352" s="237">
        <f t="shared" si="194"/>
        <v>0</v>
      </c>
      <c r="AV352" s="31">
        <f t="shared" si="195"/>
        <v>0</v>
      </c>
      <c r="AW352" s="31">
        <f t="shared" si="196"/>
        <v>0</v>
      </c>
      <c r="AX352" s="31">
        <f t="shared" si="197"/>
        <v>0</v>
      </c>
      <c r="AY352" s="237">
        <f t="shared" si="198"/>
        <v>0</v>
      </c>
      <c r="AZ352" s="214">
        <f t="shared" si="199"/>
        <v>0</v>
      </c>
      <c r="BA352" s="237">
        <f t="shared" si="200"/>
        <v>0</v>
      </c>
      <c r="BB352" s="31">
        <f t="shared" si="201"/>
        <v>0</v>
      </c>
      <c r="BC352" s="237">
        <f t="shared" si="202"/>
        <v>0</v>
      </c>
      <c r="BD352" s="31">
        <f t="shared" si="203"/>
        <v>0</v>
      </c>
      <c r="BE352" s="237">
        <f t="shared" si="204"/>
        <v>0</v>
      </c>
      <c r="BF352" s="31">
        <f t="shared" si="205"/>
        <v>0</v>
      </c>
      <c r="BG352" s="237">
        <f t="shared" si="206"/>
        <v>0</v>
      </c>
      <c r="BH352" s="31">
        <f t="shared" si="207"/>
        <v>1.3</v>
      </c>
      <c r="BI352" s="237">
        <f t="shared" si="208"/>
        <v>1.105</v>
      </c>
      <c r="BJ352" s="31">
        <f t="shared" si="209"/>
        <v>0</v>
      </c>
      <c r="BK352" s="31">
        <f t="shared" si="210"/>
        <v>0</v>
      </c>
      <c r="BL352" s="237">
        <f t="shared" si="211"/>
        <v>0</v>
      </c>
      <c r="BM352" s="31">
        <f t="shared" si="212"/>
        <v>0</v>
      </c>
      <c r="BN352" s="237">
        <f t="shared" si="213"/>
        <v>0</v>
      </c>
    </row>
    <row r="353" spans="1:66" x14ac:dyDescent="0.25">
      <c r="A353" s="159" t="s">
        <v>1889</v>
      </c>
      <c r="B353" s="182" t="str">
        <f>VLOOKUP(A353,kurspris!$A$1:$B$894,2,FALSE)</f>
        <v>Att vara grundlärare (VFU)</v>
      </c>
      <c r="C353" s="37"/>
      <c r="D353" s="31" t="s">
        <v>524</v>
      </c>
      <c r="F353" s="59">
        <v>2019</v>
      </c>
      <c r="Q353" s="237">
        <v>0.75</v>
      </c>
      <c r="R353" s="40">
        <v>0.85</v>
      </c>
      <c r="S353" s="313">
        <f t="shared" si="187"/>
        <v>0.63749999999999996</v>
      </c>
      <c r="T353" s="31">
        <f>VLOOKUP(A353,'Ansvar kurs'!$A$1:$C$1027,2,FALSE)</f>
        <v>5740</v>
      </c>
      <c r="U353" s="31" t="str">
        <f>VLOOKUP(T353,Orgenheter!$A$1:$C$165,2,FALSE)</f>
        <v>NMD</v>
      </c>
      <c r="V353" s="31" t="str">
        <f>VLOOKUP(T353,Orgenheter!$A$1:$C$165,3,FALSE)</f>
        <v>TekNat</v>
      </c>
      <c r="W353" s="37" t="str">
        <f>VLOOKUP(D353,Program!$A$1:$B$34,2,FALSE)</f>
        <v>Grundlärarprogrammet - grundskolans åk 4-6</v>
      </c>
      <c r="X353" s="42">
        <f>VLOOKUP(A353,kurspris!$A$1:$Q$815,15,FALSE)</f>
        <v>21634</v>
      </c>
      <c r="Y353" s="42">
        <f>VLOOKUP(A353,kurspris!$A$1:$Q$815,16,FALSE)</f>
        <v>26986</v>
      </c>
      <c r="Z353" s="42">
        <f t="shared" si="188"/>
        <v>33429.074999999997</v>
      </c>
      <c r="AA353" s="42">
        <f>VLOOKUP(A353,kurspris!$A$1:$Q$815,17,FALSE)</f>
        <v>3400</v>
      </c>
      <c r="AB353" s="42">
        <f t="shared" si="189"/>
        <v>2550</v>
      </c>
      <c r="AC353" s="42">
        <f t="shared" si="190"/>
        <v>35979.074999999997</v>
      </c>
      <c r="AD353" s="31">
        <f>VLOOKUP($A353,kurspris!$A$1:$Q$852,3,FALSE)</f>
        <v>0</v>
      </c>
      <c r="AE353" s="31">
        <f>VLOOKUP($A353,kurspris!$A$1:$Q$852,4,FALSE)</f>
        <v>0</v>
      </c>
      <c r="AF353" s="31">
        <f>VLOOKUP($A353,kurspris!$A$1:$Q$852,5,FALSE)</f>
        <v>0</v>
      </c>
      <c r="AG353" s="31">
        <f>VLOOKUP($A353,kurspris!$A$1:$Q$852,6,FALSE)</f>
        <v>0</v>
      </c>
      <c r="AH353" s="31">
        <f>VLOOKUP($A353,kurspris!$A$1:$Q$852,7,FALSE)</f>
        <v>0</v>
      </c>
      <c r="AI353" s="31">
        <f>VLOOKUP($A353,kurspris!$A$1:$Q$852,8,FALSE)</f>
        <v>0</v>
      </c>
      <c r="AJ353" s="31">
        <f>VLOOKUP($A353,kurspris!$A$1:$Q$852,9,FALSE)</f>
        <v>0</v>
      </c>
      <c r="AK353" s="31">
        <f>VLOOKUP($A353,kurspris!$A$1:$Q$852,10,FALSE)</f>
        <v>0</v>
      </c>
      <c r="AL353" s="31">
        <f>VLOOKUP($A353,kurspris!$A$1:$Q$852,11,FALSE)</f>
        <v>1</v>
      </c>
      <c r="AM353" s="31">
        <f>VLOOKUP($A353,kurspris!$A$1:$Q$852,12,FALSE)</f>
        <v>0</v>
      </c>
      <c r="AN353" s="31">
        <f>VLOOKUP($A353,kurspris!$A$1:$Q$852,13,FALSE)</f>
        <v>0</v>
      </c>
      <c r="AO353" s="31">
        <f>VLOOKUP($A353,kurspris!$A$1:$Q$852,14,FALSE)</f>
        <v>0</v>
      </c>
      <c r="AP353" s="59" t="s">
        <v>2216</v>
      </c>
      <c r="AQ353" s="59"/>
      <c r="AR353" s="31">
        <f t="shared" si="191"/>
        <v>0</v>
      </c>
      <c r="AS353" s="237">
        <f t="shared" si="192"/>
        <v>0</v>
      </c>
      <c r="AT353" s="31">
        <f t="shared" si="193"/>
        <v>0</v>
      </c>
      <c r="AU353" s="237">
        <f t="shared" si="194"/>
        <v>0</v>
      </c>
      <c r="AV353" s="31">
        <f t="shared" si="195"/>
        <v>0</v>
      </c>
      <c r="AW353" s="31">
        <f t="shared" si="196"/>
        <v>0</v>
      </c>
      <c r="AX353" s="31">
        <f t="shared" si="197"/>
        <v>0</v>
      </c>
      <c r="AY353" s="237">
        <f t="shared" si="198"/>
        <v>0</v>
      </c>
      <c r="AZ353" s="214">
        <f t="shared" si="199"/>
        <v>0</v>
      </c>
      <c r="BA353" s="237">
        <f t="shared" si="200"/>
        <v>0</v>
      </c>
      <c r="BB353" s="31">
        <f t="shared" si="201"/>
        <v>0</v>
      </c>
      <c r="BC353" s="237">
        <f t="shared" si="202"/>
        <v>0</v>
      </c>
      <c r="BD353" s="31">
        <f t="shared" si="203"/>
        <v>0</v>
      </c>
      <c r="BE353" s="237">
        <f t="shared" si="204"/>
        <v>0</v>
      </c>
      <c r="BF353" s="31">
        <f t="shared" si="205"/>
        <v>0</v>
      </c>
      <c r="BG353" s="237">
        <f t="shared" si="206"/>
        <v>0</v>
      </c>
      <c r="BH353" s="31">
        <f t="shared" si="207"/>
        <v>0.75</v>
      </c>
      <c r="BI353" s="237">
        <f t="shared" si="208"/>
        <v>0.63749999999999996</v>
      </c>
      <c r="BJ353" s="31">
        <f t="shared" si="209"/>
        <v>0</v>
      </c>
      <c r="BK353" s="31">
        <f t="shared" si="210"/>
        <v>0</v>
      </c>
      <c r="BL353" s="237">
        <f t="shared" si="211"/>
        <v>0</v>
      </c>
      <c r="BM353" s="31">
        <f t="shared" si="212"/>
        <v>0</v>
      </c>
      <c r="BN353" s="237">
        <f t="shared" si="213"/>
        <v>0</v>
      </c>
    </row>
    <row r="354" spans="1:66" x14ac:dyDescent="0.25">
      <c r="A354" s="159" t="s">
        <v>2068</v>
      </c>
      <c r="B354" s="182" t="str">
        <f>VLOOKUP(A354,kurspris!$A$1:$B$894,2,FALSE)</f>
        <v>Att undervisa i biologi (VFU)</v>
      </c>
      <c r="C354" s="37"/>
      <c r="D354" s="31" t="s">
        <v>483</v>
      </c>
      <c r="F354" s="59">
        <v>2019</v>
      </c>
      <c r="Q354" s="237">
        <v>0.4</v>
      </c>
      <c r="R354" s="40">
        <v>0.85</v>
      </c>
      <c r="S354" s="313">
        <f t="shared" si="187"/>
        <v>0.34</v>
      </c>
      <c r="T354" s="31">
        <f>VLOOKUP(A354,'Ansvar kurs'!$A$1:$C$1027,2,FALSE)</f>
        <v>5740</v>
      </c>
      <c r="U354" s="31" t="str">
        <f>VLOOKUP(T354,Orgenheter!$A$1:$C$165,2,FALSE)</f>
        <v>NMD</v>
      </c>
      <c r="V354" s="31" t="str">
        <f>VLOOKUP(T354,Orgenheter!$A$1:$C$165,3,FALSE)</f>
        <v>TekNat</v>
      </c>
      <c r="W354" s="37" t="str">
        <f>VLOOKUP(D354,Program!$A$1:$B$34,2,FALSE)</f>
        <v>Ämneslärarprogrammet - Gy</v>
      </c>
      <c r="X354" s="42">
        <f>VLOOKUP(A354,kurspris!$A$1:$Q$815,15,FALSE)</f>
        <v>21634</v>
      </c>
      <c r="Y354" s="42">
        <f>VLOOKUP(A354,kurspris!$A$1:$Q$815,16,FALSE)</f>
        <v>26986</v>
      </c>
      <c r="Z354" s="42">
        <f t="shared" si="188"/>
        <v>17828.84</v>
      </c>
      <c r="AA354" s="42">
        <f>VLOOKUP(A354,kurspris!$A$1:$Q$815,17,FALSE)</f>
        <v>3400</v>
      </c>
      <c r="AB354" s="42">
        <f t="shared" si="189"/>
        <v>1360</v>
      </c>
      <c r="AC354" s="42">
        <f t="shared" si="190"/>
        <v>19188.84</v>
      </c>
      <c r="AD354" s="31">
        <f>VLOOKUP($A354,kurspris!$A$1:$Q$852,3,FALSE)</f>
        <v>0</v>
      </c>
      <c r="AE354" s="31">
        <f>VLOOKUP($A354,kurspris!$A$1:$Q$852,4,FALSE)</f>
        <v>0</v>
      </c>
      <c r="AF354" s="31">
        <f>VLOOKUP($A354,kurspris!$A$1:$Q$852,5,FALSE)</f>
        <v>0</v>
      </c>
      <c r="AG354" s="31">
        <f>VLOOKUP($A354,kurspris!$A$1:$Q$852,6,FALSE)</f>
        <v>0</v>
      </c>
      <c r="AH354" s="31">
        <f>VLOOKUP($A354,kurspris!$A$1:$Q$852,7,FALSE)</f>
        <v>0</v>
      </c>
      <c r="AI354" s="31">
        <f>VLOOKUP($A354,kurspris!$A$1:$Q$852,8,FALSE)</f>
        <v>0</v>
      </c>
      <c r="AJ354" s="31">
        <f>VLOOKUP($A354,kurspris!$A$1:$Q$852,9,FALSE)</f>
        <v>0</v>
      </c>
      <c r="AK354" s="31">
        <f>VLOOKUP($A354,kurspris!$A$1:$Q$852,10,FALSE)</f>
        <v>0</v>
      </c>
      <c r="AL354" s="31">
        <f>VLOOKUP($A354,kurspris!$A$1:$Q$852,11,FALSE)</f>
        <v>1</v>
      </c>
      <c r="AM354" s="31">
        <f>VLOOKUP($A354,kurspris!$A$1:$Q$852,12,FALSE)</f>
        <v>0</v>
      </c>
      <c r="AN354" s="31">
        <f>VLOOKUP($A354,kurspris!$A$1:$Q$852,13,FALSE)</f>
        <v>0</v>
      </c>
      <c r="AO354" s="31">
        <f>VLOOKUP($A354,kurspris!$A$1:$Q$852,14,FALSE)</f>
        <v>0</v>
      </c>
      <c r="AP354" s="59" t="s">
        <v>2216</v>
      </c>
      <c r="AQ354" s="59"/>
      <c r="AR354" s="31">
        <f t="shared" si="191"/>
        <v>0</v>
      </c>
      <c r="AS354" s="237">
        <f t="shared" si="192"/>
        <v>0</v>
      </c>
      <c r="AT354" s="31">
        <f t="shared" si="193"/>
        <v>0</v>
      </c>
      <c r="AU354" s="237">
        <f t="shared" si="194"/>
        <v>0</v>
      </c>
      <c r="AV354" s="31">
        <f t="shared" si="195"/>
        <v>0</v>
      </c>
      <c r="AW354" s="31">
        <f t="shared" si="196"/>
        <v>0</v>
      </c>
      <c r="AX354" s="31">
        <f t="shared" si="197"/>
        <v>0</v>
      </c>
      <c r="AY354" s="237">
        <f t="shared" si="198"/>
        <v>0</v>
      </c>
      <c r="AZ354" s="214">
        <f t="shared" si="199"/>
        <v>0</v>
      </c>
      <c r="BA354" s="237">
        <f t="shared" si="200"/>
        <v>0</v>
      </c>
      <c r="BB354" s="31">
        <f t="shared" si="201"/>
        <v>0</v>
      </c>
      <c r="BC354" s="237">
        <f t="shared" si="202"/>
        <v>0</v>
      </c>
      <c r="BD354" s="31">
        <f t="shared" si="203"/>
        <v>0</v>
      </c>
      <c r="BE354" s="237">
        <f t="shared" si="204"/>
        <v>0</v>
      </c>
      <c r="BF354" s="31">
        <f t="shared" si="205"/>
        <v>0</v>
      </c>
      <c r="BG354" s="237">
        <f t="shared" si="206"/>
        <v>0</v>
      </c>
      <c r="BH354" s="31">
        <f t="shared" si="207"/>
        <v>0.4</v>
      </c>
      <c r="BI354" s="237">
        <f t="shared" si="208"/>
        <v>0.34</v>
      </c>
      <c r="BJ354" s="31">
        <f t="shared" si="209"/>
        <v>0</v>
      </c>
      <c r="BK354" s="31">
        <f t="shared" si="210"/>
        <v>0</v>
      </c>
      <c r="BL354" s="237">
        <f t="shared" si="211"/>
        <v>0</v>
      </c>
      <c r="BM354" s="31">
        <f t="shared" si="212"/>
        <v>0</v>
      </c>
      <c r="BN354" s="237">
        <f t="shared" si="213"/>
        <v>0</v>
      </c>
    </row>
    <row r="355" spans="1:66" x14ac:dyDescent="0.25">
      <c r="A355" s="159" t="s">
        <v>1963</v>
      </c>
      <c r="B355" s="182" t="str">
        <f>VLOOKUP(A355,kurspris!$A$1:$B$894,2,FALSE)</f>
        <v>Att undervisa i Idrott och hälsa (VFU)</v>
      </c>
      <c r="C355" s="37"/>
      <c r="D355" s="31" t="s">
        <v>483</v>
      </c>
      <c r="F355" s="59">
        <v>2019</v>
      </c>
      <c r="Q355" s="237">
        <v>1.5</v>
      </c>
      <c r="R355" s="40">
        <v>0.85</v>
      </c>
      <c r="S355" s="313">
        <f t="shared" si="187"/>
        <v>1.2749999999999999</v>
      </c>
      <c r="T355" s="31">
        <f>VLOOKUP(A355,'Ansvar kurs'!$A$1:$C$1027,2,FALSE)</f>
        <v>2180</v>
      </c>
      <c r="U355" s="31" t="str">
        <f>VLOOKUP(T355,Orgenheter!$A$1:$C$165,2,FALSE)</f>
        <v xml:space="preserve">Pedagogik                     </v>
      </c>
      <c r="V355" s="31" t="str">
        <f>VLOOKUP(T355,Orgenheter!$A$1:$C$165,3,FALSE)</f>
        <v>Sam</v>
      </c>
      <c r="W355" s="37" t="str">
        <f>VLOOKUP(D355,Program!$A$1:$B$34,2,FALSE)</f>
        <v>Ämneslärarprogrammet - Gy</v>
      </c>
      <c r="X355" s="42">
        <f>VLOOKUP(A355,kurspris!$A$1:$Q$815,15,FALSE)</f>
        <v>21634</v>
      </c>
      <c r="Y355" s="42">
        <f>VLOOKUP(A355,kurspris!$A$1:$Q$815,16,FALSE)</f>
        <v>26986</v>
      </c>
      <c r="Z355" s="42">
        <f t="shared" si="188"/>
        <v>66858.149999999994</v>
      </c>
      <c r="AA355" s="42">
        <f>VLOOKUP(A355,kurspris!$A$1:$Q$815,17,FALSE)</f>
        <v>3400</v>
      </c>
      <c r="AB355" s="42">
        <f t="shared" si="189"/>
        <v>5100</v>
      </c>
      <c r="AC355" s="42">
        <f t="shared" si="190"/>
        <v>71958.149999999994</v>
      </c>
      <c r="AD355" s="31">
        <f>VLOOKUP($A355,kurspris!$A$1:$Q$852,3,FALSE)</f>
        <v>0</v>
      </c>
      <c r="AE355" s="31">
        <f>VLOOKUP($A355,kurspris!$A$1:$Q$852,4,FALSE)</f>
        <v>0</v>
      </c>
      <c r="AF355" s="31">
        <f>VLOOKUP($A355,kurspris!$A$1:$Q$852,5,FALSE)</f>
        <v>0</v>
      </c>
      <c r="AG355" s="31">
        <f>VLOOKUP($A355,kurspris!$A$1:$Q$852,6,FALSE)</f>
        <v>0</v>
      </c>
      <c r="AH355" s="31">
        <f>VLOOKUP($A355,kurspris!$A$1:$Q$852,7,FALSE)</f>
        <v>0</v>
      </c>
      <c r="AI355" s="31">
        <f>VLOOKUP($A355,kurspris!$A$1:$Q$852,8,FALSE)</f>
        <v>0</v>
      </c>
      <c r="AJ355" s="31">
        <f>VLOOKUP($A355,kurspris!$A$1:$Q$852,9,FALSE)</f>
        <v>0</v>
      </c>
      <c r="AK355" s="31">
        <f>VLOOKUP($A355,kurspris!$A$1:$Q$852,10,FALSE)</f>
        <v>0</v>
      </c>
      <c r="AL355" s="31">
        <f>VLOOKUP($A355,kurspris!$A$1:$Q$852,11,FALSE)</f>
        <v>1</v>
      </c>
      <c r="AM355" s="31">
        <f>VLOOKUP($A355,kurspris!$A$1:$Q$852,12,FALSE)</f>
        <v>0</v>
      </c>
      <c r="AN355" s="31">
        <f>VLOOKUP($A355,kurspris!$A$1:$Q$852,13,FALSE)</f>
        <v>0</v>
      </c>
      <c r="AO355" s="31">
        <f>VLOOKUP($A355,kurspris!$A$1:$Q$852,14,FALSE)</f>
        <v>0</v>
      </c>
      <c r="AP355" s="59" t="s">
        <v>2216</v>
      </c>
      <c r="AR355" s="31">
        <f t="shared" si="191"/>
        <v>0</v>
      </c>
      <c r="AS355" s="237">
        <f t="shared" si="192"/>
        <v>0</v>
      </c>
      <c r="AT355" s="31">
        <f t="shared" si="193"/>
        <v>0</v>
      </c>
      <c r="AU355" s="237">
        <f t="shared" si="194"/>
        <v>0</v>
      </c>
      <c r="AV355" s="31">
        <f t="shared" si="195"/>
        <v>0</v>
      </c>
      <c r="AW355" s="31">
        <f t="shared" si="196"/>
        <v>0</v>
      </c>
      <c r="AX355" s="31">
        <f t="shared" si="197"/>
        <v>0</v>
      </c>
      <c r="AY355" s="237">
        <f t="shared" si="198"/>
        <v>0</v>
      </c>
      <c r="AZ355" s="214">
        <f t="shared" si="199"/>
        <v>0</v>
      </c>
      <c r="BA355" s="237">
        <f t="shared" si="200"/>
        <v>0</v>
      </c>
      <c r="BB355" s="31">
        <f t="shared" si="201"/>
        <v>0</v>
      </c>
      <c r="BC355" s="237">
        <f t="shared" si="202"/>
        <v>0</v>
      </c>
      <c r="BD355" s="31">
        <f t="shared" si="203"/>
        <v>0</v>
      </c>
      <c r="BE355" s="237">
        <f t="shared" si="204"/>
        <v>0</v>
      </c>
      <c r="BF355" s="31">
        <f t="shared" si="205"/>
        <v>0</v>
      </c>
      <c r="BG355" s="237">
        <f t="shared" si="206"/>
        <v>0</v>
      </c>
      <c r="BH355" s="31">
        <f t="shared" si="207"/>
        <v>1.5</v>
      </c>
      <c r="BI355" s="237">
        <f t="shared" si="208"/>
        <v>1.2749999999999999</v>
      </c>
      <c r="BJ355" s="31">
        <f t="shared" si="209"/>
        <v>0</v>
      </c>
      <c r="BK355" s="31">
        <f t="shared" si="210"/>
        <v>0</v>
      </c>
      <c r="BL355" s="237">
        <f t="shared" si="211"/>
        <v>0</v>
      </c>
      <c r="BM355" s="31">
        <f t="shared" si="212"/>
        <v>0</v>
      </c>
      <c r="BN355" s="237">
        <f t="shared" si="213"/>
        <v>0</v>
      </c>
    </row>
    <row r="356" spans="1:66" x14ac:dyDescent="0.25">
      <c r="A356" s="159" t="s">
        <v>1964</v>
      </c>
      <c r="B356" s="182" t="str">
        <f>VLOOKUP(A356,kurspris!$A$1:$B$894,2,FALSE)</f>
        <v>Att undervisa i Samhällskunskap (VFU)</v>
      </c>
      <c r="C356" s="37"/>
      <c r="D356" s="31" t="s">
        <v>483</v>
      </c>
      <c r="F356" s="59">
        <v>2019</v>
      </c>
      <c r="Q356" s="237">
        <v>0.7</v>
      </c>
      <c r="R356" s="40">
        <v>0.85</v>
      </c>
      <c r="S356" s="313">
        <f t="shared" si="187"/>
        <v>0.59499999999999997</v>
      </c>
      <c r="T356" s="31">
        <f>VLOOKUP(A356,'Ansvar kurs'!$A$1:$C$1027,2,FALSE)</f>
        <v>2180</v>
      </c>
      <c r="U356" s="31" t="str">
        <f>VLOOKUP(T356,Orgenheter!$A$1:$C$165,2,FALSE)</f>
        <v xml:space="preserve">Pedagogik                     </v>
      </c>
      <c r="V356" s="31" t="str">
        <f>VLOOKUP(T356,Orgenheter!$A$1:$C$165,3,FALSE)</f>
        <v>Sam</v>
      </c>
      <c r="W356" s="37" t="str">
        <f>VLOOKUP(D356,Program!$A$1:$B$34,2,FALSE)</f>
        <v>Ämneslärarprogrammet - Gy</v>
      </c>
      <c r="X356" s="42">
        <f>VLOOKUP(A356,kurspris!$A$1:$Q$815,15,FALSE)</f>
        <v>21634</v>
      </c>
      <c r="Y356" s="42">
        <f>VLOOKUP(A356,kurspris!$A$1:$Q$815,16,FALSE)</f>
        <v>26986</v>
      </c>
      <c r="Z356" s="42">
        <f t="shared" si="188"/>
        <v>31200.47</v>
      </c>
      <c r="AA356" s="42">
        <f>VLOOKUP(A356,kurspris!$A$1:$Q$815,17,FALSE)</f>
        <v>3400</v>
      </c>
      <c r="AB356" s="42">
        <f t="shared" si="189"/>
        <v>2380</v>
      </c>
      <c r="AC356" s="42">
        <f t="shared" si="190"/>
        <v>33580.47</v>
      </c>
      <c r="AD356" s="31">
        <f>VLOOKUP($A356,kurspris!$A$1:$Q$852,3,FALSE)</f>
        <v>0</v>
      </c>
      <c r="AE356" s="31">
        <f>VLOOKUP($A356,kurspris!$A$1:$Q$852,4,FALSE)</f>
        <v>0</v>
      </c>
      <c r="AF356" s="31">
        <f>VLOOKUP($A356,kurspris!$A$1:$Q$852,5,FALSE)</f>
        <v>0</v>
      </c>
      <c r="AG356" s="31">
        <f>VLOOKUP($A356,kurspris!$A$1:$Q$852,6,FALSE)</f>
        <v>0</v>
      </c>
      <c r="AH356" s="31">
        <f>VLOOKUP($A356,kurspris!$A$1:$Q$852,7,FALSE)</f>
        <v>0</v>
      </c>
      <c r="AI356" s="31">
        <f>VLOOKUP($A356,kurspris!$A$1:$Q$852,8,FALSE)</f>
        <v>0</v>
      </c>
      <c r="AJ356" s="31">
        <f>VLOOKUP($A356,kurspris!$A$1:$Q$852,9,FALSE)</f>
        <v>0</v>
      </c>
      <c r="AK356" s="31">
        <f>VLOOKUP($A356,kurspris!$A$1:$Q$852,10,FALSE)</f>
        <v>0</v>
      </c>
      <c r="AL356" s="31">
        <f>VLOOKUP($A356,kurspris!$A$1:$Q$852,11,FALSE)</f>
        <v>1</v>
      </c>
      <c r="AM356" s="31">
        <f>VLOOKUP($A356,kurspris!$A$1:$Q$852,12,FALSE)</f>
        <v>0</v>
      </c>
      <c r="AN356" s="31">
        <f>VLOOKUP($A356,kurspris!$A$1:$Q$852,13,FALSE)</f>
        <v>0</v>
      </c>
      <c r="AO356" s="31">
        <f>VLOOKUP($A356,kurspris!$A$1:$Q$852,14,FALSE)</f>
        <v>0</v>
      </c>
      <c r="AP356" s="59" t="s">
        <v>2216</v>
      </c>
      <c r="AR356" s="31">
        <f t="shared" si="191"/>
        <v>0</v>
      </c>
      <c r="AS356" s="237">
        <f t="shared" si="192"/>
        <v>0</v>
      </c>
      <c r="AT356" s="31">
        <f t="shared" si="193"/>
        <v>0</v>
      </c>
      <c r="AU356" s="237">
        <f t="shared" si="194"/>
        <v>0</v>
      </c>
      <c r="AV356" s="31">
        <f t="shared" si="195"/>
        <v>0</v>
      </c>
      <c r="AW356" s="31">
        <f t="shared" si="196"/>
        <v>0</v>
      </c>
      <c r="AX356" s="31">
        <f t="shared" si="197"/>
        <v>0</v>
      </c>
      <c r="AY356" s="237">
        <f t="shared" si="198"/>
        <v>0</v>
      </c>
      <c r="AZ356" s="214">
        <f t="shared" si="199"/>
        <v>0</v>
      </c>
      <c r="BA356" s="237">
        <f t="shared" si="200"/>
        <v>0</v>
      </c>
      <c r="BB356" s="31">
        <f t="shared" si="201"/>
        <v>0</v>
      </c>
      <c r="BC356" s="237">
        <f t="shared" si="202"/>
        <v>0</v>
      </c>
      <c r="BD356" s="31">
        <f t="shared" si="203"/>
        <v>0</v>
      </c>
      <c r="BE356" s="237">
        <f t="shared" si="204"/>
        <v>0</v>
      </c>
      <c r="BF356" s="31">
        <f t="shared" si="205"/>
        <v>0</v>
      </c>
      <c r="BG356" s="237">
        <f t="shared" si="206"/>
        <v>0</v>
      </c>
      <c r="BH356" s="31">
        <f t="shared" si="207"/>
        <v>0.7</v>
      </c>
      <c r="BI356" s="237">
        <f t="shared" si="208"/>
        <v>0.59499999999999997</v>
      </c>
      <c r="BJ356" s="31">
        <f t="shared" si="209"/>
        <v>0</v>
      </c>
      <c r="BK356" s="31">
        <f t="shared" si="210"/>
        <v>0</v>
      </c>
      <c r="BL356" s="237">
        <f t="shared" si="211"/>
        <v>0</v>
      </c>
      <c r="BM356" s="31">
        <f t="shared" si="212"/>
        <v>0</v>
      </c>
      <c r="BN356" s="237">
        <f t="shared" si="213"/>
        <v>0</v>
      </c>
    </row>
    <row r="357" spans="1:66" x14ac:dyDescent="0.25">
      <c r="A357" s="159" t="s">
        <v>2110</v>
      </c>
      <c r="B357" s="182" t="str">
        <f>VLOOKUP(A357,kurspris!$A$1:$B$894,2,FALSE)</f>
        <v>Fjärrundervisning</v>
      </c>
      <c r="C357" s="37"/>
      <c r="D357" s="31" t="s">
        <v>117</v>
      </c>
      <c r="F357" s="59">
        <v>2019</v>
      </c>
      <c r="Q357" s="237">
        <v>2.75</v>
      </c>
      <c r="R357" s="40">
        <v>0.8</v>
      </c>
      <c r="S357" s="313">
        <f t="shared" si="187"/>
        <v>2.2000000000000002</v>
      </c>
      <c r="T357" s="31">
        <f>VLOOKUP(A357,'Ansvar kurs'!$A$1:$C$1027,2,FALSE)</f>
        <v>2180</v>
      </c>
      <c r="U357" s="31" t="str">
        <f>VLOOKUP(T357,Orgenheter!$A$1:$C$165,2,FALSE)</f>
        <v xml:space="preserve">Pedagogik                     </v>
      </c>
      <c r="V357" s="31" t="str">
        <f>VLOOKUP(T357,Orgenheter!$A$1:$C$165,3,FALSE)</f>
        <v>Sam</v>
      </c>
      <c r="W357" s="37" t="str">
        <f>VLOOKUP(D357,Program!$A$1:$B$34,2,FALSE)</f>
        <v>Fristående och övriga kurser</v>
      </c>
      <c r="X357" s="42">
        <f>VLOOKUP(A357,kurspris!$A$1:$Q$815,15,FALSE)</f>
        <v>18405</v>
      </c>
      <c r="Y357" s="42">
        <f>VLOOKUP(A357,kurspris!$A$1:$Q$815,16,FALSE)</f>
        <v>15773</v>
      </c>
      <c r="Z357" s="42">
        <f t="shared" si="188"/>
        <v>85314.35</v>
      </c>
      <c r="AA357" s="42">
        <f>VLOOKUP(A357,kurspris!$A$1:$Q$815,17,FALSE)</f>
        <v>5800</v>
      </c>
      <c r="AB357" s="42">
        <f t="shared" si="189"/>
        <v>15950</v>
      </c>
      <c r="AC357" s="42">
        <f t="shared" si="190"/>
        <v>101264.35</v>
      </c>
      <c r="AD357" s="31">
        <f>VLOOKUP($A357,kurspris!$A$1:$Q$852,3,FALSE)</f>
        <v>0</v>
      </c>
      <c r="AE357" s="31">
        <f>VLOOKUP($A357,kurspris!$A$1:$Q$852,4,FALSE)</f>
        <v>0</v>
      </c>
      <c r="AF357" s="31">
        <f>VLOOKUP($A357,kurspris!$A$1:$Q$852,5,FALSE)</f>
        <v>0</v>
      </c>
      <c r="AG357" s="31">
        <f>VLOOKUP($A357,kurspris!$A$1:$Q$852,6,FALSE)</f>
        <v>0</v>
      </c>
      <c r="AH357" s="31">
        <f>VLOOKUP($A357,kurspris!$A$1:$Q$852,7,FALSE)</f>
        <v>0</v>
      </c>
      <c r="AI357" s="31">
        <f>VLOOKUP($A357,kurspris!$A$1:$Q$852,8,FALSE)</f>
        <v>0</v>
      </c>
      <c r="AJ357" s="31">
        <f>VLOOKUP($A357,kurspris!$A$1:$Q$852,9,FALSE)</f>
        <v>1</v>
      </c>
      <c r="AK357" s="31">
        <f>VLOOKUP($A357,kurspris!$A$1:$Q$852,10,FALSE)</f>
        <v>0</v>
      </c>
      <c r="AL357" s="31">
        <f>VLOOKUP($A357,kurspris!$A$1:$Q$852,11,FALSE)</f>
        <v>0</v>
      </c>
      <c r="AM357" s="31">
        <f>VLOOKUP($A357,kurspris!$A$1:$Q$852,12,FALSE)</f>
        <v>0</v>
      </c>
      <c r="AN357" s="31">
        <f>VLOOKUP($A357,kurspris!$A$1:$Q$852,13,FALSE)</f>
        <v>0</v>
      </c>
      <c r="AO357" s="31">
        <f>VLOOKUP($A357,kurspris!$A$1:$Q$852,14,FALSE)</f>
        <v>0</v>
      </c>
      <c r="AP357" s="59" t="s">
        <v>2216</v>
      </c>
      <c r="AR357" s="31">
        <f t="shared" si="191"/>
        <v>0</v>
      </c>
      <c r="AS357" s="237">
        <f t="shared" si="192"/>
        <v>0</v>
      </c>
      <c r="AT357" s="31">
        <f t="shared" si="193"/>
        <v>0</v>
      </c>
      <c r="AU357" s="237">
        <f t="shared" si="194"/>
        <v>0</v>
      </c>
      <c r="AV357" s="31">
        <f t="shared" si="195"/>
        <v>0</v>
      </c>
      <c r="AW357" s="31">
        <f t="shared" si="196"/>
        <v>0</v>
      </c>
      <c r="AX357" s="31">
        <f t="shared" si="197"/>
        <v>0</v>
      </c>
      <c r="AY357" s="237">
        <f t="shared" si="198"/>
        <v>0</v>
      </c>
      <c r="AZ357" s="214">
        <f t="shared" si="199"/>
        <v>0</v>
      </c>
      <c r="BA357" s="237">
        <f t="shared" si="200"/>
        <v>0</v>
      </c>
      <c r="BB357" s="31">
        <f t="shared" si="201"/>
        <v>0</v>
      </c>
      <c r="BC357" s="237">
        <f t="shared" si="202"/>
        <v>0</v>
      </c>
      <c r="BD357" s="31">
        <f t="shared" si="203"/>
        <v>2.75</v>
      </c>
      <c r="BE357" s="237">
        <f t="shared" si="204"/>
        <v>2.2000000000000002</v>
      </c>
      <c r="BF357" s="31">
        <f t="shared" si="205"/>
        <v>0</v>
      </c>
      <c r="BG357" s="237">
        <f t="shared" si="206"/>
        <v>0</v>
      </c>
      <c r="BH357" s="31">
        <f t="shared" si="207"/>
        <v>0</v>
      </c>
      <c r="BI357" s="237">
        <f t="shared" si="208"/>
        <v>0</v>
      </c>
      <c r="BJ357" s="31">
        <f t="shared" si="209"/>
        <v>0</v>
      </c>
      <c r="BK357" s="31">
        <f t="shared" si="210"/>
        <v>0</v>
      </c>
      <c r="BL357" s="237">
        <f t="shared" si="211"/>
        <v>0</v>
      </c>
      <c r="BM357" s="31">
        <f t="shared" si="212"/>
        <v>0</v>
      </c>
      <c r="BN357" s="237">
        <f t="shared" si="213"/>
        <v>0</v>
      </c>
    </row>
    <row r="358" spans="1:66" x14ac:dyDescent="0.25">
      <c r="A358" s="59" t="s">
        <v>2104</v>
      </c>
      <c r="B358" s="182" t="str">
        <f>VLOOKUP(A358,kurspris!$A$1:$B$894,2,FALSE)</f>
        <v>Skolans digitalisering</v>
      </c>
      <c r="C358" s="37"/>
      <c r="D358" s="59" t="s">
        <v>117</v>
      </c>
      <c r="E358" s="62"/>
      <c r="F358" s="59">
        <v>2019</v>
      </c>
      <c r="M358" s="388"/>
      <c r="N358" s="40"/>
      <c r="P358" s="387"/>
      <c r="Q358" s="237">
        <v>0.125</v>
      </c>
      <c r="R358" s="40">
        <v>0.8</v>
      </c>
      <c r="S358" s="313">
        <f t="shared" si="187"/>
        <v>0.1</v>
      </c>
      <c r="T358" s="31">
        <f>VLOOKUP(A358,'Ansvar kurs'!$A$1:$C$1027,2,FALSE)</f>
        <v>2180</v>
      </c>
      <c r="U358" s="31" t="str">
        <f>VLOOKUP(T358,Orgenheter!$A$1:$C$165,2,FALSE)</f>
        <v xml:space="preserve">Pedagogik                     </v>
      </c>
      <c r="V358" s="31" t="str">
        <f>VLOOKUP(T358,Orgenheter!$A$1:$C$165,3,FALSE)</f>
        <v>Sam</v>
      </c>
      <c r="W358" s="37" t="str">
        <f>VLOOKUP(D358,Program!$A$1:$B$34,2,FALSE)</f>
        <v>Fristående och övriga kurser</v>
      </c>
      <c r="X358" s="42">
        <f>VLOOKUP(A358,kurspris!$A$1:$Q$815,15,FALSE)</f>
        <v>18405</v>
      </c>
      <c r="Y358" s="42">
        <f>VLOOKUP(A358,kurspris!$A$1:$Q$815,16,FALSE)</f>
        <v>15773</v>
      </c>
      <c r="Z358" s="42">
        <f t="shared" si="188"/>
        <v>3877.9250000000002</v>
      </c>
      <c r="AA358" s="42">
        <f>VLOOKUP(A358,kurspris!$A$1:$Q$815,17,FALSE)</f>
        <v>5800</v>
      </c>
      <c r="AB358" s="42">
        <f t="shared" si="189"/>
        <v>725</v>
      </c>
      <c r="AC358" s="42">
        <f t="shared" si="190"/>
        <v>4602.9250000000002</v>
      </c>
      <c r="AD358" s="31">
        <f>VLOOKUP($A358,kurspris!$A$1:$Q$852,3,FALSE)</f>
        <v>0</v>
      </c>
      <c r="AE358" s="31">
        <f>VLOOKUP($A358,kurspris!$A$1:$Q$852,4,FALSE)</f>
        <v>0</v>
      </c>
      <c r="AF358" s="31">
        <f>VLOOKUP($A358,kurspris!$A$1:$Q$852,5,FALSE)</f>
        <v>0</v>
      </c>
      <c r="AG358" s="31">
        <f>VLOOKUP($A358,kurspris!$A$1:$Q$852,6,FALSE)</f>
        <v>0</v>
      </c>
      <c r="AH358" s="31">
        <f>VLOOKUP($A358,kurspris!$A$1:$Q$852,7,FALSE)</f>
        <v>0</v>
      </c>
      <c r="AI358" s="31">
        <f>VLOOKUP($A358,kurspris!$A$1:$Q$852,8,FALSE)</f>
        <v>0</v>
      </c>
      <c r="AJ358" s="31">
        <f>VLOOKUP($A358,kurspris!$A$1:$Q$852,9,FALSE)</f>
        <v>1</v>
      </c>
      <c r="AK358" s="31">
        <f>VLOOKUP($A358,kurspris!$A$1:$Q$852,10,FALSE)</f>
        <v>0</v>
      </c>
      <c r="AL358" s="31">
        <f>VLOOKUP($A358,kurspris!$A$1:$Q$852,11,FALSE)</f>
        <v>0</v>
      </c>
      <c r="AM358" s="31">
        <f>VLOOKUP($A358,kurspris!$A$1:$Q$852,12,FALSE)</f>
        <v>0</v>
      </c>
      <c r="AN358" s="31">
        <f>VLOOKUP($A358,kurspris!$A$1:$Q$852,13,FALSE)</f>
        <v>0</v>
      </c>
      <c r="AO358" s="31">
        <f>VLOOKUP($A358,kurspris!$A$1:$Q$852,14,FALSE)</f>
        <v>0</v>
      </c>
      <c r="AP358" s="59" t="s">
        <v>2216</v>
      </c>
      <c r="AR358" s="31">
        <f t="shared" si="191"/>
        <v>0</v>
      </c>
      <c r="AS358" s="237">
        <f t="shared" si="192"/>
        <v>0</v>
      </c>
      <c r="AT358" s="31">
        <f t="shared" si="193"/>
        <v>0</v>
      </c>
      <c r="AU358" s="237">
        <f t="shared" si="194"/>
        <v>0</v>
      </c>
      <c r="AV358" s="31">
        <f t="shared" si="195"/>
        <v>0</v>
      </c>
      <c r="AW358" s="31">
        <f t="shared" si="196"/>
        <v>0</v>
      </c>
      <c r="AX358" s="31">
        <f t="shared" si="197"/>
        <v>0</v>
      </c>
      <c r="AY358" s="237">
        <f t="shared" si="198"/>
        <v>0</v>
      </c>
      <c r="AZ358" s="214">
        <f t="shared" si="199"/>
        <v>0</v>
      </c>
      <c r="BA358" s="237">
        <f t="shared" si="200"/>
        <v>0</v>
      </c>
      <c r="BB358" s="31">
        <f t="shared" si="201"/>
        <v>0</v>
      </c>
      <c r="BC358" s="237">
        <f t="shared" si="202"/>
        <v>0</v>
      </c>
      <c r="BD358" s="31">
        <f t="shared" si="203"/>
        <v>0.125</v>
      </c>
      <c r="BE358" s="237">
        <f t="shared" si="204"/>
        <v>0.1</v>
      </c>
      <c r="BF358" s="31">
        <f t="shared" si="205"/>
        <v>0</v>
      </c>
      <c r="BG358" s="237">
        <f t="shared" si="206"/>
        <v>0</v>
      </c>
      <c r="BH358" s="31">
        <f t="shared" si="207"/>
        <v>0</v>
      </c>
      <c r="BI358" s="237">
        <f t="shared" si="208"/>
        <v>0</v>
      </c>
      <c r="BJ358" s="31">
        <f t="shared" si="209"/>
        <v>0</v>
      </c>
      <c r="BK358" s="31">
        <f t="shared" si="210"/>
        <v>0</v>
      </c>
      <c r="BL358" s="237">
        <f t="shared" si="211"/>
        <v>0</v>
      </c>
      <c r="BM358" s="31">
        <f t="shared" si="212"/>
        <v>0</v>
      </c>
      <c r="BN358" s="237">
        <f t="shared" si="213"/>
        <v>0</v>
      </c>
    </row>
    <row r="359" spans="1:66" x14ac:dyDescent="0.25">
      <c r="A359" s="31" t="s">
        <v>2121</v>
      </c>
      <c r="B359" s="182" t="str">
        <f>VLOOKUP(A359,kurspris!$A$1:$B$894,2,FALSE)</f>
        <v>Genuspedagogik i lärmiljöer</v>
      </c>
      <c r="D359" s="31" t="s">
        <v>117</v>
      </c>
      <c r="F359" s="59">
        <v>2019</v>
      </c>
      <c r="Q359" s="237">
        <v>25.5</v>
      </c>
      <c r="R359" s="40">
        <v>0.8</v>
      </c>
      <c r="S359" s="313">
        <f t="shared" si="187"/>
        <v>20.400000000000002</v>
      </c>
      <c r="T359" s="31">
        <f>VLOOKUP(A359,'Ansvar kurs'!$A$1:$C$1027,2,FALSE)</f>
        <v>2193</v>
      </c>
      <c r="U359" s="31" t="str">
        <f>VLOOKUP(T359,Orgenheter!$A$1:$C$165,2,FALSE)</f>
        <v xml:space="preserve">TUV </v>
      </c>
      <c r="V359" s="31" t="str">
        <f>VLOOKUP(T359,Orgenheter!$A$1:$C$165,3,FALSE)</f>
        <v>Sam</v>
      </c>
      <c r="W359" s="37" t="str">
        <f>VLOOKUP(D359,Program!$A$1:$B$34,2,FALSE)</f>
        <v>Fristående och övriga kurser</v>
      </c>
      <c r="X359" s="42">
        <f>VLOOKUP(A359,kurspris!$A$1:$Q$815,15,FALSE)</f>
        <v>18405</v>
      </c>
      <c r="Y359" s="42">
        <f>VLOOKUP(A359,kurspris!$A$1:$Q$815,16,FALSE)</f>
        <v>15773</v>
      </c>
      <c r="Z359" s="42">
        <f t="shared" si="188"/>
        <v>791096.7</v>
      </c>
      <c r="AA359" s="42">
        <f>VLOOKUP(A359,kurspris!$A$1:$Q$815,17,FALSE)</f>
        <v>5800</v>
      </c>
      <c r="AB359" s="42">
        <f t="shared" si="189"/>
        <v>147900</v>
      </c>
      <c r="AC359" s="42">
        <f t="shared" si="190"/>
        <v>938996.7</v>
      </c>
      <c r="AD359" s="31">
        <f>VLOOKUP($A359,kurspris!$A$1:$Q$852,3,FALSE)</f>
        <v>0</v>
      </c>
      <c r="AE359" s="31">
        <f>VLOOKUP($A359,kurspris!$A$1:$Q$852,4,FALSE)</f>
        <v>0</v>
      </c>
      <c r="AF359" s="31">
        <f>VLOOKUP($A359,kurspris!$A$1:$Q$852,5,FALSE)</f>
        <v>0</v>
      </c>
      <c r="AG359" s="31">
        <f>VLOOKUP($A359,kurspris!$A$1:$Q$852,6,FALSE)</f>
        <v>0</v>
      </c>
      <c r="AH359" s="31">
        <f>VLOOKUP($A359,kurspris!$A$1:$Q$852,7,FALSE)</f>
        <v>0</v>
      </c>
      <c r="AI359" s="31">
        <f>VLOOKUP($A359,kurspris!$A$1:$Q$852,8,FALSE)</f>
        <v>0</v>
      </c>
      <c r="AJ359" s="31">
        <f>VLOOKUP($A359,kurspris!$A$1:$Q$852,9,FALSE)</f>
        <v>1</v>
      </c>
      <c r="AK359" s="31">
        <f>VLOOKUP($A359,kurspris!$A$1:$Q$852,10,FALSE)</f>
        <v>0</v>
      </c>
      <c r="AL359" s="31">
        <f>VLOOKUP($A359,kurspris!$A$1:$Q$852,11,FALSE)</f>
        <v>0</v>
      </c>
      <c r="AM359" s="31">
        <f>VLOOKUP($A359,kurspris!$A$1:$Q$852,12,FALSE)</f>
        <v>0</v>
      </c>
      <c r="AN359" s="31">
        <f>VLOOKUP($A359,kurspris!$A$1:$Q$852,13,FALSE)</f>
        <v>0</v>
      </c>
      <c r="AO359" s="31">
        <f>VLOOKUP($A359,kurspris!$A$1:$Q$852,14,FALSE)</f>
        <v>0</v>
      </c>
      <c r="AP359" s="59" t="s">
        <v>2216</v>
      </c>
      <c r="AQ359" s="59"/>
      <c r="AR359" s="31">
        <f t="shared" si="191"/>
        <v>0</v>
      </c>
      <c r="AS359" s="237">
        <f t="shared" si="192"/>
        <v>0</v>
      </c>
      <c r="AT359" s="31">
        <f t="shared" si="193"/>
        <v>0</v>
      </c>
      <c r="AU359" s="237">
        <f t="shared" si="194"/>
        <v>0</v>
      </c>
      <c r="AV359" s="31">
        <f t="shared" si="195"/>
        <v>0</v>
      </c>
      <c r="AW359" s="31">
        <f t="shared" si="196"/>
        <v>0</v>
      </c>
      <c r="AX359" s="31">
        <f t="shared" si="197"/>
        <v>0</v>
      </c>
      <c r="AY359" s="237">
        <f t="shared" si="198"/>
        <v>0</v>
      </c>
      <c r="AZ359" s="214">
        <f t="shared" si="199"/>
        <v>0</v>
      </c>
      <c r="BA359" s="237">
        <f t="shared" si="200"/>
        <v>0</v>
      </c>
      <c r="BB359" s="31">
        <f t="shared" si="201"/>
        <v>0</v>
      </c>
      <c r="BC359" s="237">
        <f t="shared" si="202"/>
        <v>0</v>
      </c>
      <c r="BD359" s="31">
        <f t="shared" si="203"/>
        <v>25.5</v>
      </c>
      <c r="BE359" s="237">
        <f t="shared" si="204"/>
        <v>20.400000000000002</v>
      </c>
      <c r="BF359" s="31">
        <f t="shared" si="205"/>
        <v>0</v>
      </c>
      <c r="BG359" s="237">
        <f t="shared" si="206"/>
        <v>0</v>
      </c>
      <c r="BH359" s="31">
        <f t="shared" si="207"/>
        <v>0</v>
      </c>
      <c r="BI359" s="237">
        <f t="shared" si="208"/>
        <v>0</v>
      </c>
      <c r="BJ359" s="31">
        <f t="shared" si="209"/>
        <v>0</v>
      </c>
      <c r="BK359" s="31">
        <f t="shared" si="210"/>
        <v>0</v>
      </c>
      <c r="BL359" s="237">
        <f t="shared" si="211"/>
        <v>0</v>
      </c>
      <c r="BM359" s="31">
        <f t="shared" si="212"/>
        <v>0</v>
      </c>
      <c r="BN359" s="237">
        <f t="shared" si="213"/>
        <v>0</v>
      </c>
    </row>
    <row r="360" spans="1:66" x14ac:dyDescent="0.25">
      <c r="A360" s="159" t="s">
        <v>2123</v>
      </c>
      <c r="B360" s="182" t="str">
        <f>VLOOKUP(A360,kurspris!$A$1:$B$894,2,FALSE)</f>
        <v>Mobbning i lärmiljöer</v>
      </c>
      <c r="C360" s="37"/>
      <c r="D360" s="31" t="s">
        <v>117</v>
      </c>
      <c r="F360" s="59">
        <v>2019</v>
      </c>
      <c r="Q360" s="237">
        <v>9.75</v>
      </c>
      <c r="R360" s="40">
        <v>0.8</v>
      </c>
      <c r="S360" s="313">
        <f t="shared" si="187"/>
        <v>7.8000000000000007</v>
      </c>
      <c r="T360" s="31">
        <f>VLOOKUP(A360,'Ansvar kurs'!$A$1:$C$1027,2,FALSE)</f>
        <v>2193</v>
      </c>
      <c r="U360" s="31" t="str">
        <f>VLOOKUP(T360,Orgenheter!$A$1:$C$165,2,FALSE)</f>
        <v xml:space="preserve">TUV </v>
      </c>
      <c r="V360" s="31" t="str">
        <f>VLOOKUP(T360,Orgenheter!$A$1:$C$165,3,FALSE)</f>
        <v>Sam</v>
      </c>
      <c r="W360" s="37" t="str">
        <f>VLOOKUP(D360,Program!$A$1:$B$34,2,FALSE)</f>
        <v>Fristående och övriga kurser</v>
      </c>
      <c r="X360" s="42">
        <f>VLOOKUP(A360,kurspris!$A$1:$Q$815,15,FALSE)</f>
        <v>18405</v>
      </c>
      <c r="Y360" s="42">
        <f>VLOOKUP(A360,kurspris!$A$1:$Q$815,16,FALSE)</f>
        <v>15773</v>
      </c>
      <c r="Z360" s="42">
        <f t="shared" si="188"/>
        <v>302478.15000000002</v>
      </c>
      <c r="AA360" s="42">
        <f>VLOOKUP(A360,kurspris!$A$1:$Q$815,17,FALSE)</f>
        <v>5800</v>
      </c>
      <c r="AB360" s="42">
        <f t="shared" si="189"/>
        <v>56550</v>
      </c>
      <c r="AC360" s="42">
        <f t="shared" si="190"/>
        <v>359028.15</v>
      </c>
      <c r="AD360" s="31">
        <f>VLOOKUP($A360,kurspris!$A$1:$Q$852,3,FALSE)</f>
        <v>0</v>
      </c>
      <c r="AE360" s="31">
        <f>VLOOKUP($A360,kurspris!$A$1:$Q$852,4,FALSE)</f>
        <v>0</v>
      </c>
      <c r="AF360" s="31">
        <f>VLOOKUP($A360,kurspris!$A$1:$Q$852,5,FALSE)</f>
        <v>0</v>
      </c>
      <c r="AG360" s="31">
        <f>VLOOKUP($A360,kurspris!$A$1:$Q$852,6,FALSE)</f>
        <v>0</v>
      </c>
      <c r="AH360" s="31">
        <f>VLOOKUP($A360,kurspris!$A$1:$Q$852,7,FALSE)</f>
        <v>0</v>
      </c>
      <c r="AI360" s="31">
        <f>VLOOKUP($A360,kurspris!$A$1:$Q$852,8,FALSE)</f>
        <v>0</v>
      </c>
      <c r="AJ360" s="31">
        <f>VLOOKUP($A360,kurspris!$A$1:$Q$852,9,FALSE)</f>
        <v>1</v>
      </c>
      <c r="AK360" s="31">
        <f>VLOOKUP($A360,kurspris!$A$1:$Q$852,10,FALSE)</f>
        <v>0</v>
      </c>
      <c r="AL360" s="31">
        <f>VLOOKUP($A360,kurspris!$A$1:$Q$852,11,FALSE)</f>
        <v>0</v>
      </c>
      <c r="AM360" s="31">
        <f>VLOOKUP($A360,kurspris!$A$1:$Q$852,12,FALSE)</f>
        <v>0</v>
      </c>
      <c r="AN360" s="31">
        <f>VLOOKUP($A360,kurspris!$A$1:$Q$852,13,FALSE)</f>
        <v>0</v>
      </c>
      <c r="AO360" s="31">
        <f>VLOOKUP($A360,kurspris!$A$1:$Q$852,14,FALSE)</f>
        <v>0</v>
      </c>
      <c r="AP360" s="59" t="s">
        <v>2216</v>
      </c>
      <c r="AR360" s="31">
        <f t="shared" si="191"/>
        <v>0</v>
      </c>
      <c r="AS360" s="237">
        <f t="shared" si="192"/>
        <v>0</v>
      </c>
      <c r="AT360" s="31">
        <f t="shared" si="193"/>
        <v>0</v>
      </c>
      <c r="AU360" s="237">
        <f t="shared" si="194"/>
        <v>0</v>
      </c>
      <c r="AV360" s="31">
        <f t="shared" si="195"/>
        <v>0</v>
      </c>
      <c r="AW360" s="31">
        <f t="shared" si="196"/>
        <v>0</v>
      </c>
      <c r="AX360" s="31">
        <f t="shared" si="197"/>
        <v>0</v>
      </c>
      <c r="AY360" s="237">
        <f t="shared" si="198"/>
        <v>0</v>
      </c>
      <c r="AZ360" s="214">
        <f t="shared" si="199"/>
        <v>0</v>
      </c>
      <c r="BA360" s="237">
        <f t="shared" si="200"/>
        <v>0</v>
      </c>
      <c r="BB360" s="31">
        <f t="shared" si="201"/>
        <v>0</v>
      </c>
      <c r="BC360" s="237">
        <f t="shared" si="202"/>
        <v>0</v>
      </c>
      <c r="BD360" s="31">
        <f t="shared" si="203"/>
        <v>9.75</v>
      </c>
      <c r="BE360" s="237">
        <f t="shared" si="204"/>
        <v>7.8000000000000007</v>
      </c>
      <c r="BF360" s="31">
        <f t="shared" si="205"/>
        <v>0</v>
      </c>
      <c r="BG360" s="237">
        <f t="shared" si="206"/>
        <v>0</v>
      </c>
      <c r="BH360" s="31">
        <f t="shared" si="207"/>
        <v>0</v>
      </c>
      <c r="BI360" s="237">
        <f t="shared" si="208"/>
        <v>0</v>
      </c>
      <c r="BJ360" s="31">
        <f t="shared" si="209"/>
        <v>0</v>
      </c>
      <c r="BK360" s="31">
        <f t="shared" si="210"/>
        <v>0</v>
      </c>
      <c r="BL360" s="237">
        <f t="shared" si="211"/>
        <v>0</v>
      </c>
      <c r="BM360" s="31">
        <f t="shared" si="212"/>
        <v>0</v>
      </c>
      <c r="BN360" s="237">
        <f t="shared" si="213"/>
        <v>0</v>
      </c>
    </row>
    <row r="361" spans="1:66" x14ac:dyDescent="0.25">
      <c r="A361" s="59" t="s">
        <v>2087</v>
      </c>
      <c r="B361" s="182" t="str">
        <f>VLOOKUP(A361,kurspris!$A$1:$B$894,2,FALSE)</f>
        <v>Kurs i examensarbete - Matematikutveckling</v>
      </c>
      <c r="C361" s="37"/>
      <c r="D361" s="59" t="s">
        <v>115</v>
      </c>
      <c r="E361" s="62"/>
      <c r="F361" s="59">
        <v>2019</v>
      </c>
      <c r="I361" s="62"/>
      <c r="M361" s="388"/>
      <c r="N361" s="40"/>
      <c r="P361" s="387"/>
      <c r="Q361" s="237">
        <v>2.25</v>
      </c>
      <c r="R361" s="40">
        <v>0.85</v>
      </c>
      <c r="S361" s="313">
        <f t="shared" si="187"/>
        <v>1.9124999999999999</v>
      </c>
      <c r="T361" s="31">
        <f>VLOOKUP(A361,'Ansvar kurs'!$A$1:$C$1027,2,FALSE)</f>
        <v>5740</v>
      </c>
      <c r="U361" s="31" t="str">
        <f>VLOOKUP(T361,Orgenheter!$A$1:$C$165,2,FALSE)</f>
        <v>NMD</v>
      </c>
      <c r="V361" s="31" t="str">
        <f>VLOOKUP(T361,Orgenheter!$A$1:$C$165,3,FALSE)</f>
        <v>TekNat</v>
      </c>
      <c r="W361" s="37" t="str">
        <f>VLOOKUP(D361,Program!$A$1:$B$34,2,FALSE)</f>
        <v>Speciallärarprogrammet</v>
      </c>
      <c r="X361" s="42">
        <f>VLOOKUP(A361,kurspris!$A$1:$Q$815,15,FALSE)</f>
        <v>19473</v>
      </c>
      <c r="Y361" s="42">
        <f>VLOOKUP(A361,kurspris!$A$1:$Q$815,16,FALSE)</f>
        <v>34806</v>
      </c>
      <c r="Z361" s="42">
        <f t="shared" si="188"/>
        <v>110380.72499999999</v>
      </c>
      <c r="AA361" s="42">
        <f>VLOOKUP(A361,kurspris!$A$1:$Q$815,17,FALSE)</f>
        <v>21800</v>
      </c>
      <c r="AB361" s="42">
        <f t="shared" si="189"/>
        <v>49050</v>
      </c>
      <c r="AC361" s="42">
        <f t="shared" si="190"/>
        <v>159430.72499999998</v>
      </c>
      <c r="AD361" s="31">
        <f>VLOOKUP($A361,kurspris!$A$1:$Q$852,3,FALSE)</f>
        <v>0</v>
      </c>
      <c r="AE361" s="31">
        <f>VLOOKUP($A361,kurspris!$A$1:$Q$852,4,FALSE)</f>
        <v>0</v>
      </c>
      <c r="AF361" s="31">
        <f>VLOOKUP($A361,kurspris!$A$1:$Q$852,5,FALSE)</f>
        <v>0</v>
      </c>
      <c r="AG361" s="31">
        <f>VLOOKUP($A361,kurspris!$A$1:$Q$852,6,FALSE)</f>
        <v>0</v>
      </c>
      <c r="AH361" s="31">
        <f>VLOOKUP($A361,kurspris!$A$1:$Q$852,7,FALSE)</f>
        <v>0</v>
      </c>
      <c r="AI361" s="31">
        <f>VLOOKUP($A361,kurspris!$A$1:$Q$852,8,FALSE)</f>
        <v>1</v>
      </c>
      <c r="AJ361" s="31">
        <f>VLOOKUP($A361,kurspris!$A$1:$Q$852,9,FALSE)</f>
        <v>0</v>
      </c>
      <c r="AK361" s="31">
        <f>VLOOKUP($A361,kurspris!$A$1:$Q$852,10,FALSE)</f>
        <v>0</v>
      </c>
      <c r="AL361" s="31">
        <f>VLOOKUP($A361,kurspris!$A$1:$Q$852,11,FALSE)</f>
        <v>0</v>
      </c>
      <c r="AM361" s="31">
        <f>VLOOKUP($A361,kurspris!$A$1:$Q$852,12,FALSE)</f>
        <v>0</v>
      </c>
      <c r="AN361" s="31">
        <f>VLOOKUP($A361,kurspris!$A$1:$Q$852,13,FALSE)</f>
        <v>0</v>
      </c>
      <c r="AO361" s="31">
        <f>VLOOKUP($A361,kurspris!$A$1:$Q$852,14,FALSE)</f>
        <v>0</v>
      </c>
      <c r="AP361" s="59" t="s">
        <v>2216</v>
      </c>
      <c r="AR361" s="31">
        <f t="shared" si="191"/>
        <v>0</v>
      </c>
      <c r="AS361" s="237">
        <f t="shared" si="192"/>
        <v>0</v>
      </c>
      <c r="AT361" s="31">
        <f t="shared" si="193"/>
        <v>0</v>
      </c>
      <c r="AU361" s="237">
        <f t="shared" si="194"/>
        <v>0</v>
      </c>
      <c r="AV361" s="31">
        <f t="shared" si="195"/>
        <v>0</v>
      </c>
      <c r="AW361" s="31">
        <f t="shared" si="196"/>
        <v>0</v>
      </c>
      <c r="AX361" s="31">
        <f t="shared" si="197"/>
        <v>0</v>
      </c>
      <c r="AY361" s="237">
        <f t="shared" si="198"/>
        <v>0</v>
      </c>
      <c r="AZ361" s="214">
        <f t="shared" si="199"/>
        <v>0</v>
      </c>
      <c r="BA361" s="237">
        <f t="shared" si="200"/>
        <v>0</v>
      </c>
      <c r="BB361" s="31">
        <f t="shared" si="201"/>
        <v>2.25</v>
      </c>
      <c r="BC361" s="237">
        <f t="shared" si="202"/>
        <v>1.9124999999999999</v>
      </c>
      <c r="BD361" s="31">
        <f t="shared" si="203"/>
        <v>0</v>
      </c>
      <c r="BE361" s="237">
        <f t="shared" si="204"/>
        <v>0</v>
      </c>
      <c r="BF361" s="31">
        <f t="shared" si="205"/>
        <v>0</v>
      </c>
      <c r="BG361" s="237">
        <f t="shared" si="206"/>
        <v>0</v>
      </c>
      <c r="BH361" s="31">
        <f t="shared" si="207"/>
        <v>0</v>
      </c>
      <c r="BI361" s="237">
        <f t="shared" si="208"/>
        <v>0</v>
      </c>
      <c r="BJ361" s="31">
        <f t="shared" si="209"/>
        <v>0</v>
      </c>
      <c r="BK361" s="31">
        <f t="shared" si="210"/>
        <v>0</v>
      </c>
      <c r="BL361" s="237">
        <f t="shared" si="211"/>
        <v>0</v>
      </c>
      <c r="BM361" s="31">
        <f t="shared" si="212"/>
        <v>0</v>
      </c>
      <c r="BN361" s="237">
        <f t="shared" si="213"/>
        <v>0</v>
      </c>
    </row>
    <row r="362" spans="1:66" x14ac:dyDescent="0.25">
      <c r="A362" s="31" t="s">
        <v>2085</v>
      </c>
      <c r="B362" s="182" t="str">
        <f>VLOOKUP(A362,kurspris!$A$1:$B$894,2,FALSE)</f>
        <v>Språk och matematik i ett specialpedagogiskt perspektiv</v>
      </c>
      <c r="D362" s="31" t="s">
        <v>120</v>
      </c>
      <c r="F362" s="59">
        <v>2019</v>
      </c>
      <c r="Q362" s="237">
        <v>4.5</v>
      </c>
      <c r="R362" s="40">
        <v>0.85</v>
      </c>
      <c r="S362" s="313">
        <f t="shared" si="187"/>
        <v>3.8249999999999997</v>
      </c>
      <c r="T362" s="31">
        <f>VLOOKUP(A362,'Ansvar kurs'!$A$1:$C$1027,2,FALSE)</f>
        <v>5740</v>
      </c>
      <c r="U362" s="31" t="str">
        <f>VLOOKUP(T362,Orgenheter!$A$1:$C$165,2,FALSE)</f>
        <v>NMD</v>
      </c>
      <c r="V362" s="31" t="str">
        <f>VLOOKUP(T362,Orgenheter!$A$1:$C$165,3,FALSE)</f>
        <v>TekNat</v>
      </c>
      <c r="W362" s="37" t="str">
        <f>VLOOKUP(D362,Program!$A$1:$B$34,2,FALSE)</f>
        <v>Specialpedagogprogrammet</v>
      </c>
      <c r="X362" s="42">
        <f>VLOOKUP(A362,kurspris!$A$1:$Q$815,15,FALSE)</f>
        <v>19473</v>
      </c>
      <c r="Y362" s="42">
        <f>VLOOKUP(A362,kurspris!$A$1:$Q$815,16,FALSE)</f>
        <v>34806</v>
      </c>
      <c r="Z362" s="42">
        <f t="shared" si="188"/>
        <v>220761.44999999998</v>
      </c>
      <c r="AA362" s="42">
        <f>VLOOKUP(A362,kurspris!$A$1:$Q$815,17,FALSE)</f>
        <v>21800</v>
      </c>
      <c r="AB362" s="42">
        <f t="shared" si="189"/>
        <v>98100</v>
      </c>
      <c r="AC362" s="42">
        <f t="shared" si="190"/>
        <v>318861.44999999995</v>
      </c>
      <c r="AD362" s="31">
        <f>VLOOKUP($A362,kurspris!$A$1:$Q$852,3,FALSE)</f>
        <v>0</v>
      </c>
      <c r="AE362" s="31">
        <f>VLOOKUP($A362,kurspris!$A$1:$Q$852,4,FALSE)</f>
        <v>0</v>
      </c>
      <c r="AF362" s="31">
        <f>VLOOKUP($A362,kurspris!$A$1:$Q$852,5,FALSE)</f>
        <v>0</v>
      </c>
      <c r="AG362" s="31">
        <f>VLOOKUP($A362,kurspris!$A$1:$Q$852,6,FALSE)</f>
        <v>0</v>
      </c>
      <c r="AH362" s="31">
        <f>VLOOKUP($A362,kurspris!$A$1:$Q$852,7,FALSE)</f>
        <v>0</v>
      </c>
      <c r="AI362" s="31">
        <f>VLOOKUP($A362,kurspris!$A$1:$Q$852,8,FALSE)</f>
        <v>1</v>
      </c>
      <c r="AJ362" s="31">
        <f>VLOOKUP($A362,kurspris!$A$1:$Q$852,9,FALSE)</f>
        <v>0</v>
      </c>
      <c r="AK362" s="31">
        <f>VLOOKUP($A362,kurspris!$A$1:$Q$852,10,FALSE)</f>
        <v>0</v>
      </c>
      <c r="AL362" s="31">
        <f>VLOOKUP($A362,kurspris!$A$1:$Q$852,11,FALSE)</f>
        <v>0</v>
      </c>
      <c r="AM362" s="31">
        <f>VLOOKUP($A362,kurspris!$A$1:$Q$852,12,FALSE)</f>
        <v>0</v>
      </c>
      <c r="AN362" s="31">
        <f>VLOOKUP($A362,kurspris!$A$1:$Q$852,13,FALSE)</f>
        <v>0</v>
      </c>
      <c r="AO362" s="31">
        <f>VLOOKUP($A362,kurspris!$A$1:$Q$852,14,FALSE)</f>
        <v>0</v>
      </c>
      <c r="AP362" s="59" t="s">
        <v>2216</v>
      </c>
      <c r="AQ362" s="59"/>
      <c r="AR362" s="31">
        <f t="shared" si="191"/>
        <v>0</v>
      </c>
      <c r="AS362" s="237">
        <f t="shared" si="192"/>
        <v>0</v>
      </c>
      <c r="AT362" s="31">
        <f t="shared" si="193"/>
        <v>0</v>
      </c>
      <c r="AU362" s="237">
        <f t="shared" si="194"/>
        <v>0</v>
      </c>
      <c r="AV362" s="31">
        <f t="shared" si="195"/>
        <v>0</v>
      </c>
      <c r="AW362" s="31">
        <f t="shared" si="196"/>
        <v>0</v>
      </c>
      <c r="AX362" s="31">
        <f t="shared" si="197"/>
        <v>0</v>
      </c>
      <c r="AY362" s="237">
        <f t="shared" si="198"/>
        <v>0</v>
      </c>
      <c r="AZ362" s="214">
        <f t="shared" si="199"/>
        <v>0</v>
      </c>
      <c r="BA362" s="237">
        <f t="shared" si="200"/>
        <v>0</v>
      </c>
      <c r="BB362" s="31">
        <f t="shared" si="201"/>
        <v>4.5</v>
      </c>
      <c r="BC362" s="237">
        <f t="shared" si="202"/>
        <v>3.8249999999999997</v>
      </c>
      <c r="BD362" s="31">
        <f t="shared" si="203"/>
        <v>0</v>
      </c>
      <c r="BE362" s="237">
        <f t="shared" si="204"/>
        <v>0</v>
      </c>
      <c r="BF362" s="31">
        <f t="shared" si="205"/>
        <v>0</v>
      </c>
      <c r="BG362" s="237">
        <f t="shared" si="206"/>
        <v>0</v>
      </c>
      <c r="BH362" s="31">
        <f t="shared" si="207"/>
        <v>0</v>
      </c>
      <c r="BI362" s="237">
        <f t="shared" si="208"/>
        <v>0</v>
      </c>
      <c r="BJ362" s="31">
        <f t="shared" si="209"/>
        <v>0</v>
      </c>
      <c r="BK362" s="31">
        <f t="shared" si="210"/>
        <v>0</v>
      </c>
      <c r="BL362" s="237">
        <f t="shared" si="211"/>
        <v>0</v>
      </c>
      <c r="BM362" s="31">
        <f t="shared" si="212"/>
        <v>0</v>
      </c>
      <c r="BN362" s="237">
        <f t="shared" si="213"/>
        <v>0</v>
      </c>
    </row>
    <row r="363" spans="1:66" x14ac:dyDescent="0.25">
      <c r="A363" s="59" t="s">
        <v>2085</v>
      </c>
      <c r="B363" s="182" t="str">
        <f>VLOOKUP(A363,kurspris!$A$1:$B$894,2,FALSE)</f>
        <v>Språk och matematik i ett specialpedagogiskt perspektiv</v>
      </c>
      <c r="C363" s="37"/>
      <c r="D363" s="59" t="s">
        <v>115</v>
      </c>
      <c r="E363" s="62"/>
      <c r="F363" s="59">
        <v>2019</v>
      </c>
      <c r="I363" s="62"/>
      <c r="M363" s="388"/>
      <c r="N363" s="40"/>
      <c r="P363" s="387"/>
      <c r="Q363" s="237">
        <v>0.25</v>
      </c>
      <c r="R363" s="40">
        <v>0.85</v>
      </c>
      <c r="S363" s="313">
        <f t="shared" si="187"/>
        <v>0.21249999999999999</v>
      </c>
      <c r="T363" s="31">
        <f>VLOOKUP(A363,'Ansvar kurs'!$A$1:$C$1027,2,FALSE)</f>
        <v>5740</v>
      </c>
      <c r="U363" s="31" t="str">
        <f>VLOOKUP(T363,Orgenheter!$A$1:$C$165,2,FALSE)</f>
        <v>NMD</v>
      </c>
      <c r="V363" s="31" t="str">
        <f>VLOOKUP(T363,Orgenheter!$A$1:$C$165,3,FALSE)</f>
        <v>TekNat</v>
      </c>
      <c r="W363" s="37" t="str">
        <f>VLOOKUP(D363,Program!$A$1:$B$34,2,FALSE)</f>
        <v>Speciallärarprogrammet</v>
      </c>
      <c r="X363" s="42">
        <f>VLOOKUP(A363,kurspris!$A$1:$Q$815,15,FALSE)</f>
        <v>19473</v>
      </c>
      <c r="Y363" s="42">
        <f>VLOOKUP(A363,kurspris!$A$1:$Q$815,16,FALSE)</f>
        <v>34806</v>
      </c>
      <c r="Z363" s="42">
        <f t="shared" si="188"/>
        <v>12264.525</v>
      </c>
      <c r="AA363" s="42">
        <f>VLOOKUP(A363,kurspris!$A$1:$Q$815,17,FALSE)</f>
        <v>21800</v>
      </c>
      <c r="AB363" s="42">
        <f t="shared" si="189"/>
        <v>5450</v>
      </c>
      <c r="AC363" s="42">
        <f t="shared" si="190"/>
        <v>17714.525000000001</v>
      </c>
      <c r="AD363" s="31">
        <f>VLOOKUP($A363,kurspris!$A$1:$Q$852,3,FALSE)</f>
        <v>0</v>
      </c>
      <c r="AE363" s="31">
        <f>VLOOKUP($A363,kurspris!$A$1:$Q$852,4,FALSE)</f>
        <v>0</v>
      </c>
      <c r="AF363" s="31">
        <f>VLOOKUP($A363,kurspris!$A$1:$Q$852,5,FALSE)</f>
        <v>0</v>
      </c>
      <c r="AG363" s="31">
        <f>VLOOKUP($A363,kurspris!$A$1:$Q$852,6,FALSE)</f>
        <v>0</v>
      </c>
      <c r="AH363" s="31">
        <f>VLOOKUP($A363,kurspris!$A$1:$Q$852,7,FALSE)</f>
        <v>0</v>
      </c>
      <c r="AI363" s="31">
        <f>VLOOKUP($A363,kurspris!$A$1:$Q$852,8,FALSE)</f>
        <v>1</v>
      </c>
      <c r="AJ363" s="31">
        <f>VLOOKUP($A363,kurspris!$A$1:$Q$852,9,FALSE)</f>
        <v>0</v>
      </c>
      <c r="AK363" s="31">
        <f>VLOOKUP($A363,kurspris!$A$1:$Q$852,10,FALSE)</f>
        <v>0</v>
      </c>
      <c r="AL363" s="31">
        <f>VLOOKUP($A363,kurspris!$A$1:$Q$852,11,FALSE)</f>
        <v>0</v>
      </c>
      <c r="AM363" s="31">
        <f>VLOOKUP($A363,kurspris!$A$1:$Q$852,12,FALSE)</f>
        <v>0</v>
      </c>
      <c r="AN363" s="31">
        <f>VLOOKUP($A363,kurspris!$A$1:$Q$852,13,FALSE)</f>
        <v>0</v>
      </c>
      <c r="AO363" s="31">
        <f>VLOOKUP($A363,kurspris!$A$1:$Q$852,14,FALSE)</f>
        <v>0</v>
      </c>
      <c r="AP363" s="59" t="s">
        <v>2216</v>
      </c>
      <c r="AR363" s="31">
        <f t="shared" si="191"/>
        <v>0</v>
      </c>
      <c r="AS363" s="237">
        <f t="shared" si="192"/>
        <v>0</v>
      </c>
      <c r="AT363" s="31">
        <f t="shared" si="193"/>
        <v>0</v>
      </c>
      <c r="AU363" s="237">
        <f t="shared" si="194"/>
        <v>0</v>
      </c>
      <c r="AV363" s="31">
        <f t="shared" si="195"/>
        <v>0</v>
      </c>
      <c r="AW363" s="31">
        <f t="shared" si="196"/>
        <v>0</v>
      </c>
      <c r="AX363" s="31">
        <f t="shared" si="197"/>
        <v>0</v>
      </c>
      <c r="AY363" s="237">
        <f t="shared" si="198"/>
        <v>0</v>
      </c>
      <c r="AZ363" s="214">
        <f t="shared" si="199"/>
        <v>0</v>
      </c>
      <c r="BA363" s="237">
        <f t="shared" si="200"/>
        <v>0</v>
      </c>
      <c r="BB363" s="31">
        <f t="shared" si="201"/>
        <v>0.25</v>
      </c>
      <c r="BC363" s="237">
        <f t="shared" si="202"/>
        <v>0.21249999999999999</v>
      </c>
      <c r="BD363" s="31">
        <f t="shared" si="203"/>
        <v>0</v>
      </c>
      <c r="BE363" s="237">
        <f t="shared" si="204"/>
        <v>0</v>
      </c>
      <c r="BF363" s="31">
        <f t="shared" si="205"/>
        <v>0</v>
      </c>
      <c r="BG363" s="237">
        <f t="shared" si="206"/>
        <v>0</v>
      </c>
      <c r="BH363" s="31">
        <f t="shared" si="207"/>
        <v>0</v>
      </c>
      <c r="BI363" s="237">
        <f t="shared" si="208"/>
        <v>0</v>
      </c>
      <c r="BJ363" s="31">
        <f t="shared" si="209"/>
        <v>0</v>
      </c>
      <c r="BK363" s="31">
        <f t="shared" si="210"/>
        <v>0</v>
      </c>
      <c r="BL363" s="237">
        <f t="shared" si="211"/>
        <v>0</v>
      </c>
      <c r="BM363" s="31">
        <f t="shared" si="212"/>
        <v>0</v>
      </c>
      <c r="BN363" s="237">
        <f t="shared" si="213"/>
        <v>0</v>
      </c>
    </row>
    <row r="364" spans="1:66" x14ac:dyDescent="0.25">
      <c r="A364" s="31" t="s">
        <v>2088</v>
      </c>
      <c r="B364" s="182" t="str">
        <f>VLOOKUP(A364,kurspris!$A$1:$B$894,2,FALSE)</f>
        <v>Matematik i specialpedagogiskt perspektiv</v>
      </c>
      <c r="D364" s="31" t="s">
        <v>115</v>
      </c>
      <c r="F364" s="59">
        <v>2019</v>
      </c>
      <c r="Q364" s="237">
        <v>2</v>
      </c>
      <c r="R364" s="40">
        <v>0.85</v>
      </c>
      <c r="S364" s="313">
        <f t="shared" si="187"/>
        <v>1.7</v>
      </c>
      <c r="T364" s="31">
        <f>VLOOKUP(A364,'Ansvar kurs'!$A$1:$C$1027,2,FALSE)</f>
        <v>5740</v>
      </c>
      <c r="U364" s="31" t="str">
        <f>VLOOKUP(T364,Orgenheter!$A$1:$C$165,2,FALSE)</f>
        <v>NMD</v>
      </c>
      <c r="V364" s="31" t="str">
        <f>VLOOKUP(T364,Orgenheter!$A$1:$C$165,3,FALSE)</f>
        <v>TekNat</v>
      </c>
      <c r="W364" s="37" t="str">
        <f>VLOOKUP(D364,Program!$A$1:$B$34,2,FALSE)</f>
        <v>Speciallärarprogrammet</v>
      </c>
      <c r="X364" s="42">
        <f>VLOOKUP(A364,kurspris!$A$1:$Q$815,15,FALSE)</f>
        <v>19473</v>
      </c>
      <c r="Y364" s="42">
        <f>VLOOKUP(A364,kurspris!$A$1:$Q$815,16,FALSE)</f>
        <v>34806</v>
      </c>
      <c r="Z364" s="42">
        <f t="shared" si="188"/>
        <v>98116.2</v>
      </c>
      <c r="AA364" s="42">
        <f>VLOOKUP(A364,kurspris!$A$1:$Q$815,17,FALSE)</f>
        <v>21800</v>
      </c>
      <c r="AB364" s="42">
        <f t="shared" si="189"/>
        <v>43600</v>
      </c>
      <c r="AC364" s="42">
        <f t="shared" si="190"/>
        <v>141716.20000000001</v>
      </c>
      <c r="AD364" s="31">
        <f>VLOOKUP($A364,kurspris!$A$1:$Q$852,3,FALSE)</f>
        <v>0</v>
      </c>
      <c r="AE364" s="31">
        <f>VLOOKUP($A364,kurspris!$A$1:$Q$852,4,FALSE)</f>
        <v>0</v>
      </c>
      <c r="AF364" s="31">
        <f>VLOOKUP($A364,kurspris!$A$1:$Q$852,5,FALSE)</f>
        <v>0</v>
      </c>
      <c r="AG364" s="31">
        <f>VLOOKUP($A364,kurspris!$A$1:$Q$852,6,FALSE)</f>
        <v>0</v>
      </c>
      <c r="AH364" s="31">
        <f>VLOOKUP($A364,kurspris!$A$1:$Q$852,7,FALSE)</f>
        <v>0</v>
      </c>
      <c r="AI364" s="31">
        <f>VLOOKUP($A364,kurspris!$A$1:$Q$852,8,FALSE)</f>
        <v>1</v>
      </c>
      <c r="AJ364" s="31">
        <f>VLOOKUP($A364,kurspris!$A$1:$Q$852,9,FALSE)</f>
        <v>0</v>
      </c>
      <c r="AK364" s="31">
        <f>VLOOKUP($A364,kurspris!$A$1:$Q$852,10,FALSE)</f>
        <v>0</v>
      </c>
      <c r="AL364" s="31">
        <f>VLOOKUP($A364,kurspris!$A$1:$Q$852,11,FALSE)</f>
        <v>0</v>
      </c>
      <c r="AM364" s="31">
        <f>VLOOKUP($A364,kurspris!$A$1:$Q$852,12,FALSE)</f>
        <v>0</v>
      </c>
      <c r="AN364" s="31">
        <f>VLOOKUP($A364,kurspris!$A$1:$Q$852,13,FALSE)</f>
        <v>0</v>
      </c>
      <c r="AO364" s="31">
        <f>VLOOKUP($A364,kurspris!$A$1:$Q$852,14,FALSE)</f>
        <v>0</v>
      </c>
      <c r="AP364" s="59" t="s">
        <v>2216</v>
      </c>
      <c r="AQ364" s="59"/>
      <c r="AR364" s="31">
        <f t="shared" si="191"/>
        <v>0</v>
      </c>
      <c r="AS364" s="237">
        <f t="shared" si="192"/>
        <v>0</v>
      </c>
      <c r="AT364" s="31">
        <f t="shared" si="193"/>
        <v>0</v>
      </c>
      <c r="AU364" s="237">
        <f t="shared" si="194"/>
        <v>0</v>
      </c>
      <c r="AV364" s="31">
        <f t="shared" si="195"/>
        <v>0</v>
      </c>
      <c r="AW364" s="31">
        <f t="shared" si="196"/>
        <v>0</v>
      </c>
      <c r="AX364" s="31">
        <f t="shared" si="197"/>
        <v>0</v>
      </c>
      <c r="AY364" s="237">
        <f t="shared" si="198"/>
        <v>0</v>
      </c>
      <c r="AZ364" s="214">
        <f t="shared" si="199"/>
        <v>0</v>
      </c>
      <c r="BA364" s="237">
        <f t="shared" si="200"/>
        <v>0</v>
      </c>
      <c r="BB364" s="31">
        <f t="shared" si="201"/>
        <v>2</v>
      </c>
      <c r="BC364" s="237">
        <f t="shared" si="202"/>
        <v>1.7</v>
      </c>
      <c r="BD364" s="31">
        <f t="shared" si="203"/>
        <v>0</v>
      </c>
      <c r="BE364" s="237">
        <f t="shared" si="204"/>
        <v>0</v>
      </c>
      <c r="BF364" s="31">
        <f t="shared" si="205"/>
        <v>0</v>
      </c>
      <c r="BG364" s="237">
        <f t="shared" si="206"/>
        <v>0</v>
      </c>
      <c r="BH364" s="31">
        <f t="shared" si="207"/>
        <v>0</v>
      </c>
      <c r="BI364" s="237">
        <f t="shared" si="208"/>
        <v>0</v>
      </c>
      <c r="BJ364" s="31">
        <f t="shared" si="209"/>
        <v>0</v>
      </c>
      <c r="BK364" s="31">
        <f t="shared" si="210"/>
        <v>0</v>
      </c>
      <c r="BL364" s="237">
        <f t="shared" si="211"/>
        <v>0</v>
      </c>
      <c r="BM364" s="31">
        <f t="shared" si="212"/>
        <v>0</v>
      </c>
      <c r="BN364" s="237">
        <f t="shared" si="213"/>
        <v>0</v>
      </c>
    </row>
    <row r="365" spans="1:66" x14ac:dyDescent="0.25">
      <c r="A365" s="31" t="s">
        <v>600</v>
      </c>
      <c r="B365" s="182" t="str">
        <f>VLOOKUP(A365,kurspris!$A$1:$B$894,2,FALSE)</f>
        <v>Pedagogiskt ledarskap, sociala relationer och konflikthantering</v>
      </c>
      <c r="D365" s="31" t="s">
        <v>628</v>
      </c>
      <c r="F365" s="59">
        <v>2019</v>
      </c>
      <c r="Q365" s="237">
        <v>2.5</v>
      </c>
      <c r="R365" s="40">
        <v>0.85</v>
      </c>
      <c r="S365" s="313">
        <f t="shared" si="187"/>
        <v>2.125</v>
      </c>
      <c r="T365" s="31">
        <f>VLOOKUP(A365,'Ansvar kurs'!$A$1:$C$1027,2,FALSE)</f>
        <v>2180</v>
      </c>
      <c r="U365" s="31" t="str">
        <f>VLOOKUP(T365,Orgenheter!$A$1:$C$165,2,FALSE)</f>
        <v xml:space="preserve">Pedagogik                     </v>
      </c>
      <c r="V365" s="31" t="str">
        <f>VLOOKUP(T365,Orgenheter!$A$1:$C$165,3,FALSE)</f>
        <v>Sam</v>
      </c>
      <c r="W365" s="37" t="str">
        <f>VLOOKUP(D365,Program!$A$1:$B$34,2,FALSE)</f>
        <v>KPU - åk 7-9</v>
      </c>
      <c r="X365" s="42">
        <f>VLOOKUP(A365,kurspris!$A$1:$Q$815,15,FALSE)</f>
        <v>23641</v>
      </c>
      <c r="Y365" s="42">
        <f>VLOOKUP(A365,kurspris!$A$1:$Q$815,16,FALSE)</f>
        <v>28786</v>
      </c>
      <c r="Z365" s="42">
        <f t="shared" si="188"/>
        <v>120272.75</v>
      </c>
      <c r="AA365" s="42">
        <f>VLOOKUP(A365,kurspris!$A$1:$Q$815,17,FALSE)</f>
        <v>5800</v>
      </c>
      <c r="AB365" s="42">
        <f t="shared" si="189"/>
        <v>14500</v>
      </c>
      <c r="AC365" s="42">
        <f t="shared" si="190"/>
        <v>134772.75</v>
      </c>
      <c r="AD365" s="31">
        <f>VLOOKUP($A365,kurspris!$A$1:$Q$852,3,FALSE)</f>
        <v>0</v>
      </c>
      <c r="AE365" s="31">
        <f>VLOOKUP($A365,kurspris!$A$1:$Q$852,4,FALSE)</f>
        <v>0</v>
      </c>
      <c r="AF365" s="31">
        <f>VLOOKUP($A365,kurspris!$A$1:$Q$852,5,FALSE)</f>
        <v>0</v>
      </c>
      <c r="AG365" s="31">
        <f>VLOOKUP($A365,kurspris!$A$1:$Q$852,6,FALSE)</f>
        <v>1</v>
      </c>
      <c r="AH365" s="31">
        <f>VLOOKUP($A365,kurspris!$A$1:$Q$852,7,FALSE)</f>
        <v>0</v>
      </c>
      <c r="AI365" s="31">
        <f>VLOOKUP($A365,kurspris!$A$1:$Q$852,8,FALSE)</f>
        <v>0</v>
      </c>
      <c r="AJ365" s="31">
        <f>VLOOKUP($A365,kurspris!$A$1:$Q$852,9,FALSE)</f>
        <v>0</v>
      </c>
      <c r="AK365" s="31">
        <f>VLOOKUP($A365,kurspris!$A$1:$Q$852,10,FALSE)</f>
        <v>0</v>
      </c>
      <c r="AL365" s="31">
        <f>VLOOKUP($A365,kurspris!$A$1:$Q$852,11,FALSE)</f>
        <v>0</v>
      </c>
      <c r="AM365" s="31">
        <f>VLOOKUP($A365,kurspris!$A$1:$Q$852,12,FALSE)</f>
        <v>0</v>
      </c>
      <c r="AN365" s="31">
        <f>VLOOKUP($A365,kurspris!$A$1:$Q$852,13,FALSE)</f>
        <v>0</v>
      </c>
      <c r="AO365" s="31">
        <f>VLOOKUP($A365,kurspris!$A$1:$Q$852,14,FALSE)</f>
        <v>0</v>
      </c>
      <c r="AP365" s="59" t="s">
        <v>2216</v>
      </c>
      <c r="AQ365" s="59"/>
      <c r="AR365" s="31">
        <f t="shared" si="191"/>
        <v>0</v>
      </c>
      <c r="AS365" s="237">
        <f t="shared" si="192"/>
        <v>0</v>
      </c>
      <c r="AT365" s="31">
        <f t="shared" si="193"/>
        <v>0</v>
      </c>
      <c r="AU365" s="237">
        <f t="shared" si="194"/>
        <v>0</v>
      </c>
      <c r="AV365" s="31">
        <f t="shared" si="195"/>
        <v>0</v>
      </c>
      <c r="AW365" s="31">
        <f t="shared" si="196"/>
        <v>0</v>
      </c>
      <c r="AX365" s="31">
        <f t="shared" si="197"/>
        <v>2.5</v>
      </c>
      <c r="AY365" s="237">
        <f t="shared" si="198"/>
        <v>2.125</v>
      </c>
      <c r="AZ365" s="214">
        <f t="shared" si="199"/>
        <v>0</v>
      </c>
      <c r="BA365" s="237">
        <f t="shared" si="200"/>
        <v>0</v>
      </c>
      <c r="BB365" s="31">
        <f t="shared" si="201"/>
        <v>0</v>
      </c>
      <c r="BC365" s="237">
        <f t="shared" si="202"/>
        <v>0</v>
      </c>
      <c r="BD365" s="31">
        <f t="shared" si="203"/>
        <v>0</v>
      </c>
      <c r="BE365" s="237">
        <f t="shared" si="204"/>
        <v>0</v>
      </c>
      <c r="BF365" s="31">
        <f t="shared" si="205"/>
        <v>0</v>
      </c>
      <c r="BG365" s="237">
        <f t="shared" si="206"/>
        <v>0</v>
      </c>
      <c r="BH365" s="31">
        <f t="shared" si="207"/>
        <v>0</v>
      </c>
      <c r="BI365" s="237">
        <f t="shared" si="208"/>
        <v>0</v>
      </c>
      <c r="BJ365" s="31">
        <f t="shared" si="209"/>
        <v>0</v>
      </c>
      <c r="BK365" s="31">
        <f t="shared" si="210"/>
        <v>0</v>
      </c>
      <c r="BL365" s="237">
        <f t="shared" si="211"/>
        <v>0</v>
      </c>
      <c r="BM365" s="31">
        <f t="shared" si="212"/>
        <v>0</v>
      </c>
      <c r="BN365" s="237">
        <f t="shared" si="213"/>
        <v>0</v>
      </c>
    </row>
    <row r="366" spans="1:66" x14ac:dyDescent="0.25">
      <c r="A366" s="31" t="s">
        <v>600</v>
      </c>
      <c r="B366" s="182" t="str">
        <f>VLOOKUP(A366,kurspris!$A$1:$B$894,2,FALSE)</f>
        <v>Pedagogiskt ledarskap, sociala relationer och konflikthantering</v>
      </c>
      <c r="D366" s="31" t="s">
        <v>629</v>
      </c>
      <c r="F366" s="59">
        <v>2019</v>
      </c>
      <c r="Q366" s="237">
        <v>1.1666700000000001</v>
      </c>
      <c r="R366" s="40">
        <v>0.85</v>
      </c>
      <c r="S366" s="313">
        <f t="shared" si="187"/>
        <v>0.99166950000000009</v>
      </c>
      <c r="T366" s="31">
        <f>VLOOKUP(A366,'Ansvar kurs'!$A$1:$C$1027,2,FALSE)</f>
        <v>2180</v>
      </c>
      <c r="U366" s="31" t="str">
        <f>VLOOKUP(T366,Orgenheter!$A$1:$C$165,2,FALSE)</f>
        <v xml:space="preserve">Pedagogik                     </v>
      </c>
      <c r="V366" s="31" t="str">
        <f>VLOOKUP(T366,Orgenheter!$A$1:$C$165,3,FALSE)</f>
        <v>Sam</v>
      </c>
      <c r="W366" s="37" t="str">
        <f>VLOOKUP(D366,Program!$A$1:$B$34,2,FALSE)</f>
        <v>KPU - Gy</v>
      </c>
      <c r="X366" s="42">
        <f>VLOOKUP(A366,kurspris!$A$1:$Q$815,15,FALSE)</f>
        <v>23641</v>
      </c>
      <c r="Y366" s="42">
        <f>VLOOKUP(A366,kurspris!$A$1:$Q$815,16,FALSE)</f>
        <v>28786</v>
      </c>
      <c r="Z366" s="42">
        <f t="shared" si="188"/>
        <v>56127.44369700001</v>
      </c>
      <c r="AA366" s="42">
        <f>VLOOKUP(A366,kurspris!$A$1:$Q$815,17,FALSE)</f>
        <v>5800</v>
      </c>
      <c r="AB366" s="42">
        <f t="shared" si="189"/>
        <v>6766.6860000000006</v>
      </c>
      <c r="AC366" s="42">
        <f t="shared" si="190"/>
        <v>62894.129697000011</v>
      </c>
      <c r="AD366" s="31">
        <f>VLOOKUP($A366,kurspris!$A$1:$Q$852,3,FALSE)</f>
        <v>0</v>
      </c>
      <c r="AE366" s="31">
        <f>VLOOKUP($A366,kurspris!$A$1:$Q$852,4,FALSE)</f>
        <v>0</v>
      </c>
      <c r="AF366" s="31">
        <f>VLOOKUP($A366,kurspris!$A$1:$Q$852,5,FALSE)</f>
        <v>0</v>
      </c>
      <c r="AG366" s="31">
        <f>VLOOKUP($A366,kurspris!$A$1:$Q$852,6,FALSE)</f>
        <v>1</v>
      </c>
      <c r="AH366" s="31">
        <f>VLOOKUP($A366,kurspris!$A$1:$Q$852,7,FALSE)</f>
        <v>0</v>
      </c>
      <c r="AI366" s="31">
        <f>VLOOKUP($A366,kurspris!$A$1:$Q$852,8,FALSE)</f>
        <v>0</v>
      </c>
      <c r="AJ366" s="31">
        <f>VLOOKUP($A366,kurspris!$A$1:$Q$852,9,FALSE)</f>
        <v>0</v>
      </c>
      <c r="AK366" s="31">
        <f>VLOOKUP($A366,kurspris!$A$1:$Q$852,10,FALSE)</f>
        <v>0</v>
      </c>
      <c r="AL366" s="31">
        <f>VLOOKUP($A366,kurspris!$A$1:$Q$852,11,FALSE)</f>
        <v>0</v>
      </c>
      <c r="AM366" s="31">
        <f>VLOOKUP($A366,kurspris!$A$1:$Q$852,12,FALSE)</f>
        <v>0</v>
      </c>
      <c r="AN366" s="31">
        <f>VLOOKUP($A366,kurspris!$A$1:$Q$852,13,FALSE)</f>
        <v>0</v>
      </c>
      <c r="AO366" s="31">
        <f>VLOOKUP($A366,kurspris!$A$1:$Q$852,14,FALSE)</f>
        <v>0</v>
      </c>
      <c r="AP366" s="59" t="s">
        <v>2216</v>
      </c>
      <c r="AQ366" s="59"/>
      <c r="AR366" s="31">
        <f t="shared" si="191"/>
        <v>0</v>
      </c>
      <c r="AS366" s="237">
        <f t="shared" si="192"/>
        <v>0</v>
      </c>
      <c r="AT366" s="31">
        <f t="shared" si="193"/>
        <v>0</v>
      </c>
      <c r="AU366" s="237">
        <f t="shared" si="194"/>
        <v>0</v>
      </c>
      <c r="AV366" s="31">
        <f t="shared" si="195"/>
        <v>0</v>
      </c>
      <c r="AW366" s="31">
        <f t="shared" si="196"/>
        <v>0</v>
      </c>
      <c r="AX366" s="31">
        <f t="shared" si="197"/>
        <v>1.1666700000000001</v>
      </c>
      <c r="AY366" s="237">
        <f t="shared" si="198"/>
        <v>0.99166950000000009</v>
      </c>
      <c r="AZ366" s="214">
        <f t="shared" si="199"/>
        <v>0</v>
      </c>
      <c r="BA366" s="237">
        <f t="shared" si="200"/>
        <v>0</v>
      </c>
      <c r="BB366" s="31">
        <f t="shared" si="201"/>
        <v>0</v>
      </c>
      <c r="BC366" s="237">
        <f t="shared" si="202"/>
        <v>0</v>
      </c>
      <c r="BD366" s="31">
        <f t="shared" si="203"/>
        <v>0</v>
      </c>
      <c r="BE366" s="237">
        <f t="shared" si="204"/>
        <v>0</v>
      </c>
      <c r="BF366" s="31">
        <f t="shared" si="205"/>
        <v>0</v>
      </c>
      <c r="BG366" s="237">
        <f t="shared" si="206"/>
        <v>0</v>
      </c>
      <c r="BH366" s="31">
        <f t="shared" si="207"/>
        <v>0</v>
      </c>
      <c r="BI366" s="237">
        <f t="shared" si="208"/>
        <v>0</v>
      </c>
      <c r="BJ366" s="31">
        <f t="shared" si="209"/>
        <v>0</v>
      </c>
      <c r="BK366" s="31">
        <f t="shared" si="210"/>
        <v>0</v>
      </c>
      <c r="BL366" s="237">
        <f t="shared" si="211"/>
        <v>0</v>
      </c>
      <c r="BM366" s="31">
        <f t="shared" si="212"/>
        <v>0</v>
      </c>
      <c r="BN366" s="237">
        <f t="shared" si="213"/>
        <v>0</v>
      </c>
    </row>
    <row r="367" spans="1:66" x14ac:dyDescent="0.25">
      <c r="A367" s="159" t="s">
        <v>600</v>
      </c>
      <c r="B367" s="182" t="str">
        <f>VLOOKUP(A367,kurspris!$A$1:$B$894,2,FALSE)</f>
        <v>Pedagogiskt ledarskap, sociala relationer och konflikthantering</v>
      </c>
      <c r="C367" s="37"/>
      <c r="D367" s="31" t="s">
        <v>627</v>
      </c>
      <c r="F367" s="59">
        <v>2019</v>
      </c>
      <c r="N367" s="40"/>
      <c r="P367" s="387"/>
      <c r="Q367" s="237">
        <v>7.3333300000000001</v>
      </c>
      <c r="R367" s="40">
        <v>0.85</v>
      </c>
      <c r="S367" s="313">
        <f t="shared" si="187"/>
        <v>6.2333305000000001</v>
      </c>
      <c r="T367" s="31">
        <f>VLOOKUP(A367,'Ansvar kurs'!$A$1:$C$1027,2,FALSE)</f>
        <v>2180</v>
      </c>
      <c r="U367" s="31" t="str">
        <f>VLOOKUP(T367,Orgenheter!$A$1:$C$165,2,FALSE)</f>
        <v xml:space="preserve">Pedagogik                     </v>
      </c>
      <c r="V367" s="31" t="str">
        <f>VLOOKUP(T367,Orgenheter!$A$1:$C$165,3,FALSE)</f>
        <v>Sam</v>
      </c>
      <c r="W367" s="37" t="str">
        <f>VLOOKUP(D367,Program!$A$1:$B$34,2,FALSE)</f>
        <v>Yrkeslärarprogrammet</v>
      </c>
      <c r="X367" s="42">
        <f>VLOOKUP(A367,kurspris!$A$1:$Q$815,15,FALSE)</f>
        <v>23641</v>
      </c>
      <c r="Y367" s="42">
        <f>VLOOKUP(A367,kurspris!$A$1:$Q$815,16,FALSE)</f>
        <v>28786</v>
      </c>
      <c r="Z367" s="42">
        <f t="shared" si="188"/>
        <v>352799.906303</v>
      </c>
      <c r="AA367" s="42">
        <f>VLOOKUP(A367,kurspris!$A$1:$Q$815,17,FALSE)</f>
        <v>5800</v>
      </c>
      <c r="AB367" s="42">
        <f t="shared" si="189"/>
        <v>42533.313999999998</v>
      </c>
      <c r="AC367" s="42">
        <f t="shared" si="190"/>
        <v>395333.22030300001</v>
      </c>
      <c r="AD367" s="31">
        <f>VLOOKUP($A367,kurspris!$A$1:$Q$852,3,FALSE)</f>
        <v>0</v>
      </c>
      <c r="AE367" s="31">
        <f>VLOOKUP($A367,kurspris!$A$1:$Q$852,4,FALSE)</f>
        <v>0</v>
      </c>
      <c r="AF367" s="31">
        <f>VLOOKUP($A367,kurspris!$A$1:$Q$852,5,FALSE)</f>
        <v>0</v>
      </c>
      <c r="AG367" s="31">
        <f>VLOOKUP($A367,kurspris!$A$1:$Q$852,6,FALSE)</f>
        <v>1</v>
      </c>
      <c r="AH367" s="31">
        <f>VLOOKUP($A367,kurspris!$A$1:$Q$852,7,FALSE)</f>
        <v>0</v>
      </c>
      <c r="AI367" s="31">
        <f>VLOOKUP($A367,kurspris!$A$1:$Q$852,8,FALSE)</f>
        <v>0</v>
      </c>
      <c r="AJ367" s="31">
        <f>VLOOKUP($A367,kurspris!$A$1:$Q$852,9,FALSE)</f>
        <v>0</v>
      </c>
      <c r="AK367" s="31">
        <f>VLOOKUP($A367,kurspris!$A$1:$Q$852,10,FALSE)</f>
        <v>0</v>
      </c>
      <c r="AL367" s="31">
        <f>VLOOKUP($A367,kurspris!$A$1:$Q$852,11,FALSE)</f>
        <v>0</v>
      </c>
      <c r="AM367" s="31">
        <f>VLOOKUP($A367,kurspris!$A$1:$Q$852,12,FALSE)</f>
        <v>0</v>
      </c>
      <c r="AN367" s="31">
        <f>VLOOKUP($A367,kurspris!$A$1:$Q$852,13,FALSE)</f>
        <v>0</v>
      </c>
      <c r="AO367" s="31">
        <f>VLOOKUP($A367,kurspris!$A$1:$Q$852,14,FALSE)</f>
        <v>0</v>
      </c>
      <c r="AP367" s="59" t="s">
        <v>2216</v>
      </c>
      <c r="AR367" s="31">
        <f t="shared" si="191"/>
        <v>0</v>
      </c>
      <c r="AS367" s="237">
        <f t="shared" si="192"/>
        <v>0</v>
      </c>
      <c r="AT367" s="31">
        <f t="shared" si="193"/>
        <v>0</v>
      </c>
      <c r="AU367" s="237">
        <f t="shared" si="194"/>
        <v>0</v>
      </c>
      <c r="AV367" s="31">
        <f t="shared" si="195"/>
        <v>0</v>
      </c>
      <c r="AW367" s="31">
        <f t="shared" si="196"/>
        <v>0</v>
      </c>
      <c r="AX367" s="31">
        <f t="shared" si="197"/>
        <v>7.3333300000000001</v>
      </c>
      <c r="AY367" s="237">
        <f t="shared" si="198"/>
        <v>6.2333305000000001</v>
      </c>
      <c r="AZ367" s="214">
        <f t="shared" si="199"/>
        <v>0</v>
      </c>
      <c r="BA367" s="237">
        <f t="shared" si="200"/>
        <v>0</v>
      </c>
      <c r="BB367" s="31">
        <f t="shared" si="201"/>
        <v>0</v>
      </c>
      <c r="BC367" s="237">
        <f t="shared" si="202"/>
        <v>0</v>
      </c>
      <c r="BD367" s="31">
        <f t="shared" si="203"/>
        <v>0</v>
      </c>
      <c r="BE367" s="237">
        <f t="shared" si="204"/>
        <v>0</v>
      </c>
      <c r="BF367" s="31">
        <f t="shared" si="205"/>
        <v>0</v>
      </c>
      <c r="BG367" s="237">
        <f t="shared" si="206"/>
        <v>0</v>
      </c>
      <c r="BH367" s="31">
        <f t="shared" si="207"/>
        <v>0</v>
      </c>
      <c r="BI367" s="237">
        <f t="shared" si="208"/>
        <v>0</v>
      </c>
      <c r="BJ367" s="31">
        <f t="shared" si="209"/>
        <v>0</v>
      </c>
      <c r="BK367" s="31">
        <f t="shared" si="210"/>
        <v>0</v>
      </c>
      <c r="BL367" s="237">
        <f t="shared" si="211"/>
        <v>0</v>
      </c>
      <c r="BM367" s="31">
        <f t="shared" si="212"/>
        <v>0</v>
      </c>
      <c r="BN367" s="237">
        <f t="shared" si="213"/>
        <v>0</v>
      </c>
    </row>
    <row r="368" spans="1:66" x14ac:dyDescent="0.25">
      <c r="A368" s="159" t="s">
        <v>1555</v>
      </c>
      <c r="B368" s="182" t="str">
        <f>VLOOKUP(A368,kurspris!$A$1:$B$894,2,FALSE)</f>
        <v>Examensarbete för ämneslärarexamen - religion</v>
      </c>
      <c r="C368" s="37"/>
      <c r="D368" s="31" t="s">
        <v>483</v>
      </c>
      <c r="F368" s="59">
        <v>2019</v>
      </c>
      <c r="Q368" s="237">
        <v>1.5</v>
      </c>
      <c r="R368" s="40">
        <v>0.85</v>
      </c>
      <c r="S368" s="313">
        <f t="shared" si="187"/>
        <v>1.2749999999999999</v>
      </c>
      <c r="T368" s="31">
        <f>VLOOKUP(A368,'Ansvar kurs'!$A$1:$C$1027,2,FALSE)</f>
        <v>1630</v>
      </c>
      <c r="U368" s="31" t="str">
        <f>VLOOKUP(T368,Orgenheter!$A$1:$C$165,2,FALSE)</f>
        <v>Inst för ide- o samhällsstudier</v>
      </c>
      <c r="V368" s="31" t="str">
        <f>VLOOKUP(T368,Orgenheter!$A$1:$C$165,3,FALSE)</f>
        <v>Hum</v>
      </c>
      <c r="W368" s="37" t="str">
        <f>VLOOKUP(D368,Program!$A$1:$B$34,2,FALSE)</f>
        <v>Ämneslärarprogrammet - Gy</v>
      </c>
      <c r="X368" s="42">
        <f>VLOOKUP(A368,kurspris!$A$1:$Q$815,15,FALSE)</f>
        <v>18405</v>
      </c>
      <c r="Y368" s="42">
        <f>VLOOKUP(A368,kurspris!$A$1:$Q$815,16,FALSE)</f>
        <v>15773</v>
      </c>
      <c r="Z368" s="42">
        <f t="shared" si="188"/>
        <v>47718.074999999997</v>
      </c>
      <c r="AA368" s="42">
        <f>VLOOKUP(A368,kurspris!$A$1:$Q$815,17,FALSE)</f>
        <v>5800</v>
      </c>
      <c r="AB368" s="42">
        <f t="shared" si="189"/>
        <v>8700</v>
      </c>
      <c r="AC368" s="42">
        <f t="shared" si="190"/>
        <v>56418.074999999997</v>
      </c>
      <c r="AD368" s="31">
        <f>VLOOKUP($A368,kurspris!$A$1:$Q$852,3,FALSE)</f>
        <v>0</v>
      </c>
      <c r="AE368" s="31">
        <f>VLOOKUP($A368,kurspris!$A$1:$Q$852,4,FALSE)</f>
        <v>1</v>
      </c>
      <c r="AF368" s="31">
        <f>VLOOKUP($A368,kurspris!$A$1:$Q$852,5,FALSE)</f>
        <v>0</v>
      </c>
      <c r="AG368" s="31">
        <f>VLOOKUP($A368,kurspris!$A$1:$Q$852,6,FALSE)</f>
        <v>0</v>
      </c>
      <c r="AH368" s="31">
        <f>VLOOKUP($A368,kurspris!$A$1:$Q$852,7,FALSE)</f>
        <v>0</v>
      </c>
      <c r="AI368" s="31">
        <f>VLOOKUP($A368,kurspris!$A$1:$Q$852,8,FALSE)</f>
        <v>0</v>
      </c>
      <c r="AJ368" s="31">
        <f>VLOOKUP($A368,kurspris!$A$1:$Q$852,9,FALSE)</f>
        <v>0</v>
      </c>
      <c r="AK368" s="31">
        <f>VLOOKUP($A368,kurspris!$A$1:$Q$852,10,FALSE)</f>
        <v>0</v>
      </c>
      <c r="AL368" s="31">
        <f>VLOOKUP($A368,kurspris!$A$1:$Q$852,11,FALSE)</f>
        <v>0</v>
      </c>
      <c r="AM368" s="31">
        <f>VLOOKUP($A368,kurspris!$A$1:$Q$852,12,FALSE)</f>
        <v>0</v>
      </c>
      <c r="AN368" s="31">
        <f>VLOOKUP($A368,kurspris!$A$1:$Q$852,13,FALSE)</f>
        <v>0</v>
      </c>
      <c r="AO368" s="31">
        <f>VLOOKUP($A368,kurspris!$A$1:$Q$852,14,FALSE)</f>
        <v>0</v>
      </c>
      <c r="AP368" s="59" t="s">
        <v>2216</v>
      </c>
      <c r="AR368" s="31">
        <f t="shared" si="191"/>
        <v>0</v>
      </c>
      <c r="AS368" s="237">
        <f t="shared" si="192"/>
        <v>0</v>
      </c>
      <c r="AT368" s="31">
        <f t="shared" si="193"/>
        <v>1.5</v>
      </c>
      <c r="AU368" s="237">
        <f t="shared" si="194"/>
        <v>1.2749999999999999</v>
      </c>
      <c r="AV368" s="31">
        <f t="shared" si="195"/>
        <v>0</v>
      </c>
      <c r="AW368" s="31">
        <f t="shared" si="196"/>
        <v>0</v>
      </c>
      <c r="AX368" s="31">
        <f t="shared" si="197"/>
        <v>0</v>
      </c>
      <c r="AY368" s="237">
        <f t="shared" si="198"/>
        <v>0</v>
      </c>
      <c r="AZ368" s="214">
        <f t="shared" si="199"/>
        <v>0</v>
      </c>
      <c r="BA368" s="237">
        <f t="shared" si="200"/>
        <v>0</v>
      </c>
      <c r="BB368" s="31">
        <f t="shared" si="201"/>
        <v>0</v>
      </c>
      <c r="BC368" s="237">
        <f t="shared" si="202"/>
        <v>0</v>
      </c>
      <c r="BD368" s="31">
        <f t="shared" si="203"/>
        <v>0</v>
      </c>
      <c r="BE368" s="237">
        <f t="shared" si="204"/>
        <v>0</v>
      </c>
      <c r="BF368" s="31">
        <f t="shared" si="205"/>
        <v>0</v>
      </c>
      <c r="BG368" s="237">
        <f t="shared" si="206"/>
        <v>0</v>
      </c>
      <c r="BH368" s="31">
        <f t="shared" si="207"/>
        <v>0</v>
      </c>
      <c r="BI368" s="237">
        <f t="shared" si="208"/>
        <v>0</v>
      </c>
      <c r="BJ368" s="31">
        <f t="shared" si="209"/>
        <v>0</v>
      </c>
      <c r="BK368" s="31">
        <f t="shared" si="210"/>
        <v>0</v>
      </c>
      <c r="BL368" s="237">
        <f t="shared" si="211"/>
        <v>0</v>
      </c>
      <c r="BM368" s="31">
        <f t="shared" si="212"/>
        <v>0</v>
      </c>
      <c r="BN368" s="237">
        <f t="shared" si="213"/>
        <v>0</v>
      </c>
    </row>
    <row r="369" spans="1:66" x14ac:dyDescent="0.25">
      <c r="A369" s="59" t="s">
        <v>1805</v>
      </c>
      <c r="B369" s="182" t="str">
        <f>VLOOKUP(A369,kurspris!$A$1:$B$894,2,FALSE)</f>
        <v>Läraryrkets dimensioner- ingångsämne religion (VFU)</v>
      </c>
      <c r="D369" s="59" t="s">
        <v>483</v>
      </c>
      <c r="E369" s="62"/>
      <c r="F369" s="59">
        <v>2019</v>
      </c>
      <c r="I369" s="62"/>
      <c r="M369" s="388"/>
      <c r="P369" s="387"/>
      <c r="Q369" s="237">
        <v>0.75</v>
      </c>
      <c r="R369" s="40">
        <v>0.85</v>
      </c>
      <c r="S369" s="313">
        <f t="shared" si="187"/>
        <v>0.63749999999999996</v>
      </c>
      <c r="T369" s="31">
        <f>VLOOKUP(A369,'Ansvar kurs'!$A$1:$C$1027,2,FALSE)</f>
        <v>1630</v>
      </c>
      <c r="U369" s="31" t="str">
        <f>VLOOKUP(T369,Orgenheter!$A$1:$C$165,2,FALSE)</f>
        <v>Inst för ide- o samhällsstudier</v>
      </c>
      <c r="V369" s="31" t="str">
        <f>VLOOKUP(T369,Orgenheter!$A$1:$C$165,3,FALSE)</f>
        <v>Hum</v>
      </c>
      <c r="W369" s="37" t="str">
        <f>VLOOKUP(D369,Program!$A$1:$B$34,2,FALSE)</f>
        <v>Ämneslärarprogrammet - Gy</v>
      </c>
      <c r="X369" s="42">
        <f>VLOOKUP(A369,kurspris!$A$1:$Q$815,15,FALSE)</f>
        <v>21634</v>
      </c>
      <c r="Y369" s="42">
        <f>VLOOKUP(A369,kurspris!$A$1:$Q$815,16,FALSE)</f>
        <v>26986</v>
      </c>
      <c r="Z369" s="42">
        <f t="shared" si="188"/>
        <v>33429.074999999997</v>
      </c>
      <c r="AA369" s="42">
        <f>VLOOKUP(A369,kurspris!$A$1:$Q$815,17,FALSE)</f>
        <v>3400</v>
      </c>
      <c r="AB369" s="42">
        <f t="shared" si="189"/>
        <v>2550</v>
      </c>
      <c r="AC369" s="42">
        <f t="shared" si="190"/>
        <v>35979.074999999997</v>
      </c>
      <c r="AD369" s="31">
        <f>VLOOKUP($A369,kurspris!$A$1:$Q$852,3,FALSE)</f>
        <v>0</v>
      </c>
      <c r="AE369" s="31">
        <f>VLOOKUP($A369,kurspris!$A$1:$Q$852,4,FALSE)</f>
        <v>0</v>
      </c>
      <c r="AF369" s="31">
        <f>VLOOKUP($A369,kurspris!$A$1:$Q$852,5,FALSE)</f>
        <v>0</v>
      </c>
      <c r="AG369" s="31">
        <f>VLOOKUP($A369,kurspris!$A$1:$Q$852,6,FALSE)</f>
        <v>0</v>
      </c>
      <c r="AH369" s="31">
        <f>VLOOKUP($A369,kurspris!$A$1:$Q$852,7,FALSE)</f>
        <v>0</v>
      </c>
      <c r="AI369" s="31">
        <f>VLOOKUP($A369,kurspris!$A$1:$Q$852,8,FALSE)</f>
        <v>0</v>
      </c>
      <c r="AJ369" s="31">
        <f>VLOOKUP($A369,kurspris!$A$1:$Q$852,9,FALSE)</f>
        <v>0</v>
      </c>
      <c r="AK369" s="31">
        <f>VLOOKUP($A369,kurspris!$A$1:$Q$852,10,FALSE)</f>
        <v>0</v>
      </c>
      <c r="AL369" s="31">
        <f>VLOOKUP($A369,kurspris!$A$1:$Q$852,11,FALSE)</f>
        <v>1</v>
      </c>
      <c r="AM369" s="31">
        <f>VLOOKUP($A369,kurspris!$A$1:$Q$852,12,FALSE)</f>
        <v>0</v>
      </c>
      <c r="AN369" s="31">
        <f>VLOOKUP($A369,kurspris!$A$1:$Q$852,13,FALSE)</f>
        <v>0</v>
      </c>
      <c r="AO369" s="31">
        <f>VLOOKUP($A369,kurspris!$A$1:$Q$852,14,FALSE)</f>
        <v>0</v>
      </c>
      <c r="AP369" s="59" t="s">
        <v>2216</v>
      </c>
      <c r="AR369" s="31">
        <f t="shared" si="191"/>
        <v>0</v>
      </c>
      <c r="AS369" s="237">
        <f t="shared" si="192"/>
        <v>0</v>
      </c>
      <c r="AT369" s="31">
        <f t="shared" si="193"/>
        <v>0</v>
      </c>
      <c r="AU369" s="237">
        <f t="shared" si="194"/>
        <v>0</v>
      </c>
      <c r="AV369" s="31">
        <f t="shared" si="195"/>
        <v>0</v>
      </c>
      <c r="AW369" s="31">
        <f t="shared" si="196"/>
        <v>0</v>
      </c>
      <c r="AX369" s="31">
        <f t="shared" si="197"/>
        <v>0</v>
      </c>
      <c r="AY369" s="237">
        <f t="shared" si="198"/>
        <v>0</v>
      </c>
      <c r="AZ369" s="214">
        <f t="shared" si="199"/>
        <v>0</v>
      </c>
      <c r="BA369" s="237">
        <f t="shared" si="200"/>
        <v>0</v>
      </c>
      <c r="BB369" s="31">
        <f t="shared" si="201"/>
        <v>0</v>
      </c>
      <c r="BC369" s="237">
        <f t="shared" si="202"/>
        <v>0</v>
      </c>
      <c r="BD369" s="31">
        <f t="shared" si="203"/>
        <v>0</v>
      </c>
      <c r="BE369" s="237">
        <f t="shared" si="204"/>
        <v>0</v>
      </c>
      <c r="BF369" s="31">
        <f t="shared" si="205"/>
        <v>0</v>
      </c>
      <c r="BG369" s="237">
        <f t="shared" si="206"/>
        <v>0</v>
      </c>
      <c r="BH369" s="31">
        <f t="shared" si="207"/>
        <v>0.75</v>
      </c>
      <c r="BI369" s="237">
        <f t="shared" si="208"/>
        <v>0.63749999999999996</v>
      </c>
      <c r="BJ369" s="31">
        <f t="shared" si="209"/>
        <v>0</v>
      </c>
      <c r="BK369" s="31">
        <f t="shared" si="210"/>
        <v>0</v>
      </c>
      <c r="BL369" s="237">
        <f t="shared" si="211"/>
        <v>0</v>
      </c>
      <c r="BM369" s="31">
        <f t="shared" si="212"/>
        <v>0</v>
      </c>
      <c r="BN369" s="237">
        <f t="shared" si="213"/>
        <v>0</v>
      </c>
    </row>
    <row r="370" spans="1:66" x14ac:dyDescent="0.25">
      <c r="A370" s="59" t="s">
        <v>1965</v>
      </c>
      <c r="B370" s="182" t="str">
        <f>VLOOKUP(A370,kurspris!$A$1:$B$894,2,FALSE)</f>
        <v>Att undervisa i religionskunskap (VFU)</v>
      </c>
      <c r="C370" s="37"/>
      <c r="D370" s="59" t="s">
        <v>483</v>
      </c>
      <c r="E370" s="62"/>
      <c r="F370" s="59">
        <v>2019</v>
      </c>
      <c r="I370" s="62"/>
      <c r="M370" s="388"/>
      <c r="Q370" s="237">
        <v>0.3</v>
      </c>
      <c r="R370" s="40">
        <v>0.85</v>
      </c>
      <c r="S370" s="313">
        <f t="shared" si="187"/>
        <v>0.255</v>
      </c>
      <c r="T370" s="31">
        <f>VLOOKUP(A370,'Ansvar kurs'!$A$1:$C$1027,2,FALSE)</f>
        <v>1630</v>
      </c>
      <c r="U370" s="31" t="str">
        <f>VLOOKUP(T370,Orgenheter!$A$1:$C$165,2,FALSE)</f>
        <v>Inst för ide- o samhällsstudier</v>
      </c>
      <c r="V370" s="31" t="str">
        <f>VLOOKUP(T370,Orgenheter!$A$1:$C$165,3,FALSE)</f>
        <v>Hum</v>
      </c>
      <c r="W370" s="37" t="str">
        <f>VLOOKUP(D370,Program!$A$1:$B$34,2,FALSE)</f>
        <v>Ämneslärarprogrammet - Gy</v>
      </c>
      <c r="X370" s="42">
        <f>VLOOKUP(A370,kurspris!$A$1:$Q$815,15,FALSE)</f>
        <v>21634</v>
      </c>
      <c r="Y370" s="42">
        <f>VLOOKUP(A370,kurspris!$A$1:$Q$815,16,FALSE)</f>
        <v>26986</v>
      </c>
      <c r="Z370" s="42">
        <f t="shared" si="188"/>
        <v>13371.630000000001</v>
      </c>
      <c r="AA370" s="42">
        <f>VLOOKUP(A370,kurspris!$A$1:$Q$815,17,FALSE)</f>
        <v>3400</v>
      </c>
      <c r="AB370" s="42">
        <f t="shared" si="189"/>
        <v>1020</v>
      </c>
      <c r="AC370" s="42">
        <f t="shared" si="190"/>
        <v>14391.630000000001</v>
      </c>
      <c r="AD370" s="31">
        <f>VLOOKUP($A370,kurspris!$A$1:$Q$852,3,FALSE)</f>
        <v>0</v>
      </c>
      <c r="AE370" s="31">
        <f>VLOOKUP($A370,kurspris!$A$1:$Q$852,4,FALSE)</f>
        <v>0</v>
      </c>
      <c r="AF370" s="31">
        <f>VLOOKUP($A370,kurspris!$A$1:$Q$852,5,FALSE)</f>
        <v>0</v>
      </c>
      <c r="AG370" s="31">
        <f>VLOOKUP($A370,kurspris!$A$1:$Q$852,6,FALSE)</f>
        <v>0</v>
      </c>
      <c r="AH370" s="31">
        <f>VLOOKUP($A370,kurspris!$A$1:$Q$852,7,FALSE)</f>
        <v>0</v>
      </c>
      <c r="AI370" s="31">
        <f>VLOOKUP($A370,kurspris!$A$1:$Q$852,8,FALSE)</f>
        <v>0</v>
      </c>
      <c r="AJ370" s="31">
        <f>VLOOKUP($A370,kurspris!$A$1:$Q$852,9,FALSE)</f>
        <v>0</v>
      </c>
      <c r="AK370" s="31">
        <f>VLOOKUP($A370,kurspris!$A$1:$Q$852,10,FALSE)</f>
        <v>0</v>
      </c>
      <c r="AL370" s="31">
        <f>VLOOKUP($A370,kurspris!$A$1:$Q$852,11,FALSE)</f>
        <v>1</v>
      </c>
      <c r="AM370" s="31">
        <f>VLOOKUP($A370,kurspris!$A$1:$Q$852,12,FALSE)</f>
        <v>0</v>
      </c>
      <c r="AN370" s="31">
        <f>VLOOKUP($A370,kurspris!$A$1:$Q$852,13,FALSE)</f>
        <v>0</v>
      </c>
      <c r="AO370" s="31">
        <f>VLOOKUP($A370,kurspris!$A$1:$Q$852,14,FALSE)</f>
        <v>0</v>
      </c>
      <c r="AP370" s="59" t="s">
        <v>2216</v>
      </c>
      <c r="AR370" s="31">
        <f t="shared" si="191"/>
        <v>0</v>
      </c>
      <c r="AS370" s="237">
        <f t="shared" si="192"/>
        <v>0</v>
      </c>
      <c r="AT370" s="31">
        <f t="shared" si="193"/>
        <v>0</v>
      </c>
      <c r="AU370" s="237">
        <f t="shared" si="194"/>
        <v>0</v>
      </c>
      <c r="AV370" s="31">
        <f t="shared" si="195"/>
        <v>0</v>
      </c>
      <c r="AW370" s="31">
        <f t="shared" si="196"/>
        <v>0</v>
      </c>
      <c r="AX370" s="31">
        <f t="shared" si="197"/>
        <v>0</v>
      </c>
      <c r="AY370" s="237">
        <f t="shared" si="198"/>
        <v>0</v>
      </c>
      <c r="AZ370" s="214">
        <f t="shared" si="199"/>
        <v>0</v>
      </c>
      <c r="BA370" s="237">
        <f t="shared" si="200"/>
        <v>0</v>
      </c>
      <c r="BB370" s="31">
        <f t="shared" si="201"/>
        <v>0</v>
      </c>
      <c r="BC370" s="237">
        <f t="shared" si="202"/>
        <v>0</v>
      </c>
      <c r="BD370" s="31">
        <f t="shared" si="203"/>
        <v>0</v>
      </c>
      <c r="BE370" s="237">
        <f t="shared" si="204"/>
        <v>0</v>
      </c>
      <c r="BF370" s="31">
        <f t="shared" si="205"/>
        <v>0</v>
      </c>
      <c r="BG370" s="237">
        <f t="shared" si="206"/>
        <v>0</v>
      </c>
      <c r="BH370" s="31">
        <f t="shared" si="207"/>
        <v>0.3</v>
      </c>
      <c r="BI370" s="237">
        <f t="shared" si="208"/>
        <v>0.255</v>
      </c>
      <c r="BJ370" s="31">
        <f t="shared" si="209"/>
        <v>0</v>
      </c>
      <c r="BK370" s="31">
        <f t="shared" si="210"/>
        <v>0</v>
      </c>
      <c r="BL370" s="237">
        <f t="shared" si="211"/>
        <v>0</v>
      </c>
      <c r="BM370" s="31">
        <f t="shared" si="212"/>
        <v>0</v>
      </c>
      <c r="BN370" s="237">
        <f t="shared" si="213"/>
        <v>0</v>
      </c>
    </row>
    <row r="371" spans="1:66" x14ac:dyDescent="0.25">
      <c r="A371" s="159" t="s">
        <v>1943</v>
      </c>
      <c r="B371" s="182" t="str">
        <f>VLOOKUP(A371,kurspris!$A$1:$B$894,2,FALSE)</f>
        <v>Religionsvetenskap 2</v>
      </c>
      <c r="C371" s="37"/>
      <c r="D371" s="31" t="s">
        <v>483</v>
      </c>
      <c r="F371" s="59">
        <v>2019</v>
      </c>
      <c r="Q371" s="237">
        <v>6.5</v>
      </c>
      <c r="R371" s="40">
        <v>0.85</v>
      </c>
      <c r="S371" s="313">
        <f t="shared" si="187"/>
        <v>5.5249999999999995</v>
      </c>
      <c r="T371" s="31">
        <f>VLOOKUP(A371,'Ansvar kurs'!$A$1:$C$1027,2,FALSE)</f>
        <v>1630</v>
      </c>
      <c r="U371" s="31" t="str">
        <f>VLOOKUP(T371,Orgenheter!$A$1:$C$165,2,FALSE)</f>
        <v>Inst för ide- o samhällsstudier</v>
      </c>
      <c r="V371" s="31" t="str">
        <f>VLOOKUP(T371,Orgenheter!$A$1:$C$165,3,FALSE)</f>
        <v>Hum</v>
      </c>
      <c r="W371" s="37" t="str">
        <f>VLOOKUP(D371,Program!$A$1:$B$34,2,FALSE)</f>
        <v>Ämneslärarprogrammet - Gy</v>
      </c>
      <c r="X371" s="42">
        <f>VLOOKUP(A371,kurspris!$A$1:$Q$815,15,FALSE)</f>
        <v>18405</v>
      </c>
      <c r="Y371" s="42">
        <f>VLOOKUP(A371,kurspris!$A$1:$Q$815,16,FALSE)</f>
        <v>15773</v>
      </c>
      <c r="Z371" s="42">
        <f t="shared" si="188"/>
        <v>206778.32500000001</v>
      </c>
      <c r="AA371" s="42">
        <f>VLOOKUP(A371,kurspris!$A$1:$Q$815,17,FALSE)</f>
        <v>5800</v>
      </c>
      <c r="AB371" s="42">
        <f t="shared" si="189"/>
        <v>37700</v>
      </c>
      <c r="AC371" s="42">
        <f t="shared" si="190"/>
        <v>244478.32500000001</v>
      </c>
      <c r="AD371" s="31">
        <f>VLOOKUP($A371,kurspris!$A$1:$Q$852,3,FALSE)</f>
        <v>0</v>
      </c>
      <c r="AE371" s="31">
        <f>VLOOKUP($A371,kurspris!$A$1:$Q$852,4,FALSE)</f>
        <v>1</v>
      </c>
      <c r="AF371" s="31">
        <f>VLOOKUP($A371,kurspris!$A$1:$Q$852,5,FALSE)</f>
        <v>0</v>
      </c>
      <c r="AG371" s="31">
        <f>VLOOKUP($A371,kurspris!$A$1:$Q$852,6,FALSE)</f>
        <v>0</v>
      </c>
      <c r="AH371" s="31">
        <f>VLOOKUP($A371,kurspris!$A$1:$Q$852,7,FALSE)</f>
        <v>0</v>
      </c>
      <c r="AI371" s="31">
        <f>VLOOKUP($A371,kurspris!$A$1:$Q$852,8,FALSE)</f>
        <v>0</v>
      </c>
      <c r="AJ371" s="31">
        <f>VLOOKUP($A371,kurspris!$A$1:$Q$852,9,FALSE)</f>
        <v>0</v>
      </c>
      <c r="AK371" s="31">
        <f>VLOOKUP($A371,kurspris!$A$1:$Q$852,10,FALSE)</f>
        <v>0</v>
      </c>
      <c r="AL371" s="31">
        <f>VLOOKUP($A371,kurspris!$A$1:$Q$852,11,FALSE)</f>
        <v>0</v>
      </c>
      <c r="AM371" s="31">
        <f>VLOOKUP($A371,kurspris!$A$1:$Q$852,12,FALSE)</f>
        <v>0</v>
      </c>
      <c r="AN371" s="31">
        <f>VLOOKUP($A371,kurspris!$A$1:$Q$852,13,FALSE)</f>
        <v>0</v>
      </c>
      <c r="AO371" s="31">
        <f>VLOOKUP($A371,kurspris!$A$1:$Q$852,14,FALSE)</f>
        <v>0</v>
      </c>
      <c r="AP371" s="59" t="s">
        <v>2216</v>
      </c>
      <c r="AR371" s="31">
        <f t="shared" si="191"/>
        <v>0</v>
      </c>
      <c r="AS371" s="237">
        <f t="shared" si="192"/>
        <v>0</v>
      </c>
      <c r="AT371" s="31">
        <f t="shared" si="193"/>
        <v>6.5</v>
      </c>
      <c r="AU371" s="237">
        <f t="shared" si="194"/>
        <v>5.5249999999999995</v>
      </c>
      <c r="AV371" s="31">
        <f t="shared" si="195"/>
        <v>0</v>
      </c>
      <c r="AW371" s="31">
        <f t="shared" si="196"/>
        <v>0</v>
      </c>
      <c r="AX371" s="31">
        <f t="shared" si="197"/>
        <v>0</v>
      </c>
      <c r="AY371" s="237">
        <f t="shared" si="198"/>
        <v>0</v>
      </c>
      <c r="AZ371" s="214">
        <f t="shared" si="199"/>
        <v>0</v>
      </c>
      <c r="BA371" s="237">
        <f t="shared" si="200"/>
        <v>0</v>
      </c>
      <c r="BB371" s="31">
        <f t="shared" si="201"/>
        <v>0</v>
      </c>
      <c r="BC371" s="237">
        <f t="shared" si="202"/>
        <v>0</v>
      </c>
      <c r="BD371" s="31">
        <f t="shared" si="203"/>
        <v>0</v>
      </c>
      <c r="BE371" s="237">
        <f t="shared" si="204"/>
        <v>0</v>
      </c>
      <c r="BF371" s="31">
        <f t="shared" si="205"/>
        <v>0</v>
      </c>
      <c r="BG371" s="237">
        <f t="shared" si="206"/>
        <v>0</v>
      </c>
      <c r="BH371" s="31">
        <f t="shared" si="207"/>
        <v>0</v>
      </c>
      <c r="BI371" s="237">
        <f t="shared" si="208"/>
        <v>0</v>
      </c>
      <c r="BJ371" s="31">
        <f t="shared" si="209"/>
        <v>0</v>
      </c>
      <c r="BK371" s="31">
        <f t="shared" si="210"/>
        <v>0</v>
      </c>
      <c r="BL371" s="237">
        <f t="shared" si="211"/>
        <v>0</v>
      </c>
      <c r="BM371" s="31">
        <f t="shared" si="212"/>
        <v>0</v>
      </c>
      <c r="BN371" s="237">
        <f t="shared" si="213"/>
        <v>0</v>
      </c>
    </row>
    <row r="372" spans="1:66" x14ac:dyDescent="0.25">
      <c r="A372" s="31" t="s">
        <v>1943</v>
      </c>
      <c r="B372" s="182" t="str">
        <f>VLOOKUP(A372,kurspris!$A$1:$B$894,2,FALSE)</f>
        <v>Religionsvetenskap 2</v>
      </c>
      <c r="D372" s="31" t="s">
        <v>84</v>
      </c>
      <c r="F372" s="59">
        <v>2019</v>
      </c>
      <c r="Q372" s="237">
        <v>0.5</v>
      </c>
      <c r="R372" s="40">
        <v>0.85</v>
      </c>
      <c r="S372" s="313">
        <f t="shared" si="187"/>
        <v>0.42499999999999999</v>
      </c>
      <c r="T372" s="31">
        <f>VLOOKUP(A372,'Ansvar kurs'!$A$1:$C$1027,2,FALSE)</f>
        <v>1630</v>
      </c>
      <c r="U372" s="31" t="str">
        <f>VLOOKUP(T372,Orgenheter!$A$1:$C$165,2,FALSE)</f>
        <v>Inst för ide- o samhällsstudier</v>
      </c>
      <c r="V372" s="31" t="str">
        <f>VLOOKUP(T372,Orgenheter!$A$1:$C$165,3,FALSE)</f>
        <v>Hum</v>
      </c>
      <c r="W372" s="37" t="str">
        <f>VLOOKUP(D372,Program!$A$1:$B$34,2,FALSE)</f>
        <v>VAL-projektet</v>
      </c>
      <c r="X372" s="42">
        <f>VLOOKUP(A372,kurspris!$A$1:$Q$815,15,FALSE)</f>
        <v>18405</v>
      </c>
      <c r="Y372" s="42">
        <f>VLOOKUP(A372,kurspris!$A$1:$Q$815,16,FALSE)</f>
        <v>15773</v>
      </c>
      <c r="Z372" s="42">
        <f t="shared" si="188"/>
        <v>15906.025</v>
      </c>
      <c r="AA372" s="42">
        <f>VLOOKUP(A372,kurspris!$A$1:$Q$815,17,FALSE)</f>
        <v>5800</v>
      </c>
      <c r="AB372" s="42">
        <f t="shared" si="189"/>
        <v>2900</v>
      </c>
      <c r="AC372" s="42">
        <f t="shared" si="190"/>
        <v>18806.025000000001</v>
      </c>
      <c r="AD372" s="31">
        <f>VLOOKUP($A372,kurspris!$A$1:$Q$852,3,FALSE)</f>
        <v>0</v>
      </c>
      <c r="AE372" s="31">
        <f>VLOOKUP($A372,kurspris!$A$1:$Q$852,4,FALSE)</f>
        <v>1</v>
      </c>
      <c r="AF372" s="31">
        <f>VLOOKUP($A372,kurspris!$A$1:$Q$852,5,FALSE)</f>
        <v>0</v>
      </c>
      <c r="AG372" s="31">
        <f>VLOOKUP($A372,kurspris!$A$1:$Q$852,6,FALSE)</f>
        <v>0</v>
      </c>
      <c r="AH372" s="31">
        <f>VLOOKUP($A372,kurspris!$A$1:$Q$852,7,FALSE)</f>
        <v>0</v>
      </c>
      <c r="AI372" s="31">
        <f>VLOOKUP($A372,kurspris!$A$1:$Q$852,8,FALSE)</f>
        <v>0</v>
      </c>
      <c r="AJ372" s="31">
        <f>VLOOKUP($A372,kurspris!$A$1:$Q$852,9,FALSE)</f>
        <v>0</v>
      </c>
      <c r="AK372" s="31">
        <f>VLOOKUP($A372,kurspris!$A$1:$Q$852,10,FALSE)</f>
        <v>0</v>
      </c>
      <c r="AL372" s="31">
        <f>VLOOKUP($A372,kurspris!$A$1:$Q$852,11,FALSE)</f>
        <v>0</v>
      </c>
      <c r="AM372" s="31">
        <f>VLOOKUP($A372,kurspris!$A$1:$Q$852,12,FALSE)</f>
        <v>0</v>
      </c>
      <c r="AN372" s="31">
        <f>VLOOKUP($A372,kurspris!$A$1:$Q$852,13,FALSE)</f>
        <v>0</v>
      </c>
      <c r="AO372" s="31">
        <f>VLOOKUP($A372,kurspris!$A$1:$Q$852,14,FALSE)</f>
        <v>0</v>
      </c>
      <c r="AP372" s="59" t="s">
        <v>2216</v>
      </c>
      <c r="AR372" s="31">
        <f t="shared" si="191"/>
        <v>0</v>
      </c>
      <c r="AS372" s="237">
        <f t="shared" si="192"/>
        <v>0</v>
      </c>
      <c r="AT372" s="31">
        <f t="shared" si="193"/>
        <v>0.5</v>
      </c>
      <c r="AU372" s="237">
        <f t="shared" si="194"/>
        <v>0.42499999999999999</v>
      </c>
      <c r="AV372" s="31">
        <f t="shared" si="195"/>
        <v>0</v>
      </c>
      <c r="AW372" s="31">
        <f t="shared" si="196"/>
        <v>0</v>
      </c>
      <c r="AX372" s="31">
        <f t="shared" si="197"/>
        <v>0</v>
      </c>
      <c r="AY372" s="237">
        <f t="shared" si="198"/>
        <v>0</v>
      </c>
      <c r="AZ372" s="214">
        <f t="shared" si="199"/>
        <v>0</v>
      </c>
      <c r="BA372" s="237">
        <f t="shared" si="200"/>
        <v>0</v>
      </c>
      <c r="BB372" s="31">
        <f t="shared" si="201"/>
        <v>0</v>
      </c>
      <c r="BC372" s="237">
        <f t="shared" si="202"/>
        <v>0</v>
      </c>
      <c r="BD372" s="31">
        <f t="shared" si="203"/>
        <v>0</v>
      </c>
      <c r="BE372" s="237">
        <f t="shared" si="204"/>
        <v>0</v>
      </c>
      <c r="BF372" s="31">
        <f t="shared" si="205"/>
        <v>0</v>
      </c>
      <c r="BG372" s="237">
        <f t="shared" si="206"/>
        <v>0</v>
      </c>
      <c r="BH372" s="31">
        <f t="shared" si="207"/>
        <v>0</v>
      </c>
      <c r="BI372" s="237">
        <f t="shared" si="208"/>
        <v>0</v>
      </c>
      <c r="BJ372" s="31">
        <f t="shared" si="209"/>
        <v>0</v>
      </c>
      <c r="BK372" s="31">
        <f t="shared" si="210"/>
        <v>0</v>
      </c>
      <c r="BL372" s="237">
        <f t="shared" si="211"/>
        <v>0</v>
      </c>
      <c r="BM372" s="31">
        <f t="shared" si="212"/>
        <v>0</v>
      </c>
      <c r="BN372" s="237">
        <f t="shared" si="213"/>
        <v>0</v>
      </c>
    </row>
    <row r="373" spans="1:66" x14ac:dyDescent="0.25">
      <c r="A373" s="31" t="s">
        <v>2061</v>
      </c>
      <c r="B373" s="182" t="str">
        <f>VLOOKUP(A373,kurspris!$A$1:$B$894,2,FALSE)</f>
        <v>Religionsvetenskap 1</v>
      </c>
      <c r="D373" s="31" t="s">
        <v>483</v>
      </c>
      <c r="F373" s="59">
        <v>2019</v>
      </c>
      <c r="Q373" s="237">
        <v>7.5</v>
      </c>
      <c r="R373" s="40">
        <v>0.85</v>
      </c>
      <c r="S373" s="313">
        <f t="shared" si="187"/>
        <v>6.375</v>
      </c>
      <c r="T373" s="31">
        <f>VLOOKUP(A373,'Ansvar kurs'!$A$1:$C$1027,2,FALSE)</f>
        <v>1630</v>
      </c>
      <c r="U373" s="31" t="str">
        <f>VLOOKUP(T373,Orgenheter!$A$1:$C$165,2,FALSE)</f>
        <v>Inst för ide- o samhällsstudier</v>
      </c>
      <c r="V373" s="31" t="str">
        <f>VLOOKUP(T373,Orgenheter!$A$1:$C$165,3,FALSE)</f>
        <v>Hum</v>
      </c>
      <c r="W373" s="37" t="str">
        <f>VLOOKUP(D373,Program!$A$1:$B$34,2,FALSE)</f>
        <v>Ämneslärarprogrammet - Gy</v>
      </c>
      <c r="X373" s="42">
        <f>VLOOKUP(A373,kurspris!$A$1:$Q$815,15,FALSE)</f>
        <v>18405</v>
      </c>
      <c r="Y373" s="42">
        <f>VLOOKUP(A373,kurspris!$A$1:$Q$815,16,FALSE)</f>
        <v>15773</v>
      </c>
      <c r="Z373" s="42">
        <f t="shared" si="188"/>
        <v>238590.375</v>
      </c>
      <c r="AA373" s="42">
        <f>VLOOKUP(A373,kurspris!$A$1:$Q$815,17,FALSE)</f>
        <v>5800</v>
      </c>
      <c r="AB373" s="42">
        <f t="shared" si="189"/>
        <v>43500</v>
      </c>
      <c r="AC373" s="42">
        <f t="shared" si="190"/>
        <v>282090.375</v>
      </c>
      <c r="AD373" s="31">
        <f>VLOOKUP($A373,kurspris!$A$1:$Q$852,3,FALSE)</f>
        <v>0</v>
      </c>
      <c r="AE373" s="31">
        <f>VLOOKUP($A373,kurspris!$A$1:$Q$852,4,FALSE)</f>
        <v>1</v>
      </c>
      <c r="AF373" s="31">
        <f>VLOOKUP($A373,kurspris!$A$1:$Q$852,5,FALSE)</f>
        <v>0</v>
      </c>
      <c r="AG373" s="31">
        <f>VLOOKUP($A373,kurspris!$A$1:$Q$852,6,FALSE)</f>
        <v>0</v>
      </c>
      <c r="AH373" s="31">
        <f>VLOOKUP($A373,kurspris!$A$1:$Q$852,7,FALSE)</f>
        <v>0</v>
      </c>
      <c r="AI373" s="31">
        <f>VLOOKUP($A373,kurspris!$A$1:$Q$852,8,FALSE)</f>
        <v>0</v>
      </c>
      <c r="AJ373" s="31">
        <f>VLOOKUP($A373,kurspris!$A$1:$Q$852,9,FALSE)</f>
        <v>0</v>
      </c>
      <c r="AK373" s="31">
        <f>VLOOKUP($A373,kurspris!$A$1:$Q$852,10,FALSE)</f>
        <v>0</v>
      </c>
      <c r="AL373" s="31">
        <f>VLOOKUP($A373,kurspris!$A$1:$Q$852,11,FALSE)</f>
        <v>0</v>
      </c>
      <c r="AM373" s="31">
        <f>VLOOKUP($A373,kurspris!$A$1:$Q$852,12,FALSE)</f>
        <v>0</v>
      </c>
      <c r="AN373" s="31">
        <f>VLOOKUP($A373,kurspris!$A$1:$Q$852,13,FALSE)</f>
        <v>0</v>
      </c>
      <c r="AO373" s="31">
        <f>VLOOKUP($A373,kurspris!$A$1:$Q$852,14,FALSE)</f>
        <v>0</v>
      </c>
      <c r="AP373" s="59" t="s">
        <v>2216</v>
      </c>
      <c r="AR373" s="31">
        <f t="shared" si="191"/>
        <v>0</v>
      </c>
      <c r="AS373" s="237">
        <f t="shared" si="192"/>
        <v>0</v>
      </c>
      <c r="AT373" s="31">
        <f t="shared" si="193"/>
        <v>7.5</v>
      </c>
      <c r="AU373" s="237">
        <f t="shared" si="194"/>
        <v>6.375</v>
      </c>
      <c r="AV373" s="31">
        <f t="shared" si="195"/>
        <v>0</v>
      </c>
      <c r="AW373" s="31">
        <f t="shared" si="196"/>
        <v>0</v>
      </c>
      <c r="AX373" s="31">
        <f t="shared" si="197"/>
        <v>0</v>
      </c>
      <c r="AY373" s="237">
        <f t="shared" si="198"/>
        <v>0</v>
      </c>
      <c r="AZ373" s="214">
        <f t="shared" si="199"/>
        <v>0</v>
      </c>
      <c r="BA373" s="237">
        <f t="shared" si="200"/>
        <v>0</v>
      </c>
      <c r="BB373" s="31">
        <f t="shared" si="201"/>
        <v>0</v>
      </c>
      <c r="BC373" s="237">
        <f t="shared" si="202"/>
        <v>0</v>
      </c>
      <c r="BD373" s="31">
        <f t="shared" si="203"/>
        <v>0</v>
      </c>
      <c r="BE373" s="237">
        <f t="shared" si="204"/>
        <v>0</v>
      </c>
      <c r="BF373" s="31">
        <f t="shared" si="205"/>
        <v>0</v>
      </c>
      <c r="BG373" s="237">
        <f t="shared" si="206"/>
        <v>0</v>
      </c>
      <c r="BH373" s="31">
        <f t="shared" si="207"/>
        <v>0</v>
      </c>
      <c r="BI373" s="237">
        <f t="shared" si="208"/>
        <v>0</v>
      </c>
      <c r="BJ373" s="31">
        <f t="shared" si="209"/>
        <v>0</v>
      </c>
      <c r="BK373" s="31">
        <f t="shared" si="210"/>
        <v>0</v>
      </c>
      <c r="BL373" s="237">
        <f t="shared" si="211"/>
        <v>0</v>
      </c>
      <c r="BM373" s="31">
        <f t="shared" si="212"/>
        <v>0</v>
      </c>
      <c r="BN373" s="237">
        <f t="shared" si="213"/>
        <v>0</v>
      </c>
    </row>
    <row r="374" spans="1:66" x14ac:dyDescent="0.25">
      <c r="A374" s="159" t="s">
        <v>2062</v>
      </c>
      <c r="B374" s="182" t="str">
        <f>VLOOKUP(A374,kurspris!$A$1:$B$894,2,FALSE)</f>
        <v>Religionsvetenskap 3</v>
      </c>
      <c r="C374" s="37"/>
      <c r="D374" s="31" t="s">
        <v>483</v>
      </c>
      <c r="F374" s="59">
        <v>2019</v>
      </c>
      <c r="Q374" s="237">
        <v>6.5</v>
      </c>
      <c r="R374" s="40">
        <v>0.85</v>
      </c>
      <c r="S374" s="313">
        <f t="shared" si="187"/>
        <v>5.5249999999999995</v>
      </c>
      <c r="T374" s="31">
        <f>VLOOKUP(A374,'Ansvar kurs'!$A$1:$C$1027,2,FALSE)</f>
        <v>1630</v>
      </c>
      <c r="U374" s="31" t="str">
        <f>VLOOKUP(T374,Orgenheter!$A$1:$C$165,2,FALSE)</f>
        <v>Inst för ide- o samhällsstudier</v>
      </c>
      <c r="V374" s="31" t="str">
        <f>VLOOKUP(T374,Orgenheter!$A$1:$C$165,3,FALSE)</f>
        <v>Hum</v>
      </c>
      <c r="W374" s="37" t="str">
        <f>VLOOKUP(D374,Program!$A$1:$B$34,2,FALSE)</f>
        <v>Ämneslärarprogrammet - Gy</v>
      </c>
      <c r="X374" s="42">
        <f>VLOOKUP(A374,kurspris!$A$1:$Q$815,15,FALSE)</f>
        <v>18405</v>
      </c>
      <c r="Y374" s="42">
        <f>VLOOKUP(A374,kurspris!$A$1:$Q$815,16,FALSE)</f>
        <v>15773</v>
      </c>
      <c r="Z374" s="42">
        <f t="shared" si="188"/>
        <v>206778.32500000001</v>
      </c>
      <c r="AA374" s="42">
        <f>VLOOKUP(A374,kurspris!$A$1:$Q$815,17,FALSE)</f>
        <v>5800</v>
      </c>
      <c r="AB374" s="42">
        <f t="shared" si="189"/>
        <v>37700</v>
      </c>
      <c r="AC374" s="42">
        <f t="shared" si="190"/>
        <v>244478.32500000001</v>
      </c>
      <c r="AD374" s="31">
        <f>VLOOKUP($A374,kurspris!$A$1:$Q$852,3,FALSE)</f>
        <v>0</v>
      </c>
      <c r="AE374" s="31">
        <f>VLOOKUP($A374,kurspris!$A$1:$Q$852,4,FALSE)</f>
        <v>1</v>
      </c>
      <c r="AF374" s="31">
        <f>VLOOKUP($A374,kurspris!$A$1:$Q$852,5,FALSE)</f>
        <v>0</v>
      </c>
      <c r="AG374" s="31">
        <f>VLOOKUP($A374,kurspris!$A$1:$Q$852,6,FALSE)</f>
        <v>0</v>
      </c>
      <c r="AH374" s="31">
        <f>VLOOKUP($A374,kurspris!$A$1:$Q$852,7,FALSE)</f>
        <v>0</v>
      </c>
      <c r="AI374" s="31">
        <f>VLOOKUP($A374,kurspris!$A$1:$Q$852,8,FALSE)</f>
        <v>0</v>
      </c>
      <c r="AJ374" s="31">
        <f>VLOOKUP($A374,kurspris!$A$1:$Q$852,9,FALSE)</f>
        <v>0</v>
      </c>
      <c r="AK374" s="31">
        <f>VLOOKUP($A374,kurspris!$A$1:$Q$852,10,FALSE)</f>
        <v>0</v>
      </c>
      <c r="AL374" s="31">
        <f>VLOOKUP($A374,kurspris!$A$1:$Q$852,11,FALSE)</f>
        <v>0</v>
      </c>
      <c r="AM374" s="31">
        <f>VLOOKUP($A374,kurspris!$A$1:$Q$852,12,FALSE)</f>
        <v>0</v>
      </c>
      <c r="AN374" s="31">
        <f>VLOOKUP($A374,kurspris!$A$1:$Q$852,13,FALSE)</f>
        <v>0</v>
      </c>
      <c r="AO374" s="31">
        <f>VLOOKUP($A374,kurspris!$A$1:$Q$852,14,FALSE)</f>
        <v>0</v>
      </c>
      <c r="AP374" s="59" t="s">
        <v>2216</v>
      </c>
      <c r="AR374" s="31">
        <f t="shared" si="191"/>
        <v>0</v>
      </c>
      <c r="AS374" s="237">
        <f t="shared" si="192"/>
        <v>0</v>
      </c>
      <c r="AT374" s="31">
        <f t="shared" si="193"/>
        <v>6.5</v>
      </c>
      <c r="AU374" s="237">
        <f t="shared" si="194"/>
        <v>5.5249999999999995</v>
      </c>
      <c r="AV374" s="31">
        <f t="shared" si="195"/>
        <v>0</v>
      </c>
      <c r="AW374" s="31">
        <f t="shared" si="196"/>
        <v>0</v>
      </c>
      <c r="AX374" s="31">
        <f t="shared" si="197"/>
        <v>0</v>
      </c>
      <c r="AY374" s="237">
        <f t="shared" si="198"/>
        <v>0</v>
      </c>
      <c r="AZ374" s="214">
        <f t="shared" si="199"/>
        <v>0</v>
      </c>
      <c r="BA374" s="237">
        <f t="shared" si="200"/>
        <v>0</v>
      </c>
      <c r="BB374" s="31">
        <f t="shared" si="201"/>
        <v>0</v>
      </c>
      <c r="BC374" s="237">
        <f t="shared" si="202"/>
        <v>0</v>
      </c>
      <c r="BD374" s="31">
        <f t="shared" si="203"/>
        <v>0</v>
      </c>
      <c r="BE374" s="237">
        <f t="shared" si="204"/>
        <v>0</v>
      </c>
      <c r="BF374" s="31">
        <f t="shared" si="205"/>
        <v>0</v>
      </c>
      <c r="BG374" s="237">
        <f t="shared" si="206"/>
        <v>0</v>
      </c>
      <c r="BH374" s="31">
        <f t="shared" si="207"/>
        <v>0</v>
      </c>
      <c r="BI374" s="237">
        <f t="shared" si="208"/>
        <v>0</v>
      </c>
      <c r="BJ374" s="31">
        <f t="shared" si="209"/>
        <v>0</v>
      </c>
      <c r="BK374" s="31">
        <f t="shared" si="210"/>
        <v>0</v>
      </c>
      <c r="BL374" s="237">
        <f t="shared" si="211"/>
        <v>0</v>
      </c>
      <c r="BM374" s="31">
        <f t="shared" si="212"/>
        <v>0</v>
      </c>
      <c r="BN374" s="237">
        <f t="shared" si="213"/>
        <v>0</v>
      </c>
    </row>
    <row r="375" spans="1:66" x14ac:dyDescent="0.25">
      <c r="A375" s="159" t="s">
        <v>2094</v>
      </c>
      <c r="B375" s="182" t="str">
        <f>VLOOKUP(A375,kurspris!$A$1:$B$894,2,FALSE)</f>
        <v>Religionsvetenskap 3, med kandidatuppsats</v>
      </c>
      <c r="C375" s="37"/>
      <c r="D375" s="31" t="s">
        <v>483</v>
      </c>
      <c r="F375" s="59">
        <v>2019</v>
      </c>
      <c r="Q375" s="237">
        <v>5</v>
      </c>
      <c r="R375" s="40">
        <v>0.85</v>
      </c>
      <c r="S375" s="313">
        <f t="shared" si="187"/>
        <v>4.25</v>
      </c>
      <c r="T375" s="31">
        <f>VLOOKUP(A375,'Ansvar kurs'!$A$1:$C$1027,2,FALSE)</f>
        <v>1630</v>
      </c>
      <c r="U375" s="31" t="str">
        <f>VLOOKUP(T375,Orgenheter!$A$1:$C$165,2,FALSE)</f>
        <v>Inst för ide- o samhällsstudier</v>
      </c>
      <c r="V375" s="31" t="str">
        <f>VLOOKUP(T375,Orgenheter!$A$1:$C$165,3,FALSE)</f>
        <v>Hum</v>
      </c>
      <c r="W375" s="37" t="str">
        <f>VLOOKUP(D375,Program!$A$1:$B$34,2,FALSE)</f>
        <v>Ämneslärarprogrammet - Gy</v>
      </c>
      <c r="X375" s="42">
        <f>VLOOKUP(A375,kurspris!$A$1:$Q$815,15,FALSE)</f>
        <v>18405</v>
      </c>
      <c r="Y375" s="42">
        <f>VLOOKUP(A375,kurspris!$A$1:$Q$815,16,FALSE)</f>
        <v>15773</v>
      </c>
      <c r="Z375" s="42">
        <f t="shared" si="188"/>
        <v>159060.25</v>
      </c>
      <c r="AA375" s="42">
        <f>VLOOKUP(A375,kurspris!$A$1:$Q$815,17,FALSE)</f>
        <v>5800</v>
      </c>
      <c r="AB375" s="42">
        <f t="shared" si="189"/>
        <v>29000</v>
      </c>
      <c r="AC375" s="42">
        <f t="shared" si="190"/>
        <v>188060.25</v>
      </c>
      <c r="AD375" s="31">
        <f>VLOOKUP($A375,kurspris!$A$1:$Q$852,3,FALSE)</f>
        <v>0</v>
      </c>
      <c r="AE375" s="31">
        <f>VLOOKUP($A375,kurspris!$A$1:$Q$852,4,FALSE)</f>
        <v>1</v>
      </c>
      <c r="AF375" s="31">
        <f>VLOOKUP($A375,kurspris!$A$1:$Q$852,5,FALSE)</f>
        <v>0</v>
      </c>
      <c r="AG375" s="31">
        <f>VLOOKUP($A375,kurspris!$A$1:$Q$852,6,FALSE)</f>
        <v>0</v>
      </c>
      <c r="AH375" s="31">
        <f>VLOOKUP($A375,kurspris!$A$1:$Q$852,7,FALSE)</f>
        <v>0</v>
      </c>
      <c r="AI375" s="31">
        <f>VLOOKUP($A375,kurspris!$A$1:$Q$852,8,FALSE)</f>
        <v>0</v>
      </c>
      <c r="AJ375" s="31">
        <f>VLOOKUP($A375,kurspris!$A$1:$Q$852,9,FALSE)</f>
        <v>0</v>
      </c>
      <c r="AK375" s="31">
        <f>VLOOKUP($A375,kurspris!$A$1:$Q$852,10,FALSE)</f>
        <v>0</v>
      </c>
      <c r="AL375" s="31">
        <f>VLOOKUP($A375,kurspris!$A$1:$Q$852,11,FALSE)</f>
        <v>0</v>
      </c>
      <c r="AM375" s="31">
        <f>VLOOKUP($A375,kurspris!$A$1:$Q$852,12,FALSE)</f>
        <v>0</v>
      </c>
      <c r="AN375" s="31">
        <f>VLOOKUP($A375,kurspris!$A$1:$Q$852,13,FALSE)</f>
        <v>0</v>
      </c>
      <c r="AO375" s="31">
        <f>VLOOKUP($A375,kurspris!$A$1:$Q$852,14,FALSE)</f>
        <v>0</v>
      </c>
      <c r="AP375" s="59" t="s">
        <v>2216</v>
      </c>
      <c r="AR375" s="31">
        <f t="shared" si="191"/>
        <v>0</v>
      </c>
      <c r="AS375" s="237">
        <f t="shared" si="192"/>
        <v>0</v>
      </c>
      <c r="AT375" s="31">
        <f t="shared" si="193"/>
        <v>5</v>
      </c>
      <c r="AU375" s="237">
        <f t="shared" si="194"/>
        <v>4.25</v>
      </c>
      <c r="AV375" s="31">
        <f t="shared" si="195"/>
        <v>0</v>
      </c>
      <c r="AW375" s="31">
        <f t="shared" si="196"/>
        <v>0</v>
      </c>
      <c r="AX375" s="31">
        <f t="shared" si="197"/>
        <v>0</v>
      </c>
      <c r="AY375" s="237">
        <f t="shared" si="198"/>
        <v>0</v>
      </c>
      <c r="AZ375" s="214">
        <f t="shared" si="199"/>
        <v>0</v>
      </c>
      <c r="BA375" s="237">
        <f t="shared" si="200"/>
        <v>0</v>
      </c>
      <c r="BB375" s="31">
        <f t="shared" si="201"/>
        <v>0</v>
      </c>
      <c r="BC375" s="237">
        <f t="shared" si="202"/>
        <v>0</v>
      </c>
      <c r="BD375" s="31">
        <f t="shared" si="203"/>
        <v>0</v>
      </c>
      <c r="BE375" s="237">
        <f t="shared" si="204"/>
        <v>0</v>
      </c>
      <c r="BF375" s="31">
        <f t="shared" si="205"/>
        <v>0</v>
      </c>
      <c r="BG375" s="237">
        <f t="shared" si="206"/>
        <v>0</v>
      </c>
      <c r="BH375" s="31">
        <f t="shared" si="207"/>
        <v>0</v>
      </c>
      <c r="BI375" s="237">
        <f t="shared" si="208"/>
        <v>0</v>
      </c>
      <c r="BJ375" s="31">
        <f t="shared" si="209"/>
        <v>0</v>
      </c>
      <c r="BK375" s="31">
        <f t="shared" si="210"/>
        <v>0</v>
      </c>
      <c r="BL375" s="237">
        <f t="shared" si="211"/>
        <v>0</v>
      </c>
      <c r="BM375" s="31">
        <f t="shared" si="212"/>
        <v>0</v>
      </c>
      <c r="BN375" s="237">
        <f t="shared" si="213"/>
        <v>0</v>
      </c>
    </row>
    <row r="376" spans="1:66" x14ac:dyDescent="0.25">
      <c r="A376" s="159" t="s">
        <v>877</v>
      </c>
      <c r="B376" s="182" t="str">
        <f>VLOOKUP(A376,kurspris!$A$1:$B$894,2,FALSE)</f>
        <v>Spanska I för ämneslärare</v>
      </c>
      <c r="C376" s="37"/>
      <c r="D376" s="31" t="s">
        <v>483</v>
      </c>
      <c r="F376" s="59">
        <v>2019</v>
      </c>
      <c r="Q376" s="237">
        <v>2</v>
      </c>
      <c r="R376" s="40">
        <v>0.85</v>
      </c>
      <c r="S376" s="313">
        <f t="shared" si="187"/>
        <v>1.7</v>
      </c>
      <c r="T376" s="31">
        <f>VLOOKUP(A376,'Ansvar kurs'!$A$1:$C$1027,2,FALSE)</f>
        <v>1620</v>
      </c>
      <c r="U376" s="31" t="str">
        <f>VLOOKUP(T376,Orgenheter!$A$1:$C$165,2,FALSE)</f>
        <v>Inst för språkstudier</v>
      </c>
      <c r="V376" s="31" t="str">
        <f>VLOOKUP(T376,Orgenheter!$A$1:$C$165,3,FALSE)</f>
        <v>Hum</v>
      </c>
      <c r="W376" s="37" t="str">
        <f>VLOOKUP(D376,Program!$A$1:$B$34,2,FALSE)</f>
        <v>Ämneslärarprogrammet - Gy</v>
      </c>
      <c r="X376" s="42">
        <f>VLOOKUP(A376,kurspris!$A$1:$Q$815,15,FALSE)</f>
        <v>18405</v>
      </c>
      <c r="Y376" s="42">
        <f>VLOOKUP(A376,kurspris!$A$1:$Q$815,16,FALSE)</f>
        <v>15773</v>
      </c>
      <c r="Z376" s="42">
        <f t="shared" si="188"/>
        <v>63624.1</v>
      </c>
      <c r="AA376" s="42">
        <f>VLOOKUP(A376,kurspris!$A$1:$Q$815,17,FALSE)</f>
        <v>5800</v>
      </c>
      <c r="AB376" s="42">
        <f t="shared" si="189"/>
        <v>11600</v>
      </c>
      <c r="AC376" s="42">
        <f t="shared" si="190"/>
        <v>75224.100000000006</v>
      </c>
      <c r="AD376" s="31">
        <f>VLOOKUP($A376,kurspris!$A$1:$Q$852,3,FALSE)</f>
        <v>0</v>
      </c>
      <c r="AE376" s="31">
        <f>VLOOKUP($A376,kurspris!$A$1:$Q$852,4,FALSE)</f>
        <v>1</v>
      </c>
      <c r="AF376" s="31">
        <f>VLOOKUP($A376,kurspris!$A$1:$Q$852,5,FALSE)</f>
        <v>0</v>
      </c>
      <c r="AG376" s="31">
        <f>VLOOKUP($A376,kurspris!$A$1:$Q$852,6,FALSE)</f>
        <v>0</v>
      </c>
      <c r="AH376" s="31">
        <f>VLOOKUP($A376,kurspris!$A$1:$Q$852,7,FALSE)</f>
        <v>0</v>
      </c>
      <c r="AI376" s="31">
        <f>VLOOKUP($A376,kurspris!$A$1:$Q$852,8,FALSE)</f>
        <v>0</v>
      </c>
      <c r="AJ376" s="31">
        <f>VLOOKUP($A376,kurspris!$A$1:$Q$852,9,FALSE)</f>
        <v>0</v>
      </c>
      <c r="AK376" s="31">
        <f>VLOOKUP($A376,kurspris!$A$1:$Q$852,10,FALSE)</f>
        <v>0</v>
      </c>
      <c r="AL376" s="31">
        <f>VLOOKUP($A376,kurspris!$A$1:$Q$852,11,FALSE)</f>
        <v>0</v>
      </c>
      <c r="AM376" s="31">
        <f>VLOOKUP($A376,kurspris!$A$1:$Q$852,12,FALSE)</f>
        <v>0</v>
      </c>
      <c r="AN376" s="31">
        <f>VLOOKUP($A376,kurspris!$A$1:$Q$852,13,FALSE)</f>
        <v>0</v>
      </c>
      <c r="AO376" s="31">
        <f>VLOOKUP($A376,kurspris!$A$1:$Q$852,14,FALSE)</f>
        <v>0</v>
      </c>
      <c r="AP376" s="59" t="s">
        <v>2216</v>
      </c>
      <c r="AR376" s="31">
        <f t="shared" si="191"/>
        <v>0</v>
      </c>
      <c r="AS376" s="237">
        <f t="shared" si="192"/>
        <v>0</v>
      </c>
      <c r="AT376" s="31">
        <f t="shared" si="193"/>
        <v>2</v>
      </c>
      <c r="AU376" s="237">
        <f t="shared" si="194"/>
        <v>1.7</v>
      </c>
      <c r="AV376" s="31">
        <f t="shared" si="195"/>
        <v>0</v>
      </c>
      <c r="AW376" s="31">
        <f t="shared" si="196"/>
        <v>0</v>
      </c>
      <c r="AX376" s="31">
        <f t="shared" si="197"/>
        <v>0</v>
      </c>
      <c r="AY376" s="237">
        <f t="shared" si="198"/>
        <v>0</v>
      </c>
      <c r="AZ376" s="214">
        <f t="shared" si="199"/>
        <v>0</v>
      </c>
      <c r="BA376" s="237">
        <f t="shared" si="200"/>
        <v>0</v>
      </c>
      <c r="BB376" s="31">
        <f t="shared" si="201"/>
        <v>0</v>
      </c>
      <c r="BC376" s="237">
        <f t="shared" si="202"/>
        <v>0</v>
      </c>
      <c r="BD376" s="31">
        <f t="shared" si="203"/>
        <v>0</v>
      </c>
      <c r="BE376" s="237">
        <f t="shared" si="204"/>
        <v>0</v>
      </c>
      <c r="BF376" s="31">
        <f t="shared" si="205"/>
        <v>0</v>
      </c>
      <c r="BG376" s="237">
        <f t="shared" si="206"/>
        <v>0</v>
      </c>
      <c r="BH376" s="31">
        <f t="shared" si="207"/>
        <v>0</v>
      </c>
      <c r="BI376" s="237">
        <f t="shared" si="208"/>
        <v>0</v>
      </c>
      <c r="BJ376" s="31">
        <f t="shared" si="209"/>
        <v>0</v>
      </c>
      <c r="BK376" s="31">
        <f t="shared" si="210"/>
        <v>0</v>
      </c>
      <c r="BL376" s="237">
        <f t="shared" si="211"/>
        <v>0</v>
      </c>
      <c r="BM376" s="31">
        <f t="shared" si="212"/>
        <v>0</v>
      </c>
      <c r="BN376" s="237">
        <f t="shared" si="213"/>
        <v>0</v>
      </c>
    </row>
    <row r="377" spans="1:66" x14ac:dyDescent="0.25">
      <c r="A377" s="159" t="s">
        <v>877</v>
      </c>
      <c r="B377" s="182" t="str">
        <f>VLOOKUP(A377,kurspris!$A$1:$B$894,2,FALSE)</f>
        <v>Spanska I för ämneslärare</v>
      </c>
      <c r="C377" s="37"/>
      <c r="D377" s="31" t="s">
        <v>117</v>
      </c>
      <c r="F377" s="59">
        <v>2019</v>
      </c>
      <c r="Q377" s="237">
        <v>0.5</v>
      </c>
      <c r="R377" s="40">
        <v>0.8</v>
      </c>
      <c r="S377" s="313">
        <f t="shared" si="187"/>
        <v>0.4</v>
      </c>
      <c r="T377" s="31">
        <f>VLOOKUP(A377,'Ansvar kurs'!$A$1:$C$1027,2,FALSE)</f>
        <v>1620</v>
      </c>
      <c r="U377" s="31" t="str">
        <f>VLOOKUP(T377,Orgenheter!$A$1:$C$165,2,FALSE)</f>
        <v>Inst för språkstudier</v>
      </c>
      <c r="V377" s="31" t="str">
        <f>VLOOKUP(T377,Orgenheter!$A$1:$C$165,3,FALSE)</f>
        <v>Hum</v>
      </c>
      <c r="W377" s="37" t="str">
        <f>VLOOKUP(D377,Program!$A$1:$B$34,2,FALSE)</f>
        <v>Fristående och övriga kurser</v>
      </c>
      <c r="X377" s="42">
        <f>VLOOKUP(A377,kurspris!$A$1:$Q$815,15,FALSE)</f>
        <v>18405</v>
      </c>
      <c r="Y377" s="42">
        <f>VLOOKUP(A377,kurspris!$A$1:$Q$815,16,FALSE)</f>
        <v>15773</v>
      </c>
      <c r="Z377" s="42">
        <f t="shared" si="188"/>
        <v>15511.7</v>
      </c>
      <c r="AA377" s="42">
        <f>VLOOKUP(A377,kurspris!$A$1:$Q$815,17,FALSE)</f>
        <v>5800</v>
      </c>
      <c r="AB377" s="42">
        <f t="shared" si="189"/>
        <v>2900</v>
      </c>
      <c r="AC377" s="42">
        <f t="shared" si="190"/>
        <v>18411.7</v>
      </c>
      <c r="AD377" s="31">
        <f>VLOOKUP($A377,kurspris!$A$1:$Q$852,3,FALSE)</f>
        <v>0</v>
      </c>
      <c r="AE377" s="31">
        <f>VLOOKUP($A377,kurspris!$A$1:$Q$852,4,FALSE)</f>
        <v>1</v>
      </c>
      <c r="AF377" s="31">
        <f>VLOOKUP($A377,kurspris!$A$1:$Q$852,5,FALSE)</f>
        <v>0</v>
      </c>
      <c r="AG377" s="31">
        <f>VLOOKUP($A377,kurspris!$A$1:$Q$852,6,FALSE)</f>
        <v>0</v>
      </c>
      <c r="AH377" s="31">
        <f>VLOOKUP($A377,kurspris!$A$1:$Q$852,7,FALSE)</f>
        <v>0</v>
      </c>
      <c r="AI377" s="31">
        <f>VLOOKUP($A377,kurspris!$A$1:$Q$852,8,FALSE)</f>
        <v>0</v>
      </c>
      <c r="AJ377" s="31">
        <f>VLOOKUP($A377,kurspris!$A$1:$Q$852,9,FALSE)</f>
        <v>0</v>
      </c>
      <c r="AK377" s="31">
        <f>VLOOKUP($A377,kurspris!$A$1:$Q$852,10,FALSE)</f>
        <v>0</v>
      </c>
      <c r="AL377" s="31">
        <f>VLOOKUP($A377,kurspris!$A$1:$Q$852,11,FALSE)</f>
        <v>0</v>
      </c>
      <c r="AM377" s="31">
        <f>VLOOKUP($A377,kurspris!$A$1:$Q$852,12,FALSE)</f>
        <v>0</v>
      </c>
      <c r="AN377" s="31">
        <f>VLOOKUP($A377,kurspris!$A$1:$Q$852,13,FALSE)</f>
        <v>0</v>
      </c>
      <c r="AO377" s="31">
        <f>VLOOKUP($A377,kurspris!$A$1:$Q$852,14,FALSE)</f>
        <v>0</v>
      </c>
      <c r="AP377" s="59" t="s">
        <v>2216</v>
      </c>
      <c r="AR377" s="31">
        <f t="shared" si="191"/>
        <v>0</v>
      </c>
      <c r="AS377" s="237">
        <f t="shared" si="192"/>
        <v>0</v>
      </c>
      <c r="AT377" s="31">
        <f t="shared" si="193"/>
        <v>0.5</v>
      </c>
      <c r="AU377" s="237">
        <f t="shared" si="194"/>
        <v>0.4</v>
      </c>
      <c r="AV377" s="31">
        <f t="shared" si="195"/>
        <v>0</v>
      </c>
      <c r="AW377" s="31">
        <f t="shared" si="196"/>
        <v>0</v>
      </c>
      <c r="AX377" s="31">
        <f t="shared" si="197"/>
        <v>0</v>
      </c>
      <c r="AY377" s="237">
        <f t="shared" si="198"/>
        <v>0</v>
      </c>
      <c r="AZ377" s="214">
        <f t="shared" si="199"/>
        <v>0</v>
      </c>
      <c r="BA377" s="237">
        <f t="shared" si="200"/>
        <v>0</v>
      </c>
      <c r="BB377" s="31">
        <f t="shared" si="201"/>
        <v>0</v>
      </c>
      <c r="BC377" s="237">
        <f t="shared" si="202"/>
        <v>0</v>
      </c>
      <c r="BD377" s="31">
        <f t="shared" si="203"/>
        <v>0</v>
      </c>
      <c r="BE377" s="237">
        <f t="shared" si="204"/>
        <v>0</v>
      </c>
      <c r="BF377" s="31">
        <f t="shared" si="205"/>
        <v>0</v>
      </c>
      <c r="BG377" s="237">
        <f t="shared" si="206"/>
        <v>0</v>
      </c>
      <c r="BH377" s="31">
        <f t="shared" si="207"/>
        <v>0</v>
      </c>
      <c r="BI377" s="237">
        <f t="shared" si="208"/>
        <v>0</v>
      </c>
      <c r="BJ377" s="31">
        <f t="shared" si="209"/>
        <v>0</v>
      </c>
      <c r="BK377" s="31">
        <f t="shared" si="210"/>
        <v>0</v>
      </c>
      <c r="BL377" s="237">
        <f t="shared" si="211"/>
        <v>0</v>
      </c>
      <c r="BM377" s="31">
        <f t="shared" si="212"/>
        <v>0</v>
      </c>
      <c r="BN377" s="237">
        <f t="shared" si="213"/>
        <v>0</v>
      </c>
    </row>
    <row r="378" spans="1:66" x14ac:dyDescent="0.25">
      <c r="A378" s="159" t="s">
        <v>1730</v>
      </c>
      <c r="B378" s="182" t="str">
        <f>VLOOKUP(A378,kurspris!$A$1:$B$894,2,FALSE)</f>
        <v>Spanska för ämneslärare, kurs III</v>
      </c>
      <c r="C378" s="37"/>
      <c r="D378" s="31" t="s">
        <v>483</v>
      </c>
      <c r="F378" s="59">
        <v>2019</v>
      </c>
      <c r="Q378" s="237">
        <v>1.5</v>
      </c>
      <c r="R378" s="40">
        <v>0.85</v>
      </c>
      <c r="S378" s="313">
        <f t="shared" si="187"/>
        <v>1.2749999999999999</v>
      </c>
      <c r="T378" s="31">
        <f>VLOOKUP(A378,'Ansvar kurs'!$A$1:$C$1027,2,FALSE)</f>
        <v>1620</v>
      </c>
      <c r="U378" s="31" t="str">
        <f>VLOOKUP(T378,Orgenheter!$A$1:$C$165,2,FALSE)</f>
        <v>Inst för språkstudier</v>
      </c>
      <c r="V378" s="31" t="str">
        <f>VLOOKUP(T378,Orgenheter!$A$1:$C$165,3,FALSE)</f>
        <v>Hum</v>
      </c>
      <c r="W378" s="37" t="str">
        <f>VLOOKUP(D378,Program!$A$1:$B$34,2,FALSE)</f>
        <v>Ämneslärarprogrammet - Gy</v>
      </c>
      <c r="X378" s="42">
        <f>VLOOKUP(A378,kurspris!$A$1:$Q$815,15,FALSE)</f>
        <v>18405</v>
      </c>
      <c r="Y378" s="42">
        <f>VLOOKUP(A378,kurspris!$A$1:$Q$815,16,FALSE)</f>
        <v>15773</v>
      </c>
      <c r="Z378" s="42">
        <f t="shared" si="188"/>
        <v>47718.074999999997</v>
      </c>
      <c r="AA378" s="42">
        <f>VLOOKUP(A378,kurspris!$A$1:$Q$815,17,FALSE)</f>
        <v>5800</v>
      </c>
      <c r="AB378" s="42">
        <f t="shared" si="189"/>
        <v>8700</v>
      </c>
      <c r="AC378" s="42">
        <f t="shared" si="190"/>
        <v>56418.074999999997</v>
      </c>
      <c r="AD378" s="31">
        <f>VLOOKUP($A378,kurspris!$A$1:$Q$852,3,FALSE)</f>
        <v>0</v>
      </c>
      <c r="AE378" s="31">
        <f>VLOOKUP($A378,kurspris!$A$1:$Q$852,4,FALSE)</f>
        <v>1</v>
      </c>
      <c r="AF378" s="31">
        <f>VLOOKUP($A378,kurspris!$A$1:$Q$852,5,FALSE)</f>
        <v>0</v>
      </c>
      <c r="AG378" s="31">
        <f>VLOOKUP($A378,kurspris!$A$1:$Q$852,6,FALSE)</f>
        <v>0</v>
      </c>
      <c r="AH378" s="31">
        <f>VLOOKUP($A378,kurspris!$A$1:$Q$852,7,FALSE)</f>
        <v>0</v>
      </c>
      <c r="AI378" s="31">
        <f>VLOOKUP($A378,kurspris!$A$1:$Q$852,8,FALSE)</f>
        <v>0</v>
      </c>
      <c r="AJ378" s="31">
        <f>VLOOKUP($A378,kurspris!$A$1:$Q$852,9,FALSE)</f>
        <v>0</v>
      </c>
      <c r="AK378" s="31">
        <f>VLOOKUP($A378,kurspris!$A$1:$Q$852,10,FALSE)</f>
        <v>0</v>
      </c>
      <c r="AL378" s="31">
        <f>VLOOKUP($A378,kurspris!$A$1:$Q$852,11,FALSE)</f>
        <v>0</v>
      </c>
      <c r="AM378" s="31">
        <f>VLOOKUP($A378,kurspris!$A$1:$Q$852,12,FALSE)</f>
        <v>0</v>
      </c>
      <c r="AN378" s="31">
        <f>VLOOKUP($A378,kurspris!$A$1:$Q$852,13,FALSE)</f>
        <v>0</v>
      </c>
      <c r="AO378" s="31">
        <f>VLOOKUP($A378,kurspris!$A$1:$Q$852,14,FALSE)</f>
        <v>0</v>
      </c>
      <c r="AP378" s="59" t="s">
        <v>2216</v>
      </c>
      <c r="AR378" s="31">
        <f t="shared" si="191"/>
        <v>0</v>
      </c>
      <c r="AS378" s="237">
        <f t="shared" si="192"/>
        <v>0</v>
      </c>
      <c r="AT378" s="31">
        <f t="shared" si="193"/>
        <v>1.5</v>
      </c>
      <c r="AU378" s="237">
        <f t="shared" si="194"/>
        <v>1.2749999999999999</v>
      </c>
      <c r="AV378" s="31">
        <f t="shared" si="195"/>
        <v>0</v>
      </c>
      <c r="AW378" s="31">
        <f t="shared" si="196"/>
        <v>0</v>
      </c>
      <c r="AX378" s="31">
        <f t="shared" si="197"/>
        <v>0</v>
      </c>
      <c r="AY378" s="237">
        <f t="shared" si="198"/>
        <v>0</v>
      </c>
      <c r="AZ378" s="214">
        <f t="shared" si="199"/>
        <v>0</v>
      </c>
      <c r="BA378" s="237">
        <f t="shared" si="200"/>
        <v>0</v>
      </c>
      <c r="BB378" s="31">
        <f t="shared" si="201"/>
        <v>0</v>
      </c>
      <c r="BC378" s="237">
        <f t="shared" si="202"/>
        <v>0</v>
      </c>
      <c r="BD378" s="31">
        <f t="shared" si="203"/>
        <v>0</v>
      </c>
      <c r="BE378" s="237">
        <f t="shared" si="204"/>
        <v>0</v>
      </c>
      <c r="BF378" s="31">
        <f t="shared" si="205"/>
        <v>0</v>
      </c>
      <c r="BG378" s="237">
        <f t="shared" si="206"/>
        <v>0</v>
      </c>
      <c r="BH378" s="31">
        <f t="shared" si="207"/>
        <v>0</v>
      </c>
      <c r="BI378" s="237">
        <f t="shared" si="208"/>
        <v>0</v>
      </c>
      <c r="BJ378" s="31">
        <f t="shared" si="209"/>
        <v>0</v>
      </c>
      <c r="BK378" s="31">
        <f t="shared" si="210"/>
        <v>0</v>
      </c>
      <c r="BL378" s="237">
        <f t="shared" si="211"/>
        <v>0</v>
      </c>
      <c r="BM378" s="31">
        <f t="shared" si="212"/>
        <v>0</v>
      </c>
      <c r="BN378" s="237">
        <f t="shared" si="213"/>
        <v>0</v>
      </c>
    </row>
    <row r="379" spans="1:66" x14ac:dyDescent="0.25">
      <c r="A379" s="159" t="s">
        <v>1896</v>
      </c>
      <c r="B379" s="182" t="str">
        <f>VLOOKUP(A379,kurspris!$A$1:$B$894,2,FALSE)</f>
        <v>Att undervisa i Spanska (VFU)</v>
      </c>
      <c r="C379" s="37"/>
      <c r="D379" s="31" t="s">
        <v>483</v>
      </c>
      <c r="F379" s="59">
        <v>2019</v>
      </c>
      <c r="Q379" s="237">
        <v>0.1</v>
      </c>
      <c r="R379" s="40">
        <v>0.85</v>
      </c>
      <c r="S379" s="313">
        <f t="shared" si="187"/>
        <v>8.5000000000000006E-2</v>
      </c>
      <c r="T379" s="31">
        <f>VLOOKUP(A379,'Ansvar kurs'!$A$1:$C$1027,2,FALSE)</f>
        <v>1620</v>
      </c>
      <c r="U379" s="31" t="str">
        <f>VLOOKUP(T379,Orgenheter!$A$1:$C$165,2,FALSE)</f>
        <v>Inst för språkstudier</v>
      </c>
      <c r="V379" s="31" t="str">
        <f>VLOOKUP(T379,Orgenheter!$A$1:$C$165,3,FALSE)</f>
        <v>Hum</v>
      </c>
      <c r="W379" s="37" t="str">
        <f>VLOOKUP(D379,Program!$A$1:$B$34,2,FALSE)</f>
        <v>Ämneslärarprogrammet - Gy</v>
      </c>
      <c r="X379" s="42">
        <f>VLOOKUP(A379,kurspris!$A$1:$Q$815,15,FALSE)</f>
        <v>21634</v>
      </c>
      <c r="Y379" s="42">
        <f>VLOOKUP(A379,kurspris!$A$1:$Q$815,16,FALSE)</f>
        <v>26986</v>
      </c>
      <c r="Z379" s="42">
        <f t="shared" si="188"/>
        <v>4457.21</v>
      </c>
      <c r="AA379" s="42">
        <f>VLOOKUP(A379,kurspris!$A$1:$Q$815,17,FALSE)</f>
        <v>3400</v>
      </c>
      <c r="AB379" s="42">
        <f t="shared" si="189"/>
        <v>340</v>
      </c>
      <c r="AC379" s="42">
        <f t="shared" si="190"/>
        <v>4797.21</v>
      </c>
      <c r="AD379" s="31">
        <f>VLOOKUP($A379,kurspris!$A$1:$Q$852,3,FALSE)</f>
        <v>0</v>
      </c>
      <c r="AE379" s="31">
        <f>VLOOKUP($A379,kurspris!$A$1:$Q$852,4,FALSE)</f>
        <v>0</v>
      </c>
      <c r="AF379" s="31">
        <f>VLOOKUP($A379,kurspris!$A$1:$Q$852,5,FALSE)</f>
        <v>0</v>
      </c>
      <c r="AG379" s="31">
        <f>VLOOKUP($A379,kurspris!$A$1:$Q$852,6,FALSE)</f>
        <v>0</v>
      </c>
      <c r="AH379" s="31">
        <f>VLOOKUP($A379,kurspris!$A$1:$Q$852,7,FALSE)</f>
        <v>0</v>
      </c>
      <c r="AI379" s="31">
        <f>VLOOKUP($A379,kurspris!$A$1:$Q$852,8,FALSE)</f>
        <v>0</v>
      </c>
      <c r="AJ379" s="31">
        <f>VLOOKUP($A379,kurspris!$A$1:$Q$852,9,FALSE)</f>
        <v>0</v>
      </c>
      <c r="AK379" s="31">
        <f>VLOOKUP($A379,kurspris!$A$1:$Q$852,10,FALSE)</f>
        <v>0</v>
      </c>
      <c r="AL379" s="31">
        <f>VLOOKUP($A379,kurspris!$A$1:$Q$852,11,FALSE)</f>
        <v>1</v>
      </c>
      <c r="AM379" s="31">
        <f>VLOOKUP($A379,kurspris!$A$1:$Q$852,12,FALSE)</f>
        <v>0</v>
      </c>
      <c r="AN379" s="31">
        <f>VLOOKUP($A379,kurspris!$A$1:$Q$852,13,FALSE)</f>
        <v>0</v>
      </c>
      <c r="AO379" s="31">
        <f>VLOOKUP($A379,kurspris!$A$1:$Q$852,14,FALSE)</f>
        <v>0</v>
      </c>
      <c r="AP379" s="59" t="s">
        <v>2216</v>
      </c>
      <c r="AR379" s="31">
        <f t="shared" si="191"/>
        <v>0</v>
      </c>
      <c r="AS379" s="237">
        <f t="shared" si="192"/>
        <v>0</v>
      </c>
      <c r="AT379" s="31">
        <f t="shared" si="193"/>
        <v>0</v>
      </c>
      <c r="AU379" s="237">
        <f t="shared" si="194"/>
        <v>0</v>
      </c>
      <c r="AV379" s="31">
        <f t="shared" si="195"/>
        <v>0</v>
      </c>
      <c r="AW379" s="31">
        <f t="shared" si="196"/>
        <v>0</v>
      </c>
      <c r="AX379" s="31">
        <f t="shared" si="197"/>
        <v>0</v>
      </c>
      <c r="AY379" s="237">
        <f t="shared" si="198"/>
        <v>0</v>
      </c>
      <c r="AZ379" s="214">
        <f t="shared" si="199"/>
        <v>0</v>
      </c>
      <c r="BA379" s="237">
        <f t="shared" si="200"/>
        <v>0</v>
      </c>
      <c r="BB379" s="31">
        <f t="shared" si="201"/>
        <v>0</v>
      </c>
      <c r="BC379" s="237">
        <f t="shared" si="202"/>
        <v>0</v>
      </c>
      <c r="BD379" s="31">
        <f t="shared" si="203"/>
        <v>0</v>
      </c>
      <c r="BE379" s="237">
        <f t="shared" si="204"/>
        <v>0</v>
      </c>
      <c r="BF379" s="31">
        <f t="shared" si="205"/>
        <v>0</v>
      </c>
      <c r="BG379" s="237">
        <f t="shared" si="206"/>
        <v>0</v>
      </c>
      <c r="BH379" s="31">
        <f t="shared" si="207"/>
        <v>0.1</v>
      </c>
      <c r="BI379" s="237">
        <f t="shared" si="208"/>
        <v>8.5000000000000006E-2</v>
      </c>
      <c r="BJ379" s="31">
        <f t="shared" si="209"/>
        <v>0</v>
      </c>
      <c r="BK379" s="31">
        <f t="shared" si="210"/>
        <v>0</v>
      </c>
      <c r="BL379" s="237">
        <f t="shared" si="211"/>
        <v>0</v>
      </c>
      <c r="BM379" s="31">
        <f t="shared" si="212"/>
        <v>0</v>
      </c>
      <c r="BN379" s="237">
        <f t="shared" si="213"/>
        <v>0</v>
      </c>
    </row>
    <row r="380" spans="1:66" x14ac:dyDescent="0.25">
      <c r="A380" s="159" t="s">
        <v>2146</v>
      </c>
      <c r="B380" s="182" t="str">
        <f>VLOOKUP(A380,kurspris!$A$1:$B$894,2,FALSE)</f>
        <v>Spanska för ämneslärare, kurs 2</v>
      </c>
      <c r="C380" s="37"/>
      <c r="D380" s="31" t="s">
        <v>483</v>
      </c>
      <c r="F380" s="59">
        <v>2019</v>
      </c>
      <c r="Q380" s="237">
        <v>2</v>
      </c>
      <c r="R380" s="40">
        <v>0.85</v>
      </c>
      <c r="S380" s="313">
        <f t="shared" si="187"/>
        <v>1.7</v>
      </c>
      <c r="T380" s="31">
        <f>VLOOKUP(A380,'Ansvar kurs'!$A$1:$C$1027,2,FALSE)</f>
        <v>1620</v>
      </c>
      <c r="U380" s="31" t="str">
        <f>VLOOKUP(T380,Orgenheter!$A$1:$C$165,2,FALSE)</f>
        <v>Inst för språkstudier</v>
      </c>
      <c r="V380" s="31" t="str">
        <f>VLOOKUP(T380,Orgenheter!$A$1:$C$165,3,FALSE)</f>
        <v>Hum</v>
      </c>
      <c r="W380" s="37" t="str">
        <f>VLOOKUP(D380,Program!$A$1:$B$34,2,FALSE)</f>
        <v>Ämneslärarprogrammet - Gy</v>
      </c>
      <c r="X380" s="42">
        <f>VLOOKUP(A380,kurspris!$A$1:$Q$815,15,FALSE)</f>
        <v>18405</v>
      </c>
      <c r="Y380" s="42">
        <f>VLOOKUP(A380,kurspris!$A$1:$Q$815,16,FALSE)</f>
        <v>15773</v>
      </c>
      <c r="Z380" s="42">
        <f t="shared" si="188"/>
        <v>63624.1</v>
      </c>
      <c r="AA380" s="42">
        <f>VLOOKUP(A380,kurspris!$A$1:$Q$815,17,FALSE)</f>
        <v>5800</v>
      </c>
      <c r="AB380" s="42">
        <f t="shared" si="189"/>
        <v>11600</v>
      </c>
      <c r="AC380" s="42">
        <f t="shared" si="190"/>
        <v>75224.100000000006</v>
      </c>
      <c r="AD380" s="31">
        <f>VLOOKUP($A380,kurspris!$A$1:$Q$852,3,FALSE)</f>
        <v>0</v>
      </c>
      <c r="AE380" s="31">
        <f>VLOOKUP($A380,kurspris!$A$1:$Q$852,4,FALSE)</f>
        <v>1</v>
      </c>
      <c r="AF380" s="31">
        <f>VLOOKUP($A380,kurspris!$A$1:$Q$852,5,FALSE)</f>
        <v>0</v>
      </c>
      <c r="AG380" s="31">
        <f>VLOOKUP($A380,kurspris!$A$1:$Q$852,6,FALSE)</f>
        <v>0</v>
      </c>
      <c r="AH380" s="31">
        <f>VLOOKUP($A380,kurspris!$A$1:$Q$852,7,FALSE)</f>
        <v>0</v>
      </c>
      <c r="AI380" s="31">
        <f>VLOOKUP($A380,kurspris!$A$1:$Q$852,8,FALSE)</f>
        <v>0</v>
      </c>
      <c r="AJ380" s="31">
        <f>VLOOKUP($A380,kurspris!$A$1:$Q$852,9,FALSE)</f>
        <v>0</v>
      </c>
      <c r="AK380" s="31">
        <f>VLOOKUP($A380,kurspris!$A$1:$Q$852,10,FALSE)</f>
        <v>0</v>
      </c>
      <c r="AL380" s="31">
        <f>VLOOKUP($A380,kurspris!$A$1:$Q$852,11,FALSE)</f>
        <v>0</v>
      </c>
      <c r="AM380" s="31">
        <f>VLOOKUP($A380,kurspris!$A$1:$Q$852,12,FALSE)</f>
        <v>0</v>
      </c>
      <c r="AN380" s="31">
        <f>VLOOKUP($A380,kurspris!$A$1:$Q$852,13,FALSE)</f>
        <v>0</v>
      </c>
      <c r="AO380" s="31">
        <f>VLOOKUP($A380,kurspris!$A$1:$Q$852,14,FALSE)</f>
        <v>0</v>
      </c>
      <c r="AP380" s="59" t="s">
        <v>2216</v>
      </c>
      <c r="AR380" s="31">
        <f t="shared" si="191"/>
        <v>0</v>
      </c>
      <c r="AS380" s="237">
        <f t="shared" si="192"/>
        <v>0</v>
      </c>
      <c r="AT380" s="31">
        <f t="shared" si="193"/>
        <v>2</v>
      </c>
      <c r="AU380" s="237">
        <f t="shared" si="194"/>
        <v>1.7</v>
      </c>
      <c r="AV380" s="31">
        <f t="shared" si="195"/>
        <v>0</v>
      </c>
      <c r="AW380" s="31">
        <f t="shared" si="196"/>
        <v>0</v>
      </c>
      <c r="AX380" s="31">
        <f t="shared" si="197"/>
        <v>0</v>
      </c>
      <c r="AY380" s="237">
        <f t="shared" si="198"/>
        <v>0</v>
      </c>
      <c r="AZ380" s="214">
        <f t="shared" si="199"/>
        <v>0</v>
      </c>
      <c r="BA380" s="237">
        <f t="shared" si="200"/>
        <v>0</v>
      </c>
      <c r="BB380" s="31">
        <f t="shared" si="201"/>
        <v>0</v>
      </c>
      <c r="BC380" s="237">
        <f t="shared" si="202"/>
        <v>0</v>
      </c>
      <c r="BD380" s="31">
        <f t="shared" si="203"/>
        <v>0</v>
      </c>
      <c r="BE380" s="237">
        <f t="shared" si="204"/>
        <v>0</v>
      </c>
      <c r="BF380" s="31">
        <f t="shared" si="205"/>
        <v>0</v>
      </c>
      <c r="BG380" s="237">
        <f t="shared" si="206"/>
        <v>0</v>
      </c>
      <c r="BH380" s="31">
        <f t="shared" si="207"/>
        <v>0</v>
      </c>
      <c r="BI380" s="237">
        <f t="shared" si="208"/>
        <v>0</v>
      </c>
      <c r="BJ380" s="31">
        <f t="shared" si="209"/>
        <v>0</v>
      </c>
      <c r="BK380" s="31">
        <f t="shared" si="210"/>
        <v>0</v>
      </c>
      <c r="BL380" s="237">
        <f t="shared" si="211"/>
        <v>0</v>
      </c>
      <c r="BM380" s="31">
        <f t="shared" si="212"/>
        <v>0</v>
      </c>
      <c r="BN380" s="237">
        <f t="shared" si="213"/>
        <v>0</v>
      </c>
    </row>
    <row r="381" spans="1:66" x14ac:dyDescent="0.25">
      <c r="A381" s="159" t="s">
        <v>2146</v>
      </c>
      <c r="B381" s="182" t="str">
        <f>VLOOKUP(A381,kurspris!$A$1:$B$894,2,FALSE)</f>
        <v>Spanska för ämneslärare, kurs 2</v>
      </c>
      <c r="C381" s="37"/>
      <c r="D381" s="31" t="s">
        <v>117</v>
      </c>
      <c r="F381" s="59">
        <v>2019</v>
      </c>
      <c r="Q381" s="237">
        <v>0.5</v>
      </c>
      <c r="R381" s="40">
        <v>0.8</v>
      </c>
      <c r="S381" s="313">
        <f t="shared" si="187"/>
        <v>0.4</v>
      </c>
      <c r="T381" s="31">
        <f>VLOOKUP(A381,'Ansvar kurs'!$A$1:$C$1027,2,FALSE)</f>
        <v>1620</v>
      </c>
      <c r="U381" s="31" t="str">
        <f>VLOOKUP(T381,Orgenheter!$A$1:$C$165,2,FALSE)</f>
        <v>Inst för språkstudier</v>
      </c>
      <c r="V381" s="31" t="str">
        <f>VLOOKUP(T381,Orgenheter!$A$1:$C$165,3,FALSE)</f>
        <v>Hum</v>
      </c>
      <c r="W381" s="37" t="str">
        <f>VLOOKUP(D381,Program!$A$1:$B$34,2,FALSE)</f>
        <v>Fristående och övriga kurser</v>
      </c>
      <c r="X381" s="42">
        <f>VLOOKUP(A381,kurspris!$A$1:$Q$815,15,FALSE)</f>
        <v>18405</v>
      </c>
      <c r="Y381" s="42">
        <f>VLOOKUP(A381,kurspris!$A$1:$Q$815,16,FALSE)</f>
        <v>15773</v>
      </c>
      <c r="Z381" s="42">
        <f t="shared" si="188"/>
        <v>15511.7</v>
      </c>
      <c r="AA381" s="42">
        <f>VLOOKUP(A381,kurspris!$A$1:$Q$815,17,FALSE)</f>
        <v>5800</v>
      </c>
      <c r="AB381" s="42">
        <f t="shared" si="189"/>
        <v>2900</v>
      </c>
      <c r="AC381" s="42">
        <f t="shared" si="190"/>
        <v>18411.7</v>
      </c>
      <c r="AD381" s="31">
        <f>VLOOKUP($A381,kurspris!$A$1:$Q$852,3,FALSE)</f>
        <v>0</v>
      </c>
      <c r="AE381" s="31">
        <f>VLOOKUP($A381,kurspris!$A$1:$Q$852,4,FALSE)</f>
        <v>1</v>
      </c>
      <c r="AF381" s="31">
        <f>VLOOKUP($A381,kurspris!$A$1:$Q$852,5,FALSE)</f>
        <v>0</v>
      </c>
      <c r="AG381" s="31">
        <f>VLOOKUP($A381,kurspris!$A$1:$Q$852,6,FALSE)</f>
        <v>0</v>
      </c>
      <c r="AH381" s="31">
        <f>VLOOKUP($A381,kurspris!$A$1:$Q$852,7,FALSE)</f>
        <v>0</v>
      </c>
      <c r="AI381" s="31">
        <f>VLOOKUP($A381,kurspris!$A$1:$Q$852,8,FALSE)</f>
        <v>0</v>
      </c>
      <c r="AJ381" s="31">
        <f>VLOOKUP($A381,kurspris!$A$1:$Q$852,9,FALSE)</f>
        <v>0</v>
      </c>
      <c r="AK381" s="31">
        <f>VLOOKUP($A381,kurspris!$A$1:$Q$852,10,FALSE)</f>
        <v>0</v>
      </c>
      <c r="AL381" s="31">
        <f>VLOOKUP($A381,kurspris!$A$1:$Q$852,11,FALSE)</f>
        <v>0</v>
      </c>
      <c r="AM381" s="31">
        <f>VLOOKUP($A381,kurspris!$A$1:$Q$852,12,FALSE)</f>
        <v>0</v>
      </c>
      <c r="AN381" s="31">
        <f>VLOOKUP($A381,kurspris!$A$1:$Q$852,13,FALSE)</f>
        <v>0</v>
      </c>
      <c r="AO381" s="31">
        <f>VLOOKUP($A381,kurspris!$A$1:$Q$852,14,FALSE)</f>
        <v>0</v>
      </c>
      <c r="AP381" s="59" t="s">
        <v>2216</v>
      </c>
      <c r="AR381" s="31">
        <f t="shared" si="191"/>
        <v>0</v>
      </c>
      <c r="AS381" s="237">
        <f t="shared" si="192"/>
        <v>0</v>
      </c>
      <c r="AT381" s="31">
        <f t="shared" si="193"/>
        <v>0.5</v>
      </c>
      <c r="AU381" s="237">
        <f t="shared" si="194"/>
        <v>0.4</v>
      </c>
      <c r="AV381" s="31">
        <f t="shared" si="195"/>
        <v>0</v>
      </c>
      <c r="AW381" s="31">
        <f t="shared" si="196"/>
        <v>0</v>
      </c>
      <c r="AX381" s="31">
        <f t="shared" si="197"/>
        <v>0</v>
      </c>
      <c r="AY381" s="237">
        <f t="shared" si="198"/>
        <v>0</v>
      </c>
      <c r="AZ381" s="214">
        <f t="shared" si="199"/>
        <v>0</v>
      </c>
      <c r="BA381" s="237">
        <f t="shared" si="200"/>
        <v>0</v>
      </c>
      <c r="BB381" s="31">
        <f t="shared" si="201"/>
        <v>0</v>
      </c>
      <c r="BC381" s="237">
        <f t="shared" si="202"/>
        <v>0</v>
      </c>
      <c r="BD381" s="31">
        <f t="shared" si="203"/>
        <v>0</v>
      </c>
      <c r="BE381" s="237">
        <f t="shared" si="204"/>
        <v>0</v>
      </c>
      <c r="BF381" s="31">
        <f t="shared" si="205"/>
        <v>0</v>
      </c>
      <c r="BG381" s="237">
        <f t="shared" si="206"/>
        <v>0</v>
      </c>
      <c r="BH381" s="31">
        <f t="shared" si="207"/>
        <v>0</v>
      </c>
      <c r="BI381" s="237">
        <f t="shared" si="208"/>
        <v>0</v>
      </c>
      <c r="BJ381" s="31">
        <f t="shared" si="209"/>
        <v>0</v>
      </c>
      <c r="BK381" s="31">
        <f t="shared" si="210"/>
        <v>0</v>
      </c>
      <c r="BL381" s="237">
        <f t="shared" si="211"/>
        <v>0</v>
      </c>
      <c r="BM381" s="31">
        <f t="shared" si="212"/>
        <v>0</v>
      </c>
      <c r="BN381" s="237">
        <f t="shared" si="213"/>
        <v>0</v>
      </c>
    </row>
    <row r="382" spans="1:66" x14ac:dyDescent="0.25">
      <c r="A382" s="159" t="s">
        <v>1266</v>
      </c>
      <c r="B382" s="182" t="str">
        <f>VLOOKUP(A382,kurspris!$A$1:$B$894,2,FALSE)</f>
        <v>Examensarbete i svenska för ämneslärarexamen</v>
      </c>
      <c r="C382" s="37"/>
      <c r="D382" s="31" t="s">
        <v>483</v>
      </c>
      <c r="F382" s="59">
        <v>2019</v>
      </c>
      <c r="Q382" s="237">
        <v>6</v>
      </c>
      <c r="R382" s="40">
        <v>0.85</v>
      </c>
      <c r="S382" s="313">
        <f t="shared" si="187"/>
        <v>5.0999999999999996</v>
      </c>
      <c r="T382" s="31">
        <f>VLOOKUP(A382,'Ansvar kurs'!$A$1:$C$1027,2,FALSE)</f>
        <v>1620</v>
      </c>
      <c r="U382" s="31" t="str">
        <f>VLOOKUP(T382,Orgenheter!$A$1:$C$165,2,FALSE)</f>
        <v>Inst för språkstudier</v>
      </c>
      <c r="V382" s="31" t="str">
        <f>VLOOKUP(T382,Orgenheter!$A$1:$C$165,3,FALSE)</f>
        <v>Hum</v>
      </c>
      <c r="W382" s="37" t="str">
        <f>VLOOKUP(D382,Program!$A$1:$B$34,2,FALSE)</f>
        <v>Ämneslärarprogrammet - Gy</v>
      </c>
      <c r="X382" s="42">
        <f>VLOOKUP(A382,kurspris!$A$1:$Q$815,15,FALSE)</f>
        <v>18405</v>
      </c>
      <c r="Y382" s="42">
        <f>VLOOKUP(A382,kurspris!$A$1:$Q$815,16,FALSE)</f>
        <v>15773</v>
      </c>
      <c r="Z382" s="42">
        <f t="shared" si="188"/>
        <v>190872.3</v>
      </c>
      <c r="AA382" s="42">
        <f>VLOOKUP(A382,kurspris!$A$1:$Q$815,17,FALSE)</f>
        <v>5800</v>
      </c>
      <c r="AB382" s="42">
        <f t="shared" si="189"/>
        <v>34800</v>
      </c>
      <c r="AC382" s="42">
        <f t="shared" si="190"/>
        <v>225672.3</v>
      </c>
      <c r="AD382" s="31">
        <f>VLOOKUP($A382,kurspris!$A$1:$Q$852,3,FALSE)</f>
        <v>0</v>
      </c>
      <c r="AE382" s="31">
        <f>VLOOKUP($A382,kurspris!$A$1:$Q$852,4,FALSE)</f>
        <v>1</v>
      </c>
      <c r="AF382" s="31">
        <f>VLOOKUP($A382,kurspris!$A$1:$Q$852,5,FALSE)</f>
        <v>0</v>
      </c>
      <c r="AG382" s="31">
        <f>VLOOKUP($A382,kurspris!$A$1:$Q$852,6,FALSE)</f>
        <v>0</v>
      </c>
      <c r="AH382" s="31">
        <f>VLOOKUP($A382,kurspris!$A$1:$Q$852,7,FALSE)</f>
        <v>0</v>
      </c>
      <c r="AI382" s="31">
        <f>VLOOKUP($A382,kurspris!$A$1:$Q$852,8,FALSE)</f>
        <v>0</v>
      </c>
      <c r="AJ382" s="31">
        <f>VLOOKUP($A382,kurspris!$A$1:$Q$852,9,FALSE)</f>
        <v>0</v>
      </c>
      <c r="AK382" s="31">
        <f>VLOOKUP($A382,kurspris!$A$1:$Q$852,10,FALSE)</f>
        <v>0</v>
      </c>
      <c r="AL382" s="31">
        <f>VLOOKUP($A382,kurspris!$A$1:$Q$852,11,FALSE)</f>
        <v>0</v>
      </c>
      <c r="AM382" s="31">
        <f>VLOOKUP($A382,kurspris!$A$1:$Q$852,12,FALSE)</f>
        <v>0</v>
      </c>
      <c r="AN382" s="31">
        <f>VLOOKUP($A382,kurspris!$A$1:$Q$852,13,FALSE)</f>
        <v>0</v>
      </c>
      <c r="AO382" s="31">
        <f>VLOOKUP($A382,kurspris!$A$1:$Q$852,14,FALSE)</f>
        <v>0</v>
      </c>
      <c r="AP382" s="59" t="s">
        <v>2216</v>
      </c>
      <c r="AR382" s="31">
        <f t="shared" si="191"/>
        <v>0</v>
      </c>
      <c r="AS382" s="237">
        <f t="shared" si="192"/>
        <v>0</v>
      </c>
      <c r="AT382" s="31">
        <f t="shared" si="193"/>
        <v>6</v>
      </c>
      <c r="AU382" s="237">
        <f t="shared" si="194"/>
        <v>5.0999999999999996</v>
      </c>
      <c r="AV382" s="31">
        <f t="shared" si="195"/>
        <v>0</v>
      </c>
      <c r="AW382" s="31">
        <f t="shared" si="196"/>
        <v>0</v>
      </c>
      <c r="AX382" s="31">
        <f t="shared" si="197"/>
        <v>0</v>
      </c>
      <c r="AY382" s="237">
        <f t="shared" si="198"/>
        <v>0</v>
      </c>
      <c r="AZ382" s="214">
        <f t="shared" si="199"/>
        <v>0</v>
      </c>
      <c r="BA382" s="237">
        <f t="shared" si="200"/>
        <v>0</v>
      </c>
      <c r="BB382" s="31">
        <f t="shared" si="201"/>
        <v>0</v>
      </c>
      <c r="BC382" s="237">
        <f t="shared" si="202"/>
        <v>0</v>
      </c>
      <c r="BD382" s="31">
        <f t="shared" si="203"/>
        <v>0</v>
      </c>
      <c r="BE382" s="237">
        <f t="shared" si="204"/>
        <v>0</v>
      </c>
      <c r="BF382" s="31">
        <f t="shared" si="205"/>
        <v>0</v>
      </c>
      <c r="BG382" s="237">
        <f t="shared" si="206"/>
        <v>0</v>
      </c>
      <c r="BH382" s="31">
        <f t="shared" si="207"/>
        <v>0</v>
      </c>
      <c r="BI382" s="237">
        <f t="shared" si="208"/>
        <v>0</v>
      </c>
      <c r="BJ382" s="31">
        <f t="shared" si="209"/>
        <v>0</v>
      </c>
      <c r="BK382" s="31">
        <f t="shared" si="210"/>
        <v>0</v>
      </c>
      <c r="BL382" s="237">
        <f t="shared" si="211"/>
        <v>0</v>
      </c>
      <c r="BM382" s="31">
        <f t="shared" si="212"/>
        <v>0</v>
      </c>
      <c r="BN382" s="237">
        <f t="shared" si="213"/>
        <v>0</v>
      </c>
    </row>
    <row r="383" spans="1:66" x14ac:dyDescent="0.25">
      <c r="A383" s="159" t="s">
        <v>1294</v>
      </c>
      <c r="B383" s="182" t="str">
        <f>VLOOKUP(A383,kurspris!$A$1:$B$894,2,FALSE)</f>
        <v>Examensarbete i språkdidaktik för ämneslärarexamen</v>
      </c>
      <c r="C383" s="37"/>
      <c r="D383" s="31" t="s">
        <v>483</v>
      </c>
      <c r="F383" s="59">
        <v>2019</v>
      </c>
      <c r="Q383" s="237">
        <v>6.5</v>
      </c>
      <c r="R383" s="40">
        <v>0.85</v>
      </c>
      <c r="S383" s="313">
        <f t="shared" si="187"/>
        <v>5.5249999999999995</v>
      </c>
      <c r="T383" s="31">
        <f>VLOOKUP(A383,'Ansvar kurs'!$A$1:$C$1027,2,FALSE)</f>
        <v>1620</v>
      </c>
      <c r="U383" s="31" t="str">
        <f>VLOOKUP(T383,Orgenheter!$A$1:$C$165,2,FALSE)</f>
        <v>Inst för språkstudier</v>
      </c>
      <c r="V383" s="31" t="str">
        <f>VLOOKUP(T383,Orgenheter!$A$1:$C$165,3,FALSE)</f>
        <v>Hum</v>
      </c>
      <c r="W383" s="37" t="str">
        <f>VLOOKUP(D383,Program!$A$1:$B$34,2,FALSE)</f>
        <v>Ämneslärarprogrammet - Gy</v>
      </c>
      <c r="X383" s="42">
        <f>VLOOKUP(A383,kurspris!$A$1:$Q$815,15,FALSE)</f>
        <v>18405</v>
      </c>
      <c r="Y383" s="42">
        <f>VLOOKUP(A383,kurspris!$A$1:$Q$815,16,FALSE)</f>
        <v>15773</v>
      </c>
      <c r="Z383" s="42">
        <f t="shared" si="188"/>
        <v>206778.32500000001</v>
      </c>
      <c r="AA383" s="42">
        <f>VLOOKUP(A383,kurspris!$A$1:$Q$815,17,FALSE)</f>
        <v>5800</v>
      </c>
      <c r="AB383" s="42">
        <f t="shared" si="189"/>
        <v>37700</v>
      </c>
      <c r="AC383" s="42">
        <f t="shared" si="190"/>
        <v>244478.32500000001</v>
      </c>
      <c r="AD383" s="31">
        <f>VLOOKUP($A383,kurspris!$A$1:$Q$852,3,FALSE)</f>
        <v>0</v>
      </c>
      <c r="AE383" s="31">
        <f>VLOOKUP($A383,kurspris!$A$1:$Q$852,4,FALSE)</f>
        <v>1</v>
      </c>
      <c r="AF383" s="31">
        <f>VLOOKUP($A383,kurspris!$A$1:$Q$852,5,FALSE)</f>
        <v>0</v>
      </c>
      <c r="AG383" s="31">
        <f>VLOOKUP($A383,kurspris!$A$1:$Q$852,6,FALSE)</f>
        <v>0</v>
      </c>
      <c r="AH383" s="31">
        <f>VLOOKUP($A383,kurspris!$A$1:$Q$852,7,FALSE)</f>
        <v>0</v>
      </c>
      <c r="AI383" s="31">
        <f>VLOOKUP($A383,kurspris!$A$1:$Q$852,8,FALSE)</f>
        <v>0</v>
      </c>
      <c r="AJ383" s="31">
        <f>VLOOKUP($A383,kurspris!$A$1:$Q$852,9,FALSE)</f>
        <v>0</v>
      </c>
      <c r="AK383" s="31">
        <f>VLOOKUP($A383,kurspris!$A$1:$Q$852,10,FALSE)</f>
        <v>0</v>
      </c>
      <c r="AL383" s="31">
        <f>VLOOKUP($A383,kurspris!$A$1:$Q$852,11,FALSE)</f>
        <v>0</v>
      </c>
      <c r="AM383" s="31">
        <f>VLOOKUP($A383,kurspris!$A$1:$Q$852,12,FALSE)</f>
        <v>0</v>
      </c>
      <c r="AN383" s="31">
        <f>VLOOKUP($A383,kurspris!$A$1:$Q$852,13,FALSE)</f>
        <v>0</v>
      </c>
      <c r="AO383" s="31">
        <f>VLOOKUP($A383,kurspris!$A$1:$Q$852,14,FALSE)</f>
        <v>0</v>
      </c>
      <c r="AP383" s="59" t="s">
        <v>2216</v>
      </c>
      <c r="AR383" s="31">
        <f t="shared" si="191"/>
        <v>0</v>
      </c>
      <c r="AS383" s="237">
        <f t="shared" si="192"/>
        <v>0</v>
      </c>
      <c r="AT383" s="31">
        <f t="shared" si="193"/>
        <v>6.5</v>
      </c>
      <c r="AU383" s="237">
        <f t="shared" si="194"/>
        <v>5.5249999999999995</v>
      </c>
      <c r="AV383" s="31">
        <f t="shared" si="195"/>
        <v>0</v>
      </c>
      <c r="AW383" s="31">
        <f t="shared" si="196"/>
        <v>0</v>
      </c>
      <c r="AX383" s="31">
        <f t="shared" si="197"/>
        <v>0</v>
      </c>
      <c r="AY383" s="237">
        <f t="shared" si="198"/>
        <v>0</v>
      </c>
      <c r="AZ383" s="214">
        <f t="shared" si="199"/>
        <v>0</v>
      </c>
      <c r="BA383" s="237">
        <f t="shared" si="200"/>
        <v>0</v>
      </c>
      <c r="BB383" s="31">
        <f t="shared" si="201"/>
        <v>0</v>
      </c>
      <c r="BC383" s="237">
        <f t="shared" si="202"/>
        <v>0</v>
      </c>
      <c r="BD383" s="31">
        <f t="shared" si="203"/>
        <v>0</v>
      </c>
      <c r="BE383" s="237">
        <f t="shared" si="204"/>
        <v>0</v>
      </c>
      <c r="BF383" s="31">
        <f t="shared" si="205"/>
        <v>0</v>
      </c>
      <c r="BG383" s="237">
        <f t="shared" si="206"/>
        <v>0</v>
      </c>
      <c r="BH383" s="31">
        <f t="shared" si="207"/>
        <v>0</v>
      </c>
      <c r="BI383" s="237">
        <f t="shared" si="208"/>
        <v>0</v>
      </c>
      <c r="BJ383" s="31">
        <f t="shared" si="209"/>
        <v>0</v>
      </c>
      <c r="BK383" s="31">
        <f t="shared" si="210"/>
        <v>0</v>
      </c>
      <c r="BL383" s="237">
        <f t="shared" si="211"/>
        <v>0</v>
      </c>
      <c r="BM383" s="31">
        <f t="shared" si="212"/>
        <v>0</v>
      </c>
      <c r="BN383" s="237">
        <f t="shared" si="213"/>
        <v>0</v>
      </c>
    </row>
    <row r="384" spans="1:66" x14ac:dyDescent="0.25">
      <c r="A384" s="159" t="s">
        <v>1822</v>
      </c>
      <c r="B384" s="182" t="str">
        <f>VLOOKUP(A384,kurspris!$A$1:$B$894,2,FALSE)</f>
        <v>Examensarbete med språkdidaktisk inriktning för lärarexamen</v>
      </c>
      <c r="C384" s="37"/>
      <c r="D384" s="31" t="s">
        <v>117</v>
      </c>
      <c r="F384" s="59">
        <v>2019</v>
      </c>
      <c r="Q384" s="237">
        <v>0.5</v>
      </c>
      <c r="R384" s="40">
        <v>0.8</v>
      </c>
      <c r="S384" s="313">
        <f t="shared" si="187"/>
        <v>0.4</v>
      </c>
      <c r="T384" s="31">
        <f>VLOOKUP(A384,'Ansvar kurs'!$A$1:$C$1027,2,FALSE)</f>
        <v>1620</v>
      </c>
      <c r="U384" s="31" t="str">
        <f>VLOOKUP(T384,Orgenheter!$A$1:$C$165,2,FALSE)</f>
        <v>Inst för språkstudier</v>
      </c>
      <c r="V384" s="31" t="str">
        <f>VLOOKUP(T384,Orgenheter!$A$1:$C$165,3,FALSE)</f>
        <v>Hum</v>
      </c>
      <c r="W384" s="37" t="str">
        <f>VLOOKUP(D384,Program!$A$1:$B$34,2,FALSE)</f>
        <v>Fristående och övriga kurser</v>
      </c>
      <c r="X384" s="42">
        <f>VLOOKUP(A384,kurspris!$A$1:$Q$815,15,FALSE)</f>
        <v>18405</v>
      </c>
      <c r="Y384" s="42">
        <f>VLOOKUP(A384,kurspris!$A$1:$Q$815,16,FALSE)</f>
        <v>15773</v>
      </c>
      <c r="Z384" s="42">
        <f t="shared" si="188"/>
        <v>15511.7</v>
      </c>
      <c r="AA384" s="42">
        <f>VLOOKUP(A384,kurspris!$A$1:$Q$815,17,FALSE)</f>
        <v>5800</v>
      </c>
      <c r="AB384" s="42">
        <f t="shared" si="189"/>
        <v>2900</v>
      </c>
      <c r="AC384" s="42">
        <f t="shared" si="190"/>
        <v>18411.7</v>
      </c>
      <c r="AD384" s="31">
        <f>VLOOKUP($A384,kurspris!$A$1:$Q$852,3,FALSE)</f>
        <v>0</v>
      </c>
      <c r="AE384" s="31">
        <f>VLOOKUP($A384,kurspris!$A$1:$Q$852,4,FALSE)</f>
        <v>1</v>
      </c>
      <c r="AF384" s="31">
        <f>VLOOKUP($A384,kurspris!$A$1:$Q$852,5,FALSE)</f>
        <v>0</v>
      </c>
      <c r="AG384" s="31">
        <f>VLOOKUP($A384,kurspris!$A$1:$Q$852,6,FALSE)</f>
        <v>0</v>
      </c>
      <c r="AH384" s="31">
        <f>VLOOKUP($A384,kurspris!$A$1:$Q$852,7,FALSE)</f>
        <v>0</v>
      </c>
      <c r="AI384" s="31">
        <f>VLOOKUP($A384,kurspris!$A$1:$Q$852,8,FALSE)</f>
        <v>0</v>
      </c>
      <c r="AJ384" s="31">
        <f>VLOOKUP($A384,kurspris!$A$1:$Q$852,9,FALSE)</f>
        <v>0</v>
      </c>
      <c r="AK384" s="31">
        <f>VLOOKUP($A384,kurspris!$A$1:$Q$852,10,FALSE)</f>
        <v>0</v>
      </c>
      <c r="AL384" s="31">
        <f>VLOOKUP($A384,kurspris!$A$1:$Q$852,11,FALSE)</f>
        <v>0</v>
      </c>
      <c r="AM384" s="31">
        <f>VLOOKUP($A384,kurspris!$A$1:$Q$852,12,FALSE)</f>
        <v>0</v>
      </c>
      <c r="AN384" s="31">
        <f>VLOOKUP($A384,kurspris!$A$1:$Q$852,13,FALSE)</f>
        <v>0</v>
      </c>
      <c r="AO384" s="31">
        <f>VLOOKUP($A384,kurspris!$A$1:$Q$852,14,FALSE)</f>
        <v>0</v>
      </c>
      <c r="AP384" s="59" t="s">
        <v>2216</v>
      </c>
      <c r="AR384" s="31">
        <f t="shared" si="191"/>
        <v>0</v>
      </c>
      <c r="AS384" s="237">
        <f t="shared" si="192"/>
        <v>0</v>
      </c>
      <c r="AT384" s="31">
        <f t="shared" si="193"/>
        <v>0.5</v>
      </c>
      <c r="AU384" s="237">
        <f t="shared" si="194"/>
        <v>0.4</v>
      </c>
      <c r="AV384" s="31">
        <f t="shared" si="195"/>
        <v>0</v>
      </c>
      <c r="AW384" s="31">
        <f t="shared" si="196"/>
        <v>0</v>
      </c>
      <c r="AX384" s="31">
        <f t="shared" si="197"/>
        <v>0</v>
      </c>
      <c r="AY384" s="237">
        <f t="shared" si="198"/>
        <v>0</v>
      </c>
      <c r="AZ384" s="214">
        <f t="shared" si="199"/>
        <v>0</v>
      </c>
      <c r="BA384" s="237">
        <f t="shared" si="200"/>
        <v>0</v>
      </c>
      <c r="BB384" s="31">
        <f t="shared" si="201"/>
        <v>0</v>
      </c>
      <c r="BC384" s="237">
        <f t="shared" si="202"/>
        <v>0</v>
      </c>
      <c r="BD384" s="31">
        <f t="shared" si="203"/>
        <v>0</v>
      </c>
      <c r="BE384" s="237">
        <f t="shared" si="204"/>
        <v>0</v>
      </c>
      <c r="BF384" s="31">
        <f t="shared" si="205"/>
        <v>0</v>
      </c>
      <c r="BG384" s="237">
        <f t="shared" si="206"/>
        <v>0</v>
      </c>
      <c r="BH384" s="31">
        <f t="shared" si="207"/>
        <v>0</v>
      </c>
      <c r="BI384" s="237">
        <f t="shared" si="208"/>
        <v>0</v>
      </c>
      <c r="BJ384" s="31">
        <f t="shared" si="209"/>
        <v>0</v>
      </c>
      <c r="BK384" s="31">
        <f t="shared" si="210"/>
        <v>0</v>
      </c>
      <c r="BL384" s="237">
        <f t="shared" si="211"/>
        <v>0</v>
      </c>
      <c r="BM384" s="31">
        <f t="shared" si="212"/>
        <v>0</v>
      </c>
      <c r="BN384" s="237">
        <f t="shared" si="213"/>
        <v>0</v>
      </c>
    </row>
    <row r="385" spans="1:66" x14ac:dyDescent="0.25">
      <c r="A385" s="159" t="s">
        <v>2002</v>
      </c>
      <c r="B385" s="182" t="str">
        <f>VLOOKUP(A385,kurspris!$A$1:$B$894,2,FALSE)</f>
        <v>Didaktik för det flerspråkiga klassrummet</v>
      </c>
      <c r="C385" s="37"/>
      <c r="D385" s="31" t="s">
        <v>117</v>
      </c>
      <c r="F385" s="59">
        <v>2019</v>
      </c>
      <c r="Q385" s="237">
        <v>2.875</v>
      </c>
      <c r="R385" s="40">
        <v>0.8</v>
      </c>
      <c r="S385" s="313">
        <f t="shared" si="187"/>
        <v>2.3000000000000003</v>
      </c>
      <c r="T385" s="31">
        <f>VLOOKUP(A385,'Ansvar kurs'!$A$1:$C$1027,2,FALSE)</f>
        <v>1620</v>
      </c>
      <c r="U385" s="31" t="str">
        <f>VLOOKUP(T385,Orgenheter!$A$1:$C$165,2,FALSE)</f>
        <v>Inst för språkstudier</v>
      </c>
      <c r="V385" s="31" t="str">
        <f>VLOOKUP(T385,Orgenheter!$A$1:$C$165,3,FALSE)</f>
        <v>Hum</v>
      </c>
      <c r="W385" s="37" t="str">
        <f>VLOOKUP(D385,Program!$A$1:$B$34,2,FALSE)</f>
        <v>Fristående och övriga kurser</v>
      </c>
      <c r="X385" s="42">
        <f>VLOOKUP(A385,kurspris!$A$1:$Q$815,15,FALSE)</f>
        <v>18405</v>
      </c>
      <c r="Y385" s="42">
        <f>VLOOKUP(A385,kurspris!$A$1:$Q$815,16,FALSE)</f>
        <v>15773</v>
      </c>
      <c r="Z385" s="42">
        <f t="shared" si="188"/>
        <v>89192.274999999994</v>
      </c>
      <c r="AA385" s="42">
        <f>VLOOKUP(A385,kurspris!$A$1:$Q$815,17,FALSE)</f>
        <v>5800</v>
      </c>
      <c r="AB385" s="42">
        <f t="shared" si="189"/>
        <v>16675</v>
      </c>
      <c r="AC385" s="42">
        <f t="shared" si="190"/>
        <v>105867.27499999999</v>
      </c>
      <c r="AD385" s="31">
        <f>VLOOKUP($A385,kurspris!$A$1:$Q$852,3,FALSE)</f>
        <v>0</v>
      </c>
      <c r="AE385" s="31">
        <f>VLOOKUP($A385,kurspris!$A$1:$Q$852,4,FALSE)</f>
        <v>1</v>
      </c>
      <c r="AF385" s="31">
        <f>VLOOKUP($A385,kurspris!$A$1:$Q$852,5,FALSE)</f>
        <v>0</v>
      </c>
      <c r="AG385" s="31">
        <f>VLOOKUP($A385,kurspris!$A$1:$Q$852,6,FALSE)</f>
        <v>0</v>
      </c>
      <c r="AH385" s="31">
        <f>VLOOKUP($A385,kurspris!$A$1:$Q$852,7,FALSE)</f>
        <v>0</v>
      </c>
      <c r="AI385" s="31">
        <f>VLOOKUP($A385,kurspris!$A$1:$Q$852,8,FALSE)</f>
        <v>0</v>
      </c>
      <c r="AJ385" s="31">
        <f>VLOOKUP($A385,kurspris!$A$1:$Q$852,9,FALSE)</f>
        <v>0</v>
      </c>
      <c r="AK385" s="31">
        <f>VLOOKUP($A385,kurspris!$A$1:$Q$852,10,FALSE)</f>
        <v>0</v>
      </c>
      <c r="AL385" s="31">
        <f>VLOOKUP($A385,kurspris!$A$1:$Q$852,11,FALSE)</f>
        <v>0</v>
      </c>
      <c r="AM385" s="31">
        <f>VLOOKUP($A385,kurspris!$A$1:$Q$852,12,FALSE)</f>
        <v>0</v>
      </c>
      <c r="AN385" s="31">
        <f>VLOOKUP($A385,kurspris!$A$1:$Q$852,13,FALSE)</f>
        <v>0</v>
      </c>
      <c r="AO385" s="31">
        <f>VLOOKUP($A385,kurspris!$A$1:$Q$852,14,FALSE)</f>
        <v>0</v>
      </c>
      <c r="AP385" s="59" t="s">
        <v>2216</v>
      </c>
      <c r="AR385" s="31">
        <f t="shared" si="191"/>
        <v>0</v>
      </c>
      <c r="AS385" s="237">
        <f t="shared" si="192"/>
        <v>0</v>
      </c>
      <c r="AT385" s="31">
        <f t="shared" si="193"/>
        <v>2.875</v>
      </c>
      <c r="AU385" s="237">
        <f t="shared" si="194"/>
        <v>2.3000000000000003</v>
      </c>
      <c r="AV385" s="31">
        <f t="shared" si="195"/>
        <v>0</v>
      </c>
      <c r="AW385" s="31">
        <f t="shared" si="196"/>
        <v>0</v>
      </c>
      <c r="AX385" s="31">
        <f t="shared" si="197"/>
        <v>0</v>
      </c>
      <c r="AY385" s="237">
        <f t="shared" si="198"/>
        <v>0</v>
      </c>
      <c r="AZ385" s="214">
        <f t="shared" si="199"/>
        <v>0</v>
      </c>
      <c r="BA385" s="237">
        <f t="shared" si="200"/>
        <v>0</v>
      </c>
      <c r="BB385" s="31">
        <f t="shared" si="201"/>
        <v>0</v>
      </c>
      <c r="BC385" s="237">
        <f t="shared" si="202"/>
        <v>0</v>
      </c>
      <c r="BD385" s="31">
        <f t="shared" si="203"/>
        <v>0</v>
      </c>
      <c r="BE385" s="237">
        <f t="shared" si="204"/>
        <v>0</v>
      </c>
      <c r="BF385" s="31">
        <f t="shared" si="205"/>
        <v>0</v>
      </c>
      <c r="BG385" s="237">
        <f t="shared" si="206"/>
        <v>0</v>
      </c>
      <c r="BH385" s="31">
        <f t="shared" si="207"/>
        <v>0</v>
      </c>
      <c r="BI385" s="237">
        <f t="shared" si="208"/>
        <v>0</v>
      </c>
      <c r="BJ385" s="31">
        <f t="shared" si="209"/>
        <v>0</v>
      </c>
      <c r="BK385" s="31">
        <f t="shared" si="210"/>
        <v>0</v>
      </c>
      <c r="BL385" s="237">
        <f t="shared" si="211"/>
        <v>0</v>
      </c>
      <c r="BM385" s="31">
        <f t="shared" si="212"/>
        <v>0</v>
      </c>
      <c r="BN385" s="237">
        <f t="shared" si="213"/>
        <v>0</v>
      </c>
    </row>
    <row r="386" spans="1:66" x14ac:dyDescent="0.25">
      <c r="A386" s="159" t="s">
        <v>2003</v>
      </c>
      <c r="B386" s="182" t="str">
        <f>VLOOKUP(A386,kurspris!$A$1:$B$894,2,FALSE)</f>
        <v>Språkdidaktik: Aktuella frågor och metoder i språkdidaktisk forskning</v>
      </c>
      <c r="C386" s="37"/>
      <c r="D386" s="31" t="s">
        <v>117</v>
      </c>
      <c r="F386" s="59">
        <v>2019</v>
      </c>
      <c r="Q386" s="237">
        <v>0.25</v>
      </c>
      <c r="R386" s="40">
        <v>0.8</v>
      </c>
      <c r="S386" s="313">
        <f t="shared" si="187"/>
        <v>0.2</v>
      </c>
      <c r="T386" s="31">
        <f>VLOOKUP(A386,'Ansvar kurs'!$A$1:$C$1027,2,FALSE)</f>
        <v>1620</v>
      </c>
      <c r="U386" s="31" t="str">
        <f>VLOOKUP(T386,Orgenheter!$A$1:$C$165,2,FALSE)</f>
        <v>Inst för språkstudier</v>
      </c>
      <c r="V386" s="31" t="str">
        <f>VLOOKUP(T386,Orgenheter!$A$1:$C$165,3,FALSE)</f>
        <v>Hum</v>
      </c>
      <c r="W386" s="37" t="str">
        <f>VLOOKUP(D386,Program!$A$1:$B$34,2,FALSE)</f>
        <v>Fristående och övriga kurser</v>
      </c>
      <c r="X386" s="42">
        <f>VLOOKUP(A386,kurspris!$A$1:$Q$815,15,FALSE)</f>
        <v>18405</v>
      </c>
      <c r="Y386" s="42">
        <f>VLOOKUP(A386,kurspris!$A$1:$Q$815,16,FALSE)</f>
        <v>15773</v>
      </c>
      <c r="Z386" s="42">
        <f t="shared" si="188"/>
        <v>7755.85</v>
      </c>
      <c r="AA386" s="42">
        <f>VLOOKUP(A386,kurspris!$A$1:$Q$815,17,FALSE)</f>
        <v>5800</v>
      </c>
      <c r="AB386" s="42">
        <f t="shared" si="189"/>
        <v>1450</v>
      </c>
      <c r="AC386" s="42">
        <f t="shared" si="190"/>
        <v>9205.85</v>
      </c>
      <c r="AD386" s="31">
        <f>VLOOKUP($A386,kurspris!$A$1:$Q$852,3,FALSE)</f>
        <v>0</v>
      </c>
      <c r="AE386" s="31">
        <f>VLOOKUP($A386,kurspris!$A$1:$Q$852,4,FALSE)</f>
        <v>1</v>
      </c>
      <c r="AF386" s="31">
        <f>VLOOKUP($A386,kurspris!$A$1:$Q$852,5,FALSE)</f>
        <v>0</v>
      </c>
      <c r="AG386" s="31">
        <f>VLOOKUP($A386,kurspris!$A$1:$Q$852,6,FALSE)</f>
        <v>0</v>
      </c>
      <c r="AH386" s="31">
        <f>VLOOKUP($A386,kurspris!$A$1:$Q$852,7,FALSE)</f>
        <v>0</v>
      </c>
      <c r="AI386" s="31">
        <f>VLOOKUP($A386,kurspris!$A$1:$Q$852,8,FALSE)</f>
        <v>0</v>
      </c>
      <c r="AJ386" s="31">
        <f>VLOOKUP($A386,kurspris!$A$1:$Q$852,9,FALSE)</f>
        <v>0</v>
      </c>
      <c r="AK386" s="31">
        <f>VLOOKUP($A386,kurspris!$A$1:$Q$852,10,FALSE)</f>
        <v>0</v>
      </c>
      <c r="AL386" s="31">
        <f>VLOOKUP($A386,kurspris!$A$1:$Q$852,11,FALSE)</f>
        <v>0</v>
      </c>
      <c r="AM386" s="31">
        <f>VLOOKUP($A386,kurspris!$A$1:$Q$852,12,FALSE)</f>
        <v>0</v>
      </c>
      <c r="AN386" s="31">
        <f>VLOOKUP($A386,kurspris!$A$1:$Q$852,13,FALSE)</f>
        <v>0</v>
      </c>
      <c r="AO386" s="31">
        <f>VLOOKUP($A386,kurspris!$A$1:$Q$852,14,FALSE)</f>
        <v>0</v>
      </c>
      <c r="AP386" s="59" t="s">
        <v>2216</v>
      </c>
      <c r="AR386" s="31">
        <f t="shared" si="191"/>
        <v>0</v>
      </c>
      <c r="AS386" s="237">
        <f t="shared" si="192"/>
        <v>0</v>
      </c>
      <c r="AT386" s="31">
        <f t="shared" si="193"/>
        <v>0.25</v>
      </c>
      <c r="AU386" s="237">
        <f t="shared" si="194"/>
        <v>0.2</v>
      </c>
      <c r="AV386" s="31">
        <f t="shared" si="195"/>
        <v>0</v>
      </c>
      <c r="AW386" s="31">
        <f t="shared" si="196"/>
        <v>0</v>
      </c>
      <c r="AX386" s="31">
        <f t="shared" si="197"/>
        <v>0</v>
      </c>
      <c r="AY386" s="237">
        <f t="shared" si="198"/>
        <v>0</v>
      </c>
      <c r="AZ386" s="214">
        <f t="shared" si="199"/>
        <v>0</v>
      </c>
      <c r="BA386" s="237">
        <f t="shared" si="200"/>
        <v>0</v>
      </c>
      <c r="BB386" s="31">
        <f t="shared" si="201"/>
        <v>0</v>
      </c>
      <c r="BC386" s="237">
        <f t="shared" si="202"/>
        <v>0</v>
      </c>
      <c r="BD386" s="31">
        <f t="shared" si="203"/>
        <v>0</v>
      </c>
      <c r="BE386" s="237">
        <f t="shared" si="204"/>
        <v>0</v>
      </c>
      <c r="BF386" s="31">
        <f t="shared" si="205"/>
        <v>0</v>
      </c>
      <c r="BG386" s="237">
        <f t="shared" si="206"/>
        <v>0</v>
      </c>
      <c r="BH386" s="31">
        <f t="shared" si="207"/>
        <v>0</v>
      </c>
      <c r="BI386" s="237">
        <f t="shared" si="208"/>
        <v>0</v>
      </c>
      <c r="BJ386" s="31">
        <f t="shared" si="209"/>
        <v>0</v>
      </c>
      <c r="BK386" s="31">
        <f t="shared" si="210"/>
        <v>0</v>
      </c>
      <c r="BL386" s="237">
        <f t="shared" si="211"/>
        <v>0</v>
      </c>
      <c r="BM386" s="31">
        <f t="shared" si="212"/>
        <v>0</v>
      </c>
      <c r="BN386" s="237">
        <f t="shared" si="213"/>
        <v>0</v>
      </c>
    </row>
    <row r="387" spans="1:66" x14ac:dyDescent="0.25">
      <c r="A387" s="159" t="s">
        <v>2051</v>
      </c>
      <c r="B387" s="182" t="str">
        <f>VLOOKUP(A387,kurspris!$A$1:$B$894,2,FALSE)</f>
        <v>Språk-, skriv- och läsutveckling för speciallärare</v>
      </c>
      <c r="C387" s="37"/>
      <c r="D387" s="31" t="s">
        <v>115</v>
      </c>
      <c r="F387" s="59">
        <v>2019</v>
      </c>
      <c r="Q387" s="237">
        <v>8.5</v>
      </c>
      <c r="R387" s="40">
        <v>0.85</v>
      </c>
      <c r="S387" s="313">
        <f t="shared" si="187"/>
        <v>7.2249999999999996</v>
      </c>
      <c r="T387" s="31">
        <f>VLOOKUP(A387,'Ansvar kurs'!$A$1:$C$1027,2,FALSE)</f>
        <v>1620</v>
      </c>
      <c r="U387" s="31" t="str">
        <f>VLOOKUP(T387,Orgenheter!$A$1:$C$165,2,FALSE)</f>
        <v>Inst för språkstudier</v>
      </c>
      <c r="V387" s="31" t="str">
        <f>VLOOKUP(T387,Orgenheter!$A$1:$C$165,3,FALSE)</f>
        <v>Hum</v>
      </c>
      <c r="W387" s="37" t="str">
        <f>VLOOKUP(D387,Program!$A$1:$B$34,2,FALSE)</f>
        <v>Speciallärarprogrammet</v>
      </c>
      <c r="X387" s="42">
        <f>VLOOKUP(A387,kurspris!$A$1:$Q$815,15,FALSE)</f>
        <v>18405</v>
      </c>
      <c r="Y387" s="42">
        <f>VLOOKUP(A387,kurspris!$A$1:$Q$815,16,FALSE)</f>
        <v>15773</v>
      </c>
      <c r="Z387" s="42">
        <f t="shared" si="188"/>
        <v>270402.42499999999</v>
      </c>
      <c r="AA387" s="42">
        <f>VLOOKUP(A387,kurspris!$A$1:$Q$815,17,FALSE)</f>
        <v>5800</v>
      </c>
      <c r="AB387" s="42">
        <f t="shared" si="189"/>
        <v>49300</v>
      </c>
      <c r="AC387" s="42">
        <f t="shared" si="190"/>
        <v>319702.42499999999</v>
      </c>
      <c r="AD387" s="31">
        <f>VLOOKUP($A387,kurspris!$A$1:$Q$852,3,FALSE)</f>
        <v>0</v>
      </c>
      <c r="AE387" s="31">
        <f>VLOOKUP($A387,kurspris!$A$1:$Q$852,4,FALSE)</f>
        <v>1</v>
      </c>
      <c r="AF387" s="31">
        <f>VLOOKUP($A387,kurspris!$A$1:$Q$852,5,FALSE)</f>
        <v>0</v>
      </c>
      <c r="AG387" s="31">
        <f>VLOOKUP($A387,kurspris!$A$1:$Q$852,6,FALSE)</f>
        <v>0</v>
      </c>
      <c r="AH387" s="31">
        <f>VLOOKUP($A387,kurspris!$A$1:$Q$852,7,FALSE)</f>
        <v>0</v>
      </c>
      <c r="AI387" s="31">
        <f>VLOOKUP($A387,kurspris!$A$1:$Q$852,8,FALSE)</f>
        <v>0</v>
      </c>
      <c r="AJ387" s="31">
        <f>VLOOKUP($A387,kurspris!$A$1:$Q$852,9,FALSE)</f>
        <v>0</v>
      </c>
      <c r="AK387" s="31">
        <f>VLOOKUP($A387,kurspris!$A$1:$Q$852,10,FALSE)</f>
        <v>0</v>
      </c>
      <c r="AL387" s="31">
        <f>VLOOKUP($A387,kurspris!$A$1:$Q$852,11,FALSE)</f>
        <v>0</v>
      </c>
      <c r="AM387" s="31">
        <f>VLOOKUP($A387,kurspris!$A$1:$Q$852,12,FALSE)</f>
        <v>0</v>
      </c>
      <c r="AN387" s="31">
        <f>VLOOKUP($A387,kurspris!$A$1:$Q$852,13,FALSE)</f>
        <v>0</v>
      </c>
      <c r="AO387" s="31">
        <f>VLOOKUP($A387,kurspris!$A$1:$Q$852,14,FALSE)</f>
        <v>0</v>
      </c>
      <c r="AP387" s="59" t="s">
        <v>2216</v>
      </c>
      <c r="AR387" s="31">
        <f t="shared" si="191"/>
        <v>0</v>
      </c>
      <c r="AS387" s="237">
        <f t="shared" si="192"/>
        <v>0</v>
      </c>
      <c r="AT387" s="31">
        <f t="shared" si="193"/>
        <v>8.5</v>
      </c>
      <c r="AU387" s="237">
        <f t="shared" si="194"/>
        <v>7.2249999999999996</v>
      </c>
      <c r="AV387" s="31">
        <f t="shared" si="195"/>
        <v>0</v>
      </c>
      <c r="AW387" s="31">
        <f t="shared" si="196"/>
        <v>0</v>
      </c>
      <c r="AX387" s="31">
        <f t="shared" si="197"/>
        <v>0</v>
      </c>
      <c r="AY387" s="237">
        <f t="shared" si="198"/>
        <v>0</v>
      </c>
      <c r="AZ387" s="214">
        <f t="shared" si="199"/>
        <v>0</v>
      </c>
      <c r="BA387" s="237">
        <f t="shared" si="200"/>
        <v>0</v>
      </c>
      <c r="BB387" s="31">
        <f t="shared" si="201"/>
        <v>0</v>
      </c>
      <c r="BC387" s="237">
        <f t="shared" si="202"/>
        <v>0</v>
      </c>
      <c r="BD387" s="31">
        <f t="shared" si="203"/>
        <v>0</v>
      </c>
      <c r="BE387" s="237">
        <f t="shared" si="204"/>
        <v>0</v>
      </c>
      <c r="BF387" s="31">
        <f t="shared" si="205"/>
        <v>0</v>
      </c>
      <c r="BG387" s="237">
        <f t="shared" si="206"/>
        <v>0</v>
      </c>
      <c r="BH387" s="31">
        <f t="shared" si="207"/>
        <v>0</v>
      </c>
      <c r="BI387" s="237">
        <f t="shared" si="208"/>
        <v>0</v>
      </c>
      <c r="BJ387" s="31">
        <f t="shared" si="209"/>
        <v>0</v>
      </c>
      <c r="BK387" s="31">
        <f t="shared" si="210"/>
        <v>0</v>
      </c>
      <c r="BL387" s="237">
        <f t="shared" si="211"/>
        <v>0</v>
      </c>
      <c r="BM387" s="31">
        <f t="shared" si="212"/>
        <v>0</v>
      </c>
      <c r="BN387" s="237">
        <f t="shared" si="213"/>
        <v>0</v>
      </c>
    </row>
    <row r="388" spans="1:66" x14ac:dyDescent="0.25">
      <c r="A388" s="159" t="s">
        <v>2090</v>
      </c>
      <c r="B388" s="182" t="str">
        <f>VLOOKUP(A388,kurspris!$A$1:$B$894,2,FALSE)</f>
        <v>Examensarbete för speciallärarexamen med specialisering mot språk-, skriv- och läsutveckling</v>
      </c>
      <c r="C388" s="37"/>
      <c r="D388" s="31" t="s">
        <v>115</v>
      </c>
      <c r="F388" s="59">
        <v>2019</v>
      </c>
      <c r="Q388" s="237">
        <v>4.25</v>
      </c>
      <c r="R388" s="40">
        <v>0.85</v>
      </c>
      <c r="S388" s="313">
        <f t="shared" si="187"/>
        <v>3.6124999999999998</v>
      </c>
      <c r="T388" s="31">
        <f>VLOOKUP(A388,'Ansvar kurs'!$A$1:$C$1027,2,FALSE)</f>
        <v>1620</v>
      </c>
      <c r="U388" s="31" t="str">
        <f>VLOOKUP(T388,Orgenheter!$A$1:$C$165,2,FALSE)</f>
        <v>Inst för språkstudier</v>
      </c>
      <c r="V388" s="31" t="str">
        <f>VLOOKUP(T388,Orgenheter!$A$1:$C$165,3,FALSE)</f>
        <v>Hum</v>
      </c>
      <c r="W388" s="37" t="str">
        <f>VLOOKUP(D388,Program!$A$1:$B$34,2,FALSE)</f>
        <v>Speciallärarprogrammet</v>
      </c>
      <c r="X388" s="42">
        <f>VLOOKUP(A388,kurspris!$A$1:$Q$815,15,FALSE)</f>
        <v>18405</v>
      </c>
      <c r="Y388" s="42">
        <f>VLOOKUP(A388,kurspris!$A$1:$Q$815,16,FALSE)</f>
        <v>15773</v>
      </c>
      <c r="Z388" s="42">
        <f t="shared" si="188"/>
        <v>135201.21249999999</v>
      </c>
      <c r="AA388" s="42">
        <f>VLOOKUP(A388,kurspris!$A$1:$Q$815,17,FALSE)</f>
        <v>5800</v>
      </c>
      <c r="AB388" s="42">
        <f t="shared" si="189"/>
        <v>24650</v>
      </c>
      <c r="AC388" s="42">
        <f t="shared" si="190"/>
        <v>159851.21249999999</v>
      </c>
      <c r="AD388" s="31">
        <f>VLOOKUP($A388,kurspris!$A$1:$Q$852,3,FALSE)</f>
        <v>0</v>
      </c>
      <c r="AE388" s="31">
        <f>VLOOKUP($A388,kurspris!$A$1:$Q$852,4,FALSE)</f>
        <v>0</v>
      </c>
      <c r="AF388" s="31">
        <f>VLOOKUP($A388,kurspris!$A$1:$Q$852,5,FALSE)</f>
        <v>0</v>
      </c>
      <c r="AG388" s="31">
        <f>VLOOKUP($A388,kurspris!$A$1:$Q$852,6,FALSE)</f>
        <v>0</v>
      </c>
      <c r="AH388" s="31">
        <f>VLOOKUP($A388,kurspris!$A$1:$Q$852,7,FALSE)</f>
        <v>0</v>
      </c>
      <c r="AI388" s="31">
        <f>VLOOKUP($A388,kurspris!$A$1:$Q$852,8,FALSE)</f>
        <v>0</v>
      </c>
      <c r="AJ388" s="31">
        <f>VLOOKUP($A388,kurspris!$A$1:$Q$852,9,FALSE)</f>
        <v>1</v>
      </c>
      <c r="AK388" s="31">
        <f>VLOOKUP($A388,kurspris!$A$1:$Q$852,10,FALSE)</f>
        <v>0</v>
      </c>
      <c r="AL388" s="31">
        <f>VLOOKUP($A388,kurspris!$A$1:$Q$852,11,FALSE)</f>
        <v>0</v>
      </c>
      <c r="AM388" s="31">
        <f>VLOOKUP($A388,kurspris!$A$1:$Q$852,12,FALSE)</f>
        <v>0</v>
      </c>
      <c r="AN388" s="31">
        <f>VLOOKUP($A388,kurspris!$A$1:$Q$852,13,FALSE)</f>
        <v>0</v>
      </c>
      <c r="AO388" s="31">
        <f>VLOOKUP($A388,kurspris!$A$1:$Q$852,14,FALSE)</f>
        <v>0</v>
      </c>
      <c r="AP388" s="59" t="s">
        <v>2216</v>
      </c>
      <c r="AR388" s="31">
        <f t="shared" si="191"/>
        <v>0</v>
      </c>
      <c r="AS388" s="237">
        <f t="shared" si="192"/>
        <v>0</v>
      </c>
      <c r="AT388" s="31">
        <f t="shared" si="193"/>
        <v>0</v>
      </c>
      <c r="AU388" s="237">
        <f t="shared" si="194"/>
        <v>0</v>
      </c>
      <c r="AV388" s="31">
        <f t="shared" si="195"/>
        <v>0</v>
      </c>
      <c r="AW388" s="31">
        <f t="shared" si="196"/>
        <v>0</v>
      </c>
      <c r="AX388" s="31">
        <f t="shared" si="197"/>
        <v>0</v>
      </c>
      <c r="AY388" s="237">
        <f t="shared" si="198"/>
        <v>0</v>
      </c>
      <c r="AZ388" s="214">
        <f t="shared" si="199"/>
        <v>0</v>
      </c>
      <c r="BA388" s="237">
        <f t="shared" si="200"/>
        <v>0</v>
      </c>
      <c r="BB388" s="31">
        <f t="shared" si="201"/>
        <v>0</v>
      </c>
      <c r="BC388" s="237">
        <f t="shared" si="202"/>
        <v>0</v>
      </c>
      <c r="BD388" s="31">
        <f t="shared" si="203"/>
        <v>4.25</v>
      </c>
      <c r="BE388" s="237">
        <f t="shared" si="204"/>
        <v>3.6124999999999998</v>
      </c>
      <c r="BF388" s="31">
        <f t="shared" si="205"/>
        <v>0</v>
      </c>
      <c r="BG388" s="237">
        <f t="shared" si="206"/>
        <v>0</v>
      </c>
      <c r="BH388" s="31">
        <f t="shared" si="207"/>
        <v>0</v>
      </c>
      <c r="BI388" s="237">
        <f t="shared" si="208"/>
        <v>0</v>
      </c>
      <c r="BJ388" s="31">
        <f t="shared" si="209"/>
        <v>0</v>
      </c>
      <c r="BK388" s="31">
        <f t="shared" si="210"/>
        <v>0</v>
      </c>
      <c r="BL388" s="237">
        <f t="shared" si="211"/>
        <v>0</v>
      </c>
      <c r="BM388" s="31">
        <f t="shared" si="212"/>
        <v>0</v>
      </c>
      <c r="BN388" s="237">
        <f t="shared" si="213"/>
        <v>0</v>
      </c>
    </row>
    <row r="389" spans="1:66" x14ac:dyDescent="0.25">
      <c r="A389" s="159" t="s">
        <v>2091</v>
      </c>
      <c r="B389" s="182" t="str">
        <f>VLOOKUP(A389,kurspris!$A$1:$B$894,2,FALSE)</f>
        <v>Språk-, skriv- och läsutveckling i ett specialpedagogiskt perspektiv</v>
      </c>
      <c r="C389" s="37"/>
      <c r="D389" s="31" t="s">
        <v>115</v>
      </c>
      <c r="F389" s="59">
        <v>2019</v>
      </c>
      <c r="Q389" s="237">
        <v>1</v>
      </c>
      <c r="R389" s="40">
        <v>0.85</v>
      </c>
      <c r="S389" s="313">
        <f t="shared" ref="S389:S452" si="240">Q389*R389</f>
        <v>0.85</v>
      </c>
      <c r="T389" s="31">
        <f>VLOOKUP(A389,'Ansvar kurs'!$A$1:$C$1027,2,FALSE)</f>
        <v>1620</v>
      </c>
      <c r="U389" s="31" t="str">
        <f>VLOOKUP(T389,Orgenheter!$A$1:$C$165,2,FALSE)</f>
        <v>Inst för språkstudier</v>
      </c>
      <c r="V389" s="31" t="str">
        <f>VLOOKUP(T389,Orgenheter!$A$1:$C$165,3,FALSE)</f>
        <v>Hum</v>
      </c>
      <c r="W389" s="37" t="str">
        <f>VLOOKUP(D389,Program!$A$1:$B$34,2,FALSE)</f>
        <v>Speciallärarprogrammet</v>
      </c>
      <c r="X389" s="42">
        <f>VLOOKUP(A389,kurspris!$A$1:$Q$815,15,FALSE)</f>
        <v>18405</v>
      </c>
      <c r="Y389" s="42">
        <f>VLOOKUP(A389,kurspris!$A$1:$Q$815,16,FALSE)</f>
        <v>15773</v>
      </c>
      <c r="Z389" s="42">
        <f t="shared" ref="Z389:Z452" si="241">X389*Q389+S389*Y389</f>
        <v>31812.05</v>
      </c>
      <c r="AA389" s="42">
        <f>VLOOKUP(A389,kurspris!$A$1:$Q$815,17,FALSE)</f>
        <v>5800</v>
      </c>
      <c r="AB389" s="42">
        <f t="shared" ref="AB389:AB452" si="242">AA389*Q389</f>
        <v>5800</v>
      </c>
      <c r="AC389" s="42">
        <f t="shared" ref="AC389:AC452" si="243">Z389+AB389</f>
        <v>37612.050000000003</v>
      </c>
      <c r="AD389" s="31">
        <f>VLOOKUP($A389,kurspris!$A$1:$Q$852,3,FALSE)</f>
        <v>0</v>
      </c>
      <c r="AE389" s="31">
        <f>VLOOKUP($A389,kurspris!$A$1:$Q$852,4,FALSE)</f>
        <v>1</v>
      </c>
      <c r="AF389" s="31">
        <f>VLOOKUP($A389,kurspris!$A$1:$Q$852,5,FALSE)</f>
        <v>0</v>
      </c>
      <c r="AG389" s="31">
        <f>VLOOKUP($A389,kurspris!$A$1:$Q$852,6,FALSE)</f>
        <v>0</v>
      </c>
      <c r="AH389" s="31">
        <f>VLOOKUP($A389,kurspris!$A$1:$Q$852,7,FALSE)</f>
        <v>0</v>
      </c>
      <c r="AI389" s="31">
        <f>VLOOKUP($A389,kurspris!$A$1:$Q$852,8,FALSE)</f>
        <v>0</v>
      </c>
      <c r="AJ389" s="31">
        <f>VLOOKUP($A389,kurspris!$A$1:$Q$852,9,FALSE)</f>
        <v>0</v>
      </c>
      <c r="AK389" s="31">
        <f>VLOOKUP($A389,kurspris!$A$1:$Q$852,10,FALSE)</f>
        <v>0</v>
      </c>
      <c r="AL389" s="31">
        <f>VLOOKUP($A389,kurspris!$A$1:$Q$852,11,FALSE)</f>
        <v>0</v>
      </c>
      <c r="AM389" s="31">
        <f>VLOOKUP($A389,kurspris!$A$1:$Q$852,12,FALSE)</f>
        <v>0</v>
      </c>
      <c r="AN389" s="31">
        <f>VLOOKUP($A389,kurspris!$A$1:$Q$852,13,FALSE)</f>
        <v>0</v>
      </c>
      <c r="AO389" s="31">
        <f>VLOOKUP($A389,kurspris!$A$1:$Q$852,14,FALSE)</f>
        <v>0</v>
      </c>
      <c r="AP389" s="59" t="s">
        <v>2216</v>
      </c>
      <c r="AR389" s="31">
        <f t="shared" ref="AR389:AR452" si="244">$Q389*AD389</f>
        <v>0</v>
      </c>
      <c r="AS389" s="237">
        <f t="shared" ref="AS389:AS452" si="245">$S389*AD389</f>
        <v>0</v>
      </c>
      <c r="AT389" s="31">
        <f t="shared" ref="AT389:AT452" si="246">$Q389*AE389</f>
        <v>1</v>
      </c>
      <c r="AU389" s="237">
        <f t="shared" ref="AU389:AU452" si="247">$S389*AE389</f>
        <v>0.85</v>
      </c>
      <c r="AV389" s="31">
        <f t="shared" ref="AV389:AV452" si="248">$Q389*AF389</f>
        <v>0</v>
      </c>
      <c r="AW389" s="31">
        <f t="shared" ref="AW389:AW452" si="249">$S389*AF389</f>
        <v>0</v>
      </c>
      <c r="AX389" s="31">
        <f t="shared" ref="AX389:AX452" si="250">$Q389*AG389</f>
        <v>0</v>
      </c>
      <c r="AY389" s="237">
        <f t="shared" ref="AY389:AY452" si="251">$S389*AG389</f>
        <v>0</v>
      </c>
      <c r="AZ389" s="214">
        <f t="shared" ref="AZ389:AZ452" si="252">$Q389*AH389</f>
        <v>0</v>
      </c>
      <c r="BA389" s="237">
        <f t="shared" ref="BA389:BA452" si="253">$S389*AH389</f>
        <v>0</v>
      </c>
      <c r="BB389" s="31">
        <f t="shared" ref="BB389:BB452" si="254">$Q389*AI389</f>
        <v>0</v>
      </c>
      <c r="BC389" s="237">
        <f t="shared" ref="BC389:BC452" si="255">$S389*AI389</f>
        <v>0</v>
      </c>
      <c r="BD389" s="31">
        <f t="shared" ref="BD389:BD452" si="256">$Q389*AJ389</f>
        <v>0</v>
      </c>
      <c r="BE389" s="237">
        <f t="shared" ref="BE389:BE452" si="257">$S389*AJ389</f>
        <v>0</v>
      </c>
      <c r="BF389" s="31">
        <f t="shared" ref="BF389:BF452" si="258">$Q389*AK389</f>
        <v>0</v>
      </c>
      <c r="BG389" s="237">
        <f t="shared" ref="BG389:BG452" si="259">$S389*AK389</f>
        <v>0</v>
      </c>
      <c r="BH389" s="31">
        <f t="shared" ref="BH389:BH452" si="260">$Q389*AL389</f>
        <v>0</v>
      </c>
      <c r="BI389" s="237">
        <f t="shared" ref="BI389:BI452" si="261">$S389*AL389</f>
        <v>0</v>
      </c>
      <c r="BJ389" s="31">
        <f t="shared" ref="BJ389:BJ452" si="262">$Q389*AM389</f>
        <v>0</v>
      </c>
      <c r="BK389" s="31">
        <f t="shared" ref="BK389:BK452" si="263">$Q389*AN389</f>
        <v>0</v>
      </c>
      <c r="BL389" s="237">
        <f t="shared" ref="BL389:BL452" si="264">$S389*AN389</f>
        <v>0</v>
      </c>
      <c r="BM389" s="31">
        <f t="shared" ref="BM389:BM452" si="265">$Q389*AO389</f>
        <v>0</v>
      </c>
      <c r="BN389" s="237">
        <f t="shared" ref="BN389:BN452" si="266">$S389*AO389</f>
        <v>0</v>
      </c>
    </row>
    <row r="390" spans="1:66" x14ac:dyDescent="0.25">
      <c r="A390" s="159" t="s">
        <v>512</v>
      </c>
      <c r="B390" s="182" t="str">
        <f>VLOOKUP(A390,kurspris!$A$1:$B$894,2,FALSE)</f>
        <v>Samhällskunskap 1</v>
      </c>
      <c r="C390" s="37"/>
      <c r="D390" s="31" t="s">
        <v>483</v>
      </c>
      <c r="F390" s="59">
        <v>2019</v>
      </c>
      <c r="Q390" s="237">
        <v>11</v>
      </c>
      <c r="R390" s="40">
        <v>0.85</v>
      </c>
      <c r="S390" s="313">
        <f t="shared" si="240"/>
        <v>9.35</v>
      </c>
      <c r="T390" s="31">
        <f>VLOOKUP(A390,'Ansvar kurs'!$A$1:$C$1027,2,FALSE)</f>
        <v>2340</v>
      </c>
      <c r="U390" s="31" t="str">
        <f>VLOOKUP(T390,Orgenheter!$A$1:$C$165,2,FALSE)</f>
        <v xml:space="preserve">Statsvetenskap                </v>
      </c>
      <c r="V390" s="31" t="str">
        <f>VLOOKUP(T390,Orgenheter!$A$1:$C$165,3,FALSE)</f>
        <v>Sam</v>
      </c>
      <c r="W390" s="37" t="str">
        <f>VLOOKUP(D390,Program!$A$1:$B$34,2,FALSE)</f>
        <v>Ämneslärarprogrammet - Gy</v>
      </c>
      <c r="X390" s="42">
        <f>VLOOKUP(A390,kurspris!$A$1:$Q$815,15,FALSE)</f>
        <v>18405</v>
      </c>
      <c r="Y390" s="42">
        <f>VLOOKUP(A390,kurspris!$A$1:$Q$815,16,FALSE)</f>
        <v>15773</v>
      </c>
      <c r="Z390" s="42">
        <f t="shared" si="241"/>
        <v>349932.55</v>
      </c>
      <c r="AA390" s="42">
        <f>VLOOKUP(A390,kurspris!$A$1:$Q$815,17,FALSE)</f>
        <v>5800</v>
      </c>
      <c r="AB390" s="42">
        <f t="shared" si="242"/>
        <v>63800</v>
      </c>
      <c r="AC390" s="42">
        <f t="shared" si="243"/>
        <v>413732.55</v>
      </c>
      <c r="AD390" s="31">
        <f>VLOOKUP($A390,kurspris!$A$1:$Q$852,3,FALSE)</f>
        <v>0</v>
      </c>
      <c r="AE390" s="31">
        <f>VLOOKUP($A390,kurspris!$A$1:$Q$852,4,FALSE)</f>
        <v>1</v>
      </c>
      <c r="AF390" s="31">
        <f>VLOOKUP($A390,kurspris!$A$1:$Q$852,5,FALSE)</f>
        <v>0</v>
      </c>
      <c r="AG390" s="31">
        <f>VLOOKUP($A390,kurspris!$A$1:$Q$852,6,FALSE)</f>
        <v>0</v>
      </c>
      <c r="AH390" s="31">
        <f>VLOOKUP($A390,kurspris!$A$1:$Q$852,7,FALSE)</f>
        <v>0</v>
      </c>
      <c r="AI390" s="31">
        <f>VLOOKUP($A390,kurspris!$A$1:$Q$852,8,FALSE)</f>
        <v>0</v>
      </c>
      <c r="AJ390" s="31">
        <f>VLOOKUP($A390,kurspris!$A$1:$Q$852,9,FALSE)</f>
        <v>0</v>
      </c>
      <c r="AK390" s="31">
        <f>VLOOKUP($A390,kurspris!$A$1:$Q$852,10,FALSE)</f>
        <v>0</v>
      </c>
      <c r="AL390" s="31">
        <f>VLOOKUP($A390,kurspris!$A$1:$Q$852,11,FALSE)</f>
        <v>0</v>
      </c>
      <c r="AM390" s="31">
        <f>VLOOKUP($A390,kurspris!$A$1:$Q$852,12,FALSE)</f>
        <v>0</v>
      </c>
      <c r="AN390" s="31">
        <f>VLOOKUP($A390,kurspris!$A$1:$Q$852,13,FALSE)</f>
        <v>0</v>
      </c>
      <c r="AO390" s="31">
        <f>VLOOKUP($A390,kurspris!$A$1:$Q$852,14,FALSE)</f>
        <v>0</v>
      </c>
      <c r="AP390" s="59" t="s">
        <v>2216</v>
      </c>
      <c r="AR390" s="31">
        <f t="shared" si="244"/>
        <v>0</v>
      </c>
      <c r="AS390" s="237">
        <f t="shared" si="245"/>
        <v>0</v>
      </c>
      <c r="AT390" s="31">
        <f t="shared" si="246"/>
        <v>11</v>
      </c>
      <c r="AU390" s="237">
        <f t="shared" si="247"/>
        <v>9.35</v>
      </c>
      <c r="AV390" s="31">
        <f t="shared" si="248"/>
        <v>0</v>
      </c>
      <c r="AW390" s="31">
        <f t="shared" si="249"/>
        <v>0</v>
      </c>
      <c r="AX390" s="31">
        <f t="shared" si="250"/>
        <v>0</v>
      </c>
      <c r="AY390" s="237">
        <f t="shared" si="251"/>
        <v>0</v>
      </c>
      <c r="AZ390" s="214">
        <f t="shared" si="252"/>
        <v>0</v>
      </c>
      <c r="BA390" s="237">
        <f t="shared" si="253"/>
        <v>0</v>
      </c>
      <c r="BB390" s="31">
        <f t="shared" si="254"/>
        <v>0</v>
      </c>
      <c r="BC390" s="237">
        <f t="shared" si="255"/>
        <v>0</v>
      </c>
      <c r="BD390" s="31">
        <f t="shared" si="256"/>
        <v>0</v>
      </c>
      <c r="BE390" s="237">
        <f t="shared" si="257"/>
        <v>0</v>
      </c>
      <c r="BF390" s="31">
        <f t="shared" si="258"/>
        <v>0</v>
      </c>
      <c r="BG390" s="237">
        <f t="shared" si="259"/>
        <v>0</v>
      </c>
      <c r="BH390" s="31">
        <f t="shared" si="260"/>
        <v>0</v>
      </c>
      <c r="BI390" s="237">
        <f t="shared" si="261"/>
        <v>0</v>
      </c>
      <c r="BJ390" s="31">
        <f t="shared" si="262"/>
        <v>0</v>
      </c>
      <c r="BK390" s="31">
        <f t="shared" si="263"/>
        <v>0</v>
      </c>
      <c r="BL390" s="237">
        <f t="shared" si="264"/>
        <v>0</v>
      </c>
      <c r="BM390" s="31">
        <f t="shared" si="265"/>
        <v>0</v>
      </c>
      <c r="BN390" s="237">
        <f t="shared" si="266"/>
        <v>0</v>
      </c>
    </row>
    <row r="391" spans="1:66" x14ac:dyDescent="0.25">
      <c r="A391" s="159" t="s">
        <v>513</v>
      </c>
      <c r="B391" s="182" t="str">
        <f>VLOOKUP(A391,kurspris!$A$1:$B$894,2,FALSE)</f>
        <v>Samhällskunskap 2</v>
      </c>
      <c r="C391" s="37"/>
      <c r="D391" s="31" t="s">
        <v>483</v>
      </c>
      <c r="F391" s="59">
        <v>2019</v>
      </c>
      <c r="N391" s="40"/>
      <c r="P391" s="387"/>
      <c r="Q391" s="237">
        <v>9</v>
      </c>
      <c r="R391" s="40">
        <v>0.85</v>
      </c>
      <c r="S391" s="313">
        <f t="shared" si="240"/>
        <v>7.6499999999999995</v>
      </c>
      <c r="T391" s="31">
        <f>VLOOKUP(A391,'Ansvar kurs'!$A$1:$C$1027,2,FALSE)</f>
        <v>2340</v>
      </c>
      <c r="U391" s="31" t="str">
        <f>VLOOKUP(T391,Orgenheter!$A$1:$C$165,2,FALSE)</f>
        <v xml:space="preserve">Statsvetenskap                </v>
      </c>
      <c r="V391" s="31" t="str">
        <f>VLOOKUP(T391,Orgenheter!$A$1:$C$165,3,FALSE)</f>
        <v>Sam</v>
      </c>
      <c r="W391" s="37" t="str">
        <f>VLOOKUP(D391,Program!$A$1:$B$34,2,FALSE)</f>
        <v>Ämneslärarprogrammet - Gy</v>
      </c>
      <c r="X391" s="42">
        <f>VLOOKUP(A391,kurspris!$A$1:$Q$815,15,FALSE)</f>
        <v>18405</v>
      </c>
      <c r="Y391" s="42">
        <f>VLOOKUP(A391,kurspris!$A$1:$Q$815,16,FALSE)</f>
        <v>15773</v>
      </c>
      <c r="Z391" s="42">
        <f t="shared" si="241"/>
        <v>286308.45</v>
      </c>
      <c r="AA391" s="42">
        <f>VLOOKUP(A391,kurspris!$A$1:$Q$815,17,FALSE)</f>
        <v>5800</v>
      </c>
      <c r="AB391" s="42">
        <f t="shared" si="242"/>
        <v>52200</v>
      </c>
      <c r="AC391" s="42">
        <f t="shared" si="243"/>
        <v>338508.45</v>
      </c>
      <c r="AD391" s="31">
        <f>VLOOKUP($A391,kurspris!$A$1:$Q$852,3,FALSE)</f>
        <v>0</v>
      </c>
      <c r="AE391" s="31">
        <f>VLOOKUP($A391,kurspris!$A$1:$Q$852,4,FALSE)</f>
        <v>0</v>
      </c>
      <c r="AF391" s="31">
        <f>VLOOKUP($A391,kurspris!$A$1:$Q$852,5,FALSE)</f>
        <v>0</v>
      </c>
      <c r="AG391" s="31">
        <f>VLOOKUP($A391,kurspris!$A$1:$Q$852,6,FALSE)</f>
        <v>0</v>
      </c>
      <c r="AH391" s="31">
        <f>VLOOKUP($A391,kurspris!$A$1:$Q$852,7,FALSE)</f>
        <v>0</v>
      </c>
      <c r="AI391" s="31">
        <f>VLOOKUP($A391,kurspris!$A$1:$Q$852,8,FALSE)</f>
        <v>0</v>
      </c>
      <c r="AJ391" s="31">
        <f>VLOOKUP($A391,kurspris!$A$1:$Q$852,9,FALSE)</f>
        <v>1</v>
      </c>
      <c r="AK391" s="31">
        <f>VLOOKUP($A391,kurspris!$A$1:$Q$852,10,FALSE)</f>
        <v>0</v>
      </c>
      <c r="AL391" s="31">
        <f>VLOOKUP($A391,kurspris!$A$1:$Q$852,11,FALSE)</f>
        <v>0</v>
      </c>
      <c r="AM391" s="31">
        <f>VLOOKUP($A391,kurspris!$A$1:$Q$852,12,FALSE)</f>
        <v>0</v>
      </c>
      <c r="AN391" s="31">
        <f>VLOOKUP($A391,kurspris!$A$1:$Q$852,13,FALSE)</f>
        <v>0</v>
      </c>
      <c r="AO391" s="31">
        <f>VLOOKUP($A391,kurspris!$A$1:$Q$852,14,FALSE)</f>
        <v>0</v>
      </c>
      <c r="AP391" s="59" t="s">
        <v>2216</v>
      </c>
      <c r="AR391" s="31">
        <f t="shared" si="244"/>
        <v>0</v>
      </c>
      <c r="AS391" s="237">
        <f t="shared" si="245"/>
        <v>0</v>
      </c>
      <c r="AT391" s="31">
        <f t="shared" si="246"/>
        <v>0</v>
      </c>
      <c r="AU391" s="237">
        <f t="shared" si="247"/>
        <v>0</v>
      </c>
      <c r="AV391" s="31">
        <f t="shared" si="248"/>
        <v>0</v>
      </c>
      <c r="AW391" s="31">
        <f t="shared" si="249"/>
        <v>0</v>
      </c>
      <c r="AX391" s="31">
        <f t="shared" si="250"/>
        <v>0</v>
      </c>
      <c r="AY391" s="237">
        <f t="shared" si="251"/>
        <v>0</v>
      </c>
      <c r="AZ391" s="214">
        <f t="shared" si="252"/>
        <v>0</v>
      </c>
      <c r="BA391" s="237">
        <f t="shared" si="253"/>
        <v>0</v>
      </c>
      <c r="BB391" s="31">
        <f t="shared" si="254"/>
        <v>0</v>
      </c>
      <c r="BC391" s="237">
        <f t="shared" si="255"/>
        <v>0</v>
      </c>
      <c r="BD391" s="31">
        <f t="shared" si="256"/>
        <v>9</v>
      </c>
      <c r="BE391" s="237">
        <f t="shared" si="257"/>
        <v>7.6499999999999995</v>
      </c>
      <c r="BF391" s="31">
        <f t="shared" si="258"/>
        <v>0</v>
      </c>
      <c r="BG391" s="237">
        <f t="shared" si="259"/>
        <v>0</v>
      </c>
      <c r="BH391" s="31">
        <f t="shared" si="260"/>
        <v>0</v>
      </c>
      <c r="BI391" s="237">
        <f t="shared" si="261"/>
        <v>0</v>
      </c>
      <c r="BJ391" s="31">
        <f t="shared" si="262"/>
        <v>0</v>
      </c>
      <c r="BK391" s="31">
        <f t="shared" si="263"/>
        <v>0</v>
      </c>
      <c r="BL391" s="237">
        <f t="shared" si="264"/>
        <v>0</v>
      </c>
      <c r="BM391" s="31">
        <f t="shared" si="265"/>
        <v>0</v>
      </c>
      <c r="BN391" s="237">
        <f t="shared" si="266"/>
        <v>0</v>
      </c>
    </row>
    <row r="392" spans="1:66" x14ac:dyDescent="0.25">
      <c r="A392" s="31" t="s">
        <v>603</v>
      </c>
      <c r="B392" s="182" t="str">
        <f>VLOOKUP(A392,kurspris!$A$1:$B$894,2,FALSE)</f>
        <v>Samhällskunskap 3</v>
      </c>
      <c r="D392" s="31" t="s">
        <v>483</v>
      </c>
      <c r="E392" s="59"/>
      <c r="F392" s="59">
        <v>2019</v>
      </c>
      <c r="Q392" s="237">
        <v>6.5</v>
      </c>
      <c r="R392" s="40">
        <v>0.85</v>
      </c>
      <c r="S392" s="313">
        <f t="shared" si="240"/>
        <v>5.5249999999999995</v>
      </c>
      <c r="T392" s="31">
        <f>VLOOKUP(A392,'Ansvar kurs'!$A$1:$C$1027,2,FALSE)</f>
        <v>2340</v>
      </c>
      <c r="U392" s="31" t="str">
        <f>VLOOKUP(T392,Orgenheter!$A$1:$C$165,2,FALSE)</f>
        <v xml:space="preserve">Statsvetenskap                </v>
      </c>
      <c r="V392" s="31" t="str">
        <f>VLOOKUP(T392,Orgenheter!$A$1:$C$165,3,FALSE)</f>
        <v>Sam</v>
      </c>
      <c r="W392" s="37" t="str">
        <f>VLOOKUP(D392,Program!$A$1:$B$34,2,FALSE)</f>
        <v>Ämneslärarprogrammet - Gy</v>
      </c>
      <c r="X392" s="42">
        <f>VLOOKUP(A392,kurspris!$A$1:$Q$815,15,FALSE)</f>
        <v>18405</v>
      </c>
      <c r="Y392" s="42">
        <f>VLOOKUP(A392,kurspris!$A$1:$Q$815,16,FALSE)</f>
        <v>15773</v>
      </c>
      <c r="Z392" s="42">
        <f t="shared" si="241"/>
        <v>206778.32500000001</v>
      </c>
      <c r="AA392" s="42">
        <f>VLOOKUP(A392,kurspris!$A$1:$Q$815,17,FALSE)</f>
        <v>5800</v>
      </c>
      <c r="AB392" s="42">
        <f t="shared" si="242"/>
        <v>37700</v>
      </c>
      <c r="AC392" s="42">
        <f t="shared" si="243"/>
        <v>244478.32500000001</v>
      </c>
      <c r="AD392" s="31">
        <f>VLOOKUP($A392,kurspris!$A$1:$Q$852,3,FALSE)</f>
        <v>0</v>
      </c>
      <c r="AE392" s="31">
        <f>VLOOKUP($A392,kurspris!$A$1:$Q$852,4,FALSE)</f>
        <v>1</v>
      </c>
      <c r="AF392" s="31">
        <f>VLOOKUP($A392,kurspris!$A$1:$Q$852,5,FALSE)</f>
        <v>0</v>
      </c>
      <c r="AG392" s="31">
        <f>VLOOKUP($A392,kurspris!$A$1:$Q$852,6,FALSE)</f>
        <v>0</v>
      </c>
      <c r="AH392" s="31">
        <f>VLOOKUP($A392,kurspris!$A$1:$Q$852,7,FALSE)</f>
        <v>0</v>
      </c>
      <c r="AI392" s="31">
        <f>VLOOKUP($A392,kurspris!$A$1:$Q$852,8,FALSE)</f>
        <v>0</v>
      </c>
      <c r="AJ392" s="31">
        <f>VLOOKUP($A392,kurspris!$A$1:$Q$852,9,FALSE)</f>
        <v>0</v>
      </c>
      <c r="AK392" s="31">
        <f>VLOOKUP($A392,kurspris!$A$1:$Q$852,10,FALSE)</f>
        <v>0</v>
      </c>
      <c r="AL392" s="31">
        <f>VLOOKUP($A392,kurspris!$A$1:$Q$852,11,FALSE)</f>
        <v>0</v>
      </c>
      <c r="AM392" s="31">
        <f>VLOOKUP($A392,kurspris!$A$1:$Q$852,12,FALSE)</f>
        <v>0</v>
      </c>
      <c r="AN392" s="31">
        <f>VLOOKUP($A392,kurspris!$A$1:$Q$852,13,FALSE)</f>
        <v>0</v>
      </c>
      <c r="AO392" s="31">
        <f>VLOOKUP($A392,kurspris!$A$1:$Q$852,14,FALSE)</f>
        <v>0</v>
      </c>
      <c r="AP392" s="59" t="s">
        <v>2216</v>
      </c>
      <c r="AR392" s="31">
        <f t="shared" si="244"/>
        <v>0</v>
      </c>
      <c r="AS392" s="237">
        <f t="shared" si="245"/>
        <v>0</v>
      </c>
      <c r="AT392" s="31">
        <f t="shared" si="246"/>
        <v>6.5</v>
      </c>
      <c r="AU392" s="237">
        <f t="shared" si="247"/>
        <v>5.5249999999999995</v>
      </c>
      <c r="AV392" s="31">
        <f t="shared" si="248"/>
        <v>0</v>
      </c>
      <c r="AW392" s="31">
        <f t="shared" si="249"/>
        <v>0</v>
      </c>
      <c r="AX392" s="31">
        <f t="shared" si="250"/>
        <v>0</v>
      </c>
      <c r="AY392" s="237">
        <f t="shared" si="251"/>
        <v>0</v>
      </c>
      <c r="AZ392" s="214">
        <f t="shared" si="252"/>
        <v>0</v>
      </c>
      <c r="BA392" s="237">
        <f t="shared" si="253"/>
        <v>0</v>
      </c>
      <c r="BB392" s="31">
        <f t="shared" si="254"/>
        <v>0</v>
      </c>
      <c r="BC392" s="237">
        <f t="shared" si="255"/>
        <v>0</v>
      </c>
      <c r="BD392" s="31">
        <f t="shared" si="256"/>
        <v>0</v>
      </c>
      <c r="BE392" s="237">
        <f t="shared" si="257"/>
        <v>0</v>
      </c>
      <c r="BF392" s="31">
        <f t="shared" si="258"/>
        <v>0</v>
      </c>
      <c r="BG392" s="237">
        <f t="shared" si="259"/>
        <v>0</v>
      </c>
      <c r="BH392" s="31">
        <f t="shared" si="260"/>
        <v>0</v>
      </c>
      <c r="BI392" s="237">
        <f t="shared" si="261"/>
        <v>0</v>
      </c>
      <c r="BJ392" s="31">
        <f t="shared" si="262"/>
        <v>0</v>
      </c>
      <c r="BK392" s="31">
        <f t="shared" si="263"/>
        <v>0</v>
      </c>
      <c r="BL392" s="237">
        <f t="shared" si="264"/>
        <v>0</v>
      </c>
      <c r="BM392" s="31">
        <f t="shared" si="265"/>
        <v>0</v>
      </c>
      <c r="BN392" s="237">
        <f t="shared" si="266"/>
        <v>0</v>
      </c>
    </row>
    <row r="393" spans="1:66" x14ac:dyDescent="0.25">
      <c r="A393" s="159" t="s">
        <v>1043</v>
      </c>
      <c r="B393" s="182" t="str">
        <f>VLOOKUP(A393,kurspris!$A$1:$B$894,2,FALSE)</f>
        <v>Examensarbete</v>
      </c>
      <c r="C393" s="37"/>
      <c r="D393" s="31" t="s">
        <v>482</v>
      </c>
      <c r="F393" s="59">
        <v>2019</v>
      </c>
      <c r="N393" s="40"/>
      <c r="P393" s="387"/>
      <c r="Q393" s="237">
        <v>0.125</v>
      </c>
      <c r="R393" s="40">
        <v>0.85</v>
      </c>
      <c r="S393" s="313">
        <f t="shared" si="240"/>
        <v>0.10625</v>
      </c>
      <c r="T393" s="31">
        <f>VLOOKUP(A393,'Ansvar kurs'!$A$1:$C$1027,2,FALSE)</f>
        <v>2340</v>
      </c>
      <c r="U393" s="31" t="str">
        <f>VLOOKUP(T393,Orgenheter!$A$1:$C$165,2,FALSE)</f>
        <v xml:space="preserve">Statsvetenskap                </v>
      </c>
      <c r="V393" s="31" t="str">
        <f>VLOOKUP(T393,Orgenheter!$A$1:$C$165,3,FALSE)</f>
        <v>Sam</v>
      </c>
      <c r="W393" s="37" t="str">
        <f>VLOOKUP(D393,Program!$A$1:$B$34,2,FALSE)</f>
        <v>Ämneslärarprogrammet - åk 7-9</v>
      </c>
      <c r="X393" s="42">
        <f>VLOOKUP(A393,kurspris!$A$1:$Q$815,15,FALSE)</f>
        <v>18405</v>
      </c>
      <c r="Y393" s="42">
        <f>VLOOKUP(A393,kurspris!$A$1:$Q$815,16,FALSE)</f>
        <v>15773</v>
      </c>
      <c r="Z393" s="42">
        <f t="shared" si="241"/>
        <v>3976.5062499999999</v>
      </c>
      <c r="AA393" s="42">
        <f>VLOOKUP(A393,kurspris!$A$1:$Q$815,17,FALSE)</f>
        <v>5800</v>
      </c>
      <c r="AB393" s="42">
        <f t="shared" si="242"/>
        <v>725</v>
      </c>
      <c r="AC393" s="42">
        <f t="shared" si="243"/>
        <v>4701.5062500000004</v>
      </c>
      <c r="AD393" s="31">
        <f>VLOOKUP($A393,kurspris!$A$1:$Q$852,3,FALSE)</f>
        <v>0</v>
      </c>
      <c r="AE393" s="31">
        <f>VLOOKUP($A393,kurspris!$A$1:$Q$852,4,FALSE)</f>
        <v>0</v>
      </c>
      <c r="AF393" s="31">
        <f>VLOOKUP($A393,kurspris!$A$1:$Q$852,5,FALSE)</f>
        <v>0</v>
      </c>
      <c r="AG393" s="31">
        <f>VLOOKUP($A393,kurspris!$A$1:$Q$852,6,FALSE)</f>
        <v>0</v>
      </c>
      <c r="AH393" s="31">
        <f>VLOOKUP($A393,kurspris!$A$1:$Q$852,7,FALSE)</f>
        <v>0</v>
      </c>
      <c r="AI393" s="31">
        <f>VLOOKUP($A393,kurspris!$A$1:$Q$852,8,FALSE)</f>
        <v>0</v>
      </c>
      <c r="AJ393" s="31">
        <f>VLOOKUP($A393,kurspris!$A$1:$Q$852,9,FALSE)</f>
        <v>1</v>
      </c>
      <c r="AK393" s="31">
        <f>VLOOKUP($A393,kurspris!$A$1:$Q$852,10,FALSE)</f>
        <v>0</v>
      </c>
      <c r="AL393" s="31">
        <f>VLOOKUP($A393,kurspris!$A$1:$Q$852,11,FALSE)</f>
        <v>0</v>
      </c>
      <c r="AM393" s="31">
        <f>VLOOKUP($A393,kurspris!$A$1:$Q$852,12,FALSE)</f>
        <v>0</v>
      </c>
      <c r="AN393" s="31">
        <f>VLOOKUP($A393,kurspris!$A$1:$Q$852,13,FALSE)</f>
        <v>0</v>
      </c>
      <c r="AO393" s="31">
        <f>VLOOKUP($A393,kurspris!$A$1:$Q$852,14,FALSE)</f>
        <v>0</v>
      </c>
      <c r="AP393" s="59" t="s">
        <v>2216</v>
      </c>
      <c r="AR393" s="31">
        <f t="shared" si="244"/>
        <v>0</v>
      </c>
      <c r="AS393" s="237">
        <f t="shared" si="245"/>
        <v>0</v>
      </c>
      <c r="AT393" s="31">
        <f t="shared" si="246"/>
        <v>0</v>
      </c>
      <c r="AU393" s="237">
        <f t="shared" si="247"/>
        <v>0</v>
      </c>
      <c r="AV393" s="31">
        <f t="shared" si="248"/>
        <v>0</v>
      </c>
      <c r="AW393" s="31">
        <f t="shared" si="249"/>
        <v>0</v>
      </c>
      <c r="AX393" s="31">
        <f t="shared" si="250"/>
        <v>0</v>
      </c>
      <c r="AY393" s="237">
        <f t="shared" si="251"/>
        <v>0</v>
      </c>
      <c r="AZ393" s="214">
        <f t="shared" si="252"/>
        <v>0</v>
      </c>
      <c r="BA393" s="237">
        <f t="shared" si="253"/>
        <v>0</v>
      </c>
      <c r="BB393" s="31">
        <f t="shared" si="254"/>
        <v>0</v>
      </c>
      <c r="BC393" s="237">
        <f t="shared" si="255"/>
        <v>0</v>
      </c>
      <c r="BD393" s="31">
        <f t="shared" si="256"/>
        <v>0.125</v>
      </c>
      <c r="BE393" s="237">
        <f t="shared" si="257"/>
        <v>0.10625</v>
      </c>
      <c r="BF393" s="31">
        <f t="shared" si="258"/>
        <v>0</v>
      </c>
      <c r="BG393" s="237">
        <f t="shared" si="259"/>
        <v>0</v>
      </c>
      <c r="BH393" s="31">
        <f t="shared" si="260"/>
        <v>0</v>
      </c>
      <c r="BI393" s="237">
        <f t="shared" si="261"/>
        <v>0</v>
      </c>
      <c r="BJ393" s="31">
        <f t="shared" si="262"/>
        <v>0</v>
      </c>
      <c r="BK393" s="31">
        <f t="shared" si="263"/>
        <v>0</v>
      </c>
      <c r="BL393" s="237">
        <f t="shared" si="264"/>
        <v>0</v>
      </c>
      <c r="BM393" s="31">
        <f t="shared" si="265"/>
        <v>0</v>
      </c>
      <c r="BN393" s="237">
        <f t="shared" si="266"/>
        <v>0</v>
      </c>
    </row>
    <row r="394" spans="1:66" x14ac:dyDescent="0.25">
      <c r="A394" s="159" t="s">
        <v>1043</v>
      </c>
      <c r="B394" s="182" t="str">
        <f>VLOOKUP(A394,kurspris!$A$1:$B$894,2,FALSE)</f>
        <v>Examensarbete</v>
      </c>
      <c r="C394" s="37"/>
      <c r="D394" s="31" t="s">
        <v>483</v>
      </c>
      <c r="F394" s="59">
        <v>2019</v>
      </c>
      <c r="Q394" s="237">
        <v>7.125</v>
      </c>
      <c r="R394" s="40">
        <v>0.85</v>
      </c>
      <c r="S394" s="313">
        <f t="shared" si="240"/>
        <v>6.0562499999999995</v>
      </c>
      <c r="T394" s="31">
        <f>VLOOKUP(A394,'Ansvar kurs'!$A$1:$C$1027,2,FALSE)</f>
        <v>2340</v>
      </c>
      <c r="U394" s="31" t="str">
        <f>VLOOKUP(T394,Orgenheter!$A$1:$C$165,2,FALSE)</f>
        <v xml:space="preserve">Statsvetenskap                </v>
      </c>
      <c r="V394" s="31" t="str">
        <f>VLOOKUP(T394,Orgenheter!$A$1:$C$165,3,FALSE)</f>
        <v>Sam</v>
      </c>
      <c r="W394" s="37" t="str">
        <f>VLOOKUP(D394,Program!$A$1:$B$34,2,FALSE)</f>
        <v>Ämneslärarprogrammet - Gy</v>
      </c>
      <c r="X394" s="42">
        <f>VLOOKUP(A394,kurspris!$A$1:$Q$815,15,FALSE)</f>
        <v>18405</v>
      </c>
      <c r="Y394" s="42">
        <f>VLOOKUP(A394,kurspris!$A$1:$Q$815,16,FALSE)</f>
        <v>15773</v>
      </c>
      <c r="Z394" s="42">
        <f t="shared" si="241"/>
        <v>226660.85625000001</v>
      </c>
      <c r="AA394" s="42">
        <f>VLOOKUP(A394,kurspris!$A$1:$Q$815,17,FALSE)</f>
        <v>5800</v>
      </c>
      <c r="AB394" s="42">
        <f t="shared" si="242"/>
        <v>41325</v>
      </c>
      <c r="AC394" s="42">
        <f t="shared" si="243"/>
        <v>267985.85625000001</v>
      </c>
      <c r="AD394" s="31">
        <f>VLOOKUP($A394,kurspris!$A$1:$Q$852,3,FALSE)</f>
        <v>0</v>
      </c>
      <c r="AE394" s="31">
        <f>VLOOKUP($A394,kurspris!$A$1:$Q$852,4,FALSE)</f>
        <v>0</v>
      </c>
      <c r="AF394" s="31">
        <f>VLOOKUP($A394,kurspris!$A$1:$Q$852,5,FALSE)</f>
        <v>0</v>
      </c>
      <c r="AG394" s="31">
        <f>VLOOKUP($A394,kurspris!$A$1:$Q$852,6,FALSE)</f>
        <v>0</v>
      </c>
      <c r="AH394" s="31">
        <f>VLOOKUP($A394,kurspris!$A$1:$Q$852,7,FALSE)</f>
        <v>0</v>
      </c>
      <c r="AI394" s="31">
        <f>VLOOKUP($A394,kurspris!$A$1:$Q$852,8,FALSE)</f>
        <v>0</v>
      </c>
      <c r="AJ394" s="31">
        <f>VLOOKUP($A394,kurspris!$A$1:$Q$852,9,FALSE)</f>
        <v>1</v>
      </c>
      <c r="AK394" s="31">
        <f>VLOOKUP($A394,kurspris!$A$1:$Q$852,10,FALSE)</f>
        <v>0</v>
      </c>
      <c r="AL394" s="31">
        <f>VLOOKUP($A394,kurspris!$A$1:$Q$852,11,FALSE)</f>
        <v>0</v>
      </c>
      <c r="AM394" s="31">
        <f>VLOOKUP($A394,kurspris!$A$1:$Q$852,12,FALSE)</f>
        <v>0</v>
      </c>
      <c r="AN394" s="31">
        <f>VLOOKUP($A394,kurspris!$A$1:$Q$852,13,FALSE)</f>
        <v>0</v>
      </c>
      <c r="AO394" s="31">
        <f>VLOOKUP($A394,kurspris!$A$1:$Q$852,14,FALSE)</f>
        <v>0</v>
      </c>
      <c r="AP394" s="59" t="s">
        <v>2216</v>
      </c>
      <c r="AR394" s="31">
        <f t="shared" si="244"/>
        <v>0</v>
      </c>
      <c r="AS394" s="237">
        <f t="shared" si="245"/>
        <v>0</v>
      </c>
      <c r="AT394" s="31">
        <f t="shared" si="246"/>
        <v>0</v>
      </c>
      <c r="AU394" s="237">
        <f t="shared" si="247"/>
        <v>0</v>
      </c>
      <c r="AV394" s="31">
        <f t="shared" si="248"/>
        <v>0</v>
      </c>
      <c r="AW394" s="31">
        <f t="shared" si="249"/>
        <v>0</v>
      </c>
      <c r="AX394" s="31">
        <f t="shared" si="250"/>
        <v>0</v>
      </c>
      <c r="AY394" s="237">
        <f t="shared" si="251"/>
        <v>0</v>
      </c>
      <c r="AZ394" s="214">
        <f t="shared" si="252"/>
        <v>0</v>
      </c>
      <c r="BA394" s="237">
        <f t="shared" si="253"/>
        <v>0</v>
      </c>
      <c r="BB394" s="31">
        <f t="shared" si="254"/>
        <v>0</v>
      </c>
      <c r="BC394" s="237">
        <f t="shared" si="255"/>
        <v>0</v>
      </c>
      <c r="BD394" s="31">
        <f t="shared" si="256"/>
        <v>7.125</v>
      </c>
      <c r="BE394" s="237">
        <f t="shared" si="257"/>
        <v>6.0562499999999995</v>
      </c>
      <c r="BF394" s="31">
        <f t="shared" si="258"/>
        <v>0</v>
      </c>
      <c r="BG394" s="237">
        <f t="shared" si="259"/>
        <v>0</v>
      </c>
      <c r="BH394" s="31">
        <f t="shared" si="260"/>
        <v>0</v>
      </c>
      <c r="BI394" s="237">
        <f t="shared" si="261"/>
        <v>0</v>
      </c>
      <c r="BJ394" s="31">
        <f t="shared" si="262"/>
        <v>0</v>
      </c>
      <c r="BK394" s="31">
        <f t="shared" si="263"/>
        <v>0</v>
      </c>
      <c r="BL394" s="237">
        <f t="shared" si="264"/>
        <v>0</v>
      </c>
      <c r="BM394" s="31">
        <f t="shared" si="265"/>
        <v>0</v>
      </c>
      <c r="BN394" s="237">
        <f t="shared" si="266"/>
        <v>0</v>
      </c>
    </row>
    <row r="395" spans="1:66" x14ac:dyDescent="0.25">
      <c r="A395" s="59" t="s">
        <v>1044</v>
      </c>
      <c r="B395" s="182" t="str">
        <f>VLOOKUP(A395,kurspris!$A$1:$B$894,2,FALSE)</f>
        <v>Profession och vetenskap</v>
      </c>
      <c r="C395" s="37"/>
      <c r="D395" s="59" t="s">
        <v>482</v>
      </c>
      <c r="E395" s="62"/>
      <c r="F395" s="59">
        <v>2019</v>
      </c>
      <c r="M395" s="388"/>
      <c r="N395" s="40"/>
      <c r="P395" s="387"/>
      <c r="Q395" s="237">
        <v>0.625</v>
      </c>
      <c r="R395" s="40">
        <v>0.85</v>
      </c>
      <c r="S395" s="313">
        <f t="shared" si="240"/>
        <v>0.53125</v>
      </c>
      <c r="T395" s="31">
        <f>VLOOKUP(A395,'Ansvar kurs'!$A$1:$C$1027,2,FALSE)</f>
        <v>2340</v>
      </c>
      <c r="U395" s="31" t="str">
        <f>VLOOKUP(T395,Orgenheter!$A$1:$C$165,2,FALSE)</f>
        <v xml:space="preserve">Statsvetenskap                </v>
      </c>
      <c r="V395" s="31" t="str">
        <f>VLOOKUP(T395,Orgenheter!$A$1:$C$165,3,FALSE)</f>
        <v>Sam</v>
      </c>
      <c r="W395" s="37" t="str">
        <f>VLOOKUP(D395,Program!$A$1:$B$34,2,FALSE)</f>
        <v>Ämneslärarprogrammet - åk 7-9</v>
      </c>
      <c r="X395" s="42">
        <f>VLOOKUP(A395,kurspris!$A$1:$Q$815,15,FALSE)</f>
        <v>23641</v>
      </c>
      <c r="Y395" s="42">
        <f>VLOOKUP(A395,kurspris!$A$1:$Q$815,16,FALSE)</f>
        <v>28786</v>
      </c>
      <c r="Z395" s="42">
        <f t="shared" si="241"/>
        <v>30068.1875</v>
      </c>
      <c r="AA395" s="42">
        <f>VLOOKUP(A395,kurspris!$A$1:$Q$815,17,FALSE)</f>
        <v>5800</v>
      </c>
      <c r="AB395" s="42">
        <f t="shared" si="242"/>
        <v>3625</v>
      </c>
      <c r="AC395" s="42">
        <f t="shared" si="243"/>
        <v>33693.1875</v>
      </c>
      <c r="AD395" s="31">
        <f>VLOOKUP($A395,kurspris!$A$1:$Q$852,3,FALSE)</f>
        <v>0</v>
      </c>
      <c r="AE395" s="31">
        <f>VLOOKUP($A395,kurspris!$A$1:$Q$852,4,FALSE)</f>
        <v>0</v>
      </c>
      <c r="AF395" s="31">
        <f>VLOOKUP($A395,kurspris!$A$1:$Q$852,5,FALSE)</f>
        <v>0</v>
      </c>
      <c r="AG395" s="31">
        <f>VLOOKUP($A395,kurspris!$A$1:$Q$852,6,FALSE)</f>
        <v>1</v>
      </c>
      <c r="AH395" s="31">
        <f>VLOOKUP($A395,kurspris!$A$1:$Q$852,7,FALSE)</f>
        <v>0</v>
      </c>
      <c r="AI395" s="31">
        <f>VLOOKUP($A395,kurspris!$A$1:$Q$852,8,FALSE)</f>
        <v>0</v>
      </c>
      <c r="AJ395" s="31">
        <f>VLOOKUP($A395,kurspris!$A$1:$Q$852,9,FALSE)</f>
        <v>0</v>
      </c>
      <c r="AK395" s="31">
        <f>VLOOKUP($A395,kurspris!$A$1:$Q$852,10,FALSE)</f>
        <v>0</v>
      </c>
      <c r="AL395" s="31">
        <f>VLOOKUP($A395,kurspris!$A$1:$Q$852,11,FALSE)</f>
        <v>0</v>
      </c>
      <c r="AM395" s="31">
        <f>VLOOKUP($A395,kurspris!$A$1:$Q$852,12,FALSE)</f>
        <v>0</v>
      </c>
      <c r="AN395" s="31">
        <f>VLOOKUP($A395,kurspris!$A$1:$Q$852,13,FALSE)</f>
        <v>0</v>
      </c>
      <c r="AO395" s="31">
        <f>VLOOKUP($A395,kurspris!$A$1:$Q$852,14,FALSE)</f>
        <v>0</v>
      </c>
      <c r="AP395" s="59" t="s">
        <v>2216</v>
      </c>
      <c r="AR395" s="31">
        <f t="shared" si="244"/>
        <v>0</v>
      </c>
      <c r="AS395" s="237">
        <f t="shared" si="245"/>
        <v>0</v>
      </c>
      <c r="AT395" s="31">
        <f t="shared" si="246"/>
        <v>0</v>
      </c>
      <c r="AU395" s="237">
        <f t="shared" si="247"/>
        <v>0</v>
      </c>
      <c r="AV395" s="31">
        <f t="shared" si="248"/>
        <v>0</v>
      </c>
      <c r="AW395" s="31">
        <f t="shared" si="249"/>
        <v>0</v>
      </c>
      <c r="AX395" s="31">
        <f t="shared" si="250"/>
        <v>0.625</v>
      </c>
      <c r="AY395" s="237">
        <f t="shared" si="251"/>
        <v>0.53125</v>
      </c>
      <c r="AZ395" s="214">
        <f t="shared" si="252"/>
        <v>0</v>
      </c>
      <c r="BA395" s="237">
        <f t="shared" si="253"/>
        <v>0</v>
      </c>
      <c r="BB395" s="31">
        <f t="shared" si="254"/>
        <v>0</v>
      </c>
      <c r="BC395" s="237">
        <f t="shared" si="255"/>
        <v>0</v>
      </c>
      <c r="BD395" s="31">
        <f t="shared" si="256"/>
        <v>0</v>
      </c>
      <c r="BE395" s="237">
        <f t="shared" si="257"/>
        <v>0</v>
      </c>
      <c r="BF395" s="31">
        <f t="shared" si="258"/>
        <v>0</v>
      </c>
      <c r="BG395" s="237">
        <f t="shared" si="259"/>
        <v>0</v>
      </c>
      <c r="BH395" s="31">
        <f t="shared" si="260"/>
        <v>0</v>
      </c>
      <c r="BI395" s="237">
        <f t="shared" si="261"/>
        <v>0</v>
      </c>
      <c r="BJ395" s="31">
        <f t="shared" si="262"/>
        <v>0</v>
      </c>
      <c r="BK395" s="31">
        <f t="shared" si="263"/>
        <v>0</v>
      </c>
      <c r="BL395" s="237">
        <f t="shared" si="264"/>
        <v>0</v>
      </c>
      <c r="BM395" s="31">
        <f t="shared" si="265"/>
        <v>0</v>
      </c>
      <c r="BN395" s="237">
        <f t="shared" si="266"/>
        <v>0</v>
      </c>
    </row>
    <row r="396" spans="1:66" x14ac:dyDescent="0.25">
      <c r="A396" s="159" t="s">
        <v>1044</v>
      </c>
      <c r="B396" s="182" t="str">
        <f>VLOOKUP(A396,kurspris!$A$1:$B$894,2,FALSE)</f>
        <v>Profession och vetenskap</v>
      </c>
      <c r="C396" s="37"/>
      <c r="D396" s="31" t="s">
        <v>483</v>
      </c>
      <c r="F396" s="59">
        <v>2019</v>
      </c>
      <c r="N396" s="40"/>
      <c r="P396" s="387"/>
      <c r="Q396" s="237">
        <v>7.875</v>
      </c>
      <c r="R396" s="40">
        <v>0.85</v>
      </c>
      <c r="S396" s="313">
        <f t="shared" si="240"/>
        <v>6.6937499999999996</v>
      </c>
      <c r="T396" s="31">
        <f>VLOOKUP(A396,'Ansvar kurs'!$A$1:$C$1027,2,FALSE)</f>
        <v>2340</v>
      </c>
      <c r="U396" s="31" t="str">
        <f>VLOOKUP(T396,Orgenheter!$A$1:$C$165,2,FALSE)</f>
        <v xml:space="preserve">Statsvetenskap                </v>
      </c>
      <c r="V396" s="31" t="str">
        <f>VLOOKUP(T396,Orgenheter!$A$1:$C$165,3,FALSE)</f>
        <v>Sam</v>
      </c>
      <c r="W396" s="37" t="str">
        <f>VLOOKUP(D396,Program!$A$1:$B$34,2,FALSE)</f>
        <v>Ämneslärarprogrammet - Gy</v>
      </c>
      <c r="X396" s="42">
        <f>VLOOKUP(A396,kurspris!$A$1:$Q$815,15,FALSE)</f>
        <v>23641</v>
      </c>
      <c r="Y396" s="42">
        <f>VLOOKUP(A396,kurspris!$A$1:$Q$815,16,FALSE)</f>
        <v>28786</v>
      </c>
      <c r="Z396" s="42">
        <f t="shared" si="241"/>
        <v>378859.16249999998</v>
      </c>
      <c r="AA396" s="42">
        <f>VLOOKUP(A396,kurspris!$A$1:$Q$815,17,FALSE)</f>
        <v>5800</v>
      </c>
      <c r="AB396" s="42">
        <f t="shared" si="242"/>
        <v>45675</v>
      </c>
      <c r="AC396" s="42">
        <f t="shared" si="243"/>
        <v>424534.16249999998</v>
      </c>
      <c r="AD396" s="31">
        <f>VLOOKUP($A396,kurspris!$A$1:$Q$852,3,FALSE)</f>
        <v>0</v>
      </c>
      <c r="AE396" s="31">
        <f>VLOOKUP($A396,kurspris!$A$1:$Q$852,4,FALSE)</f>
        <v>0</v>
      </c>
      <c r="AF396" s="31">
        <f>VLOOKUP($A396,kurspris!$A$1:$Q$852,5,FALSE)</f>
        <v>0</v>
      </c>
      <c r="AG396" s="31">
        <f>VLOOKUP($A396,kurspris!$A$1:$Q$852,6,FALSE)</f>
        <v>1</v>
      </c>
      <c r="AH396" s="31">
        <f>VLOOKUP($A396,kurspris!$A$1:$Q$852,7,FALSE)</f>
        <v>0</v>
      </c>
      <c r="AI396" s="31">
        <f>VLOOKUP($A396,kurspris!$A$1:$Q$852,8,FALSE)</f>
        <v>0</v>
      </c>
      <c r="AJ396" s="31">
        <f>VLOOKUP($A396,kurspris!$A$1:$Q$852,9,FALSE)</f>
        <v>0</v>
      </c>
      <c r="AK396" s="31">
        <f>VLOOKUP($A396,kurspris!$A$1:$Q$852,10,FALSE)</f>
        <v>0</v>
      </c>
      <c r="AL396" s="31">
        <f>VLOOKUP($A396,kurspris!$A$1:$Q$852,11,FALSE)</f>
        <v>0</v>
      </c>
      <c r="AM396" s="31">
        <f>VLOOKUP($A396,kurspris!$A$1:$Q$852,12,FALSE)</f>
        <v>0</v>
      </c>
      <c r="AN396" s="31">
        <f>VLOOKUP($A396,kurspris!$A$1:$Q$852,13,FALSE)</f>
        <v>0</v>
      </c>
      <c r="AO396" s="31">
        <f>VLOOKUP($A396,kurspris!$A$1:$Q$852,14,FALSE)</f>
        <v>0</v>
      </c>
      <c r="AP396" s="59" t="s">
        <v>2216</v>
      </c>
      <c r="AR396" s="31">
        <f t="shared" si="244"/>
        <v>0</v>
      </c>
      <c r="AS396" s="237">
        <f t="shared" si="245"/>
        <v>0</v>
      </c>
      <c r="AT396" s="31">
        <f t="shared" si="246"/>
        <v>0</v>
      </c>
      <c r="AU396" s="237">
        <f t="shared" si="247"/>
        <v>0</v>
      </c>
      <c r="AV396" s="31">
        <f t="shared" si="248"/>
        <v>0</v>
      </c>
      <c r="AW396" s="31">
        <f t="shared" si="249"/>
        <v>0</v>
      </c>
      <c r="AX396" s="31">
        <f t="shared" si="250"/>
        <v>7.875</v>
      </c>
      <c r="AY396" s="237">
        <f t="shared" si="251"/>
        <v>6.6937499999999996</v>
      </c>
      <c r="AZ396" s="214">
        <f t="shared" si="252"/>
        <v>0</v>
      </c>
      <c r="BA396" s="237">
        <f t="shared" si="253"/>
        <v>0</v>
      </c>
      <c r="BB396" s="31">
        <f t="shared" si="254"/>
        <v>0</v>
      </c>
      <c r="BC396" s="237">
        <f t="shared" si="255"/>
        <v>0</v>
      </c>
      <c r="BD396" s="31">
        <f t="shared" si="256"/>
        <v>0</v>
      </c>
      <c r="BE396" s="237">
        <f t="shared" si="257"/>
        <v>0</v>
      </c>
      <c r="BF396" s="31">
        <f t="shared" si="258"/>
        <v>0</v>
      </c>
      <c r="BG396" s="237">
        <f t="shared" si="259"/>
        <v>0</v>
      </c>
      <c r="BH396" s="31">
        <f t="shared" si="260"/>
        <v>0</v>
      </c>
      <c r="BI396" s="237">
        <f t="shared" si="261"/>
        <v>0</v>
      </c>
      <c r="BJ396" s="31">
        <f t="shared" si="262"/>
        <v>0</v>
      </c>
      <c r="BK396" s="31">
        <f t="shared" si="263"/>
        <v>0</v>
      </c>
      <c r="BL396" s="237">
        <f t="shared" si="264"/>
        <v>0</v>
      </c>
      <c r="BM396" s="31">
        <f t="shared" si="265"/>
        <v>0</v>
      </c>
      <c r="BN396" s="237">
        <f t="shared" si="266"/>
        <v>0</v>
      </c>
    </row>
    <row r="397" spans="1:66" x14ac:dyDescent="0.25">
      <c r="A397" s="59" t="s">
        <v>1044</v>
      </c>
      <c r="B397" s="182" t="str">
        <f>VLOOKUP(A397,kurspris!$A$1:$B$894,2,FALSE)</f>
        <v>Profession och vetenskap</v>
      </c>
      <c r="C397" s="37"/>
      <c r="D397" s="59" t="s">
        <v>117</v>
      </c>
      <c r="E397" s="62"/>
      <c r="F397" s="59">
        <v>2019</v>
      </c>
      <c r="M397" s="386"/>
      <c r="N397" s="40"/>
      <c r="P397" s="387"/>
      <c r="Q397" s="237">
        <v>0.125</v>
      </c>
      <c r="R397" s="40">
        <v>0.8</v>
      </c>
      <c r="S397" s="313">
        <f t="shared" si="240"/>
        <v>0.1</v>
      </c>
      <c r="T397" s="31">
        <f>VLOOKUP(A397,'Ansvar kurs'!$A$1:$C$1027,2,FALSE)</f>
        <v>2340</v>
      </c>
      <c r="U397" s="31" t="str">
        <f>VLOOKUP(T397,Orgenheter!$A$1:$C$165,2,FALSE)</f>
        <v xml:space="preserve">Statsvetenskap                </v>
      </c>
      <c r="V397" s="31" t="str">
        <f>VLOOKUP(T397,Orgenheter!$A$1:$C$165,3,FALSE)</f>
        <v>Sam</v>
      </c>
      <c r="W397" s="37" t="str">
        <f>VLOOKUP(D397,Program!$A$1:$B$34,2,FALSE)</f>
        <v>Fristående och övriga kurser</v>
      </c>
      <c r="X397" s="42">
        <f>VLOOKUP(A397,kurspris!$A$1:$Q$815,15,FALSE)</f>
        <v>23641</v>
      </c>
      <c r="Y397" s="42">
        <f>VLOOKUP(A397,kurspris!$A$1:$Q$815,16,FALSE)</f>
        <v>28786</v>
      </c>
      <c r="Z397" s="42">
        <f t="shared" si="241"/>
        <v>5833.7250000000004</v>
      </c>
      <c r="AA397" s="42">
        <f>VLOOKUP(A397,kurspris!$A$1:$Q$815,17,FALSE)</f>
        <v>5800</v>
      </c>
      <c r="AB397" s="42">
        <f t="shared" si="242"/>
        <v>725</v>
      </c>
      <c r="AC397" s="42">
        <f t="shared" si="243"/>
        <v>6558.7250000000004</v>
      </c>
      <c r="AD397" s="31">
        <f>VLOOKUP($A397,kurspris!$A$1:$Q$852,3,FALSE)</f>
        <v>0</v>
      </c>
      <c r="AE397" s="31">
        <f>VLOOKUP($A397,kurspris!$A$1:$Q$852,4,FALSE)</f>
        <v>0</v>
      </c>
      <c r="AF397" s="31">
        <f>VLOOKUP($A397,kurspris!$A$1:$Q$852,5,FALSE)</f>
        <v>0</v>
      </c>
      <c r="AG397" s="31">
        <f>VLOOKUP($A397,kurspris!$A$1:$Q$852,6,FALSE)</f>
        <v>1</v>
      </c>
      <c r="AH397" s="31">
        <f>VLOOKUP($A397,kurspris!$A$1:$Q$852,7,FALSE)</f>
        <v>0</v>
      </c>
      <c r="AI397" s="31">
        <f>VLOOKUP($A397,kurspris!$A$1:$Q$852,8,FALSE)</f>
        <v>0</v>
      </c>
      <c r="AJ397" s="31">
        <f>VLOOKUP($A397,kurspris!$A$1:$Q$852,9,FALSE)</f>
        <v>0</v>
      </c>
      <c r="AK397" s="31">
        <f>VLOOKUP($A397,kurspris!$A$1:$Q$852,10,FALSE)</f>
        <v>0</v>
      </c>
      <c r="AL397" s="31">
        <f>VLOOKUP($A397,kurspris!$A$1:$Q$852,11,FALSE)</f>
        <v>0</v>
      </c>
      <c r="AM397" s="31">
        <f>VLOOKUP($A397,kurspris!$A$1:$Q$852,12,FALSE)</f>
        <v>0</v>
      </c>
      <c r="AN397" s="31">
        <f>VLOOKUP($A397,kurspris!$A$1:$Q$852,13,FALSE)</f>
        <v>0</v>
      </c>
      <c r="AO397" s="31">
        <f>VLOOKUP($A397,kurspris!$A$1:$Q$852,14,FALSE)</f>
        <v>0</v>
      </c>
      <c r="AP397" s="59" t="s">
        <v>2216</v>
      </c>
      <c r="AR397" s="31">
        <f t="shared" si="244"/>
        <v>0</v>
      </c>
      <c r="AS397" s="237">
        <f t="shared" si="245"/>
        <v>0</v>
      </c>
      <c r="AT397" s="31">
        <f t="shared" si="246"/>
        <v>0</v>
      </c>
      <c r="AU397" s="237">
        <f t="shared" si="247"/>
        <v>0</v>
      </c>
      <c r="AV397" s="31">
        <f t="shared" si="248"/>
        <v>0</v>
      </c>
      <c r="AW397" s="31">
        <f t="shared" si="249"/>
        <v>0</v>
      </c>
      <c r="AX397" s="31">
        <f t="shared" si="250"/>
        <v>0.125</v>
      </c>
      <c r="AY397" s="237">
        <f t="shared" si="251"/>
        <v>0.1</v>
      </c>
      <c r="AZ397" s="214">
        <f t="shared" si="252"/>
        <v>0</v>
      </c>
      <c r="BA397" s="237">
        <f t="shared" si="253"/>
        <v>0</v>
      </c>
      <c r="BB397" s="31">
        <f t="shared" si="254"/>
        <v>0</v>
      </c>
      <c r="BC397" s="237">
        <f t="shared" si="255"/>
        <v>0</v>
      </c>
      <c r="BD397" s="31">
        <f t="shared" si="256"/>
        <v>0</v>
      </c>
      <c r="BE397" s="237">
        <f t="shared" si="257"/>
        <v>0</v>
      </c>
      <c r="BF397" s="31">
        <f t="shared" si="258"/>
        <v>0</v>
      </c>
      <c r="BG397" s="237">
        <f t="shared" si="259"/>
        <v>0</v>
      </c>
      <c r="BH397" s="31">
        <f t="shared" si="260"/>
        <v>0</v>
      </c>
      <c r="BI397" s="237">
        <f t="shared" si="261"/>
        <v>0</v>
      </c>
      <c r="BJ397" s="31">
        <f t="shared" si="262"/>
        <v>0</v>
      </c>
      <c r="BK397" s="31">
        <f t="shared" si="263"/>
        <v>0</v>
      </c>
      <c r="BL397" s="237">
        <f t="shared" si="264"/>
        <v>0</v>
      </c>
      <c r="BM397" s="31">
        <f t="shared" si="265"/>
        <v>0</v>
      </c>
      <c r="BN397" s="237">
        <f t="shared" si="266"/>
        <v>0</v>
      </c>
    </row>
    <row r="398" spans="1:66" x14ac:dyDescent="0.25">
      <c r="A398" s="159" t="s">
        <v>569</v>
      </c>
      <c r="B398" s="182" t="str">
        <f>VLOOKUP(A398,kurspris!$A$1:$B$894,2,FALSE)</f>
        <v>Slöjd, Trä- och metall 2a, distans</v>
      </c>
      <c r="C398" s="37"/>
      <c r="D398" s="31" t="s">
        <v>117</v>
      </c>
      <c r="F398" s="59">
        <v>2019</v>
      </c>
      <c r="N398" s="40"/>
      <c r="P398" s="387"/>
      <c r="Q398" s="237">
        <v>3.5</v>
      </c>
      <c r="R398" s="40">
        <v>0.8</v>
      </c>
      <c r="S398" s="313">
        <f t="shared" si="240"/>
        <v>2.8000000000000003</v>
      </c>
      <c r="T398" s="31">
        <f>VLOOKUP(A398,'Ansvar kurs'!$A$1:$C$1027,2,FALSE)</f>
        <v>1650</v>
      </c>
      <c r="U398" s="31" t="str">
        <f>VLOOKUP(T398,Orgenheter!$A$1:$C$165,2,FALSE)</f>
        <v xml:space="preserve">Estetiska ämnen               </v>
      </c>
      <c r="V398" s="31" t="str">
        <f>VLOOKUP(T398,Orgenheter!$A$1:$C$165,3,FALSE)</f>
        <v>Hum</v>
      </c>
      <c r="W398" s="37" t="str">
        <f>VLOOKUP(D398,Program!$A$1:$B$34,2,FALSE)</f>
        <v>Fristående och övriga kurser</v>
      </c>
      <c r="X398" s="42">
        <f>VLOOKUP(A398,kurspris!$A$1:$Q$815,15,FALSE)</f>
        <v>19473</v>
      </c>
      <c r="Y398" s="42">
        <f>VLOOKUP(A398,kurspris!$A$1:$Q$815,16,FALSE)</f>
        <v>34806</v>
      </c>
      <c r="Z398" s="42">
        <f t="shared" si="241"/>
        <v>165612.29999999999</v>
      </c>
      <c r="AA398" s="42">
        <f>VLOOKUP(A398,kurspris!$A$1:$Q$815,17,FALSE)</f>
        <v>21800</v>
      </c>
      <c r="AB398" s="42">
        <f t="shared" si="242"/>
        <v>76300</v>
      </c>
      <c r="AC398" s="42">
        <f t="shared" si="243"/>
        <v>241912.3</v>
      </c>
      <c r="AD398" s="31">
        <f>VLOOKUP($A398,kurspris!$A$1:$Q$852,3,FALSE)</f>
        <v>0</v>
      </c>
      <c r="AE398" s="31">
        <f>VLOOKUP($A398,kurspris!$A$1:$Q$852,4,FALSE)</f>
        <v>0</v>
      </c>
      <c r="AF398" s="31">
        <f>VLOOKUP($A398,kurspris!$A$1:$Q$852,5,FALSE)</f>
        <v>0</v>
      </c>
      <c r="AG398" s="31">
        <f>VLOOKUP($A398,kurspris!$A$1:$Q$852,6,FALSE)</f>
        <v>0</v>
      </c>
      <c r="AH398" s="31">
        <f>VLOOKUP($A398,kurspris!$A$1:$Q$852,7,FALSE)</f>
        <v>0</v>
      </c>
      <c r="AI398" s="31">
        <f>VLOOKUP($A398,kurspris!$A$1:$Q$852,8,FALSE)</f>
        <v>0</v>
      </c>
      <c r="AJ398" s="31">
        <f>VLOOKUP($A398,kurspris!$A$1:$Q$852,9,FALSE)</f>
        <v>0</v>
      </c>
      <c r="AK398" s="31">
        <f>VLOOKUP($A398,kurspris!$A$1:$Q$852,10,FALSE)</f>
        <v>1</v>
      </c>
      <c r="AL398" s="31">
        <f>VLOOKUP($A398,kurspris!$A$1:$Q$852,11,FALSE)</f>
        <v>0</v>
      </c>
      <c r="AM398" s="31">
        <f>VLOOKUP($A398,kurspris!$A$1:$Q$852,12,FALSE)</f>
        <v>0</v>
      </c>
      <c r="AN398" s="31">
        <f>VLOOKUP($A398,kurspris!$A$1:$Q$852,13,FALSE)</f>
        <v>0</v>
      </c>
      <c r="AO398" s="31">
        <f>VLOOKUP($A398,kurspris!$A$1:$Q$852,14,FALSE)</f>
        <v>0</v>
      </c>
      <c r="AP398" s="59" t="s">
        <v>2216</v>
      </c>
      <c r="AR398" s="31">
        <f t="shared" si="244"/>
        <v>0</v>
      </c>
      <c r="AS398" s="237">
        <f t="shared" si="245"/>
        <v>0</v>
      </c>
      <c r="AT398" s="31">
        <f t="shared" si="246"/>
        <v>0</v>
      </c>
      <c r="AU398" s="237">
        <f t="shared" si="247"/>
        <v>0</v>
      </c>
      <c r="AV398" s="31">
        <f t="shared" si="248"/>
        <v>0</v>
      </c>
      <c r="AW398" s="31">
        <f t="shared" si="249"/>
        <v>0</v>
      </c>
      <c r="AX398" s="31">
        <f t="shared" si="250"/>
        <v>0</v>
      </c>
      <c r="AY398" s="237">
        <f t="shared" si="251"/>
        <v>0</v>
      </c>
      <c r="AZ398" s="214">
        <f t="shared" si="252"/>
        <v>0</v>
      </c>
      <c r="BA398" s="237">
        <f t="shared" si="253"/>
        <v>0</v>
      </c>
      <c r="BB398" s="31">
        <f t="shared" si="254"/>
        <v>0</v>
      </c>
      <c r="BC398" s="237">
        <f t="shared" si="255"/>
        <v>0</v>
      </c>
      <c r="BD398" s="31">
        <f t="shared" si="256"/>
        <v>0</v>
      </c>
      <c r="BE398" s="237">
        <f t="shared" si="257"/>
        <v>0</v>
      </c>
      <c r="BF398" s="31">
        <f t="shared" si="258"/>
        <v>3.5</v>
      </c>
      <c r="BG398" s="237">
        <f t="shared" si="259"/>
        <v>2.8000000000000003</v>
      </c>
      <c r="BH398" s="31">
        <f t="shared" si="260"/>
        <v>0</v>
      </c>
      <c r="BI398" s="237">
        <f t="shared" si="261"/>
        <v>0</v>
      </c>
      <c r="BJ398" s="31">
        <f t="shared" si="262"/>
        <v>0</v>
      </c>
      <c r="BK398" s="31">
        <f t="shared" si="263"/>
        <v>0</v>
      </c>
      <c r="BL398" s="237">
        <f t="shared" si="264"/>
        <v>0</v>
      </c>
      <c r="BM398" s="31">
        <f t="shared" si="265"/>
        <v>0</v>
      </c>
      <c r="BN398" s="237">
        <f t="shared" si="266"/>
        <v>0</v>
      </c>
    </row>
    <row r="399" spans="1:66" x14ac:dyDescent="0.25">
      <c r="A399" s="159" t="s">
        <v>647</v>
      </c>
      <c r="B399" s="182" t="str">
        <f>VLOOKUP(A399,kurspris!$A$1:$B$894,2,FALSE)</f>
        <v>Slöjd, Trä- och metall 2b, distans</v>
      </c>
      <c r="C399" s="37"/>
      <c r="D399" s="31" t="s">
        <v>117</v>
      </c>
      <c r="F399" s="59">
        <v>2019</v>
      </c>
      <c r="Q399" s="237">
        <v>2.75</v>
      </c>
      <c r="R399" s="40">
        <v>0.8</v>
      </c>
      <c r="S399" s="313">
        <f t="shared" si="240"/>
        <v>2.2000000000000002</v>
      </c>
      <c r="T399" s="31">
        <f>VLOOKUP(A399,'Ansvar kurs'!$A$1:$C$1027,2,FALSE)</f>
        <v>1650</v>
      </c>
      <c r="U399" s="31" t="str">
        <f>VLOOKUP(T399,Orgenheter!$A$1:$C$165,2,FALSE)</f>
        <v xml:space="preserve">Estetiska ämnen               </v>
      </c>
      <c r="V399" s="31" t="str">
        <f>VLOOKUP(T399,Orgenheter!$A$1:$C$165,3,FALSE)</f>
        <v>Hum</v>
      </c>
      <c r="W399" s="37" t="str">
        <f>VLOOKUP(D399,Program!$A$1:$B$34,2,FALSE)</f>
        <v>Fristående och övriga kurser</v>
      </c>
      <c r="X399" s="42">
        <f>VLOOKUP(A399,kurspris!$A$1:$Q$815,15,FALSE)</f>
        <v>19473</v>
      </c>
      <c r="Y399" s="42">
        <f>VLOOKUP(A399,kurspris!$A$1:$Q$815,16,FALSE)</f>
        <v>34806</v>
      </c>
      <c r="Z399" s="42">
        <f t="shared" si="241"/>
        <v>130123.95000000001</v>
      </c>
      <c r="AA399" s="42">
        <f>VLOOKUP(A399,kurspris!$A$1:$Q$815,17,FALSE)</f>
        <v>21800</v>
      </c>
      <c r="AB399" s="42">
        <f t="shared" si="242"/>
        <v>59950</v>
      </c>
      <c r="AC399" s="42">
        <f t="shared" si="243"/>
        <v>190073.95</v>
      </c>
      <c r="AD399" s="31">
        <f>VLOOKUP($A399,kurspris!$A$1:$Q$852,3,FALSE)</f>
        <v>0</v>
      </c>
      <c r="AE399" s="31">
        <f>VLOOKUP($A399,kurspris!$A$1:$Q$852,4,FALSE)</f>
        <v>0</v>
      </c>
      <c r="AF399" s="31">
        <f>VLOOKUP($A399,kurspris!$A$1:$Q$852,5,FALSE)</f>
        <v>0</v>
      </c>
      <c r="AG399" s="31">
        <f>VLOOKUP($A399,kurspris!$A$1:$Q$852,6,FALSE)</f>
        <v>0</v>
      </c>
      <c r="AH399" s="31">
        <f>VLOOKUP($A399,kurspris!$A$1:$Q$852,7,FALSE)</f>
        <v>0</v>
      </c>
      <c r="AI399" s="31">
        <f>VLOOKUP($A399,kurspris!$A$1:$Q$852,8,FALSE)</f>
        <v>0</v>
      </c>
      <c r="AJ399" s="31">
        <f>VLOOKUP($A399,kurspris!$A$1:$Q$852,9,FALSE)</f>
        <v>0</v>
      </c>
      <c r="AK399" s="31">
        <f>VLOOKUP($A399,kurspris!$A$1:$Q$852,10,FALSE)</f>
        <v>1</v>
      </c>
      <c r="AL399" s="31">
        <f>VLOOKUP($A399,kurspris!$A$1:$Q$852,11,FALSE)</f>
        <v>0</v>
      </c>
      <c r="AM399" s="31">
        <f>VLOOKUP($A399,kurspris!$A$1:$Q$852,12,FALSE)</f>
        <v>0</v>
      </c>
      <c r="AN399" s="31">
        <f>VLOOKUP($A399,kurspris!$A$1:$Q$852,13,FALSE)</f>
        <v>0</v>
      </c>
      <c r="AO399" s="31">
        <f>VLOOKUP($A399,kurspris!$A$1:$Q$852,14,FALSE)</f>
        <v>0</v>
      </c>
      <c r="AP399" s="59" t="s">
        <v>2216</v>
      </c>
      <c r="AR399" s="31">
        <f t="shared" si="244"/>
        <v>0</v>
      </c>
      <c r="AS399" s="237">
        <f t="shared" si="245"/>
        <v>0</v>
      </c>
      <c r="AT399" s="31">
        <f t="shared" si="246"/>
        <v>0</v>
      </c>
      <c r="AU399" s="237">
        <f t="shared" si="247"/>
        <v>0</v>
      </c>
      <c r="AV399" s="31">
        <f t="shared" si="248"/>
        <v>0</v>
      </c>
      <c r="AW399" s="31">
        <f t="shared" si="249"/>
        <v>0</v>
      </c>
      <c r="AX399" s="31">
        <f t="shared" si="250"/>
        <v>0</v>
      </c>
      <c r="AY399" s="237">
        <f t="shared" si="251"/>
        <v>0</v>
      </c>
      <c r="AZ399" s="214">
        <f t="shared" si="252"/>
        <v>0</v>
      </c>
      <c r="BA399" s="237">
        <f t="shared" si="253"/>
        <v>0</v>
      </c>
      <c r="BB399" s="31">
        <f t="shared" si="254"/>
        <v>0</v>
      </c>
      <c r="BC399" s="237">
        <f t="shared" si="255"/>
        <v>0</v>
      </c>
      <c r="BD399" s="31">
        <f t="shared" si="256"/>
        <v>0</v>
      </c>
      <c r="BE399" s="237">
        <f t="shared" si="257"/>
        <v>0</v>
      </c>
      <c r="BF399" s="31">
        <f t="shared" si="258"/>
        <v>2.75</v>
      </c>
      <c r="BG399" s="237">
        <f t="shared" si="259"/>
        <v>2.2000000000000002</v>
      </c>
      <c r="BH399" s="31">
        <f t="shared" si="260"/>
        <v>0</v>
      </c>
      <c r="BI399" s="237">
        <f t="shared" si="261"/>
        <v>0</v>
      </c>
      <c r="BJ399" s="31">
        <f t="shared" si="262"/>
        <v>0</v>
      </c>
      <c r="BK399" s="31">
        <f t="shared" si="263"/>
        <v>0</v>
      </c>
      <c r="BL399" s="237">
        <f t="shared" si="264"/>
        <v>0</v>
      </c>
      <c r="BM399" s="31">
        <f t="shared" si="265"/>
        <v>0</v>
      </c>
      <c r="BN399" s="237">
        <f t="shared" si="266"/>
        <v>0</v>
      </c>
    </row>
    <row r="400" spans="1:66" x14ac:dyDescent="0.25">
      <c r="A400" s="159" t="s">
        <v>1751</v>
      </c>
      <c r="B400" s="182" t="str">
        <f>VLOOKUP(A400,kurspris!$A$1:$B$894,2,FALSE)</f>
        <v>Slöjd 1, trä- och metall</v>
      </c>
      <c r="C400" s="37"/>
      <c r="D400" s="31" t="s">
        <v>117</v>
      </c>
      <c r="F400" s="59">
        <v>2019</v>
      </c>
      <c r="Q400" s="237">
        <v>11.25</v>
      </c>
      <c r="R400" s="40">
        <v>0.8</v>
      </c>
      <c r="S400" s="313">
        <f t="shared" si="240"/>
        <v>9</v>
      </c>
      <c r="T400" s="31">
        <f>VLOOKUP(A400,'Ansvar kurs'!$A$1:$C$1027,2,FALSE)</f>
        <v>1650</v>
      </c>
      <c r="U400" s="31" t="str">
        <f>VLOOKUP(T400,Orgenheter!$A$1:$C$165,2,FALSE)</f>
        <v xml:space="preserve">Estetiska ämnen               </v>
      </c>
      <c r="V400" s="31" t="str">
        <f>VLOOKUP(T400,Orgenheter!$A$1:$C$165,3,FALSE)</f>
        <v>Hum</v>
      </c>
      <c r="W400" s="37" t="str">
        <f>VLOOKUP(D400,Program!$A$1:$B$34,2,FALSE)</f>
        <v>Fristående och övriga kurser</v>
      </c>
      <c r="X400" s="42">
        <f>VLOOKUP(A400,kurspris!$A$1:$Q$815,15,FALSE)</f>
        <v>19473</v>
      </c>
      <c r="Y400" s="42">
        <f>VLOOKUP(A400,kurspris!$A$1:$Q$815,16,FALSE)</f>
        <v>34806</v>
      </c>
      <c r="Z400" s="42">
        <f t="shared" si="241"/>
        <v>532325.25</v>
      </c>
      <c r="AA400" s="42">
        <f>VLOOKUP(A400,kurspris!$A$1:$Q$815,17,FALSE)</f>
        <v>21800</v>
      </c>
      <c r="AB400" s="42">
        <f t="shared" si="242"/>
        <v>245250</v>
      </c>
      <c r="AC400" s="42">
        <f t="shared" si="243"/>
        <v>777575.25</v>
      </c>
      <c r="AD400" s="31">
        <f>VLOOKUP($A400,kurspris!$A$1:$Q$852,3,FALSE)</f>
        <v>0</v>
      </c>
      <c r="AE400" s="31">
        <f>VLOOKUP($A400,kurspris!$A$1:$Q$852,4,FALSE)</f>
        <v>0</v>
      </c>
      <c r="AF400" s="31">
        <f>VLOOKUP($A400,kurspris!$A$1:$Q$852,5,FALSE)</f>
        <v>0</v>
      </c>
      <c r="AG400" s="31">
        <f>VLOOKUP($A400,kurspris!$A$1:$Q$852,6,FALSE)</f>
        <v>0</v>
      </c>
      <c r="AH400" s="31">
        <f>VLOOKUP($A400,kurspris!$A$1:$Q$852,7,FALSE)</f>
        <v>0</v>
      </c>
      <c r="AI400" s="31">
        <f>VLOOKUP($A400,kurspris!$A$1:$Q$852,8,FALSE)</f>
        <v>0</v>
      </c>
      <c r="AJ400" s="31">
        <f>VLOOKUP($A400,kurspris!$A$1:$Q$852,9,FALSE)</f>
        <v>0</v>
      </c>
      <c r="AK400" s="31">
        <f>VLOOKUP($A400,kurspris!$A$1:$Q$852,10,FALSE)</f>
        <v>1</v>
      </c>
      <c r="AL400" s="31">
        <f>VLOOKUP($A400,kurspris!$A$1:$Q$852,11,FALSE)</f>
        <v>0</v>
      </c>
      <c r="AM400" s="31">
        <f>VLOOKUP($A400,kurspris!$A$1:$Q$852,12,FALSE)</f>
        <v>0</v>
      </c>
      <c r="AN400" s="31">
        <f>VLOOKUP($A400,kurspris!$A$1:$Q$852,13,FALSE)</f>
        <v>0</v>
      </c>
      <c r="AO400" s="31">
        <f>VLOOKUP($A400,kurspris!$A$1:$Q$852,14,FALSE)</f>
        <v>0</v>
      </c>
      <c r="AP400" s="59" t="s">
        <v>2216</v>
      </c>
      <c r="AR400" s="31">
        <f t="shared" si="244"/>
        <v>0</v>
      </c>
      <c r="AS400" s="237">
        <f t="shared" si="245"/>
        <v>0</v>
      </c>
      <c r="AT400" s="31">
        <f t="shared" si="246"/>
        <v>0</v>
      </c>
      <c r="AU400" s="237">
        <f t="shared" si="247"/>
        <v>0</v>
      </c>
      <c r="AV400" s="31">
        <f t="shared" si="248"/>
        <v>0</v>
      </c>
      <c r="AW400" s="31">
        <f t="shared" si="249"/>
        <v>0</v>
      </c>
      <c r="AX400" s="31">
        <f t="shared" si="250"/>
        <v>0</v>
      </c>
      <c r="AY400" s="237">
        <f t="shared" si="251"/>
        <v>0</v>
      </c>
      <c r="AZ400" s="214">
        <f t="shared" si="252"/>
        <v>0</v>
      </c>
      <c r="BA400" s="237">
        <f t="shared" si="253"/>
        <v>0</v>
      </c>
      <c r="BB400" s="31">
        <f t="shared" si="254"/>
        <v>0</v>
      </c>
      <c r="BC400" s="237">
        <f t="shared" si="255"/>
        <v>0</v>
      </c>
      <c r="BD400" s="31">
        <f t="shared" si="256"/>
        <v>0</v>
      </c>
      <c r="BE400" s="237">
        <f t="shared" si="257"/>
        <v>0</v>
      </c>
      <c r="BF400" s="31">
        <f t="shared" si="258"/>
        <v>11.25</v>
      </c>
      <c r="BG400" s="237">
        <f t="shared" si="259"/>
        <v>9</v>
      </c>
      <c r="BH400" s="31">
        <f t="shared" si="260"/>
        <v>0</v>
      </c>
      <c r="BI400" s="237">
        <f t="shared" si="261"/>
        <v>0</v>
      </c>
      <c r="BJ400" s="31">
        <f t="shared" si="262"/>
        <v>0</v>
      </c>
      <c r="BK400" s="31">
        <f t="shared" si="263"/>
        <v>0</v>
      </c>
      <c r="BL400" s="237">
        <f t="shared" si="264"/>
        <v>0</v>
      </c>
      <c r="BM400" s="31">
        <f t="shared" si="265"/>
        <v>0</v>
      </c>
      <c r="BN400" s="237">
        <f t="shared" si="266"/>
        <v>0</v>
      </c>
    </row>
    <row r="401" spans="1:66" x14ac:dyDescent="0.25">
      <c r="A401" s="159" t="s">
        <v>1619</v>
      </c>
      <c r="B401" s="182" t="str">
        <f>VLOOKUP(A401,kurspris!$A$1:$B$894,2,FALSE)</f>
        <v>Form, färg, estetik och uttryck - Utveckla ditt formspråk i trä</v>
      </c>
      <c r="C401" s="37"/>
      <c r="D401" s="31" t="s">
        <v>84</v>
      </c>
      <c r="F401" s="59">
        <v>2019</v>
      </c>
      <c r="Q401" s="237">
        <v>0.75</v>
      </c>
      <c r="R401" s="40">
        <v>0.85</v>
      </c>
      <c r="S401" s="313">
        <f t="shared" si="240"/>
        <v>0.63749999999999996</v>
      </c>
      <c r="T401" s="31">
        <f>VLOOKUP(A401,'Ansvar kurs'!$A$1:$C$1027,2,FALSE)</f>
        <v>1650</v>
      </c>
      <c r="U401" s="31" t="str">
        <f>VLOOKUP(T401,Orgenheter!$A$1:$C$165,2,FALSE)</f>
        <v xml:space="preserve">Estetiska ämnen               </v>
      </c>
      <c r="V401" s="31" t="str">
        <f>VLOOKUP(T401,Orgenheter!$A$1:$C$165,3,FALSE)</f>
        <v>Hum</v>
      </c>
      <c r="W401" s="37" t="str">
        <f>VLOOKUP(D401,Program!$A$1:$B$34,2,FALSE)</f>
        <v>VAL-projektet</v>
      </c>
      <c r="X401" s="42">
        <f>VLOOKUP(A401,kurspris!$A$1:$Q$815,15,FALSE)</f>
        <v>19473</v>
      </c>
      <c r="Y401" s="42">
        <f>VLOOKUP(A401,kurspris!$A$1:$Q$815,16,FALSE)</f>
        <v>34806</v>
      </c>
      <c r="Z401" s="42">
        <f t="shared" si="241"/>
        <v>36793.574999999997</v>
      </c>
      <c r="AA401" s="42">
        <f>VLOOKUP(A401,kurspris!$A$1:$Q$815,17,FALSE)</f>
        <v>21800</v>
      </c>
      <c r="AB401" s="42">
        <f t="shared" si="242"/>
        <v>16350</v>
      </c>
      <c r="AC401" s="42">
        <f t="shared" si="243"/>
        <v>53143.574999999997</v>
      </c>
      <c r="AD401" s="31">
        <f>VLOOKUP($A401,kurspris!$A$1:$Q$852,3,FALSE)</f>
        <v>0</v>
      </c>
      <c r="AE401" s="31">
        <f>VLOOKUP($A401,kurspris!$A$1:$Q$852,4,FALSE)</f>
        <v>0</v>
      </c>
      <c r="AF401" s="31">
        <f>VLOOKUP($A401,kurspris!$A$1:$Q$852,5,FALSE)</f>
        <v>0</v>
      </c>
      <c r="AG401" s="31">
        <f>VLOOKUP($A401,kurspris!$A$1:$Q$852,6,FALSE)</f>
        <v>0</v>
      </c>
      <c r="AH401" s="31">
        <f>VLOOKUP($A401,kurspris!$A$1:$Q$852,7,FALSE)</f>
        <v>0</v>
      </c>
      <c r="AI401" s="31">
        <f>VLOOKUP($A401,kurspris!$A$1:$Q$852,8,FALSE)</f>
        <v>0</v>
      </c>
      <c r="AJ401" s="31">
        <f>VLOOKUP($A401,kurspris!$A$1:$Q$852,9,FALSE)</f>
        <v>0</v>
      </c>
      <c r="AK401" s="31">
        <f>VLOOKUP($A401,kurspris!$A$1:$Q$852,10,FALSE)</f>
        <v>1</v>
      </c>
      <c r="AL401" s="31">
        <f>VLOOKUP($A401,kurspris!$A$1:$Q$852,11,FALSE)</f>
        <v>0</v>
      </c>
      <c r="AM401" s="31">
        <f>VLOOKUP($A401,kurspris!$A$1:$Q$852,12,FALSE)</f>
        <v>0</v>
      </c>
      <c r="AN401" s="31">
        <f>VLOOKUP($A401,kurspris!$A$1:$Q$852,13,FALSE)</f>
        <v>0</v>
      </c>
      <c r="AO401" s="31">
        <f>VLOOKUP($A401,kurspris!$A$1:$Q$852,14,FALSE)</f>
        <v>0</v>
      </c>
      <c r="AP401" s="59" t="s">
        <v>2216</v>
      </c>
      <c r="AR401" s="31">
        <f t="shared" si="244"/>
        <v>0</v>
      </c>
      <c r="AS401" s="237">
        <f t="shared" si="245"/>
        <v>0</v>
      </c>
      <c r="AT401" s="31">
        <f t="shared" si="246"/>
        <v>0</v>
      </c>
      <c r="AU401" s="237">
        <f t="shared" si="247"/>
        <v>0</v>
      </c>
      <c r="AV401" s="31">
        <f t="shared" si="248"/>
        <v>0</v>
      </c>
      <c r="AW401" s="31">
        <f t="shared" si="249"/>
        <v>0</v>
      </c>
      <c r="AX401" s="31">
        <f t="shared" si="250"/>
        <v>0</v>
      </c>
      <c r="AY401" s="237">
        <f t="shared" si="251"/>
        <v>0</v>
      </c>
      <c r="AZ401" s="214">
        <f t="shared" si="252"/>
        <v>0</v>
      </c>
      <c r="BA401" s="237">
        <f t="shared" si="253"/>
        <v>0</v>
      </c>
      <c r="BB401" s="31">
        <f t="shared" si="254"/>
        <v>0</v>
      </c>
      <c r="BC401" s="237">
        <f t="shared" si="255"/>
        <v>0</v>
      </c>
      <c r="BD401" s="31">
        <f t="shared" si="256"/>
        <v>0</v>
      </c>
      <c r="BE401" s="237">
        <f t="shared" si="257"/>
        <v>0</v>
      </c>
      <c r="BF401" s="31">
        <f t="shared" si="258"/>
        <v>0.75</v>
      </c>
      <c r="BG401" s="237">
        <f t="shared" si="259"/>
        <v>0.63749999999999996</v>
      </c>
      <c r="BH401" s="31">
        <f t="shared" si="260"/>
        <v>0</v>
      </c>
      <c r="BI401" s="237">
        <f t="shared" si="261"/>
        <v>0</v>
      </c>
      <c r="BJ401" s="31">
        <f t="shared" si="262"/>
        <v>0</v>
      </c>
      <c r="BK401" s="31">
        <f t="shared" si="263"/>
        <v>0</v>
      </c>
      <c r="BL401" s="237">
        <f t="shared" si="264"/>
        <v>0</v>
      </c>
      <c r="BM401" s="31">
        <f t="shared" si="265"/>
        <v>0</v>
      </c>
      <c r="BN401" s="237">
        <f t="shared" si="266"/>
        <v>0</v>
      </c>
    </row>
    <row r="402" spans="1:66" x14ac:dyDescent="0.25">
      <c r="A402" s="159" t="s">
        <v>1619</v>
      </c>
      <c r="B402" s="182" t="str">
        <f>VLOOKUP(A402,kurspris!$A$1:$B$894,2,FALSE)</f>
        <v>Form, färg, estetik och uttryck - Utveckla ditt formspråk i trä</v>
      </c>
      <c r="C402" s="37"/>
      <c r="D402" s="31" t="s">
        <v>117</v>
      </c>
      <c r="F402" s="59">
        <v>2019</v>
      </c>
      <c r="Q402" s="237">
        <v>2</v>
      </c>
      <c r="R402" s="40">
        <v>0.8</v>
      </c>
      <c r="S402" s="313">
        <f t="shared" si="240"/>
        <v>1.6</v>
      </c>
      <c r="T402" s="31">
        <f>VLOOKUP(A402,'Ansvar kurs'!$A$1:$C$1027,2,FALSE)</f>
        <v>1650</v>
      </c>
      <c r="U402" s="31" t="str">
        <f>VLOOKUP(T402,Orgenheter!$A$1:$C$165,2,FALSE)</f>
        <v xml:space="preserve">Estetiska ämnen               </v>
      </c>
      <c r="V402" s="31" t="str">
        <f>VLOOKUP(T402,Orgenheter!$A$1:$C$165,3,FALSE)</f>
        <v>Hum</v>
      </c>
      <c r="W402" s="37" t="str">
        <f>VLOOKUP(D402,Program!$A$1:$B$34,2,FALSE)</f>
        <v>Fristående och övriga kurser</v>
      </c>
      <c r="X402" s="42">
        <f>VLOOKUP(A402,kurspris!$A$1:$Q$815,15,FALSE)</f>
        <v>19473</v>
      </c>
      <c r="Y402" s="42">
        <f>VLOOKUP(A402,kurspris!$A$1:$Q$815,16,FALSE)</f>
        <v>34806</v>
      </c>
      <c r="Z402" s="42">
        <f t="shared" si="241"/>
        <v>94635.6</v>
      </c>
      <c r="AA402" s="42">
        <f>VLOOKUP(A402,kurspris!$A$1:$Q$815,17,FALSE)</f>
        <v>21800</v>
      </c>
      <c r="AB402" s="42">
        <f t="shared" si="242"/>
        <v>43600</v>
      </c>
      <c r="AC402" s="42">
        <f t="shared" si="243"/>
        <v>138235.6</v>
      </c>
      <c r="AD402" s="31">
        <f>VLOOKUP($A402,kurspris!$A$1:$Q$852,3,FALSE)</f>
        <v>0</v>
      </c>
      <c r="AE402" s="31">
        <f>VLOOKUP($A402,kurspris!$A$1:$Q$852,4,FALSE)</f>
        <v>0</v>
      </c>
      <c r="AF402" s="31">
        <f>VLOOKUP($A402,kurspris!$A$1:$Q$852,5,FALSE)</f>
        <v>0</v>
      </c>
      <c r="AG402" s="31">
        <f>VLOOKUP($A402,kurspris!$A$1:$Q$852,6,FALSE)</f>
        <v>0</v>
      </c>
      <c r="AH402" s="31">
        <f>VLOOKUP($A402,kurspris!$A$1:$Q$852,7,FALSE)</f>
        <v>0</v>
      </c>
      <c r="AI402" s="31">
        <f>VLOOKUP($A402,kurspris!$A$1:$Q$852,8,FALSE)</f>
        <v>0</v>
      </c>
      <c r="AJ402" s="31">
        <f>VLOOKUP($A402,kurspris!$A$1:$Q$852,9,FALSE)</f>
        <v>0</v>
      </c>
      <c r="AK402" s="31">
        <f>VLOOKUP($A402,kurspris!$A$1:$Q$852,10,FALSE)</f>
        <v>1</v>
      </c>
      <c r="AL402" s="31">
        <f>VLOOKUP($A402,kurspris!$A$1:$Q$852,11,FALSE)</f>
        <v>0</v>
      </c>
      <c r="AM402" s="31">
        <f>VLOOKUP($A402,kurspris!$A$1:$Q$852,12,FALSE)</f>
        <v>0</v>
      </c>
      <c r="AN402" s="31">
        <f>VLOOKUP($A402,kurspris!$A$1:$Q$852,13,FALSE)</f>
        <v>0</v>
      </c>
      <c r="AO402" s="31">
        <f>VLOOKUP($A402,kurspris!$A$1:$Q$852,14,FALSE)</f>
        <v>0</v>
      </c>
      <c r="AP402" s="59" t="s">
        <v>2216</v>
      </c>
      <c r="AR402" s="31">
        <f t="shared" si="244"/>
        <v>0</v>
      </c>
      <c r="AS402" s="237">
        <f t="shared" si="245"/>
        <v>0</v>
      </c>
      <c r="AT402" s="31">
        <f t="shared" si="246"/>
        <v>0</v>
      </c>
      <c r="AU402" s="237">
        <f t="shared" si="247"/>
        <v>0</v>
      </c>
      <c r="AV402" s="31">
        <f t="shared" si="248"/>
        <v>0</v>
      </c>
      <c r="AW402" s="31">
        <f t="shared" si="249"/>
        <v>0</v>
      </c>
      <c r="AX402" s="31">
        <f t="shared" si="250"/>
        <v>0</v>
      </c>
      <c r="AY402" s="237">
        <f t="shared" si="251"/>
        <v>0</v>
      </c>
      <c r="AZ402" s="214">
        <f t="shared" si="252"/>
        <v>0</v>
      </c>
      <c r="BA402" s="237">
        <f t="shared" si="253"/>
        <v>0</v>
      </c>
      <c r="BB402" s="31">
        <f t="shared" si="254"/>
        <v>0</v>
      </c>
      <c r="BC402" s="237">
        <f t="shared" si="255"/>
        <v>0</v>
      </c>
      <c r="BD402" s="31">
        <f t="shared" si="256"/>
        <v>0</v>
      </c>
      <c r="BE402" s="237">
        <f t="shared" si="257"/>
        <v>0</v>
      </c>
      <c r="BF402" s="31">
        <f t="shared" si="258"/>
        <v>2</v>
      </c>
      <c r="BG402" s="237">
        <f t="shared" si="259"/>
        <v>1.6</v>
      </c>
      <c r="BH402" s="31">
        <f t="shared" si="260"/>
        <v>0</v>
      </c>
      <c r="BI402" s="237">
        <f t="shared" si="261"/>
        <v>0</v>
      </c>
      <c r="BJ402" s="31">
        <f t="shared" si="262"/>
        <v>0</v>
      </c>
      <c r="BK402" s="31">
        <f t="shared" si="263"/>
        <v>0</v>
      </c>
      <c r="BL402" s="237">
        <f t="shared" si="264"/>
        <v>0</v>
      </c>
      <c r="BM402" s="31">
        <f t="shared" si="265"/>
        <v>0</v>
      </c>
      <c r="BN402" s="237">
        <f t="shared" si="266"/>
        <v>0</v>
      </c>
    </row>
    <row r="403" spans="1:66" x14ac:dyDescent="0.25">
      <c r="A403" s="159" t="s">
        <v>1616</v>
      </c>
      <c r="B403" s="182" t="str">
        <f>VLOOKUP(A403,kurspris!$A$1:$B$894,2,FALSE)</f>
        <v>Skapandets intryck - utveckla och tala om hantverkets tysta kunskap</v>
      </c>
      <c r="C403" s="37"/>
      <c r="D403" s="31" t="s">
        <v>117</v>
      </c>
      <c r="F403" s="59">
        <v>2019</v>
      </c>
      <c r="Q403" s="237">
        <v>1.75</v>
      </c>
      <c r="R403" s="40">
        <v>0.8</v>
      </c>
      <c r="S403" s="313">
        <f t="shared" si="240"/>
        <v>1.4000000000000001</v>
      </c>
      <c r="T403" s="31">
        <f>VLOOKUP(A403,'Ansvar kurs'!$A$1:$C$1027,2,FALSE)</f>
        <v>1650</v>
      </c>
      <c r="U403" s="31" t="str">
        <f>VLOOKUP(T403,Orgenheter!$A$1:$C$165,2,FALSE)</f>
        <v xml:space="preserve">Estetiska ämnen               </v>
      </c>
      <c r="V403" s="31" t="str">
        <f>VLOOKUP(T403,Orgenheter!$A$1:$C$165,3,FALSE)</f>
        <v>Hum</v>
      </c>
      <c r="W403" s="37" t="str">
        <f>VLOOKUP(D403,Program!$A$1:$B$34,2,FALSE)</f>
        <v>Fristående och övriga kurser</v>
      </c>
      <c r="X403" s="42">
        <f>VLOOKUP(A403,kurspris!$A$1:$Q$815,15,FALSE)</f>
        <v>19473</v>
      </c>
      <c r="Y403" s="42">
        <f>VLOOKUP(A403,kurspris!$A$1:$Q$815,16,FALSE)</f>
        <v>34806</v>
      </c>
      <c r="Z403" s="42">
        <f t="shared" si="241"/>
        <v>82806.149999999994</v>
      </c>
      <c r="AA403" s="42">
        <f>VLOOKUP(A403,kurspris!$A$1:$Q$815,17,FALSE)</f>
        <v>21800</v>
      </c>
      <c r="AB403" s="42">
        <f t="shared" si="242"/>
        <v>38150</v>
      </c>
      <c r="AC403" s="42">
        <f t="shared" si="243"/>
        <v>120956.15</v>
      </c>
      <c r="AD403" s="31">
        <f>VLOOKUP($A403,kurspris!$A$1:$Q$852,3,FALSE)</f>
        <v>0</v>
      </c>
      <c r="AE403" s="31">
        <f>VLOOKUP($A403,kurspris!$A$1:$Q$852,4,FALSE)</f>
        <v>0</v>
      </c>
      <c r="AF403" s="31">
        <f>VLOOKUP($A403,kurspris!$A$1:$Q$852,5,FALSE)</f>
        <v>0</v>
      </c>
      <c r="AG403" s="31">
        <f>VLOOKUP($A403,kurspris!$A$1:$Q$852,6,FALSE)</f>
        <v>0</v>
      </c>
      <c r="AH403" s="31">
        <f>VLOOKUP($A403,kurspris!$A$1:$Q$852,7,FALSE)</f>
        <v>0</v>
      </c>
      <c r="AI403" s="31">
        <f>VLOOKUP($A403,kurspris!$A$1:$Q$852,8,FALSE)</f>
        <v>0</v>
      </c>
      <c r="AJ403" s="31">
        <f>VLOOKUP($A403,kurspris!$A$1:$Q$852,9,FALSE)</f>
        <v>0</v>
      </c>
      <c r="AK403" s="31">
        <f>VLOOKUP($A403,kurspris!$A$1:$Q$852,10,FALSE)</f>
        <v>1</v>
      </c>
      <c r="AL403" s="31">
        <f>VLOOKUP($A403,kurspris!$A$1:$Q$852,11,FALSE)</f>
        <v>0</v>
      </c>
      <c r="AM403" s="31">
        <f>VLOOKUP($A403,kurspris!$A$1:$Q$852,12,FALSE)</f>
        <v>0</v>
      </c>
      <c r="AN403" s="31">
        <f>VLOOKUP($A403,kurspris!$A$1:$Q$852,13,FALSE)</f>
        <v>0</v>
      </c>
      <c r="AO403" s="31">
        <f>VLOOKUP($A403,kurspris!$A$1:$Q$852,14,FALSE)</f>
        <v>0</v>
      </c>
      <c r="AP403" s="59" t="s">
        <v>2216</v>
      </c>
      <c r="AR403" s="31">
        <f t="shared" si="244"/>
        <v>0</v>
      </c>
      <c r="AS403" s="237">
        <f t="shared" si="245"/>
        <v>0</v>
      </c>
      <c r="AT403" s="31">
        <f t="shared" si="246"/>
        <v>0</v>
      </c>
      <c r="AU403" s="237">
        <f t="shared" si="247"/>
        <v>0</v>
      </c>
      <c r="AV403" s="31">
        <f t="shared" si="248"/>
        <v>0</v>
      </c>
      <c r="AW403" s="31">
        <f t="shared" si="249"/>
        <v>0</v>
      </c>
      <c r="AX403" s="31">
        <f t="shared" si="250"/>
        <v>0</v>
      </c>
      <c r="AY403" s="237">
        <f t="shared" si="251"/>
        <v>0</v>
      </c>
      <c r="AZ403" s="214">
        <f t="shared" si="252"/>
        <v>0</v>
      </c>
      <c r="BA403" s="237">
        <f t="shared" si="253"/>
        <v>0</v>
      </c>
      <c r="BB403" s="31">
        <f t="shared" si="254"/>
        <v>0</v>
      </c>
      <c r="BC403" s="237">
        <f t="shared" si="255"/>
        <v>0</v>
      </c>
      <c r="BD403" s="31">
        <f t="shared" si="256"/>
        <v>0</v>
      </c>
      <c r="BE403" s="237">
        <f t="shared" si="257"/>
        <v>0</v>
      </c>
      <c r="BF403" s="31">
        <f t="shared" si="258"/>
        <v>1.75</v>
      </c>
      <c r="BG403" s="237">
        <f t="shared" si="259"/>
        <v>1.4000000000000001</v>
      </c>
      <c r="BH403" s="31">
        <f t="shared" si="260"/>
        <v>0</v>
      </c>
      <c r="BI403" s="237">
        <f t="shared" si="261"/>
        <v>0</v>
      </c>
      <c r="BJ403" s="31">
        <f t="shared" si="262"/>
        <v>0</v>
      </c>
      <c r="BK403" s="31">
        <f t="shared" si="263"/>
        <v>0</v>
      </c>
      <c r="BL403" s="237">
        <f t="shared" si="264"/>
        <v>0</v>
      </c>
      <c r="BM403" s="31">
        <f t="shared" si="265"/>
        <v>0</v>
      </c>
      <c r="BN403" s="237">
        <f t="shared" si="266"/>
        <v>0</v>
      </c>
    </row>
    <row r="404" spans="1:66" x14ac:dyDescent="0.25">
      <c r="A404" s="159" t="s">
        <v>1923</v>
      </c>
      <c r="B404" s="182" t="str">
        <f>VLOOKUP(A404,kurspris!$A$1:$B$894,2,FALSE)</f>
        <v>Introduktion till det specialpedagogiska fältet</v>
      </c>
      <c r="C404" s="37"/>
      <c r="D404" s="31" t="s">
        <v>120</v>
      </c>
      <c r="F404" s="59">
        <v>2019</v>
      </c>
      <c r="Q404" s="237">
        <v>4.625</v>
      </c>
      <c r="R404" s="40">
        <v>0.85</v>
      </c>
      <c r="S404" s="313">
        <f t="shared" si="240"/>
        <v>3.9312499999999999</v>
      </c>
      <c r="T404" s="31">
        <f>VLOOKUP(A404,'Ansvar kurs'!$A$1:$C$1027,2,FALSE)</f>
        <v>2180</v>
      </c>
      <c r="U404" s="31" t="str">
        <f>VLOOKUP(T404,Orgenheter!$A$1:$C$165,2,FALSE)</f>
        <v xml:space="preserve">Pedagogik                     </v>
      </c>
      <c r="V404" s="31" t="str">
        <f>VLOOKUP(T404,Orgenheter!$A$1:$C$165,3,FALSE)</f>
        <v>Sam</v>
      </c>
      <c r="W404" s="37" t="str">
        <f>VLOOKUP(D404,Program!$A$1:$B$34,2,FALSE)</f>
        <v>Specialpedagogprogrammet</v>
      </c>
      <c r="X404" s="42">
        <f>VLOOKUP(A404,kurspris!$A$1:$Q$815,15,FALSE)</f>
        <v>18405</v>
      </c>
      <c r="Y404" s="42">
        <f>VLOOKUP(A404,kurspris!$A$1:$Q$815,16,FALSE)</f>
        <v>15773</v>
      </c>
      <c r="Z404" s="42">
        <f t="shared" si="241"/>
        <v>147130.73125000001</v>
      </c>
      <c r="AA404" s="42">
        <f>VLOOKUP(A404,kurspris!$A$1:$Q$815,17,FALSE)</f>
        <v>5800</v>
      </c>
      <c r="AB404" s="42">
        <f t="shared" si="242"/>
        <v>26825</v>
      </c>
      <c r="AC404" s="42">
        <f t="shared" si="243"/>
        <v>173955.73125000001</v>
      </c>
      <c r="AD404" s="31">
        <f>VLOOKUP($A404,kurspris!$A$1:$Q$852,3,FALSE)</f>
        <v>0</v>
      </c>
      <c r="AE404" s="31">
        <f>VLOOKUP($A404,kurspris!$A$1:$Q$852,4,FALSE)</f>
        <v>0</v>
      </c>
      <c r="AF404" s="31">
        <f>VLOOKUP($A404,kurspris!$A$1:$Q$852,5,FALSE)</f>
        <v>0</v>
      </c>
      <c r="AG404" s="31">
        <f>VLOOKUP($A404,kurspris!$A$1:$Q$852,6,FALSE)</f>
        <v>0</v>
      </c>
      <c r="AH404" s="31">
        <f>VLOOKUP($A404,kurspris!$A$1:$Q$852,7,FALSE)</f>
        <v>0</v>
      </c>
      <c r="AI404" s="31">
        <f>VLOOKUP($A404,kurspris!$A$1:$Q$852,8,FALSE)</f>
        <v>0</v>
      </c>
      <c r="AJ404" s="31">
        <f>VLOOKUP($A404,kurspris!$A$1:$Q$852,9,FALSE)</f>
        <v>1</v>
      </c>
      <c r="AK404" s="31">
        <f>VLOOKUP($A404,kurspris!$A$1:$Q$852,10,FALSE)</f>
        <v>0</v>
      </c>
      <c r="AL404" s="31">
        <f>VLOOKUP($A404,kurspris!$A$1:$Q$852,11,FALSE)</f>
        <v>0</v>
      </c>
      <c r="AM404" s="31">
        <f>VLOOKUP($A404,kurspris!$A$1:$Q$852,12,FALSE)</f>
        <v>0</v>
      </c>
      <c r="AN404" s="31">
        <f>VLOOKUP($A404,kurspris!$A$1:$Q$852,13,FALSE)</f>
        <v>0</v>
      </c>
      <c r="AO404" s="31">
        <f>VLOOKUP($A404,kurspris!$A$1:$Q$852,14,FALSE)</f>
        <v>0</v>
      </c>
      <c r="AP404" s="59" t="s">
        <v>2216</v>
      </c>
      <c r="AR404" s="31">
        <f t="shared" si="244"/>
        <v>0</v>
      </c>
      <c r="AS404" s="237">
        <f t="shared" si="245"/>
        <v>0</v>
      </c>
      <c r="AT404" s="31">
        <f t="shared" si="246"/>
        <v>0</v>
      </c>
      <c r="AU404" s="237">
        <f t="shared" si="247"/>
        <v>0</v>
      </c>
      <c r="AV404" s="31">
        <f t="shared" si="248"/>
        <v>0</v>
      </c>
      <c r="AW404" s="31">
        <f t="shared" si="249"/>
        <v>0</v>
      </c>
      <c r="AX404" s="31">
        <f t="shared" si="250"/>
        <v>0</v>
      </c>
      <c r="AY404" s="237">
        <f t="shared" si="251"/>
        <v>0</v>
      </c>
      <c r="AZ404" s="214">
        <f t="shared" si="252"/>
        <v>0</v>
      </c>
      <c r="BA404" s="237">
        <f t="shared" si="253"/>
        <v>0</v>
      </c>
      <c r="BB404" s="31">
        <f t="shared" si="254"/>
        <v>0</v>
      </c>
      <c r="BC404" s="237">
        <f t="shared" si="255"/>
        <v>0</v>
      </c>
      <c r="BD404" s="31">
        <f t="shared" si="256"/>
        <v>4.625</v>
      </c>
      <c r="BE404" s="237">
        <f t="shared" si="257"/>
        <v>3.9312499999999999</v>
      </c>
      <c r="BF404" s="31">
        <f t="shared" si="258"/>
        <v>0</v>
      </c>
      <c r="BG404" s="237">
        <f t="shared" si="259"/>
        <v>0</v>
      </c>
      <c r="BH404" s="31">
        <f t="shared" si="260"/>
        <v>0</v>
      </c>
      <c r="BI404" s="237">
        <f t="shared" si="261"/>
        <v>0</v>
      </c>
      <c r="BJ404" s="31">
        <f t="shared" si="262"/>
        <v>0</v>
      </c>
      <c r="BK404" s="31">
        <f t="shared" si="263"/>
        <v>0</v>
      </c>
      <c r="BL404" s="237">
        <f t="shared" si="264"/>
        <v>0</v>
      </c>
      <c r="BM404" s="31">
        <f t="shared" si="265"/>
        <v>0</v>
      </c>
      <c r="BN404" s="237">
        <f t="shared" si="266"/>
        <v>0</v>
      </c>
    </row>
    <row r="405" spans="1:66" x14ac:dyDescent="0.25">
      <c r="A405" s="159" t="s">
        <v>1923</v>
      </c>
      <c r="B405" s="182" t="str">
        <f>VLOOKUP(A405,kurspris!$A$1:$B$894,2,FALSE)</f>
        <v>Introduktion till det specialpedagogiska fältet</v>
      </c>
      <c r="C405" s="37"/>
      <c r="D405" s="31" t="s">
        <v>115</v>
      </c>
      <c r="F405" s="59">
        <v>2019</v>
      </c>
      <c r="Q405" s="237">
        <v>6.125</v>
      </c>
      <c r="R405" s="40">
        <v>0.85</v>
      </c>
      <c r="S405" s="313">
        <f t="shared" si="240"/>
        <v>5.2062499999999998</v>
      </c>
      <c r="T405" s="31">
        <f>VLOOKUP(A405,'Ansvar kurs'!$A$1:$C$1027,2,FALSE)</f>
        <v>2180</v>
      </c>
      <c r="U405" s="31" t="str">
        <f>VLOOKUP(T405,Orgenheter!$A$1:$C$165,2,FALSE)</f>
        <v xml:space="preserve">Pedagogik                     </v>
      </c>
      <c r="V405" s="31" t="str">
        <f>VLOOKUP(T405,Orgenheter!$A$1:$C$165,3,FALSE)</f>
        <v>Sam</v>
      </c>
      <c r="W405" s="37" t="str">
        <f>VLOOKUP(D405,Program!$A$1:$B$34,2,FALSE)</f>
        <v>Speciallärarprogrammet</v>
      </c>
      <c r="X405" s="42">
        <f>VLOOKUP(A405,kurspris!$A$1:$Q$815,15,FALSE)</f>
        <v>18405</v>
      </c>
      <c r="Y405" s="42">
        <f>VLOOKUP(A405,kurspris!$A$1:$Q$815,16,FALSE)</f>
        <v>15773</v>
      </c>
      <c r="Z405" s="42">
        <f t="shared" si="241"/>
        <v>194848.80624999999</v>
      </c>
      <c r="AA405" s="42">
        <f>VLOOKUP(A405,kurspris!$A$1:$Q$815,17,FALSE)</f>
        <v>5800</v>
      </c>
      <c r="AB405" s="42">
        <f t="shared" si="242"/>
        <v>35525</v>
      </c>
      <c r="AC405" s="42">
        <f t="shared" si="243"/>
        <v>230373.80624999999</v>
      </c>
      <c r="AD405" s="31">
        <f>VLOOKUP($A405,kurspris!$A$1:$Q$852,3,FALSE)</f>
        <v>0</v>
      </c>
      <c r="AE405" s="31">
        <f>VLOOKUP($A405,kurspris!$A$1:$Q$852,4,FALSE)</f>
        <v>0</v>
      </c>
      <c r="AF405" s="31">
        <f>VLOOKUP($A405,kurspris!$A$1:$Q$852,5,FALSE)</f>
        <v>0</v>
      </c>
      <c r="AG405" s="31">
        <f>VLOOKUP($A405,kurspris!$A$1:$Q$852,6,FALSE)</f>
        <v>0</v>
      </c>
      <c r="AH405" s="31">
        <f>VLOOKUP($A405,kurspris!$A$1:$Q$852,7,FALSE)</f>
        <v>0</v>
      </c>
      <c r="AI405" s="31">
        <f>VLOOKUP($A405,kurspris!$A$1:$Q$852,8,FALSE)</f>
        <v>0</v>
      </c>
      <c r="AJ405" s="31">
        <f>VLOOKUP($A405,kurspris!$A$1:$Q$852,9,FALSE)</f>
        <v>1</v>
      </c>
      <c r="AK405" s="31">
        <f>VLOOKUP($A405,kurspris!$A$1:$Q$852,10,FALSE)</f>
        <v>0</v>
      </c>
      <c r="AL405" s="31">
        <f>VLOOKUP($A405,kurspris!$A$1:$Q$852,11,FALSE)</f>
        <v>0</v>
      </c>
      <c r="AM405" s="31">
        <f>VLOOKUP($A405,kurspris!$A$1:$Q$852,12,FALSE)</f>
        <v>0</v>
      </c>
      <c r="AN405" s="31">
        <f>VLOOKUP($A405,kurspris!$A$1:$Q$852,13,FALSE)</f>
        <v>0</v>
      </c>
      <c r="AO405" s="31">
        <f>VLOOKUP($A405,kurspris!$A$1:$Q$852,14,FALSE)</f>
        <v>0</v>
      </c>
      <c r="AP405" s="59" t="s">
        <v>2216</v>
      </c>
      <c r="AR405" s="31">
        <f t="shared" si="244"/>
        <v>0</v>
      </c>
      <c r="AS405" s="237">
        <f t="shared" si="245"/>
        <v>0</v>
      </c>
      <c r="AT405" s="31">
        <f t="shared" si="246"/>
        <v>0</v>
      </c>
      <c r="AU405" s="237">
        <f t="shared" si="247"/>
        <v>0</v>
      </c>
      <c r="AV405" s="31">
        <f t="shared" si="248"/>
        <v>0</v>
      </c>
      <c r="AW405" s="31">
        <f t="shared" si="249"/>
        <v>0</v>
      </c>
      <c r="AX405" s="31">
        <f t="shared" si="250"/>
        <v>0</v>
      </c>
      <c r="AY405" s="237">
        <f t="shared" si="251"/>
        <v>0</v>
      </c>
      <c r="AZ405" s="214">
        <f t="shared" si="252"/>
        <v>0</v>
      </c>
      <c r="BA405" s="237">
        <f t="shared" si="253"/>
        <v>0</v>
      </c>
      <c r="BB405" s="31">
        <f t="shared" si="254"/>
        <v>0</v>
      </c>
      <c r="BC405" s="237">
        <f t="shared" si="255"/>
        <v>0</v>
      </c>
      <c r="BD405" s="31">
        <f t="shared" si="256"/>
        <v>6.125</v>
      </c>
      <c r="BE405" s="237">
        <f t="shared" si="257"/>
        <v>5.2062499999999998</v>
      </c>
      <c r="BF405" s="31">
        <f t="shared" si="258"/>
        <v>0</v>
      </c>
      <c r="BG405" s="237">
        <f t="shared" si="259"/>
        <v>0</v>
      </c>
      <c r="BH405" s="31">
        <f t="shared" si="260"/>
        <v>0</v>
      </c>
      <c r="BI405" s="237">
        <f t="shared" si="261"/>
        <v>0</v>
      </c>
      <c r="BJ405" s="31">
        <f t="shared" si="262"/>
        <v>0</v>
      </c>
      <c r="BK405" s="31">
        <f t="shared" si="263"/>
        <v>0</v>
      </c>
      <c r="BL405" s="237">
        <f t="shared" si="264"/>
        <v>0</v>
      </c>
      <c r="BM405" s="31">
        <f t="shared" si="265"/>
        <v>0</v>
      </c>
      <c r="BN405" s="237">
        <f t="shared" si="266"/>
        <v>0</v>
      </c>
    </row>
    <row r="406" spans="1:66" x14ac:dyDescent="0.25">
      <c r="A406" s="159" t="s">
        <v>1926</v>
      </c>
      <c r="B406" s="182" t="str">
        <f>VLOOKUP(A406,kurspris!$A$1:$B$894,2,FALSE)</f>
        <v>Neuropsykiatriska svårigheter i olika lärmiljöer</v>
      </c>
      <c r="C406" s="37"/>
      <c r="D406" s="31" t="s">
        <v>120</v>
      </c>
      <c r="F406" s="59">
        <v>2019</v>
      </c>
      <c r="Q406" s="237">
        <v>4</v>
      </c>
      <c r="R406" s="40">
        <v>0.85</v>
      </c>
      <c r="S406" s="313">
        <f t="shared" si="240"/>
        <v>3.4</v>
      </c>
      <c r="T406" s="31">
        <f>VLOOKUP(A406,'Ansvar kurs'!$A$1:$C$1027,2,FALSE)</f>
        <v>2180</v>
      </c>
      <c r="U406" s="31" t="str">
        <f>VLOOKUP(T406,Orgenheter!$A$1:$C$165,2,FALSE)</f>
        <v xml:space="preserve">Pedagogik                     </v>
      </c>
      <c r="V406" s="31" t="str">
        <f>VLOOKUP(T406,Orgenheter!$A$1:$C$165,3,FALSE)</f>
        <v>Sam</v>
      </c>
      <c r="W406" s="37" t="str">
        <f>VLOOKUP(D406,Program!$A$1:$B$34,2,FALSE)</f>
        <v>Specialpedagogprogrammet</v>
      </c>
      <c r="X406" s="42">
        <f>VLOOKUP(A406,kurspris!$A$1:$Q$815,15,FALSE)</f>
        <v>18405</v>
      </c>
      <c r="Y406" s="42">
        <f>VLOOKUP(A406,kurspris!$A$1:$Q$815,16,FALSE)</f>
        <v>15773</v>
      </c>
      <c r="Z406" s="42">
        <f t="shared" si="241"/>
        <v>127248.2</v>
      </c>
      <c r="AA406" s="42">
        <f>VLOOKUP(A406,kurspris!$A$1:$Q$815,17,FALSE)</f>
        <v>5800</v>
      </c>
      <c r="AB406" s="42">
        <f t="shared" si="242"/>
        <v>23200</v>
      </c>
      <c r="AC406" s="42">
        <f t="shared" si="243"/>
        <v>150448.20000000001</v>
      </c>
      <c r="AD406" s="31">
        <f>VLOOKUP($A406,kurspris!$A$1:$Q$852,3,FALSE)</f>
        <v>0</v>
      </c>
      <c r="AE406" s="31">
        <f>VLOOKUP($A406,kurspris!$A$1:$Q$852,4,FALSE)</f>
        <v>0</v>
      </c>
      <c r="AF406" s="31">
        <f>VLOOKUP($A406,kurspris!$A$1:$Q$852,5,FALSE)</f>
        <v>0</v>
      </c>
      <c r="AG406" s="31">
        <f>VLOOKUP($A406,kurspris!$A$1:$Q$852,6,FALSE)</f>
        <v>0</v>
      </c>
      <c r="AH406" s="31">
        <f>VLOOKUP($A406,kurspris!$A$1:$Q$852,7,FALSE)</f>
        <v>0</v>
      </c>
      <c r="AI406" s="31">
        <f>VLOOKUP($A406,kurspris!$A$1:$Q$852,8,FALSE)</f>
        <v>0</v>
      </c>
      <c r="AJ406" s="31">
        <f>VLOOKUP($A406,kurspris!$A$1:$Q$852,9,FALSE)</f>
        <v>1</v>
      </c>
      <c r="AK406" s="31">
        <f>VLOOKUP($A406,kurspris!$A$1:$Q$852,10,FALSE)</f>
        <v>0</v>
      </c>
      <c r="AL406" s="31">
        <f>VLOOKUP($A406,kurspris!$A$1:$Q$852,11,FALSE)</f>
        <v>0</v>
      </c>
      <c r="AM406" s="31">
        <f>VLOOKUP($A406,kurspris!$A$1:$Q$852,12,FALSE)</f>
        <v>0</v>
      </c>
      <c r="AN406" s="31">
        <f>VLOOKUP($A406,kurspris!$A$1:$Q$852,13,FALSE)</f>
        <v>0</v>
      </c>
      <c r="AO406" s="31">
        <f>VLOOKUP($A406,kurspris!$A$1:$Q$852,14,FALSE)</f>
        <v>0</v>
      </c>
      <c r="AP406" s="59" t="s">
        <v>2216</v>
      </c>
      <c r="AR406" s="31">
        <f t="shared" si="244"/>
        <v>0</v>
      </c>
      <c r="AS406" s="237">
        <f t="shared" si="245"/>
        <v>0</v>
      </c>
      <c r="AT406" s="31">
        <f t="shared" si="246"/>
        <v>0</v>
      </c>
      <c r="AU406" s="237">
        <f t="shared" si="247"/>
        <v>0</v>
      </c>
      <c r="AV406" s="31">
        <f t="shared" si="248"/>
        <v>0</v>
      </c>
      <c r="AW406" s="31">
        <f t="shared" si="249"/>
        <v>0</v>
      </c>
      <c r="AX406" s="31">
        <f t="shared" si="250"/>
        <v>0</v>
      </c>
      <c r="AY406" s="237">
        <f t="shared" si="251"/>
        <v>0</v>
      </c>
      <c r="AZ406" s="214">
        <f t="shared" si="252"/>
        <v>0</v>
      </c>
      <c r="BA406" s="237">
        <f t="shared" si="253"/>
        <v>0</v>
      </c>
      <c r="BB406" s="31">
        <f t="shared" si="254"/>
        <v>0</v>
      </c>
      <c r="BC406" s="237">
        <f t="shared" si="255"/>
        <v>0</v>
      </c>
      <c r="BD406" s="31">
        <f t="shared" si="256"/>
        <v>4</v>
      </c>
      <c r="BE406" s="237">
        <f t="shared" si="257"/>
        <v>3.4</v>
      </c>
      <c r="BF406" s="31">
        <f t="shared" si="258"/>
        <v>0</v>
      </c>
      <c r="BG406" s="237">
        <f t="shared" si="259"/>
        <v>0</v>
      </c>
      <c r="BH406" s="31">
        <f t="shared" si="260"/>
        <v>0</v>
      </c>
      <c r="BI406" s="237">
        <f t="shared" si="261"/>
        <v>0</v>
      </c>
      <c r="BJ406" s="31">
        <f t="shared" si="262"/>
        <v>0</v>
      </c>
      <c r="BK406" s="31">
        <f t="shared" si="263"/>
        <v>0</v>
      </c>
      <c r="BL406" s="237">
        <f t="shared" si="264"/>
        <v>0</v>
      </c>
      <c r="BM406" s="31">
        <f t="shared" si="265"/>
        <v>0</v>
      </c>
      <c r="BN406" s="237">
        <f t="shared" si="266"/>
        <v>0</v>
      </c>
    </row>
    <row r="407" spans="1:66" x14ac:dyDescent="0.25">
      <c r="A407" s="159" t="s">
        <v>1926</v>
      </c>
      <c r="B407" s="182" t="str">
        <f>VLOOKUP(A407,kurspris!$A$1:$B$894,2,FALSE)</f>
        <v>Neuropsykiatriska svårigheter i olika lärmiljöer</v>
      </c>
      <c r="C407" s="37"/>
      <c r="D407" s="31" t="s">
        <v>115</v>
      </c>
      <c r="F407" s="59">
        <v>2019</v>
      </c>
      <c r="Q407" s="237">
        <v>5.125</v>
      </c>
      <c r="R407" s="40">
        <v>0.85</v>
      </c>
      <c r="S407" s="313">
        <f t="shared" si="240"/>
        <v>4.3562500000000002</v>
      </c>
      <c r="T407" s="31">
        <f>VLOOKUP(A407,'Ansvar kurs'!$A$1:$C$1027,2,FALSE)</f>
        <v>2180</v>
      </c>
      <c r="U407" s="31" t="str">
        <f>VLOOKUP(T407,Orgenheter!$A$1:$C$165,2,FALSE)</f>
        <v xml:space="preserve">Pedagogik                     </v>
      </c>
      <c r="V407" s="31" t="str">
        <f>VLOOKUP(T407,Orgenheter!$A$1:$C$165,3,FALSE)</f>
        <v>Sam</v>
      </c>
      <c r="W407" s="37" t="str">
        <f>VLOOKUP(D407,Program!$A$1:$B$34,2,FALSE)</f>
        <v>Speciallärarprogrammet</v>
      </c>
      <c r="X407" s="42">
        <f>VLOOKUP(A407,kurspris!$A$1:$Q$815,15,FALSE)</f>
        <v>18405</v>
      </c>
      <c r="Y407" s="42">
        <f>VLOOKUP(A407,kurspris!$A$1:$Q$815,16,FALSE)</f>
        <v>15773</v>
      </c>
      <c r="Z407" s="42">
        <f t="shared" si="241"/>
        <v>163036.75625000001</v>
      </c>
      <c r="AA407" s="42">
        <f>VLOOKUP(A407,kurspris!$A$1:$Q$815,17,FALSE)</f>
        <v>5800</v>
      </c>
      <c r="AB407" s="42">
        <f t="shared" si="242"/>
        <v>29725</v>
      </c>
      <c r="AC407" s="42">
        <f t="shared" si="243"/>
        <v>192761.75625000001</v>
      </c>
      <c r="AD407" s="31">
        <f>VLOOKUP($A407,kurspris!$A$1:$Q$852,3,FALSE)</f>
        <v>0</v>
      </c>
      <c r="AE407" s="31">
        <f>VLOOKUP($A407,kurspris!$A$1:$Q$852,4,FALSE)</f>
        <v>0</v>
      </c>
      <c r="AF407" s="31">
        <f>VLOOKUP($A407,kurspris!$A$1:$Q$852,5,FALSE)</f>
        <v>0</v>
      </c>
      <c r="AG407" s="31">
        <f>VLOOKUP($A407,kurspris!$A$1:$Q$852,6,FALSE)</f>
        <v>0</v>
      </c>
      <c r="AH407" s="31">
        <f>VLOOKUP($A407,kurspris!$A$1:$Q$852,7,FALSE)</f>
        <v>0</v>
      </c>
      <c r="AI407" s="31">
        <f>VLOOKUP($A407,kurspris!$A$1:$Q$852,8,FALSE)</f>
        <v>0</v>
      </c>
      <c r="AJ407" s="31">
        <f>VLOOKUP($A407,kurspris!$A$1:$Q$852,9,FALSE)</f>
        <v>1</v>
      </c>
      <c r="AK407" s="31">
        <f>VLOOKUP($A407,kurspris!$A$1:$Q$852,10,FALSE)</f>
        <v>0</v>
      </c>
      <c r="AL407" s="31">
        <f>VLOOKUP($A407,kurspris!$A$1:$Q$852,11,FALSE)</f>
        <v>0</v>
      </c>
      <c r="AM407" s="31">
        <f>VLOOKUP($A407,kurspris!$A$1:$Q$852,12,FALSE)</f>
        <v>0</v>
      </c>
      <c r="AN407" s="31">
        <f>VLOOKUP($A407,kurspris!$A$1:$Q$852,13,FALSE)</f>
        <v>0</v>
      </c>
      <c r="AO407" s="31">
        <f>VLOOKUP($A407,kurspris!$A$1:$Q$852,14,FALSE)</f>
        <v>0</v>
      </c>
      <c r="AP407" s="59" t="s">
        <v>2216</v>
      </c>
      <c r="AR407" s="31">
        <f t="shared" si="244"/>
        <v>0</v>
      </c>
      <c r="AS407" s="237">
        <f t="shared" si="245"/>
        <v>0</v>
      </c>
      <c r="AT407" s="31">
        <f t="shared" si="246"/>
        <v>0</v>
      </c>
      <c r="AU407" s="237">
        <f t="shared" si="247"/>
        <v>0</v>
      </c>
      <c r="AV407" s="31">
        <f t="shared" si="248"/>
        <v>0</v>
      </c>
      <c r="AW407" s="31">
        <f t="shared" si="249"/>
        <v>0</v>
      </c>
      <c r="AX407" s="31">
        <f t="shared" si="250"/>
        <v>0</v>
      </c>
      <c r="AY407" s="237">
        <f t="shared" si="251"/>
        <v>0</v>
      </c>
      <c r="AZ407" s="214">
        <f t="shared" si="252"/>
        <v>0</v>
      </c>
      <c r="BA407" s="237">
        <f t="shared" si="253"/>
        <v>0</v>
      </c>
      <c r="BB407" s="31">
        <f t="shared" si="254"/>
        <v>0</v>
      </c>
      <c r="BC407" s="237">
        <f t="shared" si="255"/>
        <v>0</v>
      </c>
      <c r="BD407" s="31">
        <f t="shared" si="256"/>
        <v>5.125</v>
      </c>
      <c r="BE407" s="237">
        <f t="shared" si="257"/>
        <v>4.3562500000000002</v>
      </c>
      <c r="BF407" s="31">
        <f t="shared" si="258"/>
        <v>0</v>
      </c>
      <c r="BG407" s="237">
        <f t="shared" si="259"/>
        <v>0</v>
      </c>
      <c r="BH407" s="31">
        <f t="shared" si="260"/>
        <v>0</v>
      </c>
      <c r="BI407" s="237">
        <f t="shared" si="261"/>
        <v>0</v>
      </c>
      <c r="BJ407" s="31">
        <f t="shared" si="262"/>
        <v>0</v>
      </c>
      <c r="BK407" s="31">
        <f t="shared" si="263"/>
        <v>0</v>
      </c>
      <c r="BL407" s="237">
        <f t="shared" si="264"/>
        <v>0</v>
      </c>
      <c r="BM407" s="31">
        <f t="shared" si="265"/>
        <v>0</v>
      </c>
      <c r="BN407" s="237">
        <f t="shared" si="266"/>
        <v>0</v>
      </c>
    </row>
    <row r="408" spans="1:66" x14ac:dyDescent="0.25">
      <c r="A408" s="159" t="s">
        <v>1926</v>
      </c>
      <c r="B408" s="182" t="str">
        <f>VLOOKUP(A408,kurspris!$A$1:$B$894,2,FALSE)</f>
        <v>Neuropsykiatriska svårigheter i olika lärmiljöer</v>
      </c>
      <c r="C408" s="37"/>
      <c r="D408" s="31" t="s">
        <v>117</v>
      </c>
      <c r="F408" s="59">
        <v>2019</v>
      </c>
      <c r="Q408" s="237">
        <v>0.625</v>
      </c>
      <c r="R408" s="40">
        <v>0.8</v>
      </c>
      <c r="S408" s="313">
        <f t="shared" si="240"/>
        <v>0.5</v>
      </c>
      <c r="T408" s="31">
        <f>VLOOKUP(A408,'Ansvar kurs'!$A$1:$C$1027,2,FALSE)</f>
        <v>2180</v>
      </c>
      <c r="U408" s="31" t="str">
        <f>VLOOKUP(T408,Orgenheter!$A$1:$C$165,2,FALSE)</f>
        <v xml:space="preserve">Pedagogik                     </v>
      </c>
      <c r="V408" s="31" t="str">
        <f>VLOOKUP(T408,Orgenheter!$A$1:$C$165,3,FALSE)</f>
        <v>Sam</v>
      </c>
      <c r="W408" s="37" t="str">
        <f>VLOOKUP(D408,Program!$A$1:$B$34,2,FALSE)</f>
        <v>Fristående och övriga kurser</v>
      </c>
      <c r="X408" s="42">
        <f>VLOOKUP(A408,kurspris!$A$1:$Q$815,15,FALSE)</f>
        <v>18405</v>
      </c>
      <c r="Y408" s="42">
        <f>VLOOKUP(A408,kurspris!$A$1:$Q$815,16,FALSE)</f>
        <v>15773</v>
      </c>
      <c r="Z408" s="42">
        <f t="shared" si="241"/>
        <v>19389.625</v>
      </c>
      <c r="AA408" s="42">
        <f>VLOOKUP(A408,kurspris!$A$1:$Q$815,17,FALSE)</f>
        <v>5800</v>
      </c>
      <c r="AB408" s="42">
        <f t="shared" si="242"/>
        <v>3625</v>
      </c>
      <c r="AC408" s="42">
        <f t="shared" si="243"/>
        <v>23014.625</v>
      </c>
      <c r="AD408" s="31">
        <f>VLOOKUP($A408,kurspris!$A$1:$Q$852,3,FALSE)</f>
        <v>0</v>
      </c>
      <c r="AE408" s="31">
        <f>VLOOKUP($A408,kurspris!$A$1:$Q$852,4,FALSE)</f>
        <v>0</v>
      </c>
      <c r="AF408" s="31">
        <f>VLOOKUP($A408,kurspris!$A$1:$Q$852,5,FALSE)</f>
        <v>0</v>
      </c>
      <c r="AG408" s="31">
        <f>VLOOKUP($A408,kurspris!$A$1:$Q$852,6,FALSE)</f>
        <v>0</v>
      </c>
      <c r="AH408" s="31">
        <f>VLOOKUP($A408,kurspris!$A$1:$Q$852,7,FALSE)</f>
        <v>0</v>
      </c>
      <c r="AI408" s="31">
        <f>VLOOKUP($A408,kurspris!$A$1:$Q$852,8,FALSE)</f>
        <v>0</v>
      </c>
      <c r="AJ408" s="31">
        <f>VLOOKUP($A408,kurspris!$A$1:$Q$852,9,FALSE)</f>
        <v>1</v>
      </c>
      <c r="AK408" s="31">
        <f>VLOOKUP($A408,kurspris!$A$1:$Q$852,10,FALSE)</f>
        <v>0</v>
      </c>
      <c r="AL408" s="31">
        <f>VLOOKUP($A408,kurspris!$A$1:$Q$852,11,FALSE)</f>
        <v>0</v>
      </c>
      <c r="AM408" s="31">
        <f>VLOOKUP($A408,kurspris!$A$1:$Q$852,12,FALSE)</f>
        <v>0</v>
      </c>
      <c r="AN408" s="31">
        <f>VLOOKUP($A408,kurspris!$A$1:$Q$852,13,FALSE)</f>
        <v>0</v>
      </c>
      <c r="AO408" s="31">
        <f>VLOOKUP($A408,kurspris!$A$1:$Q$852,14,FALSE)</f>
        <v>0</v>
      </c>
      <c r="AP408" s="59" t="s">
        <v>2216</v>
      </c>
      <c r="AR408" s="31">
        <f t="shared" si="244"/>
        <v>0</v>
      </c>
      <c r="AS408" s="237">
        <f t="shared" si="245"/>
        <v>0</v>
      </c>
      <c r="AT408" s="31">
        <f t="shared" si="246"/>
        <v>0</v>
      </c>
      <c r="AU408" s="237">
        <f t="shared" si="247"/>
        <v>0</v>
      </c>
      <c r="AV408" s="31">
        <f t="shared" si="248"/>
        <v>0</v>
      </c>
      <c r="AW408" s="31">
        <f t="shared" si="249"/>
        <v>0</v>
      </c>
      <c r="AX408" s="31">
        <f t="shared" si="250"/>
        <v>0</v>
      </c>
      <c r="AY408" s="237">
        <f t="shared" si="251"/>
        <v>0</v>
      </c>
      <c r="AZ408" s="214">
        <f t="shared" si="252"/>
        <v>0</v>
      </c>
      <c r="BA408" s="237">
        <f t="shared" si="253"/>
        <v>0</v>
      </c>
      <c r="BB408" s="31">
        <f t="shared" si="254"/>
        <v>0</v>
      </c>
      <c r="BC408" s="237">
        <f t="shared" si="255"/>
        <v>0</v>
      </c>
      <c r="BD408" s="31">
        <f t="shared" si="256"/>
        <v>0.625</v>
      </c>
      <c r="BE408" s="237">
        <f t="shared" si="257"/>
        <v>0.5</v>
      </c>
      <c r="BF408" s="31">
        <f t="shared" si="258"/>
        <v>0</v>
      </c>
      <c r="BG408" s="237">
        <f t="shared" si="259"/>
        <v>0</v>
      </c>
      <c r="BH408" s="31">
        <f t="shared" si="260"/>
        <v>0</v>
      </c>
      <c r="BI408" s="237">
        <f t="shared" si="261"/>
        <v>0</v>
      </c>
      <c r="BJ408" s="31">
        <f t="shared" si="262"/>
        <v>0</v>
      </c>
      <c r="BK408" s="31">
        <f t="shared" si="263"/>
        <v>0</v>
      </c>
      <c r="BL408" s="237">
        <f t="shared" si="264"/>
        <v>0</v>
      </c>
      <c r="BM408" s="31">
        <f t="shared" si="265"/>
        <v>0</v>
      </c>
      <c r="BN408" s="237">
        <f t="shared" si="266"/>
        <v>0</v>
      </c>
    </row>
    <row r="409" spans="1:66" x14ac:dyDescent="0.25">
      <c r="A409" s="159" t="s">
        <v>1925</v>
      </c>
      <c r="B409" s="182" t="str">
        <f>VLOOKUP(A409,kurspris!$A$1:$B$894,2,FALSE)</f>
        <v>Speciallärarens och specialpedagogens yrkesfunktion</v>
      </c>
      <c r="C409" s="37"/>
      <c r="D409" s="31" t="s">
        <v>120</v>
      </c>
      <c r="F409" s="59">
        <v>2019</v>
      </c>
      <c r="Q409" s="237">
        <v>8</v>
      </c>
      <c r="R409" s="40">
        <v>0.85</v>
      </c>
      <c r="S409" s="313">
        <f t="shared" si="240"/>
        <v>6.8</v>
      </c>
      <c r="T409" s="31">
        <f>VLOOKUP(A409,'Ansvar kurs'!$A$1:$C$1027,2,FALSE)</f>
        <v>2193</v>
      </c>
      <c r="U409" s="31" t="str">
        <f>VLOOKUP(T409,Orgenheter!$A$1:$C$165,2,FALSE)</f>
        <v xml:space="preserve">TUV </v>
      </c>
      <c r="V409" s="31" t="str">
        <f>VLOOKUP(T409,Orgenheter!$A$1:$C$165,3,FALSE)</f>
        <v>Sam</v>
      </c>
      <c r="W409" s="37" t="str">
        <f>VLOOKUP(D409,Program!$A$1:$B$34,2,FALSE)</f>
        <v>Specialpedagogprogrammet</v>
      </c>
      <c r="X409" s="42">
        <f>VLOOKUP(A409,kurspris!$A$1:$Q$815,15,FALSE)</f>
        <v>34144.199999999997</v>
      </c>
      <c r="Y409" s="42">
        <f>VLOOKUP(A409,kurspris!$A$1:$Q$815,16,FALSE)</f>
        <v>33557.800000000003</v>
      </c>
      <c r="Z409" s="42">
        <f t="shared" si="241"/>
        <v>501346.64</v>
      </c>
      <c r="AA409" s="42">
        <f>VLOOKUP(A409,kurspris!$A$1:$Q$815,17,FALSE)</f>
        <v>5800</v>
      </c>
      <c r="AB409" s="42">
        <f t="shared" si="242"/>
        <v>46400</v>
      </c>
      <c r="AC409" s="42">
        <f t="shared" si="243"/>
        <v>547746.64</v>
      </c>
      <c r="AD409" s="31">
        <f>VLOOKUP($A409,kurspris!$A$1:$Q$852,3,FALSE)</f>
        <v>0</v>
      </c>
      <c r="AE409" s="31">
        <f>VLOOKUP($A409,kurspris!$A$1:$Q$852,4,FALSE)</f>
        <v>0</v>
      </c>
      <c r="AF409" s="31">
        <f>VLOOKUP($A409,kurspris!$A$1:$Q$852,5,FALSE)</f>
        <v>0</v>
      </c>
      <c r="AG409" s="31">
        <f>VLOOKUP($A409,kurspris!$A$1:$Q$852,6,FALSE)</f>
        <v>0</v>
      </c>
      <c r="AH409" s="31">
        <f>VLOOKUP($A409,kurspris!$A$1:$Q$852,7,FALSE)</f>
        <v>0</v>
      </c>
      <c r="AI409" s="31">
        <f>VLOOKUP($A409,kurspris!$A$1:$Q$852,8,FALSE)</f>
        <v>0</v>
      </c>
      <c r="AJ409" s="31">
        <f>VLOOKUP($A409,kurspris!$A$1:$Q$852,9,FALSE)</f>
        <v>0.2</v>
      </c>
      <c r="AK409" s="31">
        <f>VLOOKUP($A409,kurspris!$A$1:$Q$852,10,FALSE)</f>
        <v>0</v>
      </c>
      <c r="AL409" s="31">
        <f>VLOOKUP($A409,kurspris!$A$1:$Q$852,11,FALSE)</f>
        <v>0</v>
      </c>
      <c r="AM409" s="31">
        <f>VLOOKUP($A409,kurspris!$A$1:$Q$852,12,FALSE)</f>
        <v>0</v>
      </c>
      <c r="AN409" s="31">
        <f>VLOOKUP($A409,kurspris!$A$1:$Q$852,13,FALSE)</f>
        <v>0</v>
      </c>
      <c r="AO409" s="31">
        <f>VLOOKUP($A409,kurspris!$A$1:$Q$852,14,FALSE)</f>
        <v>0.8</v>
      </c>
      <c r="AP409" s="59" t="s">
        <v>2216</v>
      </c>
      <c r="AR409" s="31">
        <f t="shared" si="244"/>
        <v>0</v>
      </c>
      <c r="AS409" s="237">
        <f t="shared" si="245"/>
        <v>0</v>
      </c>
      <c r="AT409" s="31">
        <f t="shared" si="246"/>
        <v>0</v>
      </c>
      <c r="AU409" s="237">
        <f t="shared" si="247"/>
        <v>0</v>
      </c>
      <c r="AV409" s="31">
        <f t="shared" si="248"/>
        <v>0</v>
      </c>
      <c r="AW409" s="31">
        <f t="shared" si="249"/>
        <v>0</v>
      </c>
      <c r="AX409" s="31">
        <f t="shared" si="250"/>
        <v>0</v>
      </c>
      <c r="AY409" s="237">
        <f t="shared" si="251"/>
        <v>0</v>
      </c>
      <c r="AZ409" s="214">
        <f t="shared" si="252"/>
        <v>0</v>
      </c>
      <c r="BA409" s="237">
        <f t="shared" si="253"/>
        <v>0</v>
      </c>
      <c r="BB409" s="31">
        <f t="shared" si="254"/>
        <v>0</v>
      </c>
      <c r="BC409" s="237">
        <f t="shared" si="255"/>
        <v>0</v>
      </c>
      <c r="BD409" s="31">
        <f t="shared" si="256"/>
        <v>1.6</v>
      </c>
      <c r="BE409" s="237">
        <f t="shared" si="257"/>
        <v>1.36</v>
      </c>
      <c r="BF409" s="31">
        <f t="shared" si="258"/>
        <v>0</v>
      </c>
      <c r="BG409" s="237">
        <f t="shared" si="259"/>
        <v>0</v>
      </c>
      <c r="BH409" s="31">
        <f t="shared" si="260"/>
        <v>0</v>
      </c>
      <c r="BI409" s="237">
        <f t="shared" si="261"/>
        <v>0</v>
      </c>
      <c r="BJ409" s="31">
        <f t="shared" si="262"/>
        <v>0</v>
      </c>
      <c r="BK409" s="31">
        <f t="shared" si="263"/>
        <v>0</v>
      </c>
      <c r="BL409" s="237">
        <f t="shared" si="264"/>
        <v>0</v>
      </c>
      <c r="BM409" s="31">
        <f t="shared" si="265"/>
        <v>6.4</v>
      </c>
      <c r="BN409" s="237">
        <f t="shared" si="266"/>
        <v>5.44</v>
      </c>
    </row>
    <row r="410" spans="1:66" x14ac:dyDescent="0.25">
      <c r="A410" s="159" t="s">
        <v>1925</v>
      </c>
      <c r="B410" s="182" t="str">
        <f>VLOOKUP(A410,kurspris!$A$1:$B$894,2,FALSE)</f>
        <v>Speciallärarens och specialpedagogens yrkesfunktion</v>
      </c>
      <c r="C410" s="37"/>
      <c r="D410" s="31" t="s">
        <v>115</v>
      </c>
      <c r="F410" s="59">
        <v>2019</v>
      </c>
      <c r="Q410" s="237">
        <v>10.5</v>
      </c>
      <c r="R410" s="40">
        <v>0.85</v>
      </c>
      <c r="S410" s="313">
        <f t="shared" si="240"/>
        <v>8.9249999999999989</v>
      </c>
      <c r="T410" s="31">
        <f>VLOOKUP(A410,'Ansvar kurs'!$A$1:$C$1027,2,FALSE)</f>
        <v>2193</v>
      </c>
      <c r="U410" s="31" t="str">
        <f>VLOOKUP(T410,Orgenheter!$A$1:$C$165,2,FALSE)</f>
        <v xml:space="preserve">TUV </v>
      </c>
      <c r="V410" s="31" t="str">
        <f>VLOOKUP(T410,Orgenheter!$A$1:$C$165,3,FALSE)</f>
        <v>Sam</v>
      </c>
      <c r="W410" s="37" t="str">
        <f>VLOOKUP(D410,Program!$A$1:$B$34,2,FALSE)</f>
        <v>Speciallärarprogrammet</v>
      </c>
      <c r="X410" s="42">
        <f>VLOOKUP(A410,kurspris!$A$1:$Q$815,15,FALSE)</f>
        <v>34144.199999999997</v>
      </c>
      <c r="Y410" s="42">
        <f>VLOOKUP(A410,kurspris!$A$1:$Q$815,16,FALSE)</f>
        <v>33557.800000000003</v>
      </c>
      <c r="Z410" s="42">
        <f t="shared" si="241"/>
        <v>658017.46499999997</v>
      </c>
      <c r="AA410" s="42">
        <f>VLOOKUP(A410,kurspris!$A$1:$Q$815,17,FALSE)</f>
        <v>5800</v>
      </c>
      <c r="AB410" s="42">
        <f t="shared" si="242"/>
        <v>60900</v>
      </c>
      <c r="AC410" s="42">
        <f t="shared" si="243"/>
        <v>718917.46499999997</v>
      </c>
      <c r="AD410" s="31">
        <f>VLOOKUP($A410,kurspris!$A$1:$Q$852,3,FALSE)</f>
        <v>0</v>
      </c>
      <c r="AE410" s="31">
        <f>VLOOKUP($A410,kurspris!$A$1:$Q$852,4,FALSE)</f>
        <v>0</v>
      </c>
      <c r="AF410" s="31">
        <f>VLOOKUP($A410,kurspris!$A$1:$Q$852,5,FALSE)</f>
        <v>0</v>
      </c>
      <c r="AG410" s="31">
        <f>VLOOKUP($A410,kurspris!$A$1:$Q$852,6,FALSE)</f>
        <v>0</v>
      </c>
      <c r="AH410" s="31">
        <f>VLOOKUP($A410,kurspris!$A$1:$Q$852,7,FALSE)</f>
        <v>0</v>
      </c>
      <c r="AI410" s="31">
        <f>VLOOKUP($A410,kurspris!$A$1:$Q$852,8,FALSE)</f>
        <v>0</v>
      </c>
      <c r="AJ410" s="31">
        <f>VLOOKUP($A410,kurspris!$A$1:$Q$852,9,FALSE)</f>
        <v>0.2</v>
      </c>
      <c r="AK410" s="31">
        <f>VLOOKUP($A410,kurspris!$A$1:$Q$852,10,FALSE)</f>
        <v>0</v>
      </c>
      <c r="AL410" s="31">
        <f>VLOOKUP($A410,kurspris!$A$1:$Q$852,11,FALSE)</f>
        <v>0</v>
      </c>
      <c r="AM410" s="31">
        <f>VLOOKUP($A410,kurspris!$A$1:$Q$852,12,FALSE)</f>
        <v>0</v>
      </c>
      <c r="AN410" s="31">
        <f>VLOOKUP($A410,kurspris!$A$1:$Q$852,13,FALSE)</f>
        <v>0</v>
      </c>
      <c r="AO410" s="31">
        <f>VLOOKUP($A410,kurspris!$A$1:$Q$852,14,FALSE)</f>
        <v>0.8</v>
      </c>
      <c r="AP410" s="59" t="s">
        <v>2216</v>
      </c>
      <c r="AR410" s="31">
        <f t="shared" si="244"/>
        <v>0</v>
      </c>
      <c r="AS410" s="237">
        <f t="shared" si="245"/>
        <v>0</v>
      </c>
      <c r="AT410" s="31">
        <f t="shared" si="246"/>
        <v>0</v>
      </c>
      <c r="AU410" s="237">
        <f t="shared" si="247"/>
        <v>0</v>
      </c>
      <c r="AV410" s="31">
        <f t="shared" si="248"/>
        <v>0</v>
      </c>
      <c r="AW410" s="31">
        <f t="shared" si="249"/>
        <v>0</v>
      </c>
      <c r="AX410" s="31">
        <f t="shared" si="250"/>
        <v>0</v>
      </c>
      <c r="AY410" s="237">
        <f t="shared" si="251"/>
        <v>0</v>
      </c>
      <c r="AZ410" s="214">
        <f t="shared" si="252"/>
        <v>0</v>
      </c>
      <c r="BA410" s="237">
        <f t="shared" si="253"/>
        <v>0</v>
      </c>
      <c r="BB410" s="31">
        <f t="shared" si="254"/>
        <v>0</v>
      </c>
      <c r="BC410" s="237">
        <f t="shared" si="255"/>
        <v>0</v>
      </c>
      <c r="BD410" s="31">
        <f t="shared" si="256"/>
        <v>2.1</v>
      </c>
      <c r="BE410" s="237">
        <f t="shared" si="257"/>
        <v>1.7849999999999999</v>
      </c>
      <c r="BF410" s="31">
        <f t="shared" si="258"/>
        <v>0</v>
      </c>
      <c r="BG410" s="237">
        <f t="shared" si="259"/>
        <v>0</v>
      </c>
      <c r="BH410" s="31">
        <f t="shared" si="260"/>
        <v>0</v>
      </c>
      <c r="BI410" s="237">
        <f t="shared" si="261"/>
        <v>0</v>
      </c>
      <c r="BJ410" s="31">
        <f t="shared" si="262"/>
        <v>0</v>
      </c>
      <c r="BK410" s="31">
        <f t="shared" si="263"/>
        <v>0</v>
      </c>
      <c r="BL410" s="237">
        <f t="shared" si="264"/>
        <v>0</v>
      </c>
      <c r="BM410" s="31">
        <f t="shared" si="265"/>
        <v>8.4</v>
      </c>
      <c r="BN410" s="237">
        <f t="shared" si="266"/>
        <v>7.14</v>
      </c>
    </row>
    <row r="411" spans="1:66" x14ac:dyDescent="0.25">
      <c r="A411" s="159" t="s">
        <v>2047</v>
      </c>
      <c r="B411" s="182" t="str">
        <f>VLOOKUP(A411,kurspris!$A$1:$B$894,2,FALSE)</f>
        <v>Utvärdering, ledarskap och förändringsarbete</v>
      </c>
      <c r="C411" s="37"/>
      <c r="D411" s="31" t="s">
        <v>120</v>
      </c>
      <c r="F411" s="59">
        <v>2019</v>
      </c>
      <c r="Q411" s="237">
        <v>14.625</v>
      </c>
      <c r="R411" s="40">
        <v>0.85</v>
      </c>
      <c r="S411" s="313">
        <f t="shared" si="240"/>
        <v>12.43125</v>
      </c>
      <c r="T411" s="31">
        <f>VLOOKUP(A411,'Ansvar kurs'!$A$1:$C$1027,2,FALSE)</f>
        <v>2180</v>
      </c>
      <c r="U411" s="31" t="str">
        <f>VLOOKUP(T411,Orgenheter!$A$1:$C$165,2,FALSE)</f>
        <v xml:space="preserve">Pedagogik                     </v>
      </c>
      <c r="V411" s="31" t="str">
        <f>VLOOKUP(T411,Orgenheter!$A$1:$C$165,3,FALSE)</f>
        <v>Sam</v>
      </c>
      <c r="W411" s="37" t="str">
        <f>VLOOKUP(D411,Program!$A$1:$B$34,2,FALSE)</f>
        <v>Specialpedagogprogrammet</v>
      </c>
      <c r="X411" s="42">
        <f>VLOOKUP(A411,kurspris!$A$1:$Q$815,15,FALSE)</f>
        <v>18405</v>
      </c>
      <c r="Y411" s="42">
        <f>VLOOKUP(A411,kurspris!$A$1:$Q$815,16,FALSE)</f>
        <v>15773</v>
      </c>
      <c r="Z411" s="42">
        <f t="shared" si="241"/>
        <v>465251.23125000001</v>
      </c>
      <c r="AA411" s="42">
        <f>VLOOKUP(A411,kurspris!$A$1:$Q$815,17,FALSE)</f>
        <v>5800</v>
      </c>
      <c r="AB411" s="42">
        <f t="shared" si="242"/>
        <v>84825</v>
      </c>
      <c r="AC411" s="42">
        <f t="shared" si="243"/>
        <v>550076.23124999995</v>
      </c>
      <c r="AD411" s="31">
        <f>VLOOKUP($A411,kurspris!$A$1:$Q$852,3,FALSE)</f>
        <v>0</v>
      </c>
      <c r="AE411" s="31">
        <f>VLOOKUP($A411,kurspris!$A$1:$Q$852,4,FALSE)</f>
        <v>0</v>
      </c>
      <c r="AF411" s="31">
        <f>VLOOKUP($A411,kurspris!$A$1:$Q$852,5,FALSE)</f>
        <v>0</v>
      </c>
      <c r="AG411" s="31">
        <f>VLOOKUP($A411,kurspris!$A$1:$Q$852,6,FALSE)</f>
        <v>0</v>
      </c>
      <c r="AH411" s="31">
        <f>VLOOKUP($A411,kurspris!$A$1:$Q$852,7,FALSE)</f>
        <v>0</v>
      </c>
      <c r="AI411" s="31">
        <f>VLOOKUP($A411,kurspris!$A$1:$Q$852,8,FALSE)</f>
        <v>0</v>
      </c>
      <c r="AJ411" s="31">
        <f>VLOOKUP($A411,kurspris!$A$1:$Q$852,9,FALSE)</f>
        <v>1</v>
      </c>
      <c r="AK411" s="31">
        <f>VLOOKUP($A411,kurspris!$A$1:$Q$852,10,FALSE)</f>
        <v>0</v>
      </c>
      <c r="AL411" s="31">
        <f>VLOOKUP($A411,kurspris!$A$1:$Q$852,11,FALSE)</f>
        <v>0</v>
      </c>
      <c r="AM411" s="31">
        <f>VLOOKUP($A411,kurspris!$A$1:$Q$852,12,FALSE)</f>
        <v>0</v>
      </c>
      <c r="AN411" s="31">
        <f>VLOOKUP($A411,kurspris!$A$1:$Q$852,13,FALSE)</f>
        <v>0</v>
      </c>
      <c r="AO411" s="31">
        <f>VLOOKUP($A411,kurspris!$A$1:$Q$852,14,FALSE)</f>
        <v>0</v>
      </c>
      <c r="AP411" s="59" t="s">
        <v>2216</v>
      </c>
      <c r="AR411" s="31">
        <f t="shared" si="244"/>
        <v>0</v>
      </c>
      <c r="AS411" s="237">
        <f t="shared" si="245"/>
        <v>0</v>
      </c>
      <c r="AT411" s="31">
        <f t="shared" si="246"/>
        <v>0</v>
      </c>
      <c r="AU411" s="237">
        <f t="shared" si="247"/>
        <v>0</v>
      </c>
      <c r="AV411" s="31">
        <f t="shared" si="248"/>
        <v>0</v>
      </c>
      <c r="AW411" s="31">
        <f t="shared" si="249"/>
        <v>0</v>
      </c>
      <c r="AX411" s="31">
        <f t="shared" si="250"/>
        <v>0</v>
      </c>
      <c r="AY411" s="237">
        <f t="shared" si="251"/>
        <v>0</v>
      </c>
      <c r="AZ411" s="214">
        <f t="shared" si="252"/>
        <v>0</v>
      </c>
      <c r="BA411" s="237">
        <f t="shared" si="253"/>
        <v>0</v>
      </c>
      <c r="BB411" s="31">
        <f t="shared" si="254"/>
        <v>0</v>
      </c>
      <c r="BC411" s="237">
        <f t="shared" si="255"/>
        <v>0</v>
      </c>
      <c r="BD411" s="31">
        <f t="shared" si="256"/>
        <v>14.625</v>
      </c>
      <c r="BE411" s="237">
        <f t="shared" si="257"/>
        <v>12.43125</v>
      </c>
      <c r="BF411" s="31">
        <f t="shared" si="258"/>
        <v>0</v>
      </c>
      <c r="BG411" s="237">
        <f t="shared" si="259"/>
        <v>0</v>
      </c>
      <c r="BH411" s="31">
        <f t="shared" si="260"/>
        <v>0</v>
      </c>
      <c r="BI411" s="237">
        <f t="shared" si="261"/>
        <v>0</v>
      </c>
      <c r="BJ411" s="31">
        <f t="shared" si="262"/>
        <v>0</v>
      </c>
      <c r="BK411" s="31">
        <f t="shared" si="263"/>
        <v>0</v>
      </c>
      <c r="BL411" s="237">
        <f t="shared" si="264"/>
        <v>0</v>
      </c>
      <c r="BM411" s="31">
        <f t="shared" si="265"/>
        <v>0</v>
      </c>
      <c r="BN411" s="237">
        <f t="shared" si="266"/>
        <v>0</v>
      </c>
    </row>
    <row r="412" spans="1:66" x14ac:dyDescent="0.25">
      <c r="A412" s="159" t="s">
        <v>2047</v>
      </c>
      <c r="B412" s="182" t="str">
        <f>VLOOKUP(A412,kurspris!$A$1:$B$894,2,FALSE)</f>
        <v>Utvärdering, ledarskap och förändringsarbete</v>
      </c>
      <c r="C412" s="37"/>
      <c r="D412" s="31" t="s">
        <v>117</v>
      </c>
      <c r="F412" s="59">
        <v>2019</v>
      </c>
      <c r="Q412" s="237">
        <v>0.375</v>
      </c>
      <c r="R412" s="40">
        <v>0.8</v>
      </c>
      <c r="S412" s="313">
        <f t="shared" si="240"/>
        <v>0.30000000000000004</v>
      </c>
      <c r="T412" s="31">
        <f>VLOOKUP(A412,'Ansvar kurs'!$A$1:$C$1027,2,FALSE)</f>
        <v>2180</v>
      </c>
      <c r="U412" s="31" t="str">
        <f>VLOOKUP(T412,Orgenheter!$A$1:$C$165,2,FALSE)</f>
        <v xml:space="preserve">Pedagogik                     </v>
      </c>
      <c r="V412" s="31" t="str">
        <f>VLOOKUP(T412,Orgenheter!$A$1:$C$165,3,FALSE)</f>
        <v>Sam</v>
      </c>
      <c r="W412" s="37" t="str">
        <f>VLOOKUP(D412,Program!$A$1:$B$34,2,FALSE)</f>
        <v>Fristående och övriga kurser</v>
      </c>
      <c r="X412" s="42">
        <f>VLOOKUP(A412,kurspris!$A$1:$Q$815,15,FALSE)</f>
        <v>18405</v>
      </c>
      <c r="Y412" s="42">
        <f>VLOOKUP(A412,kurspris!$A$1:$Q$815,16,FALSE)</f>
        <v>15773</v>
      </c>
      <c r="Z412" s="42">
        <f t="shared" si="241"/>
        <v>11633.775000000001</v>
      </c>
      <c r="AA412" s="42">
        <f>VLOOKUP(A412,kurspris!$A$1:$Q$815,17,FALSE)</f>
        <v>5800</v>
      </c>
      <c r="AB412" s="42">
        <f t="shared" si="242"/>
        <v>2175</v>
      </c>
      <c r="AC412" s="42">
        <f t="shared" si="243"/>
        <v>13808.775000000001</v>
      </c>
      <c r="AD412" s="31">
        <f>VLOOKUP($A412,kurspris!$A$1:$Q$852,3,FALSE)</f>
        <v>0</v>
      </c>
      <c r="AE412" s="31">
        <f>VLOOKUP($A412,kurspris!$A$1:$Q$852,4,FALSE)</f>
        <v>0</v>
      </c>
      <c r="AF412" s="31">
        <f>VLOOKUP($A412,kurspris!$A$1:$Q$852,5,FALSE)</f>
        <v>0</v>
      </c>
      <c r="AG412" s="31">
        <f>VLOOKUP($A412,kurspris!$A$1:$Q$852,6,FALSE)</f>
        <v>0</v>
      </c>
      <c r="AH412" s="31">
        <f>VLOOKUP($A412,kurspris!$A$1:$Q$852,7,FALSE)</f>
        <v>0</v>
      </c>
      <c r="AI412" s="31">
        <f>VLOOKUP($A412,kurspris!$A$1:$Q$852,8,FALSE)</f>
        <v>0</v>
      </c>
      <c r="AJ412" s="31">
        <f>VLOOKUP($A412,kurspris!$A$1:$Q$852,9,FALSE)</f>
        <v>1</v>
      </c>
      <c r="AK412" s="31">
        <f>VLOOKUP($A412,kurspris!$A$1:$Q$852,10,FALSE)</f>
        <v>0</v>
      </c>
      <c r="AL412" s="31">
        <f>VLOOKUP($A412,kurspris!$A$1:$Q$852,11,FALSE)</f>
        <v>0</v>
      </c>
      <c r="AM412" s="31">
        <f>VLOOKUP($A412,kurspris!$A$1:$Q$852,12,FALSE)</f>
        <v>0</v>
      </c>
      <c r="AN412" s="31">
        <f>VLOOKUP($A412,kurspris!$A$1:$Q$852,13,FALSE)</f>
        <v>0</v>
      </c>
      <c r="AO412" s="31">
        <f>VLOOKUP($A412,kurspris!$A$1:$Q$852,14,FALSE)</f>
        <v>0</v>
      </c>
      <c r="AP412" s="59" t="s">
        <v>2216</v>
      </c>
      <c r="AR412" s="31">
        <f t="shared" si="244"/>
        <v>0</v>
      </c>
      <c r="AS412" s="237">
        <f t="shared" si="245"/>
        <v>0</v>
      </c>
      <c r="AT412" s="31">
        <f t="shared" si="246"/>
        <v>0</v>
      </c>
      <c r="AU412" s="237">
        <f t="shared" si="247"/>
        <v>0</v>
      </c>
      <c r="AV412" s="31">
        <f t="shared" si="248"/>
        <v>0</v>
      </c>
      <c r="AW412" s="31">
        <f t="shared" si="249"/>
        <v>0</v>
      </c>
      <c r="AX412" s="31">
        <f t="shared" si="250"/>
        <v>0</v>
      </c>
      <c r="AY412" s="237">
        <f t="shared" si="251"/>
        <v>0</v>
      </c>
      <c r="AZ412" s="214">
        <f t="shared" si="252"/>
        <v>0</v>
      </c>
      <c r="BA412" s="237">
        <f t="shared" si="253"/>
        <v>0</v>
      </c>
      <c r="BB412" s="31">
        <f t="shared" si="254"/>
        <v>0</v>
      </c>
      <c r="BC412" s="237">
        <f t="shared" si="255"/>
        <v>0</v>
      </c>
      <c r="BD412" s="31">
        <f t="shared" si="256"/>
        <v>0.375</v>
      </c>
      <c r="BE412" s="237">
        <f t="shared" si="257"/>
        <v>0.30000000000000004</v>
      </c>
      <c r="BF412" s="31">
        <f t="shared" si="258"/>
        <v>0</v>
      </c>
      <c r="BG412" s="237">
        <f t="shared" si="259"/>
        <v>0</v>
      </c>
      <c r="BH412" s="31">
        <f t="shared" si="260"/>
        <v>0</v>
      </c>
      <c r="BI412" s="237">
        <f t="shared" si="261"/>
        <v>0</v>
      </c>
      <c r="BJ412" s="31">
        <f t="shared" si="262"/>
        <v>0</v>
      </c>
      <c r="BK412" s="31">
        <f t="shared" si="263"/>
        <v>0</v>
      </c>
      <c r="BL412" s="237">
        <f t="shared" si="264"/>
        <v>0</v>
      </c>
      <c r="BM412" s="31">
        <f t="shared" si="265"/>
        <v>0</v>
      </c>
      <c r="BN412" s="237">
        <f t="shared" si="266"/>
        <v>0</v>
      </c>
    </row>
    <row r="413" spans="1:66" x14ac:dyDescent="0.25">
      <c r="A413" s="159" t="s">
        <v>2049</v>
      </c>
      <c r="B413" s="182" t="str">
        <f>VLOOKUP(A413,kurspris!$A$1:$B$894,2,FALSE)</f>
        <v>Att utveckla lärande i skola och vardag - Utvecklingsstörning</v>
      </c>
      <c r="C413" s="37"/>
      <c r="D413" s="31" t="s">
        <v>115</v>
      </c>
      <c r="F413" s="59">
        <v>2019</v>
      </c>
      <c r="Q413" s="237">
        <v>0.75</v>
      </c>
      <c r="R413" s="40">
        <v>0.85</v>
      </c>
      <c r="S413" s="313">
        <f t="shared" si="240"/>
        <v>0.63749999999999996</v>
      </c>
      <c r="T413" s="31">
        <f>VLOOKUP(A413,'Ansvar kurs'!$A$1:$C$1027,2,FALSE)</f>
        <v>2180</v>
      </c>
      <c r="U413" s="31" t="str">
        <f>VLOOKUP(T413,Orgenheter!$A$1:$C$165,2,FALSE)</f>
        <v xml:space="preserve">Pedagogik                     </v>
      </c>
      <c r="V413" s="31" t="str">
        <f>VLOOKUP(T413,Orgenheter!$A$1:$C$165,3,FALSE)</f>
        <v>Sam</v>
      </c>
      <c r="W413" s="37" t="str">
        <f>VLOOKUP(D413,Program!$A$1:$B$34,2,FALSE)</f>
        <v>Speciallärarprogrammet</v>
      </c>
      <c r="X413" s="42">
        <f>VLOOKUP(A413,kurspris!$A$1:$Q$815,15,FALSE)</f>
        <v>18405</v>
      </c>
      <c r="Y413" s="42">
        <f>VLOOKUP(A413,kurspris!$A$1:$Q$815,16,FALSE)</f>
        <v>15773</v>
      </c>
      <c r="Z413" s="42">
        <f t="shared" si="241"/>
        <v>23859.037499999999</v>
      </c>
      <c r="AA413" s="42">
        <f>VLOOKUP(A413,kurspris!$A$1:$Q$815,17,FALSE)</f>
        <v>5800</v>
      </c>
      <c r="AB413" s="42">
        <f t="shared" si="242"/>
        <v>4350</v>
      </c>
      <c r="AC413" s="42">
        <f t="shared" si="243"/>
        <v>28209.037499999999</v>
      </c>
      <c r="AD413" s="31">
        <f>VLOOKUP($A413,kurspris!$A$1:$Q$852,3,FALSE)</f>
        <v>0</v>
      </c>
      <c r="AE413" s="31">
        <f>VLOOKUP($A413,kurspris!$A$1:$Q$852,4,FALSE)</f>
        <v>0</v>
      </c>
      <c r="AF413" s="31">
        <f>VLOOKUP($A413,kurspris!$A$1:$Q$852,5,FALSE)</f>
        <v>0</v>
      </c>
      <c r="AG413" s="31">
        <f>VLOOKUP($A413,kurspris!$A$1:$Q$852,6,FALSE)</f>
        <v>0</v>
      </c>
      <c r="AH413" s="31">
        <f>VLOOKUP($A413,kurspris!$A$1:$Q$852,7,FALSE)</f>
        <v>0</v>
      </c>
      <c r="AI413" s="31">
        <f>VLOOKUP($A413,kurspris!$A$1:$Q$852,8,FALSE)</f>
        <v>0</v>
      </c>
      <c r="AJ413" s="31">
        <f>VLOOKUP($A413,kurspris!$A$1:$Q$852,9,FALSE)</f>
        <v>1</v>
      </c>
      <c r="AK413" s="31">
        <f>VLOOKUP($A413,kurspris!$A$1:$Q$852,10,FALSE)</f>
        <v>0</v>
      </c>
      <c r="AL413" s="31">
        <f>VLOOKUP($A413,kurspris!$A$1:$Q$852,11,FALSE)</f>
        <v>0</v>
      </c>
      <c r="AM413" s="31">
        <f>VLOOKUP($A413,kurspris!$A$1:$Q$852,12,FALSE)</f>
        <v>0</v>
      </c>
      <c r="AN413" s="31">
        <f>VLOOKUP($A413,kurspris!$A$1:$Q$852,13,FALSE)</f>
        <v>0</v>
      </c>
      <c r="AO413" s="31">
        <f>VLOOKUP($A413,kurspris!$A$1:$Q$852,14,FALSE)</f>
        <v>0</v>
      </c>
      <c r="AP413" s="59" t="s">
        <v>2216</v>
      </c>
      <c r="AR413" s="31">
        <f t="shared" si="244"/>
        <v>0</v>
      </c>
      <c r="AS413" s="237">
        <f t="shared" si="245"/>
        <v>0</v>
      </c>
      <c r="AT413" s="31">
        <f t="shared" si="246"/>
        <v>0</v>
      </c>
      <c r="AU413" s="237">
        <f t="shared" si="247"/>
        <v>0</v>
      </c>
      <c r="AV413" s="31">
        <f t="shared" si="248"/>
        <v>0</v>
      </c>
      <c r="AW413" s="31">
        <f t="shared" si="249"/>
        <v>0</v>
      </c>
      <c r="AX413" s="31">
        <f t="shared" si="250"/>
        <v>0</v>
      </c>
      <c r="AY413" s="237">
        <f t="shared" si="251"/>
        <v>0</v>
      </c>
      <c r="AZ413" s="214">
        <f t="shared" si="252"/>
        <v>0</v>
      </c>
      <c r="BA413" s="237">
        <f t="shared" si="253"/>
        <v>0</v>
      </c>
      <c r="BB413" s="31">
        <f t="shared" si="254"/>
        <v>0</v>
      </c>
      <c r="BC413" s="237">
        <f t="shared" si="255"/>
        <v>0</v>
      </c>
      <c r="BD413" s="31">
        <f t="shared" si="256"/>
        <v>0.75</v>
      </c>
      <c r="BE413" s="237">
        <f t="shared" si="257"/>
        <v>0.63749999999999996</v>
      </c>
      <c r="BF413" s="31">
        <f t="shared" si="258"/>
        <v>0</v>
      </c>
      <c r="BG413" s="237">
        <f t="shared" si="259"/>
        <v>0</v>
      </c>
      <c r="BH413" s="31">
        <f t="shared" si="260"/>
        <v>0</v>
      </c>
      <c r="BI413" s="237">
        <f t="shared" si="261"/>
        <v>0</v>
      </c>
      <c r="BJ413" s="31">
        <f t="shared" si="262"/>
        <v>0</v>
      </c>
      <c r="BK413" s="31">
        <f t="shared" si="263"/>
        <v>0</v>
      </c>
      <c r="BL413" s="237">
        <f t="shared" si="264"/>
        <v>0</v>
      </c>
      <c r="BM413" s="31">
        <f t="shared" si="265"/>
        <v>0</v>
      </c>
      <c r="BN413" s="237">
        <f t="shared" si="266"/>
        <v>0</v>
      </c>
    </row>
    <row r="414" spans="1:66" x14ac:dyDescent="0.25">
      <c r="A414" s="159" t="s">
        <v>2048</v>
      </c>
      <c r="B414" s="182" t="str">
        <f>VLOOKUP(A414,kurspris!$A$1:$B$894,2,FALSE)</f>
        <v>Undervisning, kommunikation och kunskapsutveckling - Utvecklingsstörning</v>
      </c>
      <c r="C414" s="37"/>
      <c r="D414" s="31" t="s">
        <v>115</v>
      </c>
      <c r="F414" s="59">
        <v>2019</v>
      </c>
      <c r="Q414" s="237">
        <v>0.75</v>
      </c>
      <c r="R414" s="40">
        <v>0.85</v>
      </c>
      <c r="S414" s="313">
        <f t="shared" si="240"/>
        <v>0.63749999999999996</v>
      </c>
      <c r="T414" s="31">
        <f>VLOOKUP(A414,'Ansvar kurs'!$A$1:$C$1027,2,FALSE)</f>
        <v>2180</v>
      </c>
      <c r="U414" s="31" t="str">
        <f>VLOOKUP(T414,Orgenheter!$A$1:$C$165,2,FALSE)</f>
        <v xml:space="preserve">Pedagogik                     </v>
      </c>
      <c r="V414" s="31" t="str">
        <f>VLOOKUP(T414,Orgenheter!$A$1:$C$165,3,FALSE)</f>
        <v>Sam</v>
      </c>
      <c r="W414" s="37" t="str">
        <f>VLOOKUP(D414,Program!$A$1:$B$34,2,FALSE)</f>
        <v>Speciallärarprogrammet</v>
      </c>
      <c r="X414" s="42">
        <f>VLOOKUP(A414,kurspris!$A$1:$Q$815,15,FALSE)</f>
        <v>18405</v>
      </c>
      <c r="Y414" s="42">
        <f>VLOOKUP(A414,kurspris!$A$1:$Q$815,16,FALSE)</f>
        <v>15773</v>
      </c>
      <c r="Z414" s="42">
        <f t="shared" si="241"/>
        <v>23859.037499999999</v>
      </c>
      <c r="AA414" s="42">
        <f>VLOOKUP(A414,kurspris!$A$1:$Q$815,17,FALSE)</f>
        <v>5800</v>
      </c>
      <c r="AB414" s="42">
        <f t="shared" si="242"/>
        <v>4350</v>
      </c>
      <c r="AC414" s="42">
        <f t="shared" si="243"/>
        <v>28209.037499999999</v>
      </c>
      <c r="AD414" s="31">
        <f>VLOOKUP($A414,kurspris!$A$1:$Q$852,3,FALSE)</f>
        <v>0</v>
      </c>
      <c r="AE414" s="31">
        <f>VLOOKUP($A414,kurspris!$A$1:$Q$852,4,FALSE)</f>
        <v>0</v>
      </c>
      <c r="AF414" s="31">
        <f>VLOOKUP($A414,kurspris!$A$1:$Q$852,5,FALSE)</f>
        <v>0</v>
      </c>
      <c r="AG414" s="31">
        <f>VLOOKUP($A414,kurspris!$A$1:$Q$852,6,FALSE)</f>
        <v>0</v>
      </c>
      <c r="AH414" s="31">
        <f>VLOOKUP($A414,kurspris!$A$1:$Q$852,7,FALSE)</f>
        <v>0</v>
      </c>
      <c r="AI414" s="31">
        <f>VLOOKUP($A414,kurspris!$A$1:$Q$852,8,FALSE)</f>
        <v>0</v>
      </c>
      <c r="AJ414" s="31">
        <f>VLOOKUP($A414,kurspris!$A$1:$Q$852,9,FALSE)</f>
        <v>1</v>
      </c>
      <c r="AK414" s="31">
        <f>VLOOKUP($A414,kurspris!$A$1:$Q$852,10,FALSE)</f>
        <v>0</v>
      </c>
      <c r="AL414" s="31">
        <f>VLOOKUP($A414,kurspris!$A$1:$Q$852,11,FALSE)</f>
        <v>0</v>
      </c>
      <c r="AM414" s="31">
        <f>VLOOKUP($A414,kurspris!$A$1:$Q$852,12,FALSE)</f>
        <v>0</v>
      </c>
      <c r="AN414" s="31">
        <f>VLOOKUP($A414,kurspris!$A$1:$Q$852,13,FALSE)</f>
        <v>0</v>
      </c>
      <c r="AO414" s="31">
        <f>VLOOKUP($A414,kurspris!$A$1:$Q$852,14,FALSE)</f>
        <v>0</v>
      </c>
      <c r="AP414" s="59" t="s">
        <v>2216</v>
      </c>
      <c r="AR414" s="31">
        <f t="shared" si="244"/>
        <v>0</v>
      </c>
      <c r="AS414" s="237">
        <f t="shared" si="245"/>
        <v>0</v>
      </c>
      <c r="AT414" s="31">
        <f t="shared" si="246"/>
        <v>0</v>
      </c>
      <c r="AU414" s="237">
        <f t="shared" si="247"/>
        <v>0</v>
      </c>
      <c r="AV414" s="31">
        <f t="shared" si="248"/>
        <v>0</v>
      </c>
      <c r="AW414" s="31">
        <f t="shared" si="249"/>
        <v>0</v>
      </c>
      <c r="AX414" s="31">
        <f t="shared" si="250"/>
        <v>0</v>
      </c>
      <c r="AY414" s="237">
        <f t="shared" si="251"/>
        <v>0</v>
      </c>
      <c r="AZ414" s="214">
        <f t="shared" si="252"/>
        <v>0</v>
      </c>
      <c r="BA414" s="237">
        <f t="shared" si="253"/>
        <v>0</v>
      </c>
      <c r="BB414" s="31">
        <f t="shared" si="254"/>
        <v>0</v>
      </c>
      <c r="BC414" s="237">
        <f t="shared" si="255"/>
        <v>0</v>
      </c>
      <c r="BD414" s="31">
        <f t="shared" si="256"/>
        <v>0.75</v>
      </c>
      <c r="BE414" s="237">
        <f t="shared" si="257"/>
        <v>0.63749999999999996</v>
      </c>
      <c r="BF414" s="31">
        <f t="shared" si="258"/>
        <v>0</v>
      </c>
      <c r="BG414" s="237">
        <f t="shared" si="259"/>
        <v>0</v>
      </c>
      <c r="BH414" s="31">
        <f t="shared" si="260"/>
        <v>0</v>
      </c>
      <c r="BI414" s="237">
        <f t="shared" si="261"/>
        <v>0</v>
      </c>
      <c r="BJ414" s="31">
        <f t="shared" si="262"/>
        <v>0</v>
      </c>
      <c r="BK414" s="31">
        <f t="shared" si="263"/>
        <v>0</v>
      </c>
      <c r="BL414" s="237">
        <f t="shared" si="264"/>
        <v>0</v>
      </c>
      <c r="BM414" s="31">
        <f t="shared" si="265"/>
        <v>0</v>
      </c>
      <c r="BN414" s="237">
        <f t="shared" si="266"/>
        <v>0</v>
      </c>
    </row>
    <row r="415" spans="1:66" x14ac:dyDescent="0.25">
      <c r="A415" s="159" t="s">
        <v>2101</v>
      </c>
      <c r="B415" s="182" t="str">
        <f>VLOOKUP(A415,kurspris!$A$1:$B$894,2,FALSE)</f>
        <v>Neuropsykiatriska svårigheter - förhållningsätt, bemötande och strategier i pedagogisk verksamhet</v>
      </c>
      <c r="C415" s="37"/>
      <c r="D415" s="31" t="s">
        <v>117</v>
      </c>
      <c r="F415" s="59">
        <v>2019</v>
      </c>
      <c r="Q415" s="237">
        <v>14.25</v>
      </c>
      <c r="R415" s="40">
        <v>0.8</v>
      </c>
      <c r="S415" s="313">
        <f t="shared" si="240"/>
        <v>11.4</v>
      </c>
      <c r="T415" s="31">
        <f>VLOOKUP(A415,'Ansvar kurs'!$A$1:$C$1027,2,FALSE)</f>
        <v>2193</v>
      </c>
      <c r="U415" s="31" t="str">
        <f>VLOOKUP(T415,Orgenheter!$A$1:$C$165,2,FALSE)</f>
        <v xml:space="preserve">TUV </v>
      </c>
      <c r="V415" s="31" t="str">
        <f>VLOOKUP(T415,Orgenheter!$A$1:$C$165,3,FALSE)</f>
        <v>Sam</v>
      </c>
      <c r="W415" s="37" t="str">
        <f>VLOOKUP(D415,Program!$A$1:$B$34,2,FALSE)</f>
        <v>Fristående och övriga kurser</v>
      </c>
      <c r="X415" s="42">
        <f>VLOOKUP(A415,kurspris!$A$1:$Q$815,15,FALSE)</f>
        <v>18405</v>
      </c>
      <c r="Y415" s="42">
        <f>VLOOKUP(A415,kurspris!$A$1:$Q$815,16,FALSE)</f>
        <v>15773</v>
      </c>
      <c r="Z415" s="42">
        <f t="shared" si="241"/>
        <v>442083.45</v>
      </c>
      <c r="AA415" s="42">
        <f>VLOOKUP(A415,kurspris!$A$1:$Q$815,17,FALSE)</f>
        <v>5800</v>
      </c>
      <c r="AB415" s="42">
        <f t="shared" si="242"/>
        <v>82650</v>
      </c>
      <c r="AC415" s="42">
        <f t="shared" si="243"/>
        <v>524733.44999999995</v>
      </c>
      <c r="AD415" s="31">
        <f>VLOOKUP($A415,kurspris!$A$1:$Q$852,3,FALSE)</f>
        <v>0</v>
      </c>
      <c r="AE415" s="31">
        <f>VLOOKUP($A415,kurspris!$A$1:$Q$852,4,FALSE)</f>
        <v>0</v>
      </c>
      <c r="AF415" s="31">
        <f>VLOOKUP($A415,kurspris!$A$1:$Q$852,5,FALSE)</f>
        <v>0</v>
      </c>
      <c r="AG415" s="31">
        <f>VLOOKUP($A415,kurspris!$A$1:$Q$852,6,FALSE)</f>
        <v>0</v>
      </c>
      <c r="AH415" s="31">
        <f>VLOOKUP($A415,kurspris!$A$1:$Q$852,7,FALSE)</f>
        <v>0</v>
      </c>
      <c r="AI415" s="31">
        <f>VLOOKUP($A415,kurspris!$A$1:$Q$852,8,FALSE)</f>
        <v>0</v>
      </c>
      <c r="AJ415" s="31">
        <f>VLOOKUP($A415,kurspris!$A$1:$Q$852,9,FALSE)</f>
        <v>1</v>
      </c>
      <c r="AK415" s="31">
        <f>VLOOKUP($A415,kurspris!$A$1:$Q$852,10,FALSE)</f>
        <v>0</v>
      </c>
      <c r="AL415" s="31">
        <f>VLOOKUP($A415,kurspris!$A$1:$Q$852,11,FALSE)</f>
        <v>0</v>
      </c>
      <c r="AM415" s="31">
        <f>VLOOKUP($A415,kurspris!$A$1:$Q$852,12,FALSE)</f>
        <v>0</v>
      </c>
      <c r="AN415" s="31">
        <f>VLOOKUP($A415,kurspris!$A$1:$Q$852,13,FALSE)</f>
        <v>0</v>
      </c>
      <c r="AO415" s="31">
        <f>VLOOKUP($A415,kurspris!$A$1:$Q$852,14,FALSE)</f>
        <v>0</v>
      </c>
      <c r="AP415" s="59" t="s">
        <v>2216</v>
      </c>
      <c r="AR415" s="31">
        <f t="shared" si="244"/>
        <v>0</v>
      </c>
      <c r="AS415" s="237">
        <f t="shared" si="245"/>
        <v>0</v>
      </c>
      <c r="AT415" s="31">
        <f t="shared" si="246"/>
        <v>0</v>
      </c>
      <c r="AU415" s="237">
        <f t="shared" si="247"/>
        <v>0</v>
      </c>
      <c r="AV415" s="31">
        <f t="shared" si="248"/>
        <v>0</v>
      </c>
      <c r="AW415" s="31">
        <f t="shared" si="249"/>
        <v>0</v>
      </c>
      <c r="AX415" s="31">
        <f t="shared" si="250"/>
        <v>0</v>
      </c>
      <c r="AY415" s="237">
        <f t="shared" si="251"/>
        <v>0</v>
      </c>
      <c r="AZ415" s="214">
        <f t="shared" si="252"/>
        <v>0</v>
      </c>
      <c r="BA415" s="237">
        <f t="shared" si="253"/>
        <v>0</v>
      </c>
      <c r="BB415" s="31">
        <f t="shared" si="254"/>
        <v>0</v>
      </c>
      <c r="BC415" s="237">
        <f t="shared" si="255"/>
        <v>0</v>
      </c>
      <c r="BD415" s="31">
        <f t="shared" si="256"/>
        <v>14.25</v>
      </c>
      <c r="BE415" s="237">
        <f t="shared" si="257"/>
        <v>11.4</v>
      </c>
      <c r="BF415" s="31">
        <f t="shared" si="258"/>
        <v>0</v>
      </c>
      <c r="BG415" s="237">
        <f t="shared" si="259"/>
        <v>0</v>
      </c>
      <c r="BH415" s="31">
        <f t="shared" si="260"/>
        <v>0</v>
      </c>
      <c r="BI415" s="237">
        <f t="shared" si="261"/>
        <v>0</v>
      </c>
      <c r="BJ415" s="31">
        <f t="shared" si="262"/>
        <v>0</v>
      </c>
      <c r="BK415" s="31">
        <f t="shared" si="263"/>
        <v>0</v>
      </c>
      <c r="BL415" s="237">
        <f t="shared" si="264"/>
        <v>0</v>
      </c>
      <c r="BM415" s="31">
        <f t="shared" si="265"/>
        <v>0</v>
      </c>
      <c r="BN415" s="237">
        <f t="shared" si="266"/>
        <v>0</v>
      </c>
    </row>
    <row r="416" spans="1:66" x14ac:dyDescent="0.25">
      <c r="A416" s="159" t="s">
        <v>2050</v>
      </c>
      <c r="B416" s="182" t="str">
        <f>VLOOKUP(A416,kurspris!$A$1:$B$894,2,FALSE)</f>
        <v>Specialpedagogiska kunskapsområden</v>
      </c>
      <c r="C416" s="37"/>
      <c r="D416" s="31" t="s">
        <v>120</v>
      </c>
      <c r="F416" s="59">
        <v>2019</v>
      </c>
      <c r="N416" s="40"/>
      <c r="P416" s="387"/>
      <c r="Q416" s="237">
        <v>4.875</v>
      </c>
      <c r="R416" s="40">
        <v>0.85</v>
      </c>
      <c r="S416" s="313">
        <f t="shared" si="240"/>
        <v>4.1437499999999998</v>
      </c>
      <c r="T416" s="31">
        <f>VLOOKUP(A416,'Ansvar kurs'!$A$1:$C$1027,2,FALSE)</f>
        <v>2193</v>
      </c>
      <c r="U416" s="31" t="str">
        <f>VLOOKUP(T416,Orgenheter!$A$1:$C$165,2,FALSE)</f>
        <v xml:space="preserve">TUV </v>
      </c>
      <c r="V416" s="31" t="str">
        <f>VLOOKUP(T416,Orgenheter!$A$1:$C$165,3,FALSE)</f>
        <v>Sam</v>
      </c>
      <c r="W416" s="37" t="str">
        <f>VLOOKUP(D416,Program!$A$1:$B$34,2,FALSE)</f>
        <v>Specialpedagogprogrammet</v>
      </c>
      <c r="X416" s="42">
        <f>VLOOKUP(A416,kurspris!$A$1:$Q$815,15,FALSE)</f>
        <v>18405</v>
      </c>
      <c r="Y416" s="42">
        <f>VLOOKUP(A416,kurspris!$A$1:$Q$815,16,FALSE)</f>
        <v>15773</v>
      </c>
      <c r="Z416" s="42">
        <f t="shared" si="241"/>
        <v>155083.74374999999</v>
      </c>
      <c r="AA416" s="42">
        <f>VLOOKUP(A416,kurspris!$A$1:$Q$815,17,FALSE)</f>
        <v>5800</v>
      </c>
      <c r="AB416" s="42">
        <f t="shared" si="242"/>
        <v>28275</v>
      </c>
      <c r="AC416" s="42">
        <f t="shared" si="243"/>
        <v>183358.74374999999</v>
      </c>
      <c r="AD416" s="31">
        <f>VLOOKUP($A416,kurspris!$A$1:$Q$852,3,FALSE)</f>
        <v>0</v>
      </c>
      <c r="AE416" s="31">
        <f>VLOOKUP($A416,kurspris!$A$1:$Q$852,4,FALSE)</f>
        <v>0</v>
      </c>
      <c r="AF416" s="31">
        <f>VLOOKUP($A416,kurspris!$A$1:$Q$852,5,FALSE)</f>
        <v>0</v>
      </c>
      <c r="AG416" s="31">
        <f>VLOOKUP($A416,kurspris!$A$1:$Q$852,6,FALSE)</f>
        <v>0</v>
      </c>
      <c r="AH416" s="31">
        <f>VLOOKUP($A416,kurspris!$A$1:$Q$852,7,FALSE)</f>
        <v>0</v>
      </c>
      <c r="AI416" s="31">
        <f>VLOOKUP($A416,kurspris!$A$1:$Q$852,8,FALSE)</f>
        <v>0</v>
      </c>
      <c r="AJ416" s="31">
        <f>VLOOKUP($A416,kurspris!$A$1:$Q$852,9,FALSE)</f>
        <v>1</v>
      </c>
      <c r="AK416" s="31">
        <f>VLOOKUP($A416,kurspris!$A$1:$Q$852,10,FALSE)</f>
        <v>0</v>
      </c>
      <c r="AL416" s="31">
        <f>VLOOKUP($A416,kurspris!$A$1:$Q$852,11,FALSE)</f>
        <v>0</v>
      </c>
      <c r="AM416" s="31">
        <f>VLOOKUP($A416,kurspris!$A$1:$Q$852,12,FALSE)</f>
        <v>0</v>
      </c>
      <c r="AN416" s="31">
        <f>VLOOKUP($A416,kurspris!$A$1:$Q$852,13,FALSE)</f>
        <v>0</v>
      </c>
      <c r="AO416" s="31">
        <f>VLOOKUP($A416,kurspris!$A$1:$Q$852,14,FALSE)</f>
        <v>0</v>
      </c>
      <c r="AP416" s="59" t="s">
        <v>2216</v>
      </c>
      <c r="AR416" s="31">
        <f t="shared" si="244"/>
        <v>0</v>
      </c>
      <c r="AS416" s="237">
        <f t="shared" si="245"/>
        <v>0</v>
      </c>
      <c r="AT416" s="31">
        <f t="shared" si="246"/>
        <v>0</v>
      </c>
      <c r="AU416" s="237">
        <f t="shared" si="247"/>
        <v>0</v>
      </c>
      <c r="AV416" s="31">
        <f t="shared" si="248"/>
        <v>0</v>
      </c>
      <c r="AW416" s="31">
        <f t="shared" si="249"/>
        <v>0</v>
      </c>
      <c r="AX416" s="31">
        <f t="shared" si="250"/>
        <v>0</v>
      </c>
      <c r="AY416" s="237">
        <f t="shared" si="251"/>
        <v>0</v>
      </c>
      <c r="AZ416" s="214">
        <f t="shared" si="252"/>
        <v>0</v>
      </c>
      <c r="BA416" s="237">
        <f t="shared" si="253"/>
        <v>0</v>
      </c>
      <c r="BB416" s="31">
        <f t="shared" si="254"/>
        <v>0</v>
      </c>
      <c r="BC416" s="237">
        <f t="shared" si="255"/>
        <v>0</v>
      </c>
      <c r="BD416" s="31">
        <f t="shared" si="256"/>
        <v>4.875</v>
      </c>
      <c r="BE416" s="237">
        <f t="shared" si="257"/>
        <v>4.1437499999999998</v>
      </c>
      <c r="BF416" s="31">
        <f t="shared" si="258"/>
        <v>0</v>
      </c>
      <c r="BG416" s="237">
        <f t="shared" si="259"/>
        <v>0</v>
      </c>
      <c r="BH416" s="31">
        <f t="shared" si="260"/>
        <v>0</v>
      </c>
      <c r="BI416" s="237">
        <f t="shared" si="261"/>
        <v>0</v>
      </c>
      <c r="BJ416" s="31">
        <f t="shared" si="262"/>
        <v>0</v>
      </c>
      <c r="BK416" s="31">
        <f t="shared" si="263"/>
        <v>0</v>
      </c>
      <c r="BL416" s="237">
        <f t="shared" si="264"/>
        <v>0</v>
      </c>
      <c r="BM416" s="31">
        <f t="shared" si="265"/>
        <v>0</v>
      </c>
      <c r="BN416" s="237">
        <f t="shared" si="266"/>
        <v>0</v>
      </c>
    </row>
    <row r="417" spans="1:66" x14ac:dyDescent="0.25">
      <c r="A417" s="31" t="s">
        <v>2076</v>
      </c>
      <c r="B417" s="182" t="str">
        <f>VLOOKUP(A417,kurspris!$A$1:$B$894,2,FALSE)</f>
        <v>Vetenskaplig metodkurs Speciallärar- och specialpedagogprogrammen</v>
      </c>
      <c r="D417" s="31" t="s">
        <v>120</v>
      </c>
      <c r="E417" s="59"/>
      <c r="F417" s="59">
        <v>2019</v>
      </c>
      <c r="Q417" s="237">
        <v>4.25</v>
      </c>
      <c r="R417" s="40">
        <v>0.85</v>
      </c>
      <c r="S417" s="313">
        <f t="shared" si="240"/>
        <v>3.6124999999999998</v>
      </c>
      <c r="T417" s="31">
        <f>VLOOKUP(A417,'Ansvar kurs'!$A$1:$C$1027,2,FALSE)</f>
        <v>2180</v>
      </c>
      <c r="U417" s="31" t="str">
        <f>VLOOKUP(T417,Orgenheter!$A$1:$C$165,2,FALSE)</f>
        <v xml:space="preserve">Pedagogik                     </v>
      </c>
      <c r="V417" s="31" t="str">
        <f>VLOOKUP(T417,Orgenheter!$A$1:$C$165,3,FALSE)</f>
        <v>Sam</v>
      </c>
      <c r="W417" s="37" t="str">
        <f>VLOOKUP(D417,Program!$A$1:$B$34,2,FALSE)</f>
        <v>Specialpedagogprogrammet</v>
      </c>
      <c r="X417" s="42">
        <f>VLOOKUP(A417,kurspris!$A$1:$Q$815,15,FALSE)</f>
        <v>18405</v>
      </c>
      <c r="Y417" s="42">
        <f>VLOOKUP(A417,kurspris!$A$1:$Q$815,16,FALSE)</f>
        <v>15773</v>
      </c>
      <c r="Z417" s="42">
        <f t="shared" si="241"/>
        <v>135201.21249999999</v>
      </c>
      <c r="AA417" s="42">
        <f>VLOOKUP(A417,kurspris!$A$1:$Q$815,17,FALSE)</f>
        <v>5800</v>
      </c>
      <c r="AB417" s="42">
        <f t="shared" si="242"/>
        <v>24650</v>
      </c>
      <c r="AC417" s="42">
        <f t="shared" si="243"/>
        <v>159851.21249999999</v>
      </c>
      <c r="AD417" s="31">
        <f>VLOOKUP($A417,kurspris!$A$1:$Q$852,3,FALSE)</f>
        <v>0</v>
      </c>
      <c r="AE417" s="31">
        <f>VLOOKUP($A417,kurspris!$A$1:$Q$852,4,FALSE)</f>
        <v>0</v>
      </c>
      <c r="AF417" s="31">
        <f>VLOOKUP($A417,kurspris!$A$1:$Q$852,5,FALSE)</f>
        <v>0</v>
      </c>
      <c r="AG417" s="31">
        <f>VLOOKUP($A417,kurspris!$A$1:$Q$852,6,FALSE)</f>
        <v>0</v>
      </c>
      <c r="AH417" s="31">
        <f>VLOOKUP($A417,kurspris!$A$1:$Q$852,7,FALSE)</f>
        <v>0</v>
      </c>
      <c r="AI417" s="31">
        <f>VLOOKUP($A417,kurspris!$A$1:$Q$852,8,FALSE)</f>
        <v>0</v>
      </c>
      <c r="AJ417" s="31">
        <f>VLOOKUP($A417,kurspris!$A$1:$Q$852,9,FALSE)</f>
        <v>1</v>
      </c>
      <c r="AK417" s="31">
        <f>VLOOKUP($A417,kurspris!$A$1:$Q$852,10,FALSE)</f>
        <v>0</v>
      </c>
      <c r="AL417" s="31">
        <f>VLOOKUP($A417,kurspris!$A$1:$Q$852,11,FALSE)</f>
        <v>0</v>
      </c>
      <c r="AM417" s="31">
        <f>VLOOKUP($A417,kurspris!$A$1:$Q$852,12,FALSE)</f>
        <v>0</v>
      </c>
      <c r="AN417" s="31">
        <f>VLOOKUP($A417,kurspris!$A$1:$Q$852,13,FALSE)</f>
        <v>0</v>
      </c>
      <c r="AO417" s="31">
        <f>VLOOKUP($A417,kurspris!$A$1:$Q$852,14,FALSE)</f>
        <v>0</v>
      </c>
      <c r="AP417" s="59" t="s">
        <v>2216</v>
      </c>
      <c r="AR417" s="31">
        <f t="shared" si="244"/>
        <v>0</v>
      </c>
      <c r="AS417" s="237">
        <f t="shared" si="245"/>
        <v>0</v>
      </c>
      <c r="AT417" s="31">
        <f t="shared" si="246"/>
        <v>0</v>
      </c>
      <c r="AU417" s="237">
        <f t="shared" si="247"/>
        <v>0</v>
      </c>
      <c r="AV417" s="31">
        <f t="shared" si="248"/>
        <v>0</v>
      </c>
      <c r="AW417" s="31">
        <f t="shared" si="249"/>
        <v>0</v>
      </c>
      <c r="AX417" s="31">
        <f t="shared" si="250"/>
        <v>0</v>
      </c>
      <c r="AY417" s="237">
        <f t="shared" si="251"/>
        <v>0</v>
      </c>
      <c r="AZ417" s="214">
        <f t="shared" si="252"/>
        <v>0</v>
      </c>
      <c r="BA417" s="237">
        <f t="shared" si="253"/>
        <v>0</v>
      </c>
      <c r="BB417" s="31">
        <f t="shared" si="254"/>
        <v>0</v>
      </c>
      <c r="BC417" s="237">
        <f t="shared" si="255"/>
        <v>0</v>
      </c>
      <c r="BD417" s="31">
        <f t="shared" si="256"/>
        <v>4.25</v>
      </c>
      <c r="BE417" s="237">
        <f t="shared" si="257"/>
        <v>3.6124999999999998</v>
      </c>
      <c r="BF417" s="31">
        <f t="shared" si="258"/>
        <v>0</v>
      </c>
      <c r="BG417" s="237">
        <f t="shared" si="259"/>
        <v>0</v>
      </c>
      <c r="BH417" s="31">
        <f t="shared" si="260"/>
        <v>0</v>
      </c>
      <c r="BI417" s="237">
        <f t="shared" si="261"/>
        <v>0</v>
      </c>
      <c r="BJ417" s="31">
        <f t="shared" si="262"/>
        <v>0</v>
      </c>
      <c r="BK417" s="31">
        <f t="shared" si="263"/>
        <v>0</v>
      </c>
      <c r="BL417" s="237">
        <f t="shared" si="264"/>
        <v>0</v>
      </c>
      <c r="BM417" s="31">
        <f t="shared" si="265"/>
        <v>0</v>
      </c>
      <c r="BN417" s="237">
        <f t="shared" si="266"/>
        <v>0</v>
      </c>
    </row>
    <row r="418" spans="1:66" x14ac:dyDescent="0.25">
      <c r="A418" s="159" t="s">
        <v>2076</v>
      </c>
      <c r="B418" s="182" t="str">
        <f>VLOOKUP(A418,kurspris!$A$1:$B$894,2,FALSE)</f>
        <v>Vetenskaplig metodkurs Speciallärar- och specialpedagogprogrammen</v>
      </c>
      <c r="C418" s="37"/>
      <c r="D418" s="31" t="s">
        <v>115</v>
      </c>
      <c r="F418" s="59">
        <v>2019</v>
      </c>
      <c r="N418" s="40"/>
      <c r="P418" s="387"/>
      <c r="Q418" s="237">
        <v>3.625</v>
      </c>
      <c r="R418" s="40">
        <v>0.85</v>
      </c>
      <c r="S418" s="313">
        <f t="shared" si="240"/>
        <v>3.0812499999999998</v>
      </c>
      <c r="T418" s="31">
        <f>VLOOKUP(A418,'Ansvar kurs'!$A$1:$C$1027,2,FALSE)</f>
        <v>2180</v>
      </c>
      <c r="U418" s="31" t="str">
        <f>VLOOKUP(T418,Orgenheter!$A$1:$C$165,2,FALSE)</f>
        <v xml:space="preserve">Pedagogik                     </v>
      </c>
      <c r="V418" s="31" t="str">
        <f>VLOOKUP(T418,Orgenheter!$A$1:$C$165,3,FALSE)</f>
        <v>Sam</v>
      </c>
      <c r="W418" s="37" t="str">
        <f>VLOOKUP(D418,Program!$A$1:$B$34,2,FALSE)</f>
        <v>Speciallärarprogrammet</v>
      </c>
      <c r="X418" s="42">
        <f>VLOOKUP(A418,kurspris!$A$1:$Q$815,15,FALSE)</f>
        <v>18405</v>
      </c>
      <c r="Y418" s="42">
        <f>VLOOKUP(A418,kurspris!$A$1:$Q$815,16,FALSE)</f>
        <v>15773</v>
      </c>
      <c r="Z418" s="42">
        <f t="shared" si="241"/>
        <v>115318.68124999999</v>
      </c>
      <c r="AA418" s="42">
        <f>VLOOKUP(A418,kurspris!$A$1:$Q$815,17,FALSE)</f>
        <v>5800</v>
      </c>
      <c r="AB418" s="42">
        <f t="shared" si="242"/>
        <v>21025</v>
      </c>
      <c r="AC418" s="42">
        <f t="shared" si="243"/>
        <v>136343.68124999999</v>
      </c>
      <c r="AD418" s="31">
        <f>VLOOKUP($A418,kurspris!$A$1:$Q$852,3,FALSE)</f>
        <v>0</v>
      </c>
      <c r="AE418" s="31">
        <f>VLOOKUP($A418,kurspris!$A$1:$Q$852,4,FALSE)</f>
        <v>0</v>
      </c>
      <c r="AF418" s="31">
        <f>VLOOKUP($A418,kurspris!$A$1:$Q$852,5,FALSE)</f>
        <v>0</v>
      </c>
      <c r="AG418" s="31">
        <f>VLOOKUP($A418,kurspris!$A$1:$Q$852,6,FALSE)</f>
        <v>0</v>
      </c>
      <c r="AH418" s="31">
        <f>VLOOKUP($A418,kurspris!$A$1:$Q$852,7,FALSE)</f>
        <v>0</v>
      </c>
      <c r="AI418" s="31">
        <f>VLOOKUP($A418,kurspris!$A$1:$Q$852,8,FALSE)</f>
        <v>0</v>
      </c>
      <c r="AJ418" s="31">
        <f>VLOOKUP($A418,kurspris!$A$1:$Q$852,9,FALSE)</f>
        <v>1</v>
      </c>
      <c r="AK418" s="31">
        <f>VLOOKUP($A418,kurspris!$A$1:$Q$852,10,FALSE)</f>
        <v>0</v>
      </c>
      <c r="AL418" s="31">
        <f>VLOOKUP($A418,kurspris!$A$1:$Q$852,11,FALSE)</f>
        <v>0</v>
      </c>
      <c r="AM418" s="31">
        <f>VLOOKUP($A418,kurspris!$A$1:$Q$852,12,FALSE)</f>
        <v>0</v>
      </c>
      <c r="AN418" s="31">
        <f>VLOOKUP($A418,kurspris!$A$1:$Q$852,13,FALSE)</f>
        <v>0</v>
      </c>
      <c r="AO418" s="31">
        <f>VLOOKUP($A418,kurspris!$A$1:$Q$852,14,FALSE)</f>
        <v>0</v>
      </c>
      <c r="AP418" s="59" t="s">
        <v>2216</v>
      </c>
      <c r="AR418" s="31">
        <f t="shared" si="244"/>
        <v>0</v>
      </c>
      <c r="AS418" s="237">
        <f t="shared" si="245"/>
        <v>0</v>
      </c>
      <c r="AT418" s="31">
        <f t="shared" si="246"/>
        <v>0</v>
      </c>
      <c r="AU418" s="237">
        <f t="shared" si="247"/>
        <v>0</v>
      </c>
      <c r="AV418" s="31">
        <f t="shared" si="248"/>
        <v>0</v>
      </c>
      <c r="AW418" s="31">
        <f t="shared" si="249"/>
        <v>0</v>
      </c>
      <c r="AX418" s="31">
        <f t="shared" si="250"/>
        <v>0</v>
      </c>
      <c r="AY418" s="237">
        <f t="shared" si="251"/>
        <v>0</v>
      </c>
      <c r="AZ418" s="214">
        <f t="shared" si="252"/>
        <v>0</v>
      </c>
      <c r="BA418" s="237">
        <f t="shared" si="253"/>
        <v>0</v>
      </c>
      <c r="BB418" s="31">
        <f t="shared" si="254"/>
        <v>0</v>
      </c>
      <c r="BC418" s="237">
        <f t="shared" si="255"/>
        <v>0</v>
      </c>
      <c r="BD418" s="31">
        <f t="shared" si="256"/>
        <v>3.625</v>
      </c>
      <c r="BE418" s="237">
        <f t="shared" si="257"/>
        <v>3.0812499999999998</v>
      </c>
      <c r="BF418" s="31">
        <f t="shared" si="258"/>
        <v>0</v>
      </c>
      <c r="BG418" s="237">
        <f t="shared" si="259"/>
        <v>0</v>
      </c>
      <c r="BH418" s="31">
        <f t="shared" si="260"/>
        <v>0</v>
      </c>
      <c r="BI418" s="237">
        <f t="shared" si="261"/>
        <v>0</v>
      </c>
      <c r="BJ418" s="31">
        <f t="shared" si="262"/>
        <v>0</v>
      </c>
      <c r="BK418" s="31">
        <f t="shared" si="263"/>
        <v>0</v>
      </c>
      <c r="BL418" s="237">
        <f t="shared" si="264"/>
        <v>0</v>
      </c>
      <c r="BM418" s="31">
        <f t="shared" si="265"/>
        <v>0</v>
      </c>
      <c r="BN418" s="237">
        <f t="shared" si="266"/>
        <v>0</v>
      </c>
    </row>
    <row r="419" spans="1:66" x14ac:dyDescent="0.25">
      <c r="A419" s="159" t="s">
        <v>2080</v>
      </c>
      <c r="B419" s="182" t="str">
        <f>VLOOKUP(A419,kurspris!$A$1:$B$894,2,FALSE)</f>
        <v>Examensarbete speciallärarprogrammet med specialisering mot utvecklingsstörning</v>
      </c>
      <c r="C419" s="37"/>
      <c r="D419" s="31" t="s">
        <v>115</v>
      </c>
      <c r="F419" s="59">
        <v>2019</v>
      </c>
      <c r="Q419" s="237">
        <v>0.75</v>
      </c>
      <c r="R419" s="40">
        <v>0.85</v>
      </c>
      <c r="S419" s="313">
        <f t="shared" si="240"/>
        <v>0.63749999999999996</v>
      </c>
      <c r="T419" s="31">
        <f>VLOOKUP(A419,'Ansvar kurs'!$A$1:$C$1027,2,FALSE)</f>
        <v>2180</v>
      </c>
      <c r="U419" s="31" t="str">
        <f>VLOOKUP(T419,Orgenheter!$A$1:$C$165,2,FALSE)</f>
        <v xml:space="preserve">Pedagogik                     </v>
      </c>
      <c r="V419" s="31" t="str">
        <f>VLOOKUP(T419,Orgenheter!$A$1:$C$165,3,FALSE)</f>
        <v>Sam</v>
      </c>
      <c r="W419" s="37" t="str">
        <f>VLOOKUP(D419,Program!$A$1:$B$34,2,FALSE)</f>
        <v>Speciallärarprogrammet</v>
      </c>
      <c r="X419" s="42">
        <f>VLOOKUP(A419,kurspris!$A$1:$Q$815,15,FALSE)</f>
        <v>18405</v>
      </c>
      <c r="Y419" s="42">
        <f>VLOOKUP(A419,kurspris!$A$1:$Q$815,16,FALSE)</f>
        <v>15773</v>
      </c>
      <c r="Z419" s="42">
        <f t="shared" si="241"/>
        <v>23859.037499999999</v>
      </c>
      <c r="AA419" s="42">
        <f>VLOOKUP(A419,kurspris!$A$1:$Q$815,17,FALSE)</f>
        <v>5800</v>
      </c>
      <c r="AB419" s="42">
        <f t="shared" si="242"/>
        <v>4350</v>
      </c>
      <c r="AC419" s="42">
        <f t="shared" si="243"/>
        <v>28209.037499999999</v>
      </c>
      <c r="AD419" s="31">
        <f>VLOOKUP($A419,kurspris!$A$1:$Q$852,3,FALSE)</f>
        <v>0</v>
      </c>
      <c r="AE419" s="31">
        <f>VLOOKUP($A419,kurspris!$A$1:$Q$852,4,FALSE)</f>
        <v>0</v>
      </c>
      <c r="AF419" s="31">
        <f>VLOOKUP($A419,kurspris!$A$1:$Q$852,5,FALSE)</f>
        <v>0</v>
      </c>
      <c r="AG419" s="31">
        <f>VLOOKUP($A419,kurspris!$A$1:$Q$852,6,FALSE)</f>
        <v>0</v>
      </c>
      <c r="AH419" s="31">
        <f>VLOOKUP($A419,kurspris!$A$1:$Q$852,7,FALSE)</f>
        <v>0</v>
      </c>
      <c r="AI419" s="31">
        <f>VLOOKUP($A419,kurspris!$A$1:$Q$852,8,FALSE)</f>
        <v>0</v>
      </c>
      <c r="AJ419" s="31">
        <f>VLOOKUP($A419,kurspris!$A$1:$Q$852,9,FALSE)</f>
        <v>1</v>
      </c>
      <c r="AK419" s="31">
        <f>VLOOKUP($A419,kurspris!$A$1:$Q$852,10,FALSE)</f>
        <v>0</v>
      </c>
      <c r="AL419" s="31">
        <f>VLOOKUP($A419,kurspris!$A$1:$Q$852,11,FALSE)</f>
        <v>0</v>
      </c>
      <c r="AM419" s="31">
        <f>VLOOKUP($A419,kurspris!$A$1:$Q$852,12,FALSE)</f>
        <v>0</v>
      </c>
      <c r="AN419" s="31">
        <f>VLOOKUP($A419,kurspris!$A$1:$Q$852,13,FALSE)</f>
        <v>0</v>
      </c>
      <c r="AO419" s="31">
        <f>VLOOKUP($A419,kurspris!$A$1:$Q$852,14,FALSE)</f>
        <v>0</v>
      </c>
      <c r="AP419" s="59" t="s">
        <v>2216</v>
      </c>
      <c r="AR419" s="31">
        <f t="shared" si="244"/>
        <v>0</v>
      </c>
      <c r="AS419" s="237">
        <f t="shared" si="245"/>
        <v>0</v>
      </c>
      <c r="AT419" s="31">
        <f t="shared" si="246"/>
        <v>0</v>
      </c>
      <c r="AU419" s="237">
        <f t="shared" si="247"/>
        <v>0</v>
      </c>
      <c r="AV419" s="31">
        <f t="shared" si="248"/>
        <v>0</v>
      </c>
      <c r="AW419" s="31">
        <f t="shared" si="249"/>
        <v>0</v>
      </c>
      <c r="AX419" s="31">
        <f t="shared" si="250"/>
        <v>0</v>
      </c>
      <c r="AY419" s="237">
        <f t="shared" si="251"/>
        <v>0</v>
      </c>
      <c r="AZ419" s="214">
        <f t="shared" si="252"/>
        <v>0</v>
      </c>
      <c r="BA419" s="237">
        <f t="shared" si="253"/>
        <v>0</v>
      </c>
      <c r="BB419" s="31">
        <f t="shared" si="254"/>
        <v>0</v>
      </c>
      <c r="BC419" s="237">
        <f t="shared" si="255"/>
        <v>0</v>
      </c>
      <c r="BD419" s="31">
        <f t="shared" si="256"/>
        <v>0.75</v>
      </c>
      <c r="BE419" s="237">
        <f t="shared" si="257"/>
        <v>0.63749999999999996</v>
      </c>
      <c r="BF419" s="31">
        <f t="shared" si="258"/>
        <v>0</v>
      </c>
      <c r="BG419" s="237">
        <f t="shared" si="259"/>
        <v>0</v>
      </c>
      <c r="BH419" s="31">
        <f t="shared" si="260"/>
        <v>0</v>
      </c>
      <c r="BI419" s="237">
        <f t="shared" si="261"/>
        <v>0</v>
      </c>
      <c r="BJ419" s="31">
        <f t="shared" si="262"/>
        <v>0</v>
      </c>
      <c r="BK419" s="31">
        <f t="shared" si="263"/>
        <v>0</v>
      </c>
      <c r="BL419" s="237">
        <f t="shared" si="264"/>
        <v>0</v>
      </c>
      <c r="BM419" s="31">
        <f t="shared" si="265"/>
        <v>0</v>
      </c>
      <c r="BN419" s="237">
        <f t="shared" si="266"/>
        <v>0</v>
      </c>
    </row>
    <row r="420" spans="1:66" x14ac:dyDescent="0.25">
      <c r="A420" s="159" t="s">
        <v>2078</v>
      </c>
      <c r="B420" s="182" t="str">
        <f>VLOOKUP(A420,kurspris!$A$1:$B$894,2,FALSE)</f>
        <v>Eamensarbete specialpedagogprogrammet</v>
      </c>
      <c r="C420" s="37"/>
      <c r="D420" s="31" t="s">
        <v>120</v>
      </c>
      <c r="F420" s="59">
        <v>2019</v>
      </c>
      <c r="Q420" s="237">
        <v>9.25</v>
      </c>
      <c r="R420" s="40">
        <v>0.85</v>
      </c>
      <c r="S420" s="313">
        <f t="shared" si="240"/>
        <v>7.8624999999999998</v>
      </c>
      <c r="T420" s="31">
        <f>VLOOKUP(A420,'Ansvar kurs'!$A$1:$C$1027,2,FALSE)</f>
        <v>2180</v>
      </c>
      <c r="U420" s="31" t="str">
        <f>VLOOKUP(T420,Orgenheter!$A$1:$C$165,2,FALSE)</f>
        <v xml:space="preserve">Pedagogik                     </v>
      </c>
      <c r="V420" s="31" t="str">
        <f>VLOOKUP(T420,Orgenheter!$A$1:$C$165,3,FALSE)</f>
        <v>Sam</v>
      </c>
      <c r="W420" s="37" t="str">
        <f>VLOOKUP(D420,Program!$A$1:$B$34,2,FALSE)</f>
        <v>Specialpedagogprogrammet</v>
      </c>
      <c r="X420" s="42">
        <f>VLOOKUP(A420,kurspris!$A$1:$Q$815,15,FALSE)</f>
        <v>18405</v>
      </c>
      <c r="Y420" s="42">
        <f>VLOOKUP(A420,kurspris!$A$1:$Q$815,16,FALSE)</f>
        <v>15773</v>
      </c>
      <c r="Z420" s="42">
        <f t="shared" si="241"/>
        <v>294261.46250000002</v>
      </c>
      <c r="AA420" s="42">
        <f>VLOOKUP(A420,kurspris!$A$1:$Q$815,17,FALSE)</f>
        <v>5800</v>
      </c>
      <c r="AB420" s="42">
        <f t="shared" si="242"/>
        <v>53650</v>
      </c>
      <c r="AC420" s="42">
        <f t="shared" si="243"/>
        <v>347911.46250000002</v>
      </c>
      <c r="AD420" s="31">
        <f>VLOOKUP($A420,kurspris!$A$1:$Q$852,3,FALSE)</f>
        <v>0</v>
      </c>
      <c r="AE420" s="31">
        <f>VLOOKUP($A420,kurspris!$A$1:$Q$852,4,FALSE)</f>
        <v>0</v>
      </c>
      <c r="AF420" s="31">
        <f>VLOOKUP($A420,kurspris!$A$1:$Q$852,5,FALSE)</f>
        <v>0</v>
      </c>
      <c r="AG420" s="31">
        <f>VLOOKUP($A420,kurspris!$A$1:$Q$852,6,FALSE)</f>
        <v>0</v>
      </c>
      <c r="AH420" s="31">
        <f>VLOOKUP($A420,kurspris!$A$1:$Q$852,7,FALSE)</f>
        <v>0</v>
      </c>
      <c r="AI420" s="31">
        <f>VLOOKUP($A420,kurspris!$A$1:$Q$852,8,FALSE)</f>
        <v>0</v>
      </c>
      <c r="AJ420" s="31">
        <f>VLOOKUP($A420,kurspris!$A$1:$Q$852,9,FALSE)</f>
        <v>1</v>
      </c>
      <c r="AK420" s="31">
        <f>VLOOKUP($A420,kurspris!$A$1:$Q$852,10,FALSE)</f>
        <v>0</v>
      </c>
      <c r="AL420" s="31">
        <f>VLOOKUP($A420,kurspris!$A$1:$Q$852,11,FALSE)</f>
        <v>0</v>
      </c>
      <c r="AM420" s="31">
        <f>VLOOKUP($A420,kurspris!$A$1:$Q$852,12,FALSE)</f>
        <v>0</v>
      </c>
      <c r="AN420" s="31">
        <f>VLOOKUP($A420,kurspris!$A$1:$Q$852,13,FALSE)</f>
        <v>0</v>
      </c>
      <c r="AO420" s="31">
        <f>VLOOKUP($A420,kurspris!$A$1:$Q$852,14,FALSE)</f>
        <v>0</v>
      </c>
      <c r="AP420" s="59" t="s">
        <v>2216</v>
      </c>
      <c r="AR420" s="31">
        <f t="shared" si="244"/>
        <v>0</v>
      </c>
      <c r="AS420" s="237">
        <f t="shared" si="245"/>
        <v>0</v>
      </c>
      <c r="AT420" s="31">
        <f t="shared" si="246"/>
        <v>0</v>
      </c>
      <c r="AU420" s="237">
        <f t="shared" si="247"/>
        <v>0</v>
      </c>
      <c r="AV420" s="31">
        <f t="shared" si="248"/>
        <v>0</v>
      </c>
      <c r="AW420" s="31">
        <f t="shared" si="249"/>
        <v>0</v>
      </c>
      <c r="AX420" s="31">
        <f t="shared" si="250"/>
        <v>0</v>
      </c>
      <c r="AY420" s="237">
        <f t="shared" si="251"/>
        <v>0</v>
      </c>
      <c r="AZ420" s="214">
        <f t="shared" si="252"/>
        <v>0</v>
      </c>
      <c r="BA420" s="237">
        <f t="shared" si="253"/>
        <v>0</v>
      </c>
      <c r="BB420" s="31">
        <f t="shared" si="254"/>
        <v>0</v>
      </c>
      <c r="BC420" s="237">
        <f t="shared" si="255"/>
        <v>0</v>
      </c>
      <c r="BD420" s="31">
        <f t="shared" si="256"/>
        <v>9.25</v>
      </c>
      <c r="BE420" s="237">
        <f t="shared" si="257"/>
        <v>7.8624999999999998</v>
      </c>
      <c r="BF420" s="31">
        <f t="shared" si="258"/>
        <v>0</v>
      </c>
      <c r="BG420" s="237">
        <f t="shared" si="259"/>
        <v>0</v>
      </c>
      <c r="BH420" s="31">
        <f t="shared" si="260"/>
        <v>0</v>
      </c>
      <c r="BI420" s="237">
        <f t="shared" si="261"/>
        <v>0</v>
      </c>
      <c r="BJ420" s="31">
        <f t="shared" si="262"/>
        <v>0</v>
      </c>
      <c r="BK420" s="31">
        <f t="shared" si="263"/>
        <v>0</v>
      </c>
      <c r="BL420" s="237">
        <f t="shared" si="264"/>
        <v>0</v>
      </c>
      <c r="BM420" s="31">
        <f t="shared" si="265"/>
        <v>0</v>
      </c>
      <c r="BN420" s="237">
        <f t="shared" si="266"/>
        <v>0</v>
      </c>
    </row>
    <row r="421" spans="1:66" x14ac:dyDescent="0.25">
      <c r="A421" s="59" t="s">
        <v>101</v>
      </c>
      <c r="B421" s="182" t="str">
        <f>VLOOKUP(A421,kurspris!$A$1:$B$894,2,FALSE)</f>
        <v>Politik och samhälle</v>
      </c>
      <c r="D421" s="59" t="s">
        <v>85</v>
      </c>
      <c r="E421" s="62"/>
      <c r="F421" s="59">
        <v>2019</v>
      </c>
      <c r="M421" s="388"/>
      <c r="N421" s="40"/>
      <c r="P421" s="387"/>
      <c r="Q421" s="237">
        <v>11.25</v>
      </c>
      <c r="R421" s="40">
        <v>0.85</v>
      </c>
      <c r="S421" s="313">
        <f t="shared" si="240"/>
        <v>9.5625</v>
      </c>
      <c r="T421" s="31">
        <f>VLOOKUP(A421,'Ansvar kurs'!$A$1:$C$1027,2,FALSE)</f>
        <v>2340</v>
      </c>
      <c r="U421" s="31" t="str">
        <f>VLOOKUP(T421,Orgenheter!$A$1:$C$165,2,FALSE)</f>
        <v xml:space="preserve">Statsvetenskap                </v>
      </c>
      <c r="V421" s="31" t="str">
        <f>VLOOKUP(T421,Orgenheter!$A$1:$C$165,3,FALSE)</f>
        <v>Sam</v>
      </c>
      <c r="W421" s="37" t="str">
        <f>VLOOKUP(D421,Program!$A$1:$B$34,2,FALSE)</f>
        <v>Studie- och yrkesvägledarprogram</v>
      </c>
      <c r="X421" s="42">
        <f>VLOOKUP(A421,kurspris!$A$1:$Q$815,15,FALSE)</f>
        <v>18405</v>
      </c>
      <c r="Y421" s="42">
        <f>VLOOKUP(A421,kurspris!$A$1:$Q$815,16,FALSE)</f>
        <v>15773</v>
      </c>
      <c r="Z421" s="42">
        <f t="shared" si="241"/>
        <v>357885.5625</v>
      </c>
      <c r="AA421" s="42">
        <f>VLOOKUP(A421,kurspris!$A$1:$Q$815,17,FALSE)</f>
        <v>5800</v>
      </c>
      <c r="AB421" s="42">
        <f t="shared" si="242"/>
        <v>65250</v>
      </c>
      <c r="AC421" s="42">
        <f t="shared" si="243"/>
        <v>423135.5625</v>
      </c>
      <c r="AD421" s="31">
        <f>VLOOKUP($A421,kurspris!$A$1:$Q$852,3,FALSE)</f>
        <v>0</v>
      </c>
      <c r="AE421" s="31">
        <f>VLOOKUP($A421,kurspris!$A$1:$Q$852,4,FALSE)</f>
        <v>0</v>
      </c>
      <c r="AF421" s="31">
        <f>VLOOKUP($A421,kurspris!$A$1:$Q$852,5,FALSE)</f>
        <v>0</v>
      </c>
      <c r="AG421" s="31">
        <f>VLOOKUP($A421,kurspris!$A$1:$Q$852,6,FALSE)</f>
        <v>0</v>
      </c>
      <c r="AH421" s="31">
        <f>VLOOKUP($A421,kurspris!$A$1:$Q$852,7,FALSE)</f>
        <v>0</v>
      </c>
      <c r="AI421" s="31">
        <f>VLOOKUP($A421,kurspris!$A$1:$Q$852,8,FALSE)</f>
        <v>0</v>
      </c>
      <c r="AJ421" s="31">
        <f>VLOOKUP($A421,kurspris!$A$1:$Q$852,9,FALSE)</f>
        <v>1</v>
      </c>
      <c r="AK421" s="31">
        <f>VLOOKUP($A421,kurspris!$A$1:$Q$852,10,FALSE)</f>
        <v>0</v>
      </c>
      <c r="AL421" s="31">
        <f>VLOOKUP($A421,kurspris!$A$1:$Q$852,11,FALSE)</f>
        <v>0</v>
      </c>
      <c r="AM421" s="31">
        <f>VLOOKUP($A421,kurspris!$A$1:$Q$852,12,FALSE)</f>
        <v>0</v>
      </c>
      <c r="AN421" s="31">
        <f>VLOOKUP($A421,kurspris!$A$1:$Q$852,13,FALSE)</f>
        <v>0</v>
      </c>
      <c r="AO421" s="31">
        <f>VLOOKUP($A421,kurspris!$A$1:$Q$852,14,FALSE)</f>
        <v>0</v>
      </c>
      <c r="AP421" s="59" t="s">
        <v>2216</v>
      </c>
      <c r="AR421" s="31">
        <f t="shared" si="244"/>
        <v>0</v>
      </c>
      <c r="AS421" s="237">
        <f t="shared" si="245"/>
        <v>0</v>
      </c>
      <c r="AT421" s="31">
        <f t="shared" si="246"/>
        <v>0</v>
      </c>
      <c r="AU421" s="237">
        <f t="shared" si="247"/>
        <v>0</v>
      </c>
      <c r="AV421" s="31">
        <f t="shared" si="248"/>
        <v>0</v>
      </c>
      <c r="AW421" s="31">
        <f t="shared" si="249"/>
        <v>0</v>
      </c>
      <c r="AX421" s="31">
        <f t="shared" si="250"/>
        <v>0</v>
      </c>
      <c r="AY421" s="237">
        <f t="shared" si="251"/>
        <v>0</v>
      </c>
      <c r="AZ421" s="214">
        <f t="shared" si="252"/>
        <v>0</v>
      </c>
      <c r="BA421" s="237">
        <f t="shared" si="253"/>
        <v>0</v>
      </c>
      <c r="BB421" s="31">
        <f t="shared" si="254"/>
        <v>0</v>
      </c>
      <c r="BC421" s="237">
        <f t="shared" si="255"/>
        <v>0</v>
      </c>
      <c r="BD421" s="31">
        <f t="shared" si="256"/>
        <v>11.25</v>
      </c>
      <c r="BE421" s="237">
        <f t="shared" si="257"/>
        <v>9.5625</v>
      </c>
      <c r="BF421" s="31">
        <f t="shared" si="258"/>
        <v>0</v>
      </c>
      <c r="BG421" s="237">
        <f t="shared" si="259"/>
        <v>0</v>
      </c>
      <c r="BH421" s="31">
        <f t="shared" si="260"/>
        <v>0</v>
      </c>
      <c r="BI421" s="237">
        <f t="shared" si="261"/>
        <v>0</v>
      </c>
      <c r="BJ421" s="31">
        <f t="shared" si="262"/>
        <v>0</v>
      </c>
      <c r="BK421" s="31">
        <f t="shared" si="263"/>
        <v>0</v>
      </c>
      <c r="BL421" s="237">
        <f t="shared" si="264"/>
        <v>0</v>
      </c>
      <c r="BM421" s="31">
        <f t="shared" si="265"/>
        <v>0</v>
      </c>
      <c r="BN421" s="237">
        <f t="shared" si="266"/>
        <v>0</v>
      </c>
    </row>
    <row r="422" spans="1:66" x14ac:dyDescent="0.25">
      <c r="A422" s="59" t="s">
        <v>102</v>
      </c>
      <c r="B422" s="182" t="str">
        <f>VLOOKUP(A422,kurspris!$A$1:$B$894,2,FALSE)</f>
        <v>Utbildning och arbetsmarknad I</v>
      </c>
      <c r="C422" s="37"/>
      <c r="D422" s="59" t="s">
        <v>85</v>
      </c>
      <c r="E422" s="62"/>
      <c r="F422" s="59">
        <v>2019</v>
      </c>
      <c r="M422" s="386"/>
      <c r="N422" s="40"/>
      <c r="P422" s="387"/>
      <c r="Q422" s="237">
        <v>5.5</v>
      </c>
      <c r="R422" s="40">
        <v>0.85</v>
      </c>
      <c r="S422" s="313">
        <f t="shared" si="240"/>
        <v>4.6749999999999998</v>
      </c>
      <c r="T422" s="31">
        <f>VLOOKUP(A422,'Ansvar kurs'!$A$1:$C$1027,2,FALSE)</f>
        <v>2340</v>
      </c>
      <c r="U422" s="31" t="str">
        <f>VLOOKUP(T422,Orgenheter!$A$1:$C$165,2,FALSE)</f>
        <v xml:space="preserve">Statsvetenskap                </v>
      </c>
      <c r="V422" s="31" t="str">
        <f>VLOOKUP(T422,Orgenheter!$A$1:$C$165,3,FALSE)</f>
        <v>Sam</v>
      </c>
      <c r="W422" s="37" t="str">
        <f>VLOOKUP(D422,Program!$A$1:$B$34,2,FALSE)</f>
        <v>Studie- och yrkesvägledarprogram</v>
      </c>
      <c r="X422" s="42">
        <f>VLOOKUP(A422,kurspris!$A$1:$Q$815,15,FALSE)</f>
        <v>18405</v>
      </c>
      <c r="Y422" s="42">
        <f>VLOOKUP(A422,kurspris!$A$1:$Q$815,16,FALSE)</f>
        <v>15773</v>
      </c>
      <c r="Z422" s="42">
        <f t="shared" si="241"/>
        <v>174966.27499999999</v>
      </c>
      <c r="AA422" s="42">
        <f>VLOOKUP(A422,kurspris!$A$1:$Q$815,17,FALSE)</f>
        <v>5800</v>
      </c>
      <c r="AB422" s="42">
        <f t="shared" si="242"/>
        <v>31900</v>
      </c>
      <c r="AC422" s="42">
        <f t="shared" si="243"/>
        <v>206866.27499999999</v>
      </c>
      <c r="AD422" s="31">
        <f>VLOOKUP($A422,kurspris!$A$1:$Q$852,3,FALSE)</f>
        <v>0</v>
      </c>
      <c r="AE422" s="31">
        <f>VLOOKUP($A422,kurspris!$A$1:$Q$852,4,FALSE)</f>
        <v>0</v>
      </c>
      <c r="AF422" s="31">
        <f>VLOOKUP($A422,kurspris!$A$1:$Q$852,5,FALSE)</f>
        <v>0</v>
      </c>
      <c r="AG422" s="31">
        <f>VLOOKUP($A422,kurspris!$A$1:$Q$852,6,FALSE)</f>
        <v>0</v>
      </c>
      <c r="AH422" s="31">
        <f>VLOOKUP($A422,kurspris!$A$1:$Q$852,7,FALSE)</f>
        <v>0</v>
      </c>
      <c r="AI422" s="31">
        <f>VLOOKUP($A422,kurspris!$A$1:$Q$852,8,FALSE)</f>
        <v>0</v>
      </c>
      <c r="AJ422" s="31">
        <f>VLOOKUP($A422,kurspris!$A$1:$Q$852,9,FALSE)</f>
        <v>1</v>
      </c>
      <c r="AK422" s="31">
        <f>VLOOKUP($A422,kurspris!$A$1:$Q$852,10,FALSE)</f>
        <v>0</v>
      </c>
      <c r="AL422" s="31">
        <f>VLOOKUP($A422,kurspris!$A$1:$Q$852,11,FALSE)</f>
        <v>0</v>
      </c>
      <c r="AM422" s="31">
        <f>VLOOKUP($A422,kurspris!$A$1:$Q$852,12,FALSE)</f>
        <v>0</v>
      </c>
      <c r="AN422" s="31">
        <f>VLOOKUP($A422,kurspris!$A$1:$Q$852,13,FALSE)</f>
        <v>0</v>
      </c>
      <c r="AO422" s="31">
        <f>VLOOKUP($A422,kurspris!$A$1:$Q$852,14,FALSE)</f>
        <v>0</v>
      </c>
      <c r="AP422" s="59" t="s">
        <v>2216</v>
      </c>
      <c r="AR422" s="31">
        <f t="shared" si="244"/>
        <v>0</v>
      </c>
      <c r="AS422" s="237">
        <f t="shared" si="245"/>
        <v>0</v>
      </c>
      <c r="AT422" s="31">
        <f t="shared" si="246"/>
        <v>0</v>
      </c>
      <c r="AU422" s="237">
        <f t="shared" si="247"/>
        <v>0</v>
      </c>
      <c r="AV422" s="31">
        <f t="shared" si="248"/>
        <v>0</v>
      </c>
      <c r="AW422" s="31">
        <f t="shared" si="249"/>
        <v>0</v>
      </c>
      <c r="AX422" s="31">
        <f t="shared" si="250"/>
        <v>0</v>
      </c>
      <c r="AY422" s="237">
        <f t="shared" si="251"/>
        <v>0</v>
      </c>
      <c r="AZ422" s="214">
        <f t="shared" si="252"/>
        <v>0</v>
      </c>
      <c r="BA422" s="237">
        <f t="shared" si="253"/>
        <v>0</v>
      </c>
      <c r="BB422" s="31">
        <f t="shared" si="254"/>
        <v>0</v>
      </c>
      <c r="BC422" s="237">
        <f t="shared" si="255"/>
        <v>0</v>
      </c>
      <c r="BD422" s="31">
        <f t="shared" si="256"/>
        <v>5.5</v>
      </c>
      <c r="BE422" s="237">
        <f t="shared" si="257"/>
        <v>4.6749999999999998</v>
      </c>
      <c r="BF422" s="31">
        <f t="shared" si="258"/>
        <v>0</v>
      </c>
      <c r="BG422" s="237">
        <f t="shared" si="259"/>
        <v>0</v>
      </c>
      <c r="BH422" s="31">
        <f t="shared" si="260"/>
        <v>0</v>
      </c>
      <c r="BI422" s="237">
        <f t="shared" si="261"/>
        <v>0</v>
      </c>
      <c r="BJ422" s="31">
        <f t="shared" si="262"/>
        <v>0</v>
      </c>
      <c r="BK422" s="31">
        <f t="shared" si="263"/>
        <v>0</v>
      </c>
      <c r="BL422" s="237">
        <f t="shared" si="264"/>
        <v>0</v>
      </c>
      <c r="BM422" s="31">
        <f t="shared" si="265"/>
        <v>0</v>
      </c>
      <c r="BN422" s="237">
        <f t="shared" si="266"/>
        <v>0</v>
      </c>
    </row>
    <row r="423" spans="1:66" x14ac:dyDescent="0.25">
      <c r="A423" s="573" t="s">
        <v>2200</v>
      </c>
      <c r="B423" s="182" t="str">
        <f>VLOOKUP(A423,kurspris!$A$1:$B$894,2,FALSE)</f>
        <v>Utbildningsledarskap: Teori och analys</v>
      </c>
      <c r="C423" s="37"/>
      <c r="D423" s="31" t="s">
        <v>117</v>
      </c>
      <c r="F423" s="59">
        <v>2019</v>
      </c>
      <c r="N423" s="40"/>
      <c r="P423" s="387"/>
      <c r="Q423" s="237">
        <v>0.625</v>
      </c>
      <c r="R423" s="40">
        <v>0.8</v>
      </c>
      <c r="S423" s="313">
        <f t="shared" si="240"/>
        <v>0.5</v>
      </c>
      <c r="T423" s="31">
        <f>VLOOKUP(A423,'Ansvar kurs'!$A$1:$C$1027,2,FALSE)</f>
        <v>2340</v>
      </c>
      <c r="U423" s="31" t="str">
        <f>VLOOKUP(T423,Orgenheter!$A$1:$C$165,2,FALSE)</f>
        <v xml:space="preserve">Statsvetenskap                </v>
      </c>
      <c r="V423" s="31" t="str">
        <f>VLOOKUP(T423,Orgenheter!$A$1:$C$165,3,FALSE)</f>
        <v>Sam</v>
      </c>
      <c r="W423" s="37" t="str">
        <f>VLOOKUP(D423,Program!$A$1:$B$34,2,FALSE)</f>
        <v>Fristående och övriga kurser</v>
      </c>
      <c r="X423" s="42">
        <f>VLOOKUP(A423,kurspris!$A$1:$Q$815,15,FALSE)</f>
        <v>18405</v>
      </c>
      <c r="Y423" s="42">
        <f>VLOOKUP(A423,kurspris!$A$1:$Q$815,16,FALSE)</f>
        <v>15773</v>
      </c>
      <c r="Z423" s="42">
        <f t="shared" si="241"/>
        <v>19389.625</v>
      </c>
      <c r="AA423" s="42">
        <f>VLOOKUP(A423,kurspris!$A$1:$Q$815,17,FALSE)</f>
        <v>5800</v>
      </c>
      <c r="AB423" s="42">
        <f t="shared" si="242"/>
        <v>3625</v>
      </c>
      <c r="AC423" s="42">
        <f t="shared" si="243"/>
        <v>23014.625</v>
      </c>
      <c r="AD423" s="31">
        <f>VLOOKUP($A423,kurspris!$A$1:$Q$852,3,FALSE)</f>
        <v>0</v>
      </c>
      <c r="AE423" s="31">
        <f>VLOOKUP($A423,kurspris!$A$1:$Q$852,4,FALSE)</f>
        <v>0</v>
      </c>
      <c r="AF423" s="31">
        <f>VLOOKUP($A423,kurspris!$A$1:$Q$852,5,FALSE)</f>
        <v>0</v>
      </c>
      <c r="AG423" s="31">
        <f>VLOOKUP($A423,kurspris!$A$1:$Q$852,6,FALSE)</f>
        <v>0</v>
      </c>
      <c r="AH423" s="31">
        <f>VLOOKUP($A423,kurspris!$A$1:$Q$852,7,FALSE)</f>
        <v>0</v>
      </c>
      <c r="AI423" s="31">
        <f>VLOOKUP($A423,kurspris!$A$1:$Q$852,8,FALSE)</f>
        <v>0</v>
      </c>
      <c r="AJ423" s="31">
        <f>VLOOKUP($A423,kurspris!$A$1:$Q$852,9,FALSE)</f>
        <v>1</v>
      </c>
      <c r="AK423" s="31">
        <f>VLOOKUP($A423,kurspris!$A$1:$Q$852,10,FALSE)</f>
        <v>0</v>
      </c>
      <c r="AL423" s="31">
        <f>VLOOKUP($A423,kurspris!$A$1:$Q$852,11,FALSE)</f>
        <v>0</v>
      </c>
      <c r="AM423" s="31">
        <f>VLOOKUP($A423,kurspris!$A$1:$Q$852,12,FALSE)</f>
        <v>0</v>
      </c>
      <c r="AN423" s="31">
        <f>VLOOKUP($A423,kurspris!$A$1:$Q$852,13,FALSE)</f>
        <v>0</v>
      </c>
      <c r="AO423" s="31">
        <f>VLOOKUP($A423,kurspris!$A$1:$Q$852,14,FALSE)</f>
        <v>0</v>
      </c>
      <c r="AP423" s="59" t="s">
        <v>2216</v>
      </c>
      <c r="AR423" s="31">
        <f t="shared" si="244"/>
        <v>0</v>
      </c>
      <c r="AS423" s="237">
        <f t="shared" si="245"/>
        <v>0</v>
      </c>
      <c r="AT423" s="31">
        <f t="shared" si="246"/>
        <v>0</v>
      </c>
      <c r="AU423" s="237">
        <f t="shared" si="247"/>
        <v>0</v>
      </c>
      <c r="AV423" s="31">
        <f t="shared" si="248"/>
        <v>0</v>
      </c>
      <c r="AW423" s="31">
        <f t="shared" si="249"/>
        <v>0</v>
      </c>
      <c r="AX423" s="31">
        <f t="shared" si="250"/>
        <v>0</v>
      </c>
      <c r="AY423" s="237">
        <f t="shared" si="251"/>
        <v>0</v>
      </c>
      <c r="AZ423" s="214">
        <f t="shared" si="252"/>
        <v>0</v>
      </c>
      <c r="BA423" s="237">
        <f t="shared" si="253"/>
        <v>0</v>
      </c>
      <c r="BB423" s="31">
        <f t="shared" si="254"/>
        <v>0</v>
      </c>
      <c r="BC423" s="237">
        <f t="shared" si="255"/>
        <v>0</v>
      </c>
      <c r="BD423" s="31">
        <f t="shared" si="256"/>
        <v>0.625</v>
      </c>
      <c r="BE423" s="237">
        <f t="shared" si="257"/>
        <v>0.5</v>
      </c>
      <c r="BF423" s="31">
        <f t="shared" si="258"/>
        <v>0</v>
      </c>
      <c r="BG423" s="237">
        <f t="shared" si="259"/>
        <v>0</v>
      </c>
      <c r="BH423" s="31">
        <f t="shared" si="260"/>
        <v>0</v>
      </c>
      <c r="BI423" s="237">
        <f t="shared" si="261"/>
        <v>0</v>
      </c>
      <c r="BJ423" s="31">
        <f t="shared" si="262"/>
        <v>0</v>
      </c>
      <c r="BK423" s="31">
        <f t="shared" si="263"/>
        <v>0</v>
      </c>
      <c r="BL423" s="237">
        <f t="shared" si="264"/>
        <v>0</v>
      </c>
      <c r="BM423" s="31">
        <f t="shared" si="265"/>
        <v>0</v>
      </c>
      <c r="BN423" s="237">
        <f t="shared" si="266"/>
        <v>0</v>
      </c>
    </row>
    <row r="424" spans="1:66" x14ac:dyDescent="0.25">
      <c r="A424" s="541" t="s">
        <v>2201</v>
      </c>
      <c r="B424" s="182" t="str">
        <f>VLOOKUP(A424,kurspris!$A$1:$B$894,2,FALSE)</f>
        <v>Magisteruppsats i utbildningsledarskap</v>
      </c>
      <c r="D424" s="31" t="s">
        <v>117</v>
      </c>
      <c r="F424" s="59">
        <v>2019</v>
      </c>
      <c r="Q424" s="237">
        <v>0.375</v>
      </c>
      <c r="R424" s="40">
        <v>0.8</v>
      </c>
      <c r="S424" s="313">
        <f t="shared" si="240"/>
        <v>0.30000000000000004</v>
      </c>
      <c r="T424" s="31">
        <f>VLOOKUP(A424,'Ansvar kurs'!$A$1:$C$1027,2,FALSE)</f>
        <v>2340</v>
      </c>
      <c r="U424" s="31" t="str">
        <f>VLOOKUP(T424,Orgenheter!$A$1:$C$165,2,FALSE)</f>
        <v xml:space="preserve">Statsvetenskap                </v>
      </c>
      <c r="V424" s="31" t="str">
        <f>VLOOKUP(T424,Orgenheter!$A$1:$C$165,3,FALSE)</f>
        <v>Sam</v>
      </c>
      <c r="W424" s="37" t="str">
        <f>VLOOKUP(D424,Program!$A$1:$B$34,2,FALSE)</f>
        <v>Fristående och övriga kurser</v>
      </c>
      <c r="X424" s="42">
        <f>VLOOKUP(A424,kurspris!$A$1:$Q$815,15,FALSE)</f>
        <v>18405</v>
      </c>
      <c r="Y424" s="42">
        <f>VLOOKUP(A424,kurspris!$A$1:$Q$815,16,FALSE)</f>
        <v>15773</v>
      </c>
      <c r="Z424" s="42">
        <f t="shared" si="241"/>
        <v>11633.775000000001</v>
      </c>
      <c r="AA424" s="42">
        <f>VLOOKUP(A424,kurspris!$A$1:$Q$815,17,FALSE)</f>
        <v>5800</v>
      </c>
      <c r="AB424" s="42">
        <f t="shared" si="242"/>
        <v>2175</v>
      </c>
      <c r="AC424" s="42">
        <f t="shared" si="243"/>
        <v>13808.775000000001</v>
      </c>
      <c r="AD424" s="31">
        <f>VLOOKUP($A424,kurspris!$A$1:$Q$852,3,FALSE)</f>
        <v>0</v>
      </c>
      <c r="AE424" s="31">
        <f>VLOOKUP($A424,kurspris!$A$1:$Q$852,4,FALSE)</f>
        <v>0</v>
      </c>
      <c r="AF424" s="31">
        <f>VLOOKUP($A424,kurspris!$A$1:$Q$852,5,FALSE)</f>
        <v>0</v>
      </c>
      <c r="AG424" s="31">
        <f>VLOOKUP($A424,kurspris!$A$1:$Q$852,6,FALSE)</f>
        <v>0</v>
      </c>
      <c r="AH424" s="31">
        <f>VLOOKUP($A424,kurspris!$A$1:$Q$852,7,FALSE)</f>
        <v>0</v>
      </c>
      <c r="AI424" s="31">
        <f>VLOOKUP($A424,kurspris!$A$1:$Q$852,8,FALSE)</f>
        <v>0</v>
      </c>
      <c r="AJ424" s="31">
        <f>VLOOKUP($A424,kurspris!$A$1:$Q$852,9,FALSE)</f>
        <v>1</v>
      </c>
      <c r="AK424" s="31">
        <f>VLOOKUP($A424,kurspris!$A$1:$Q$852,10,FALSE)</f>
        <v>0</v>
      </c>
      <c r="AL424" s="31">
        <f>VLOOKUP($A424,kurspris!$A$1:$Q$852,11,FALSE)</f>
        <v>0</v>
      </c>
      <c r="AM424" s="31">
        <f>VLOOKUP($A424,kurspris!$A$1:$Q$852,12,FALSE)</f>
        <v>0</v>
      </c>
      <c r="AN424" s="31">
        <f>VLOOKUP($A424,kurspris!$A$1:$Q$852,13,FALSE)</f>
        <v>0</v>
      </c>
      <c r="AO424" s="31">
        <f>VLOOKUP($A424,kurspris!$A$1:$Q$852,14,FALSE)</f>
        <v>0</v>
      </c>
      <c r="AP424" s="59" t="s">
        <v>2216</v>
      </c>
      <c r="AR424" s="31">
        <f t="shared" si="244"/>
        <v>0</v>
      </c>
      <c r="AS424" s="237">
        <f t="shared" si="245"/>
        <v>0</v>
      </c>
      <c r="AT424" s="31">
        <f t="shared" si="246"/>
        <v>0</v>
      </c>
      <c r="AU424" s="237">
        <f t="shared" si="247"/>
        <v>0</v>
      </c>
      <c r="AV424" s="31">
        <f t="shared" si="248"/>
        <v>0</v>
      </c>
      <c r="AW424" s="31">
        <f t="shared" si="249"/>
        <v>0</v>
      </c>
      <c r="AX424" s="31">
        <f t="shared" si="250"/>
        <v>0</v>
      </c>
      <c r="AY424" s="237">
        <f t="shared" si="251"/>
        <v>0</v>
      </c>
      <c r="AZ424" s="214">
        <f t="shared" si="252"/>
        <v>0</v>
      </c>
      <c r="BA424" s="237">
        <f t="shared" si="253"/>
        <v>0</v>
      </c>
      <c r="BB424" s="31">
        <f t="shared" si="254"/>
        <v>0</v>
      </c>
      <c r="BC424" s="237">
        <f t="shared" si="255"/>
        <v>0</v>
      </c>
      <c r="BD424" s="31">
        <f t="shared" si="256"/>
        <v>0.375</v>
      </c>
      <c r="BE424" s="237">
        <f t="shared" si="257"/>
        <v>0.30000000000000004</v>
      </c>
      <c r="BF424" s="31">
        <f t="shared" si="258"/>
        <v>0</v>
      </c>
      <c r="BG424" s="237">
        <f t="shared" si="259"/>
        <v>0</v>
      </c>
      <c r="BH424" s="31">
        <f t="shared" si="260"/>
        <v>0</v>
      </c>
      <c r="BI424" s="237">
        <f t="shared" si="261"/>
        <v>0</v>
      </c>
      <c r="BJ424" s="31">
        <f t="shared" si="262"/>
        <v>0</v>
      </c>
      <c r="BK424" s="31">
        <f t="shared" si="263"/>
        <v>0</v>
      </c>
      <c r="BL424" s="237">
        <f t="shared" si="264"/>
        <v>0</v>
      </c>
      <c r="BM424" s="31">
        <f t="shared" si="265"/>
        <v>0</v>
      </c>
      <c r="BN424" s="237">
        <f t="shared" si="266"/>
        <v>0</v>
      </c>
    </row>
    <row r="425" spans="1:66" x14ac:dyDescent="0.25">
      <c r="A425" s="31" t="s">
        <v>516</v>
      </c>
      <c r="B425" s="182" t="str">
        <f>VLOOKUP(A425,kurspris!$A$1:$B$894,2,FALSE)</f>
        <v>Svenska I för ämneslärare</v>
      </c>
      <c r="D425" s="31" t="s">
        <v>483</v>
      </c>
      <c r="F425" s="59">
        <v>2019</v>
      </c>
      <c r="Q425" s="237">
        <v>13.5</v>
      </c>
      <c r="R425" s="40">
        <v>0.85</v>
      </c>
      <c r="S425" s="313">
        <f t="shared" si="240"/>
        <v>11.475</v>
      </c>
      <c r="T425" s="31">
        <f>VLOOKUP(A425,'Ansvar kurs'!$A$1:$C$1027,2,FALSE)</f>
        <v>1620</v>
      </c>
      <c r="U425" s="31" t="str">
        <f>VLOOKUP(T425,Orgenheter!$A$1:$C$165,2,FALSE)</f>
        <v>Inst för språkstudier</v>
      </c>
      <c r="V425" s="31" t="str">
        <f>VLOOKUP(T425,Orgenheter!$A$1:$C$165,3,FALSE)</f>
        <v>Hum</v>
      </c>
      <c r="W425" s="37" t="str">
        <f>VLOOKUP(D425,Program!$A$1:$B$34,2,FALSE)</f>
        <v>Ämneslärarprogrammet - Gy</v>
      </c>
      <c r="X425" s="42">
        <f>VLOOKUP(A425,kurspris!$A$1:$Q$815,15,FALSE)</f>
        <v>18405</v>
      </c>
      <c r="Y425" s="42">
        <f>VLOOKUP(A425,kurspris!$A$1:$Q$815,16,FALSE)</f>
        <v>15773</v>
      </c>
      <c r="Z425" s="42">
        <f t="shared" si="241"/>
        <v>429462.67499999999</v>
      </c>
      <c r="AA425" s="42">
        <f>VLOOKUP(A425,kurspris!$A$1:$Q$815,17,FALSE)</f>
        <v>5800</v>
      </c>
      <c r="AB425" s="42">
        <f t="shared" si="242"/>
        <v>78300</v>
      </c>
      <c r="AC425" s="42">
        <f t="shared" si="243"/>
        <v>507762.67499999999</v>
      </c>
      <c r="AD425" s="31">
        <f>VLOOKUP($A425,kurspris!$A$1:$Q$852,3,FALSE)</f>
        <v>0</v>
      </c>
      <c r="AE425" s="31">
        <f>VLOOKUP($A425,kurspris!$A$1:$Q$852,4,FALSE)</f>
        <v>1</v>
      </c>
      <c r="AF425" s="31">
        <f>VLOOKUP($A425,kurspris!$A$1:$Q$852,5,FALSE)</f>
        <v>0</v>
      </c>
      <c r="AG425" s="31">
        <f>VLOOKUP($A425,kurspris!$A$1:$Q$852,6,FALSE)</f>
        <v>0</v>
      </c>
      <c r="AH425" s="31">
        <f>VLOOKUP($A425,kurspris!$A$1:$Q$852,7,FALSE)</f>
        <v>0</v>
      </c>
      <c r="AI425" s="31">
        <f>VLOOKUP($A425,kurspris!$A$1:$Q$852,8,FALSE)</f>
        <v>0</v>
      </c>
      <c r="AJ425" s="31">
        <f>VLOOKUP($A425,kurspris!$A$1:$Q$852,9,FALSE)</f>
        <v>0</v>
      </c>
      <c r="AK425" s="31">
        <f>VLOOKUP($A425,kurspris!$A$1:$Q$852,10,FALSE)</f>
        <v>0</v>
      </c>
      <c r="AL425" s="31">
        <f>VLOOKUP($A425,kurspris!$A$1:$Q$852,11,FALSE)</f>
        <v>0</v>
      </c>
      <c r="AM425" s="31">
        <f>VLOOKUP($A425,kurspris!$A$1:$Q$852,12,FALSE)</f>
        <v>0</v>
      </c>
      <c r="AN425" s="31">
        <f>VLOOKUP($A425,kurspris!$A$1:$Q$852,13,FALSE)</f>
        <v>0</v>
      </c>
      <c r="AO425" s="31">
        <f>VLOOKUP($A425,kurspris!$A$1:$Q$852,14,FALSE)</f>
        <v>0</v>
      </c>
      <c r="AP425" s="59" t="s">
        <v>2216</v>
      </c>
      <c r="AR425" s="31">
        <f t="shared" si="244"/>
        <v>0</v>
      </c>
      <c r="AS425" s="237">
        <f t="shared" si="245"/>
        <v>0</v>
      </c>
      <c r="AT425" s="31">
        <f t="shared" si="246"/>
        <v>13.5</v>
      </c>
      <c r="AU425" s="237">
        <f t="shared" si="247"/>
        <v>11.475</v>
      </c>
      <c r="AV425" s="31">
        <f t="shared" si="248"/>
        <v>0</v>
      </c>
      <c r="AW425" s="31">
        <f t="shared" si="249"/>
        <v>0</v>
      </c>
      <c r="AX425" s="31">
        <f t="shared" si="250"/>
        <v>0</v>
      </c>
      <c r="AY425" s="237">
        <f t="shared" si="251"/>
        <v>0</v>
      </c>
      <c r="AZ425" s="214">
        <f t="shared" si="252"/>
        <v>0</v>
      </c>
      <c r="BA425" s="237">
        <f t="shared" si="253"/>
        <v>0</v>
      </c>
      <c r="BB425" s="31">
        <f t="shared" si="254"/>
        <v>0</v>
      </c>
      <c r="BC425" s="237">
        <f t="shared" si="255"/>
        <v>0</v>
      </c>
      <c r="BD425" s="31">
        <f t="shared" si="256"/>
        <v>0</v>
      </c>
      <c r="BE425" s="237">
        <f t="shared" si="257"/>
        <v>0</v>
      </c>
      <c r="BF425" s="31">
        <f t="shared" si="258"/>
        <v>0</v>
      </c>
      <c r="BG425" s="237">
        <f t="shared" si="259"/>
        <v>0</v>
      </c>
      <c r="BH425" s="31">
        <f t="shared" si="260"/>
        <v>0</v>
      </c>
      <c r="BI425" s="237">
        <f t="shared" si="261"/>
        <v>0</v>
      </c>
      <c r="BJ425" s="31">
        <f t="shared" si="262"/>
        <v>0</v>
      </c>
      <c r="BK425" s="31">
        <f t="shared" si="263"/>
        <v>0</v>
      </c>
      <c r="BL425" s="237">
        <f t="shared" si="264"/>
        <v>0</v>
      </c>
      <c r="BM425" s="31">
        <f t="shared" si="265"/>
        <v>0</v>
      </c>
      <c r="BN425" s="237">
        <f t="shared" si="266"/>
        <v>0</v>
      </c>
    </row>
    <row r="426" spans="1:66" x14ac:dyDescent="0.25">
      <c r="A426" s="159" t="s">
        <v>517</v>
      </c>
      <c r="B426" s="182" t="str">
        <f>VLOOKUP(A426,kurspris!$A$1:$B$894,2,FALSE)</f>
        <v>Svenska för F-3, kurs 1</v>
      </c>
      <c r="C426" s="37"/>
      <c r="D426" s="31" t="s">
        <v>486</v>
      </c>
      <c r="F426" s="59">
        <v>2019</v>
      </c>
      <c r="Q426" s="237">
        <v>11.75</v>
      </c>
      <c r="R426" s="40">
        <v>0.85</v>
      </c>
      <c r="S426" s="313">
        <f t="shared" si="240"/>
        <v>9.9874999999999989</v>
      </c>
      <c r="T426" s="31">
        <f>VLOOKUP(A426,'Ansvar kurs'!$A$1:$C$1027,2,FALSE)</f>
        <v>1620</v>
      </c>
      <c r="U426" s="31" t="str">
        <f>VLOOKUP(T426,Orgenheter!$A$1:$C$165,2,FALSE)</f>
        <v>Inst för språkstudier</v>
      </c>
      <c r="V426" s="31" t="str">
        <f>VLOOKUP(T426,Orgenheter!$A$1:$C$165,3,FALSE)</f>
        <v>Hum</v>
      </c>
      <c r="W426" s="37" t="str">
        <f>VLOOKUP(D426,Program!$A$1:$B$34,2,FALSE)</f>
        <v>Grundlärarprogrammet - förskoleklass och åk 1-3</v>
      </c>
      <c r="X426" s="42">
        <f>VLOOKUP(A426,kurspris!$A$1:$Q$815,15,FALSE)</f>
        <v>18405</v>
      </c>
      <c r="Y426" s="42">
        <f>VLOOKUP(A426,kurspris!$A$1:$Q$815,16,FALSE)</f>
        <v>15773</v>
      </c>
      <c r="Z426" s="42">
        <f t="shared" si="241"/>
        <v>373791.58750000002</v>
      </c>
      <c r="AA426" s="42">
        <f>VLOOKUP(A426,kurspris!$A$1:$Q$815,17,FALSE)</f>
        <v>5800</v>
      </c>
      <c r="AB426" s="42">
        <f t="shared" si="242"/>
        <v>68150</v>
      </c>
      <c r="AC426" s="42">
        <f t="shared" si="243"/>
        <v>441941.58750000002</v>
      </c>
      <c r="AD426" s="31">
        <f>VLOOKUP($A426,kurspris!$A$1:$Q$852,3,FALSE)</f>
        <v>0</v>
      </c>
      <c r="AE426" s="31">
        <f>VLOOKUP($A426,kurspris!$A$1:$Q$852,4,FALSE)</f>
        <v>1</v>
      </c>
      <c r="AF426" s="31">
        <f>VLOOKUP($A426,kurspris!$A$1:$Q$852,5,FALSE)</f>
        <v>0</v>
      </c>
      <c r="AG426" s="31">
        <f>VLOOKUP($A426,kurspris!$A$1:$Q$852,6,FALSE)</f>
        <v>0</v>
      </c>
      <c r="AH426" s="31">
        <f>VLOOKUP($A426,kurspris!$A$1:$Q$852,7,FALSE)</f>
        <v>0</v>
      </c>
      <c r="AI426" s="31">
        <f>VLOOKUP($A426,kurspris!$A$1:$Q$852,8,FALSE)</f>
        <v>0</v>
      </c>
      <c r="AJ426" s="31">
        <f>VLOOKUP($A426,kurspris!$A$1:$Q$852,9,FALSE)</f>
        <v>0</v>
      </c>
      <c r="AK426" s="31">
        <f>VLOOKUP($A426,kurspris!$A$1:$Q$852,10,FALSE)</f>
        <v>0</v>
      </c>
      <c r="AL426" s="31">
        <f>VLOOKUP($A426,kurspris!$A$1:$Q$852,11,FALSE)</f>
        <v>0</v>
      </c>
      <c r="AM426" s="31">
        <f>VLOOKUP($A426,kurspris!$A$1:$Q$852,12,FALSE)</f>
        <v>0</v>
      </c>
      <c r="AN426" s="31">
        <f>VLOOKUP($A426,kurspris!$A$1:$Q$852,13,FALSE)</f>
        <v>0</v>
      </c>
      <c r="AO426" s="31">
        <f>VLOOKUP($A426,kurspris!$A$1:$Q$852,14,FALSE)</f>
        <v>0</v>
      </c>
      <c r="AP426" s="59" t="s">
        <v>2216</v>
      </c>
      <c r="AR426" s="31">
        <f t="shared" si="244"/>
        <v>0</v>
      </c>
      <c r="AS426" s="237">
        <f t="shared" si="245"/>
        <v>0</v>
      </c>
      <c r="AT426" s="31">
        <f t="shared" si="246"/>
        <v>11.75</v>
      </c>
      <c r="AU426" s="237">
        <f t="shared" si="247"/>
        <v>9.9874999999999989</v>
      </c>
      <c r="AV426" s="31">
        <f t="shared" si="248"/>
        <v>0</v>
      </c>
      <c r="AW426" s="31">
        <f t="shared" si="249"/>
        <v>0</v>
      </c>
      <c r="AX426" s="31">
        <f t="shared" si="250"/>
        <v>0</v>
      </c>
      <c r="AY426" s="237">
        <f t="shared" si="251"/>
        <v>0</v>
      </c>
      <c r="AZ426" s="214">
        <f t="shared" si="252"/>
        <v>0</v>
      </c>
      <c r="BA426" s="237">
        <f t="shared" si="253"/>
        <v>0</v>
      </c>
      <c r="BB426" s="31">
        <f t="shared" si="254"/>
        <v>0</v>
      </c>
      <c r="BC426" s="237">
        <f t="shared" si="255"/>
        <v>0</v>
      </c>
      <c r="BD426" s="31">
        <f t="shared" si="256"/>
        <v>0</v>
      </c>
      <c r="BE426" s="237">
        <f t="shared" si="257"/>
        <v>0</v>
      </c>
      <c r="BF426" s="31">
        <f t="shared" si="258"/>
        <v>0</v>
      </c>
      <c r="BG426" s="237">
        <f t="shared" si="259"/>
        <v>0</v>
      </c>
      <c r="BH426" s="31">
        <f t="shared" si="260"/>
        <v>0</v>
      </c>
      <c r="BI426" s="237">
        <f t="shared" si="261"/>
        <v>0</v>
      </c>
      <c r="BJ426" s="31">
        <f t="shared" si="262"/>
        <v>0</v>
      </c>
      <c r="BK426" s="31">
        <f t="shared" si="263"/>
        <v>0</v>
      </c>
      <c r="BL426" s="237">
        <f t="shared" si="264"/>
        <v>0</v>
      </c>
      <c r="BM426" s="31">
        <f t="shared" si="265"/>
        <v>0</v>
      </c>
      <c r="BN426" s="237">
        <f t="shared" si="266"/>
        <v>0</v>
      </c>
    </row>
    <row r="427" spans="1:66" x14ac:dyDescent="0.25">
      <c r="A427" s="159" t="s">
        <v>518</v>
      </c>
      <c r="B427" s="182" t="str">
        <f>VLOOKUP(A427,kurspris!$A$1:$B$894,2,FALSE)</f>
        <v>Svenska för F-3, kurs 2</v>
      </c>
      <c r="C427" s="37"/>
      <c r="D427" s="31" t="s">
        <v>486</v>
      </c>
      <c r="F427" s="59">
        <v>2019</v>
      </c>
      <c r="Q427" s="237">
        <v>4.75</v>
      </c>
      <c r="R427" s="40">
        <v>0.85</v>
      </c>
      <c r="S427" s="313">
        <f t="shared" si="240"/>
        <v>4.0374999999999996</v>
      </c>
      <c r="T427" s="31">
        <f>VLOOKUP(A427,'Ansvar kurs'!$A$1:$C$1027,2,FALSE)</f>
        <v>1620</v>
      </c>
      <c r="U427" s="31" t="str">
        <f>VLOOKUP(T427,Orgenheter!$A$1:$C$165,2,FALSE)</f>
        <v>Inst för språkstudier</v>
      </c>
      <c r="V427" s="31" t="str">
        <f>VLOOKUP(T427,Orgenheter!$A$1:$C$165,3,FALSE)</f>
        <v>Hum</v>
      </c>
      <c r="W427" s="37" t="str">
        <f>VLOOKUP(D427,Program!$A$1:$B$34,2,FALSE)</f>
        <v>Grundlärarprogrammet - förskoleklass och åk 1-3</v>
      </c>
      <c r="X427" s="42">
        <f>VLOOKUP(A427,kurspris!$A$1:$Q$815,15,FALSE)</f>
        <v>18405</v>
      </c>
      <c r="Y427" s="42">
        <f>VLOOKUP(A427,kurspris!$A$1:$Q$815,16,FALSE)</f>
        <v>15773</v>
      </c>
      <c r="Z427" s="42">
        <f t="shared" si="241"/>
        <v>151107.23749999999</v>
      </c>
      <c r="AA427" s="42">
        <f>VLOOKUP(A427,kurspris!$A$1:$Q$815,17,FALSE)</f>
        <v>5800</v>
      </c>
      <c r="AB427" s="42">
        <f t="shared" si="242"/>
        <v>27550</v>
      </c>
      <c r="AC427" s="42">
        <f t="shared" si="243"/>
        <v>178657.23749999999</v>
      </c>
      <c r="AD427" s="31">
        <f>VLOOKUP($A427,kurspris!$A$1:$Q$852,3,FALSE)</f>
        <v>0</v>
      </c>
      <c r="AE427" s="31">
        <f>VLOOKUP($A427,kurspris!$A$1:$Q$852,4,FALSE)</f>
        <v>1</v>
      </c>
      <c r="AF427" s="31">
        <f>VLOOKUP($A427,kurspris!$A$1:$Q$852,5,FALSE)</f>
        <v>0</v>
      </c>
      <c r="AG427" s="31">
        <f>VLOOKUP($A427,kurspris!$A$1:$Q$852,6,FALSE)</f>
        <v>0</v>
      </c>
      <c r="AH427" s="31">
        <f>VLOOKUP($A427,kurspris!$A$1:$Q$852,7,FALSE)</f>
        <v>0</v>
      </c>
      <c r="AI427" s="31">
        <f>VLOOKUP($A427,kurspris!$A$1:$Q$852,8,FALSE)</f>
        <v>0</v>
      </c>
      <c r="AJ427" s="31">
        <f>VLOOKUP($A427,kurspris!$A$1:$Q$852,9,FALSE)</f>
        <v>0</v>
      </c>
      <c r="AK427" s="31">
        <f>VLOOKUP($A427,kurspris!$A$1:$Q$852,10,FALSE)</f>
        <v>0</v>
      </c>
      <c r="AL427" s="31">
        <f>VLOOKUP($A427,kurspris!$A$1:$Q$852,11,FALSE)</f>
        <v>0</v>
      </c>
      <c r="AM427" s="31">
        <f>VLOOKUP($A427,kurspris!$A$1:$Q$852,12,FALSE)</f>
        <v>0</v>
      </c>
      <c r="AN427" s="31">
        <f>VLOOKUP($A427,kurspris!$A$1:$Q$852,13,FALSE)</f>
        <v>0</v>
      </c>
      <c r="AO427" s="31">
        <f>VLOOKUP($A427,kurspris!$A$1:$Q$852,14,FALSE)</f>
        <v>0</v>
      </c>
      <c r="AP427" s="59" t="s">
        <v>2216</v>
      </c>
      <c r="AR427" s="31">
        <f t="shared" si="244"/>
        <v>0</v>
      </c>
      <c r="AS427" s="237">
        <f t="shared" si="245"/>
        <v>0</v>
      </c>
      <c r="AT427" s="31">
        <f t="shared" si="246"/>
        <v>4.75</v>
      </c>
      <c r="AU427" s="237">
        <f t="shared" si="247"/>
        <v>4.0374999999999996</v>
      </c>
      <c r="AV427" s="31">
        <f t="shared" si="248"/>
        <v>0</v>
      </c>
      <c r="AW427" s="31">
        <f t="shared" si="249"/>
        <v>0</v>
      </c>
      <c r="AX427" s="31">
        <f t="shared" si="250"/>
        <v>0</v>
      </c>
      <c r="AY427" s="237">
        <f t="shared" si="251"/>
        <v>0</v>
      </c>
      <c r="AZ427" s="214">
        <f t="shared" si="252"/>
        <v>0</v>
      </c>
      <c r="BA427" s="237">
        <f t="shared" si="253"/>
        <v>0</v>
      </c>
      <c r="BB427" s="31">
        <f t="shared" si="254"/>
        <v>0</v>
      </c>
      <c r="BC427" s="237">
        <f t="shared" si="255"/>
        <v>0</v>
      </c>
      <c r="BD427" s="31">
        <f t="shared" si="256"/>
        <v>0</v>
      </c>
      <c r="BE427" s="237">
        <f t="shared" si="257"/>
        <v>0</v>
      </c>
      <c r="BF427" s="31">
        <f t="shared" si="258"/>
        <v>0</v>
      </c>
      <c r="BG427" s="237">
        <f t="shared" si="259"/>
        <v>0</v>
      </c>
      <c r="BH427" s="31">
        <f t="shared" si="260"/>
        <v>0</v>
      </c>
      <c r="BI427" s="237">
        <f t="shared" si="261"/>
        <v>0</v>
      </c>
      <c r="BJ427" s="31">
        <f t="shared" si="262"/>
        <v>0</v>
      </c>
      <c r="BK427" s="31">
        <f t="shared" si="263"/>
        <v>0</v>
      </c>
      <c r="BL427" s="237">
        <f t="shared" si="264"/>
        <v>0</v>
      </c>
      <c r="BM427" s="31">
        <f t="shared" si="265"/>
        <v>0</v>
      </c>
      <c r="BN427" s="237">
        <f t="shared" si="266"/>
        <v>0</v>
      </c>
    </row>
    <row r="428" spans="1:66" x14ac:dyDescent="0.25">
      <c r="A428" s="159" t="s">
        <v>604</v>
      </c>
      <c r="B428" s="182" t="str">
        <f>VLOOKUP(A428,kurspris!$A$1:$B$894,2,FALSE)</f>
        <v>Svenska för F-3, kurs 3</v>
      </c>
      <c r="C428" s="37"/>
      <c r="D428" s="31" t="s">
        <v>486</v>
      </c>
      <c r="F428" s="59">
        <v>2019</v>
      </c>
      <c r="Q428" s="237">
        <v>4</v>
      </c>
      <c r="R428" s="40">
        <v>0.85</v>
      </c>
      <c r="S428" s="313">
        <f t="shared" si="240"/>
        <v>3.4</v>
      </c>
      <c r="T428" s="31">
        <f>VLOOKUP(A428,'Ansvar kurs'!$A$1:$C$1027,2,FALSE)</f>
        <v>1620</v>
      </c>
      <c r="U428" s="31" t="str">
        <f>VLOOKUP(T428,Orgenheter!$A$1:$C$165,2,FALSE)</f>
        <v>Inst för språkstudier</v>
      </c>
      <c r="V428" s="31" t="str">
        <f>VLOOKUP(T428,Orgenheter!$A$1:$C$165,3,FALSE)</f>
        <v>Hum</v>
      </c>
      <c r="W428" s="37" t="str">
        <f>VLOOKUP(D428,Program!$A$1:$B$34,2,FALSE)</f>
        <v>Grundlärarprogrammet - förskoleklass och åk 1-3</v>
      </c>
      <c r="X428" s="42">
        <f>VLOOKUP(A428,kurspris!$A$1:$Q$815,15,FALSE)</f>
        <v>18405</v>
      </c>
      <c r="Y428" s="42">
        <f>VLOOKUP(A428,kurspris!$A$1:$Q$815,16,FALSE)</f>
        <v>15773</v>
      </c>
      <c r="Z428" s="42">
        <f t="shared" si="241"/>
        <v>127248.2</v>
      </c>
      <c r="AA428" s="42">
        <f>VLOOKUP(A428,kurspris!$A$1:$Q$815,17,FALSE)</f>
        <v>5800</v>
      </c>
      <c r="AB428" s="42">
        <f t="shared" si="242"/>
        <v>23200</v>
      </c>
      <c r="AC428" s="42">
        <f t="shared" si="243"/>
        <v>150448.20000000001</v>
      </c>
      <c r="AD428" s="31">
        <f>VLOOKUP($A428,kurspris!$A$1:$Q$852,3,FALSE)</f>
        <v>0</v>
      </c>
      <c r="AE428" s="31">
        <f>VLOOKUP($A428,kurspris!$A$1:$Q$852,4,FALSE)</f>
        <v>1</v>
      </c>
      <c r="AF428" s="31">
        <f>VLOOKUP($A428,kurspris!$A$1:$Q$852,5,FALSE)</f>
        <v>0</v>
      </c>
      <c r="AG428" s="31">
        <f>VLOOKUP($A428,kurspris!$A$1:$Q$852,6,FALSE)</f>
        <v>0</v>
      </c>
      <c r="AH428" s="31">
        <f>VLOOKUP($A428,kurspris!$A$1:$Q$852,7,FALSE)</f>
        <v>0</v>
      </c>
      <c r="AI428" s="31">
        <f>VLOOKUP($A428,kurspris!$A$1:$Q$852,8,FALSE)</f>
        <v>0</v>
      </c>
      <c r="AJ428" s="31">
        <f>VLOOKUP($A428,kurspris!$A$1:$Q$852,9,FALSE)</f>
        <v>0</v>
      </c>
      <c r="AK428" s="31">
        <f>VLOOKUP($A428,kurspris!$A$1:$Q$852,10,FALSE)</f>
        <v>0</v>
      </c>
      <c r="AL428" s="31">
        <f>VLOOKUP($A428,kurspris!$A$1:$Q$852,11,FALSE)</f>
        <v>0</v>
      </c>
      <c r="AM428" s="31">
        <f>VLOOKUP($A428,kurspris!$A$1:$Q$852,12,FALSE)</f>
        <v>0</v>
      </c>
      <c r="AN428" s="31">
        <f>VLOOKUP($A428,kurspris!$A$1:$Q$852,13,FALSE)</f>
        <v>0</v>
      </c>
      <c r="AO428" s="31">
        <f>VLOOKUP($A428,kurspris!$A$1:$Q$852,14,FALSE)</f>
        <v>0</v>
      </c>
      <c r="AP428" s="59" t="s">
        <v>2216</v>
      </c>
      <c r="AR428" s="31">
        <f t="shared" si="244"/>
        <v>0</v>
      </c>
      <c r="AS428" s="237">
        <f t="shared" si="245"/>
        <v>0</v>
      </c>
      <c r="AT428" s="31">
        <f t="shared" si="246"/>
        <v>4</v>
      </c>
      <c r="AU428" s="237">
        <f t="shared" si="247"/>
        <v>3.4</v>
      </c>
      <c r="AV428" s="31">
        <f t="shared" si="248"/>
        <v>0</v>
      </c>
      <c r="AW428" s="31">
        <f t="shared" si="249"/>
        <v>0</v>
      </c>
      <c r="AX428" s="31">
        <f t="shared" si="250"/>
        <v>0</v>
      </c>
      <c r="AY428" s="237">
        <f t="shared" si="251"/>
        <v>0</v>
      </c>
      <c r="AZ428" s="214">
        <f t="shared" si="252"/>
        <v>0</v>
      </c>
      <c r="BA428" s="237">
        <f t="shared" si="253"/>
        <v>0</v>
      </c>
      <c r="BB428" s="31">
        <f t="shared" si="254"/>
        <v>0</v>
      </c>
      <c r="BC428" s="237">
        <f t="shared" si="255"/>
        <v>0</v>
      </c>
      <c r="BD428" s="31">
        <f t="shared" si="256"/>
        <v>0</v>
      </c>
      <c r="BE428" s="237">
        <f t="shared" si="257"/>
        <v>0</v>
      </c>
      <c r="BF428" s="31">
        <f t="shared" si="258"/>
        <v>0</v>
      </c>
      <c r="BG428" s="237">
        <f t="shared" si="259"/>
        <v>0</v>
      </c>
      <c r="BH428" s="31">
        <f t="shared" si="260"/>
        <v>0</v>
      </c>
      <c r="BI428" s="237">
        <f t="shared" si="261"/>
        <v>0</v>
      </c>
      <c r="BJ428" s="31">
        <f t="shared" si="262"/>
        <v>0</v>
      </c>
      <c r="BK428" s="31">
        <f t="shared" si="263"/>
        <v>0</v>
      </c>
      <c r="BL428" s="237">
        <f t="shared" si="264"/>
        <v>0</v>
      </c>
      <c r="BM428" s="31">
        <f t="shared" si="265"/>
        <v>0</v>
      </c>
      <c r="BN428" s="237">
        <f t="shared" si="266"/>
        <v>0</v>
      </c>
    </row>
    <row r="429" spans="1:66" x14ac:dyDescent="0.25">
      <c r="A429" s="159" t="s">
        <v>519</v>
      </c>
      <c r="B429" s="182" t="str">
        <f>VLOOKUP(A429,kurspris!$A$1:$B$894,2,FALSE)</f>
        <v>Svenska för åk 4-6, kurs 1</v>
      </c>
      <c r="C429" s="37"/>
      <c r="D429" s="31" t="s">
        <v>524</v>
      </c>
      <c r="F429" s="59">
        <v>2019</v>
      </c>
      <c r="Q429" s="237">
        <v>6.75</v>
      </c>
      <c r="R429" s="40">
        <v>0.85</v>
      </c>
      <c r="S429" s="313">
        <f t="shared" si="240"/>
        <v>5.7374999999999998</v>
      </c>
      <c r="T429" s="31">
        <f>VLOOKUP(A429,'Ansvar kurs'!$A$1:$C$1027,2,FALSE)</f>
        <v>1620</v>
      </c>
      <c r="U429" s="31" t="str">
        <f>VLOOKUP(T429,Orgenheter!$A$1:$C$165,2,FALSE)</f>
        <v>Inst för språkstudier</v>
      </c>
      <c r="V429" s="31" t="str">
        <f>VLOOKUP(T429,Orgenheter!$A$1:$C$165,3,FALSE)</f>
        <v>Hum</v>
      </c>
      <c r="W429" s="37" t="str">
        <f>VLOOKUP(D429,Program!$A$1:$B$34,2,FALSE)</f>
        <v>Grundlärarprogrammet - grundskolans åk 4-6</v>
      </c>
      <c r="X429" s="42">
        <f>VLOOKUP(A429,kurspris!$A$1:$Q$815,15,FALSE)</f>
        <v>18405</v>
      </c>
      <c r="Y429" s="42">
        <f>VLOOKUP(A429,kurspris!$A$1:$Q$815,16,FALSE)</f>
        <v>15773</v>
      </c>
      <c r="Z429" s="42">
        <f t="shared" si="241"/>
        <v>214731.33749999999</v>
      </c>
      <c r="AA429" s="42">
        <f>VLOOKUP(A429,kurspris!$A$1:$Q$815,17,FALSE)</f>
        <v>5800</v>
      </c>
      <c r="AB429" s="42">
        <f t="shared" si="242"/>
        <v>39150</v>
      </c>
      <c r="AC429" s="42">
        <f t="shared" si="243"/>
        <v>253881.33749999999</v>
      </c>
      <c r="AD429" s="31">
        <f>VLOOKUP($A429,kurspris!$A$1:$Q$852,3,FALSE)</f>
        <v>0</v>
      </c>
      <c r="AE429" s="31">
        <f>VLOOKUP($A429,kurspris!$A$1:$Q$852,4,FALSE)</f>
        <v>1</v>
      </c>
      <c r="AF429" s="31">
        <f>VLOOKUP($A429,kurspris!$A$1:$Q$852,5,FALSE)</f>
        <v>0</v>
      </c>
      <c r="AG429" s="31">
        <f>VLOOKUP($A429,kurspris!$A$1:$Q$852,6,FALSE)</f>
        <v>0</v>
      </c>
      <c r="AH429" s="31">
        <f>VLOOKUP($A429,kurspris!$A$1:$Q$852,7,FALSE)</f>
        <v>0</v>
      </c>
      <c r="AI429" s="31">
        <f>VLOOKUP($A429,kurspris!$A$1:$Q$852,8,FALSE)</f>
        <v>0</v>
      </c>
      <c r="AJ429" s="31">
        <f>VLOOKUP($A429,kurspris!$A$1:$Q$852,9,FALSE)</f>
        <v>0</v>
      </c>
      <c r="AK429" s="31">
        <f>VLOOKUP($A429,kurspris!$A$1:$Q$852,10,FALSE)</f>
        <v>0</v>
      </c>
      <c r="AL429" s="31">
        <f>VLOOKUP($A429,kurspris!$A$1:$Q$852,11,FALSE)</f>
        <v>0</v>
      </c>
      <c r="AM429" s="31">
        <f>VLOOKUP($A429,kurspris!$A$1:$Q$852,12,FALSE)</f>
        <v>0</v>
      </c>
      <c r="AN429" s="31">
        <f>VLOOKUP($A429,kurspris!$A$1:$Q$852,13,FALSE)</f>
        <v>0</v>
      </c>
      <c r="AO429" s="31">
        <f>VLOOKUP($A429,kurspris!$A$1:$Q$852,14,FALSE)</f>
        <v>0</v>
      </c>
      <c r="AP429" s="59" t="s">
        <v>2216</v>
      </c>
      <c r="AR429" s="31">
        <f t="shared" si="244"/>
        <v>0</v>
      </c>
      <c r="AS429" s="237">
        <f t="shared" si="245"/>
        <v>0</v>
      </c>
      <c r="AT429" s="31">
        <f t="shared" si="246"/>
        <v>6.75</v>
      </c>
      <c r="AU429" s="237">
        <f t="shared" si="247"/>
        <v>5.7374999999999998</v>
      </c>
      <c r="AV429" s="31">
        <f t="shared" si="248"/>
        <v>0</v>
      </c>
      <c r="AW429" s="31">
        <f t="shared" si="249"/>
        <v>0</v>
      </c>
      <c r="AX429" s="31">
        <f t="shared" si="250"/>
        <v>0</v>
      </c>
      <c r="AY429" s="237">
        <f t="shared" si="251"/>
        <v>0</v>
      </c>
      <c r="AZ429" s="214">
        <f t="shared" si="252"/>
        <v>0</v>
      </c>
      <c r="BA429" s="237">
        <f t="shared" si="253"/>
        <v>0</v>
      </c>
      <c r="BB429" s="31">
        <f t="shared" si="254"/>
        <v>0</v>
      </c>
      <c r="BC429" s="237">
        <f t="shared" si="255"/>
        <v>0</v>
      </c>
      <c r="BD429" s="31">
        <f t="shared" si="256"/>
        <v>0</v>
      </c>
      <c r="BE429" s="237">
        <f t="shared" si="257"/>
        <v>0</v>
      </c>
      <c r="BF429" s="31">
        <f t="shared" si="258"/>
        <v>0</v>
      </c>
      <c r="BG429" s="237">
        <f t="shared" si="259"/>
        <v>0</v>
      </c>
      <c r="BH429" s="31">
        <f t="shared" si="260"/>
        <v>0</v>
      </c>
      <c r="BI429" s="237">
        <f t="shared" si="261"/>
        <v>0</v>
      </c>
      <c r="BJ429" s="31">
        <f t="shared" si="262"/>
        <v>0</v>
      </c>
      <c r="BK429" s="31">
        <f t="shared" si="263"/>
        <v>0</v>
      </c>
      <c r="BL429" s="237">
        <f t="shared" si="264"/>
        <v>0</v>
      </c>
      <c r="BM429" s="31">
        <f t="shared" si="265"/>
        <v>0</v>
      </c>
      <c r="BN429" s="237">
        <f t="shared" si="266"/>
        <v>0</v>
      </c>
    </row>
    <row r="430" spans="1:66" x14ac:dyDescent="0.25">
      <c r="A430" s="159" t="s">
        <v>520</v>
      </c>
      <c r="B430" s="182" t="str">
        <f>VLOOKUP(A430,kurspris!$A$1:$B$894,2,FALSE)</f>
        <v>Svenska för åk 4-6, kurs 2</v>
      </c>
      <c r="C430" s="37"/>
      <c r="D430" s="31" t="s">
        <v>524</v>
      </c>
      <c r="F430" s="59">
        <v>2019</v>
      </c>
      <c r="Q430" s="237">
        <v>2.75</v>
      </c>
      <c r="R430" s="40">
        <v>0.85</v>
      </c>
      <c r="S430" s="313">
        <f t="shared" si="240"/>
        <v>2.3374999999999999</v>
      </c>
      <c r="T430" s="31">
        <f>VLOOKUP(A430,'Ansvar kurs'!$A$1:$C$1027,2,FALSE)</f>
        <v>1620</v>
      </c>
      <c r="U430" s="31" t="str">
        <f>VLOOKUP(T430,Orgenheter!$A$1:$C$165,2,FALSE)</f>
        <v>Inst för språkstudier</v>
      </c>
      <c r="V430" s="31" t="str">
        <f>VLOOKUP(T430,Orgenheter!$A$1:$C$165,3,FALSE)</f>
        <v>Hum</v>
      </c>
      <c r="W430" s="37" t="str">
        <f>VLOOKUP(D430,Program!$A$1:$B$34,2,FALSE)</f>
        <v>Grundlärarprogrammet - grundskolans åk 4-6</v>
      </c>
      <c r="X430" s="42">
        <f>VLOOKUP(A430,kurspris!$A$1:$Q$815,15,FALSE)</f>
        <v>18405</v>
      </c>
      <c r="Y430" s="42">
        <f>VLOOKUP(A430,kurspris!$A$1:$Q$815,16,FALSE)</f>
        <v>15773</v>
      </c>
      <c r="Z430" s="42">
        <f t="shared" si="241"/>
        <v>87483.137499999997</v>
      </c>
      <c r="AA430" s="42">
        <f>VLOOKUP(A430,kurspris!$A$1:$Q$815,17,FALSE)</f>
        <v>5800</v>
      </c>
      <c r="AB430" s="42">
        <f t="shared" si="242"/>
        <v>15950</v>
      </c>
      <c r="AC430" s="42">
        <f t="shared" si="243"/>
        <v>103433.1375</v>
      </c>
      <c r="AD430" s="31">
        <f>VLOOKUP($A430,kurspris!$A$1:$Q$852,3,FALSE)</f>
        <v>0</v>
      </c>
      <c r="AE430" s="31">
        <f>VLOOKUP($A430,kurspris!$A$1:$Q$852,4,FALSE)</f>
        <v>1</v>
      </c>
      <c r="AF430" s="31">
        <f>VLOOKUP($A430,kurspris!$A$1:$Q$852,5,FALSE)</f>
        <v>0</v>
      </c>
      <c r="AG430" s="31">
        <f>VLOOKUP($A430,kurspris!$A$1:$Q$852,6,FALSE)</f>
        <v>0</v>
      </c>
      <c r="AH430" s="31">
        <f>VLOOKUP($A430,kurspris!$A$1:$Q$852,7,FALSE)</f>
        <v>0</v>
      </c>
      <c r="AI430" s="31">
        <f>VLOOKUP($A430,kurspris!$A$1:$Q$852,8,FALSE)</f>
        <v>0</v>
      </c>
      <c r="AJ430" s="31">
        <f>VLOOKUP($A430,kurspris!$A$1:$Q$852,9,FALSE)</f>
        <v>0</v>
      </c>
      <c r="AK430" s="31">
        <f>VLOOKUP($A430,kurspris!$A$1:$Q$852,10,FALSE)</f>
        <v>0</v>
      </c>
      <c r="AL430" s="31">
        <f>VLOOKUP($A430,kurspris!$A$1:$Q$852,11,FALSE)</f>
        <v>0</v>
      </c>
      <c r="AM430" s="31">
        <f>VLOOKUP($A430,kurspris!$A$1:$Q$852,12,FALSE)</f>
        <v>0</v>
      </c>
      <c r="AN430" s="31">
        <f>VLOOKUP($A430,kurspris!$A$1:$Q$852,13,FALSE)</f>
        <v>0</v>
      </c>
      <c r="AO430" s="31">
        <f>VLOOKUP($A430,kurspris!$A$1:$Q$852,14,FALSE)</f>
        <v>0</v>
      </c>
      <c r="AP430" s="59" t="s">
        <v>2216</v>
      </c>
      <c r="AR430" s="31">
        <f t="shared" si="244"/>
        <v>0</v>
      </c>
      <c r="AS430" s="237">
        <f t="shared" si="245"/>
        <v>0</v>
      </c>
      <c r="AT430" s="31">
        <f t="shared" si="246"/>
        <v>2.75</v>
      </c>
      <c r="AU430" s="237">
        <f t="shared" si="247"/>
        <v>2.3374999999999999</v>
      </c>
      <c r="AV430" s="31">
        <f t="shared" si="248"/>
        <v>0</v>
      </c>
      <c r="AW430" s="31">
        <f t="shared" si="249"/>
        <v>0</v>
      </c>
      <c r="AX430" s="31">
        <f t="shared" si="250"/>
        <v>0</v>
      </c>
      <c r="AY430" s="237">
        <f t="shared" si="251"/>
        <v>0</v>
      </c>
      <c r="AZ430" s="214">
        <f t="shared" si="252"/>
        <v>0</v>
      </c>
      <c r="BA430" s="237">
        <f t="shared" si="253"/>
        <v>0</v>
      </c>
      <c r="BB430" s="31">
        <f t="shared" si="254"/>
        <v>0</v>
      </c>
      <c r="BC430" s="237">
        <f t="shared" si="255"/>
        <v>0</v>
      </c>
      <c r="BD430" s="31">
        <f t="shared" si="256"/>
        <v>0</v>
      </c>
      <c r="BE430" s="237">
        <f t="shared" si="257"/>
        <v>0</v>
      </c>
      <c r="BF430" s="31">
        <f t="shared" si="258"/>
        <v>0</v>
      </c>
      <c r="BG430" s="237">
        <f t="shared" si="259"/>
        <v>0</v>
      </c>
      <c r="BH430" s="31">
        <f t="shared" si="260"/>
        <v>0</v>
      </c>
      <c r="BI430" s="237">
        <f t="shared" si="261"/>
        <v>0</v>
      </c>
      <c r="BJ430" s="31">
        <f t="shared" si="262"/>
        <v>0</v>
      </c>
      <c r="BK430" s="31">
        <f t="shared" si="263"/>
        <v>0</v>
      </c>
      <c r="BL430" s="237">
        <f t="shared" si="264"/>
        <v>0</v>
      </c>
      <c r="BM430" s="31">
        <f t="shared" si="265"/>
        <v>0</v>
      </c>
      <c r="BN430" s="237">
        <f t="shared" si="266"/>
        <v>0</v>
      </c>
    </row>
    <row r="431" spans="1:66" x14ac:dyDescent="0.25">
      <c r="A431" s="159" t="s">
        <v>605</v>
      </c>
      <c r="B431" s="182" t="str">
        <f>VLOOKUP(A431,kurspris!$A$1:$B$894,2,FALSE)</f>
        <v>Svenska för åk 4-6, kurs 3</v>
      </c>
      <c r="C431" s="37"/>
      <c r="D431" s="31" t="s">
        <v>524</v>
      </c>
      <c r="F431" s="59">
        <v>2019</v>
      </c>
      <c r="Q431" s="237">
        <v>3.5</v>
      </c>
      <c r="R431" s="40">
        <v>0.85</v>
      </c>
      <c r="S431" s="313">
        <f t="shared" si="240"/>
        <v>2.9750000000000001</v>
      </c>
      <c r="T431" s="31">
        <f>VLOOKUP(A431,'Ansvar kurs'!$A$1:$C$1027,2,FALSE)</f>
        <v>1620</v>
      </c>
      <c r="U431" s="31" t="str">
        <f>VLOOKUP(T431,Orgenheter!$A$1:$C$165,2,FALSE)</f>
        <v>Inst för språkstudier</v>
      </c>
      <c r="V431" s="31" t="str">
        <f>VLOOKUP(T431,Orgenheter!$A$1:$C$165,3,FALSE)</f>
        <v>Hum</v>
      </c>
      <c r="W431" s="37" t="str">
        <f>VLOOKUP(D431,Program!$A$1:$B$34,2,FALSE)</f>
        <v>Grundlärarprogrammet - grundskolans åk 4-6</v>
      </c>
      <c r="X431" s="42">
        <f>VLOOKUP(A431,kurspris!$A$1:$Q$815,15,FALSE)</f>
        <v>18405</v>
      </c>
      <c r="Y431" s="42">
        <f>VLOOKUP(A431,kurspris!$A$1:$Q$815,16,FALSE)</f>
        <v>15773</v>
      </c>
      <c r="Z431" s="42">
        <f t="shared" si="241"/>
        <v>111342.175</v>
      </c>
      <c r="AA431" s="42">
        <f>VLOOKUP(A431,kurspris!$A$1:$Q$815,17,FALSE)</f>
        <v>5800</v>
      </c>
      <c r="AB431" s="42">
        <f t="shared" si="242"/>
        <v>20300</v>
      </c>
      <c r="AC431" s="42">
        <f t="shared" si="243"/>
        <v>131642.17499999999</v>
      </c>
      <c r="AD431" s="31">
        <f>VLOOKUP($A431,kurspris!$A$1:$Q$852,3,FALSE)</f>
        <v>0</v>
      </c>
      <c r="AE431" s="31">
        <f>VLOOKUP($A431,kurspris!$A$1:$Q$852,4,FALSE)</f>
        <v>1</v>
      </c>
      <c r="AF431" s="31">
        <f>VLOOKUP($A431,kurspris!$A$1:$Q$852,5,FALSE)</f>
        <v>0</v>
      </c>
      <c r="AG431" s="31">
        <f>VLOOKUP($A431,kurspris!$A$1:$Q$852,6,FALSE)</f>
        <v>0</v>
      </c>
      <c r="AH431" s="31">
        <f>VLOOKUP($A431,kurspris!$A$1:$Q$852,7,FALSE)</f>
        <v>0</v>
      </c>
      <c r="AI431" s="31">
        <f>VLOOKUP($A431,kurspris!$A$1:$Q$852,8,FALSE)</f>
        <v>0</v>
      </c>
      <c r="AJ431" s="31">
        <f>VLOOKUP($A431,kurspris!$A$1:$Q$852,9,FALSE)</f>
        <v>0</v>
      </c>
      <c r="AK431" s="31">
        <f>VLOOKUP($A431,kurspris!$A$1:$Q$852,10,FALSE)</f>
        <v>0</v>
      </c>
      <c r="AL431" s="31">
        <f>VLOOKUP($A431,kurspris!$A$1:$Q$852,11,FALSE)</f>
        <v>0</v>
      </c>
      <c r="AM431" s="31">
        <f>VLOOKUP($A431,kurspris!$A$1:$Q$852,12,FALSE)</f>
        <v>0</v>
      </c>
      <c r="AN431" s="31">
        <f>VLOOKUP($A431,kurspris!$A$1:$Q$852,13,FALSE)</f>
        <v>0</v>
      </c>
      <c r="AO431" s="31">
        <f>VLOOKUP($A431,kurspris!$A$1:$Q$852,14,FALSE)</f>
        <v>0</v>
      </c>
      <c r="AP431" s="59" t="s">
        <v>2216</v>
      </c>
      <c r="AR431" s="31">
        <f t="shared" si="244"/>
        <v>0</v>
      </c>
      <c r="AS431" s="237">
        <f t="shared" si="245"/>
        <v>0</v>
      </c>
      <c r="AT431" s="31">
        <f t="shared" si="246"/>
        <v>3.5</v>
      </c>
      <c r="AU431" s="237">
        <f t="shared" si="247"/>
        <v>2.9750000000000001</v>
      </c>
      <c r="AV431" s="31">
        <f t="shared" si="248"/>
        <v>0</v>
      </c>
      <c r="AW431" s="31">
        <f t="shared" si="249"/>
        <v>0</v>
      </c>
      <c r="AX431" s="31">
        <f t="shared" si="250"/>
        <v>0</v>
      </c>
      <c r="AY431" s="237">
        <f t="shared" si="251"/>
        <v>0</v>
      </c>
      <c r="AZ431" s="214">
        <f t="shared" si="252"/>
        <v>0</v>
      </c>
      <c r="BA431" s="237">
        <f t="shared" si="253"/>
        <v>0</v>
      </c>
      <c r="BB431" s="31">
        <f t="shared" si="254"/>
        <v>0</v>
      </c>
      <c r="BC431" s="237">
        <f t="shared" si="255"/>
        <v>0</v>
      </c>
      <c r="BD431" s="31">
        <f t="shared" si="256"/>
        <v>0</v>
      </c>
      <c r="BE431" s="237">
        <f t="shared" si="257"/>
        <v>0</v>
      </c>
      <c r="BF431" s="31">
        <f t="shared" si="258"/>
        <v>0</v>
      </c>
      <c r="BG431" s="237">
        <f t="shared" si="259"/>
        <v>0</v>
      </c>
      <c r="BH431" s="31">
        <f t="shared" si="260"/>
        <v>0</v>
      </c>
      <c r="BI431" s="237">
        <f t="shared" si="261"/>
        <v>0</v>
      </c>
      <c r="BJ431" s="31">
        <f t="shared" si="262"/>
        <v>0</v>
      </c>
      <c r="BK431" s="31">
        <f t="shared" si="263"/>
        <v>0</v>
      </c>
      <c r="BL431" s="237">
        <f t="shared" si="264"/>
        <v>0</v>
      </c>
      <c r="BM431" s="31">
        <f t="shared" si="265"/>
        <v>0</v>
      </c>
      <c r="BN431" s="237">
        <f t="shared" si="266"/>
        <v>0</v>
      </c>
    </row>
    <row r="432" spans="1:66" x14ac:dyDescent="0.25">
      <c r="A432" s="31" t="s">
        <v>521</v>
      </c>
      <c r="B432" s="182" t="str">
        <f>VLOOKUP(A432,kurspris!$A$1:$B$894,2,FALSE)</f>
        <v>Svenska II för ämneslärare</v>
      </c>
      <c r="D432" s="31" t="s">
        <v>483</v>
      </c>
      <c r="F432" s="59">
        <v>2019</v>
      </c>
      <c r="Q432" s="237">
        <v>13</v>
      </c>
      <c r="R432" s="40">
        <v>0.85</v>
      </c>
      <c r="S432" s="313">
        <f t="shared" si="240"/>
        <v>11.049999999999999</v>
      </c>
      <c r="T432" s="31">
        <f>VLOOKUP(A432,'Ansvar kurs'!$A$1:$C$1027,2,FALSE)</f>
        <v>1620</v>
      </c>
      <c r="U432" s="31" t="str">
        <f>VLOOKUP(T432,Orgenheter!$A$1:$C$165,2,FALSE)</f>
        <v>Inst för språkstudier</v>
      </c>
      <c r="V432" s="31" t="str">
        <f>VLOOKUP(T432,Orgenheter!$A$1:$C$165,3,FALSE)</f>
        <v>Hum</v>
      </c>
      <c r="W432" s="37" t="str">
        <f>VLOOKUP(D432,Program!$A$1:$B$34,2,FALSE)</f>
        <v>Ämneslärarprogrammet - Gy</v>
      </c>
      <c r="X432" s="42">
        <f>VLOOKUP(A432,kurspris!$A$1:$Q$815,15,FALSE)</f>
        <v>18405</v>
      </c>
      <c r="Y432" s="42">
        <f>VLOOKUP(A432,kurspris!$A$1:$Q$815,16,FALSE)</f>
        <v>15773</v>
      </c>
      <c r="Z432" s="42">
        <f t="shared" si="241"/>
        <v>413556.65</v>
      </c>
      <c r="AA432" s="42">
        <f>VLOOKUP(A432,kurspris!$A$1:$Q$815,17,FALSE)</f>
        <v>5800</v>
      </c>
      <c r="AB432" s="42">
        <f t="shared" si="242"/>
        <v>75400</v>
      </c>
      <c r="AC432" s="42">
        <f t="shared" si="243"/>
        <v>488956.65</v>
      </c>
      <c r="AD432" s="31">
        <f>VLOOKUP($A432,kurspris!$A$1:$Q$852,3,FALSE)</f>
        <v>0</v>
      </c>
      <c r="AE432" s="31">
        <f>VLOOKUP($A432,kurspris!$A$1:$Q$852,4,FALSE)</f>
        <v>1</v>
      </c>
      <c r="AF432" s="31">
        <f>VLOOKUP($A432,kurspris!$A$1:$Q$852,5,FALSE)</f>
        <v>0</v>
      </c>
      <c r="AG432" s="31">
        <f>VLOOKUP($A432,kurspris!$A$1:$Q$852,6,FALSE)</f>
        <v>0</v>
      </c>
      <c r="AH432" s="31">
        <f>VLOOKUP($A432,kurspris!$A$1:$Q$852,7,FALSE)</f>
        <v>0</v>
      </c>
      <c r="AI432" s="31">
        <f>VLOOKUP($A432,kurspris!$A$1:$Q$852,8,FALSE)</f>
        <v>0</v>
      </c>
      <c r="AJ432" s="31">
        <f>VLOOKUP($A432,kurspris!$A$1:$Q$852,9,FALSE)</f>
        <v>0</v>
      </c>
      <c r="AK432" s="31">
        <f>VLOOKUP($A432,kurspris!$A$1:$Q$852,10,FALSE)</f>
        <v>0</v>
      </c>
      <c r="AL432" s="31">
        <f>VLOOKUP($A432,kurspris!$A$1:$Q$852,11,FALSE)</f>
        <v>0</v>
      </c>
      <c r="AM432" s="31">
        <f>VLOOKUP($A432,kurspris!$A$1:$Q$852,12,FALSE)</f>
        <v>0</v>
      </c>
      <c r="AN432" s="31">
        <f>VLOOKUP($A432,kurspris!$A$1:$Q$852,13,FALSE)</f>
        <v>0</v>
      </c>
      <c r="AO432" s="31">
        <f>VLOOKUP($A432,kurspris!$A$1:$Q$852,14,FALSE)</f>
        <v>0</v>
      </c>
      <c r="AP432" s="59" t="s">
        <v>2216</v>
      </c>
      <c r="AR432" s="31">
        <f t="shared" si="244"/>
        <v>0</v>
      </c>
      <c r="AS432" s="237">
        <f t="shared" si="245"/>
        <v>0</v>
      </c>
      <c r="AT432" s="31">
        <f t="shared" si="246"/>
        <v>13</v>
      </c>
      <c r="AU432" s="237">
        <f t="shared" si="247"/>
        <v>11.049999999999999</v>
      </c>
      <c r="AV432" s="31">
        <f t="shared" si="248"/>
        <v>0</v>
      </c>
      <c r="AW432" s="31">
        <f t="shared" si="249"/>
        <v>0</v>
      </c>
      <c r="AX432" s="31">
        <f t="shared" si="250"/>
        <v>0</v>
      </c>
      <c r="AY432" s="237">
        <f t="shared" si="251"/>
        <v>0</v>
      </c>
      <c r="AZ432" s="214">
        <f t="shared" si="252"/>
        <v>0</v>
      </c>
      <c r="BA432" s="237">
        <f t="shared" si="253"/>
        <v>0</v>
      </c>
      <c r="BB432" s="31">
        <f t="shared" si="254"/>
        <v>0</v>
      </c>
      <c r="BC432" s="237">
        <f t="shared" si="255"/>
        <v>0</v>
      </c>
      <c r="BD432" s="31">
        <f t="shared" si="256"/>
        <v>0</v>
      </c>
      <c r="BE432" s="237">
        <f t="shared" si="257"/>
        <v>0</v>
      </c>
      <c r="BF432" s="31">
        <f t="shared" si="258"/>
        <v>0</v>
      </c>
      <c r="BG432" s="237">
        <f t="shared" si="259"/>
        <v>0</v>
      </c>
      <c r="BH432" s="31">
        <f t="shared" si="260"/>
        <v>0</v>
      </c>
      <c r="BI432" s="237">
        <f t="shared" si="261"/>
        <v>0</v>
      </c>
      <c r="BJ432" s="31">
        <f t="shared" si="262"/>
        <v>0</v>
      </c>
      <c r="BK432" s="31">
        <f t="shared" si="263"/>
        <v>0</v>
      </c>
      <c r="BL432" s="237">
        <f t="shared" si="264"/>
        <v>0</v>
      </c>
      <c r="BM432" s="31">
        <f t="shared" si="265"/>
        <v>0</v>
      </c>
      <c r="BN432" s="237">
        <f t="shared" si="266"/>
        <v>0</v>
      </c>
    </row>
    <row r="433" spans="1:66" x14ac:dyDescent="0.25">
      <c r="A433" s="31" t="s">
        <v>606</v>
      </c>
      <c r="B433" s="182" t="str">
        <f>VLOOKUP(A433,kurspris!$A$1:$B$894,2,FALSE)</f>
        <v>Svenska III för ämneslärare</v>
      </c>
      <c r="D433" s="31" t="s">
        <v>483</v>
      </c>
      <c r="F433" s="59">
        <v>2019</v>
      </c>
      <c r="Q433" s="237">
        <v>7</v>
      </c>
      <c r="R433" s="40">
        <v>0.85</v>
      </c>
      <c r="S433" s="313">
        <f t="shared" si="240"/>
        <v>5.95</v>
      </c>
      <c r="T433" s="31">
        <f>VLOOKUP(A433,'Ansvar kurs'!$A$1:$C$1027,2,FALSE)</f>
        <v>1620</v>
      </c>
      <c r="U433" s="31" t="str">
        <f>VLOOKUP(T433,Orgenheter!$A$1:$C$165,2,FALSE)</f>
        <v>Inst för språkstudier</v>
      </c>
      <c r="V433" s="31" t="str">
        <f>VLOOKUP(T433,Orgenheter!$A$1:$C$165,3,FALSE)</f>
        <v>Hum</v>
      </c>
      <c r="W433" s="37" t="str">
        <f>VLOOKUP(D433,Program!$A$1:$B$34,2,FALSE)</f>
        <v>Ämneslärarprogrammet - Gy</v>
      </c>
      <c r="X433" s="42">
        <f>VLOOKUP(A433,kurspris!$A$1:$Q$815,15,FALSE)</f>
        <v>18405</v>
      </c>
      <c r="Y433" s="42">
        <f>VLOOKUP(A433,kurspris!$A$1:$Q$815,16,FALSE)</f>
        <v>15773</v>
      </c>
      <c r="Z433" s="42">
        <f t="shared" si="241"/>
        <v>222684.35</v>
      </c>
      <c r="AA433" s="42">
        <f>VLOOKUP(A433,kurspris!$A$1:$Q$815,17,FALSE)</f>
        <v>5800</v>
      </c>
      <c r="AB433" s="42">
        <f t="shared" si="242"/>
        <v>40600</v>
      </c>
      <c r="AC433" s="42">
        <f t="shared" si="243"/>
        <v>263284.34999999998</v>
      </c>
      <c r="AD433" s="31">
        <f>VLOOKUP($A433,kurspris!$A$1:$Q$852,3,FALSE)</f>
        <v>0</v>
      </c>
      <c r="AE433" s="31">
        <f>VLOOKUP($A433,kurspris!$A$1:$Q$852,4,FALSE)</f>
        <v>1</v>
      </c>
      <c r="AF433" s="31">
        <f>VLOOKUP($A433,kurspris!$A$1:$Q$852,5,FALSE)</f>
        <v>0</v>
      </c>
      <c r="AG433" s="31">
        <f>VLOOKUP($A433,kurspris!$A$1:$Q$852,6,FALSE)</f>
        <v>0</v>
      </c>
      <c r="AH433" s="31">
        <f>VLOOKUP($A433,kurspris!$A$1:$Q$852,7,FALSE)</f>
        <v>0</v>
      </c>
      <c r="AI433" s="31">
        <f>VLOOKUP($A433,kurspris!$A$1:$Q$852,8,FALSE)</f>
        <v>0</v>
      </c>
      <c r="AJ433" s="31">
        <f>VLOOKUP($A433,kurspris!$A$1:$Q$852,9,FALSE)</f>
        <v>0</v>
      </c>
      <c r="AK433" s="31">
        <f>VLOOKUP($A433,kurspris!$A$1:$Q$852,10,FALSE)</f>
        <v>0</v>
      </c>
      <c r="AL433" s="31">
        <f>VLOOKUP($A433,kurspris!$A$1:$Q$852,11,FALSE)</f>
        <v>0</v>
      </c>
      <c r="AM433" s="31">
        <f>VLOOKUP($A433,kurspris!$A$1:$Q$852,12,FALSE)</f>
        <v>0</v>
      </c>
      <c r="AN433" s="31">
        <f>VLOOKUP($A433,kurspris!$A$1:$Q$852,13,FALSE)</f>
        <v>0</v>
      </c>
      <c r="AO433" s="31">
        <f>VLOOKUP($A433,kurspris!$A$1:$Q$852,14,FALSE)</f>
        <v>0</v>
      </c>
      <c r="AP433" s="59" t="s">
        <v>2216</v>
      </c>
      <c r="AR433" s="31">
        <f t="shared" si="244"/>
        <v>0</v>
      </c>
      <c r="AS433" s="237">
        <f t="shared" si="245"/>
        <v>0</v>
      </c>
      <c r="AT433" s="31">
        <f t="shared" si="246"/>
        <v>7</v>
      </c>
      <c r="AU433" s="237">
        <f t="shared" si="247"/>
        <v>5.95</v>
      </c>
      <c r="AV433" s="31">
        <f t="shared" si="248"/>
        <v>0</v>
      </c>
      <c r="AW433" s="31">
        <f t="shared" si="249"/>
        <v>0</v>
      </c>
      <c r="AX433" s="31">
        <f t="shared" si="250"/>
        <v>0</v>
      </c>
      <c r="AY433" s="237">
        <f t="shared" si="251"/>
        <v>0</v>
      </c>
      <c r="AZ433" s="214">
        <f t="shared" si="252"/>
        <v>0</v>
      </c>
      <c r="BA433" s="237">
        <f t="shared" si="253"/>
        <v>0</v>
      </c>
      <c r="BB433" s="31">
        <f t="shared" si="254"/>
        <v>0</v>
      </c>
      <c r="BC433" s="237">
        <f t="shared" si="255"/>
        <v>0</v>
      </c>
      <c r="BD433" s="31">
        <f t="shared" si="256"/>
        <v>0</v>
      </c>
      <c r="BE433" s="237">
        <f t="shared" si="257"/>
        <v>0</v>
      </c>
      <c r="BF433" s="31">
        <f t="shared" si="258"/>
        <v>0</v>
      </c>
      <c r="BG433" s="237">
        <f t="shared" si="259"/>
        <v>0</v>
      </c>
      <c r="BH433" s="31">
        <f t="shared" si="260"/>
        <v>0</v>
      </c>
      <c r="BI433" s="237">
        <f t="shared" si="261"/>
        <v>0</v>
      </c>
      <c r="BJ433" s="31">
        <f t="shared" si="262"/>
        <v>0</v>
      </c>
      <c r="BK433" s="31">
        <f t="shared" si="263"/>
        <v>0</v>
      </c>
      <c r="BL433" s="237">
        <f t="shared" si="264"/>
        <v>0</v>
      </c>
      <c r="BM433" s="31">
        <f t="shared" si="265"/>
        <v>0</v>
      </c>
      <c r="BN433" s="237">
        <f t="shared" si="266"/>
        <v>0</v>
      </c>
    </row>
    <row r="434" spans="1:66" x14ac:dyDescent="0.25">
      <c r="A434" s="31" t="s">
        <v>1897</v>
      </c>
      <c r="B434" s="182" t="str">
        <f>VLOOKUP(A434,kurspris!$A$1:$B$894,2,FALSE)</f>
        <v>Att undervisa i svenska (VFU)</v>
      </c>
      <c r="D434" s="31" t="s">
        <v>483</v>
      </c>
      <c r="F434" s="59">
        <v>2019</v>
      </c>
      <c r="Q434" s="237">
        <v>0.8</v>
      </c>
      <c r="R434" s="40">
        <v>0.85</v>
      </c>
      <c r="S434" s="313">
        <f t="shared" si="240"/>
        <v>0.68</v>
      </c>
      <c r="T434" s="31">
        <f>VLOOKUP(A434,'Ansvar kurs'!$A$1:$C$1027,2,FALSE)</f>
        <v>1620</v>
      </c>
      <c r="U434" s="31" t="str">
        <f>VLOOKUP(T434,Orgenheter!$A$1:$C$165,2,FALSE)</f>
        <v>Inst för språkstudier</v>
      </c>
      <c r="V434" s="31" t="str">
        <f>VLOOKUP(T434,Orgenheter!$A$1:$C$165,3,FALSE)</f>
        <v>Hum</v>
      </c>
      <c r="W434" s="37" t="str">
        <f>VLOOKUP(D434,Program!$A$1:$B$34,2,FALSE)</f>
        <v>Ämneslärarprogrammet - Gy</v>
      </c>
      <c r="X434" s="42">
        <f>VLOOKUP(A434,kurspris!$A$1:$Q$815,15,FALSE)</f>
        <v>21634</v>
      </c>
      <c r="Y434" s="42">
        <f>VLOOKUP(A434,kurspris!$A$1:$Q$815,16,FALSE)</f>
        <v>26986</v>
      </c>
      <c r="Z434" s="42">
        <f t="shared" si="241"/>
        <v>35657.68</v>
      </c>
      <c r="AA434" s="42">
        <f>VLOOKUP(A434,kurspris!$A$1:$Q$815,17,FALSE)</f>
        <v>3400</v>
      </c>
      <c r="AB434" s="42">
        <f t="shared" si="242"/>
        <v>2720</v>
      </c>
      <c r="AC434" s="42">
        <f t="shared" si="243"/>
        <v>38377.68</v>
      </c>
      <c r="AD434" s="31">
        <f>VLOOKUP($A434,kurspris!$A$1:$Q$852,3,FALSE)</f>
        <v>0</v>
      </c>
      <c r="AE434" s="31">
        <f>VLOOKUP($A434,kurspris!$A$1:$Q$852,4,FALSE)</f>
        <v>0</v>
      </c>
      <c r="AF434" s="31">
        <f>VLOOKUP($A434,kurspris!$A$1:$Q$852,5,FALSE)</f>
        <v>0</v>
      </c>
      <c r="AG434" s="31">
        <f>VLOOKUP($A434,kurspris!$A$1:$Q$852,6,FALSE)</f>
        <v>0</v>
      </c>
      <c r="AH434" s="31">
        <f>VLOOKUP($A434,kurspris!$A$1:$Q$852,7,FALSE)</f>
        <v>0</v>
      </c>
      <c r="AI434" s="31">
        <f>VLOOKUP($A434,kurspris!$A$1:$Q$852,8,FALSE)</f>
        <v>0</v>
      </c>
      <c r="AJ434" s="31">
        <f>VLOOKUP($A434,kurspris!$A$1:$Q$852,9,FALSE)</f>
        <v>0</v>
      </c>
      <c r="AK434" s="31">
        <f>VLOOKUP($A434,kurspris!$A$1:$Q$852,10,FALSE)</f>
        <v>0</v>
      </c>
      <c r="AL434" s="31">
        <f>VLOOKUP($A434,kurspris!$A$1:$Q$852,11,FALSE)</f>
        <v>1</v>
      </c>
      <c r="AM434" s="31">
        <f>VLOOKUP($A434,kurspris!$A$1:$Q$852,12,FALSE)</f>
        <v>0</v>
      </c>
      <c r="AN434" s="31">
        <f>VLOOKUP($A434,kurspris!$A$1:$Q$852,13,FALSE)</f>
        <v>0</v>
      </c>
      <c r="AO434" s="31">
        <f>VLOOKUP($A434,kurspris!$A$1:$Q$852,14,FALSE)</f>
        <v>0</v>
      </c>
      <c r="AP434" s="59" t="s">
        <v>2216</v>
      </c>
      <c r="AR434" s="31">
        <f t="shared" si="244"/>
        <v>0</v>
      </c>
      <c r="AS434" s="237">
        <f t="shared" si="245"/>
        <v>0</v>
      </c>
      <c r="AT434" s="31">
        <f t="shared" si="246"/>
        <v>0</v>
      </c>
      <c r="AU434" s="237">
        <f t="shared" si="247"/>
        <v>0</v>
      </c>
      <c r="AV434" s="31">
        <f t="shared" si="248"/>
        <v>0</v>
      </c>
      <c r="AW434" s="31">
        <f t="shared" si="249"/>
        <v>0</v>
      </c>
      <c r="AX434" s="31">
        <f t="shared" si="250"/>
        <v>0</v>
      </c>
      <c r="AY434" s="237">
        <f t="shared" si="251"/>
        <v>0</v>
      </c>
      <c r="AZ434" s="214">
        <f t="shared" si="252"/>
        <v>0</v>
      </c>
      <c r="BA434" s="237">
        <f t="shared" si="253"/>
        <v>0</v>
      </c>
      <c r="BB434" s="31">
        <f t="shared" si="254"/>
        <v>0</v>
      </c>
      <c r="BC434" s="237">
        <f t="shared" si="255"/>
        <v>0</v>
      </c>
      <c r="BD434" s="31">
        <f t="shared" si="256"/>
        <v>0</v>
      </c>
      <c r="BE434" s="237">
        <f t="shared" si="257"/>
        <v>0</v>
      </c>
      <c r="BF434" s="31">
        <f t="shared" si="258"/>
        <v>0</v>
      </c>
      <c r="BG434" s="237">
        <f t="shared" si="259"/>
        <v>0</v>
      </c>
      <c r="BH434" s="31">
        <f t="shared" si="260"/>
        <v>0.8</v>
      </c>
      <c r="BI434" s="237">
        <f t="shared" si="261"/>
        <v>0.68</v>
      </c>
      <c r="BJ434" s="31">
        <f t="shared" si="262"/>
        <v>0</v>
      </c>
      <c r="BK434" s="31">
        <f t="shared" si="263"/>
        <v>0</v>
      </c>
      <c r="BL434" s="237">
        <f t="shared" si="264"/>
        <v>0</v>
      </c>
      <c r="BM434" s="31">
        <f t="shared" si="265"/>
        <v>0</v>
      </c>
      <c r="BN434" s="237">
        <f t="shared" si="266"/>
        <v>0</v>
      </c>
    </row>
    <row r="435" spans="1:66" x14ac:dyDescent="0.25">
      <c r="A435" s="31" t="s">
        <v>1993</v>
      </c>
      <c r="B435" s="182" t="str">
        <f>VLOOKUP(A435,kurspris!$A$1:$B$894,2,FALSE)</f>
        <v>Svenska som andraspråk A</v>
      </c>
      <c r="D435" s="31" t="s">
        <v>117</v>
      </c>
      <c r="F435" s="59">
        <v>2019</v>
      </c>
      <c r="Q435" s="237">
        <v>3</v>
      </c>
      <c r="R435" s="40">
        <v>0.8</v>
      </c>
      <c r="S435" s="313">
        <f t="shared" si="240"/>
        <v>2.4000000000000004</v>
      </c>
      <c r="T435" s="31">
        <f>VLOOKUP(A435,'Ansvar kurs'!$A$1:$C$1027,2,FALSE)</f>
        <v>1620</v>
      </c>
      <c r="U435" s="31" t="str">
        <f>VLOOKUP(T435,Orgenheter!$A$1:$C$165,2,FALSE)</f>
        <v>Inst för språkstudier</v>
      </c>
      <c r="V435" s="31" t="str">
        <f>VLOOKUP(T435,Orgenheter!$A$1:$C$165,3,FALSE)</f>
        <v>Hum</v>
      </c>
      <c r="W435" s="37" t="str">
        <f>VLOOKUP(D435,Program!$A$1:$B$34,2,FALSE)</f>
        <v>Fristående och övriga kurser</v>
      </c>
      <c r="X435" s="42">
        <f>VLOOKUP(A435,kurspris!$A$1:$Q$815,15,FALSE)</f>
        <v>18405</v>
      </c>
      <c r="Y435" s="42">
        <f>VLOOKUP(A435,kurspris!$A$1:$Q$815,16,FALSE)</f>
        <v>15773</v>
      </c>
      <c r="Z435" s="42">
        <f t="shared" si="241"/>
        <v>93070.200000000012</v>
      </c>
      <c r="AA435" s="42">
        <f>VLOOKUP(A435,kurspris!$A$1:$Q$815,17,FALSE)</f>
        <v>5800</v>
      </c>
      <c r="AB435" s="42">
        <f t="shared" si="242"/>
        <v>17400</v>
      </c>
      <c r="AC435" s="42">
        <f t="shared" si="243"/>
        <v>110470.20000000001</v>
      </c>
      <c r="AD435" s="31">
        <f>VLOOKUP($A435,kurspris!$A$1:$Q$852,3,FALSE)</f>
        <v>0</v>
      </c>
      <c r="AE435" s="31">
        <f>VLOOKUP($A435,kurspris!$A$1:$Q$852,4,FALSE)</f>
        <v>1</v>
      </c>
      <c r="AF435" s="31">
        <f>VLOOKUP($A435,kurspris!$A$1:$Q$852,5,FALSE)</f>
        <v>0</v>
      </c>
      <c r="AG435" s="31">
        <f>VLOOKUP($A435,kurspris!$A$1:$Q$852,6,FALSE)</f>
        <v>0</v>
      </c>
      <c r="AH435" s="31">
        <f>VLOOKUP($A435,kurspris!$A$1:$Q$852,7,FALSE)</f>
        <v>0</v>
      </c>
      <c r="AI435" s="31">
        <f>VLOOKUP($A435,kurspris!$A$1:$Q$852,8,FALSE)</f>
        <v>0</v>
      </c>
      <c r="AJ435" s="31">
        <f>VLOOKUP($A435,kurspris!$A$1:$Q$852,9,FALSE)</f>
        <v>0</v>
      </c>
      <c r="AK435" s="31">
        <f>VLOOKUP($A435,kurspris!$A$1:$Q$852,10,FALSE)</f>
        <v>0</v>
      </c>
      <c r="AL435" s="31">
        <f>VLOOKUP($A435,kurspris!$A$1:$Q$852,11,FALSE)</f>
        <v>0</v>
      </c>
      <c r="AM435" s="31">
        <f>VLOOKUP($A435,kurspris!$A$1:$Q$852,12,FALSE)</f>
        <v>0</v>
      </c>
      <c r="AN435" s="31">
        <f>VLOOKUP($A435,kurspris!$A$1:$Q$852,13,FALSE)</f>
        <v>0</v>
      </c>
      <c r="AO435" s="31">
        <f>VLOOKUP($A435,kurspris!$A$1:$Q$852,14,FALSE)</f>
        <v>0</v>
      </c>
      <c r="AP435" s="59" t="s">
        <v>2216</v>
      </c>
      <c r="AR435" s="31">
        <f t="shared" si="244"/>
        <v>0</v>
      </c>
      <c r="AS435" s="237">
        <f t="shared" si="245"/>
        <v>0</v>
      </c>
      <c r="AT435" s="31">
        <f t="shared" si="246"/>
        <v>3</v>
      </c>
      <c r="AU435" s="237">
        <f t="shared" si="247"/>
        <v>2.4000000000000004</v>
      </c>
      <c r="AV435" s="31">
        <f t="shared" si="248"/>
        <v>0</v>
      </c>
      <c r="AW435" s="31">
        <f t="shared" si="249"/>
        <v>0</v>
      </c>
      <c r="AX435" s="31">
        <f t="shared" si="250"/>
        <v>0</v>
      </c>
      <c r="AY435" s="237">
        <f t="shared" si="251"/>
        <v>0</v>
      </c>
      <c r="AZ435" s="214">
        <f t="shared" si="252"/>
        <v>0</v>
      </c>
      <c r="BA435" s="237">
        <f t="shared" si="253"/>
        <v>0</v>
      </c>
      <c r="BB435" s="31">
        <f t="shared" si="254"/>
        <v>0</v>
      </c>
      <c r="BC435" s="237">
        <f t="shared" si="255"/>
        <v>0</v>
      </c>
      <c r="BD435" s="31">
        <f t="shared" si="256"/>
        <v>0</v>
      </c>
      <c r="BE435" s="237">
        <f t="shared" si="257"/>
        <v>0</v>
      </c>
      <c r="BF435" s="31">
        <f t="shared" si="258"/>
        <v>0</v>
      </c>
      <c r="BG435" s="237">
        <f t="shared" si="259"/>
        <v>0</v>
      </c>
      <c r="BH435" s="31">
        <f t="shared" si="260"/>
        <v>0</v>
      </c>
      <c r="BI435" s="237">
        <f t="shared" si="261"/>
        <v>0</v>
      </c>
      <c r="BJ435" s="31">
        <f t="shared" si="262"/>
        <v>0</v>
      </c>
      <c r="BK435" s="31">
        <f t="shared" si="263"/>
        <v>0</v>
      </c>
      <c r="BL435" s="237">
        <f t="shared" si="264"/>
        <v>0</v>
      </c>
      <c r="BM435" s="31">
        <f t="shared" si="265"/>
        <v>0</v>
      </c>
      <c r="BN435" s="237">
        <f t="shared" si="266"/>
        <v>0</v>
      </c>
    </row>
    <row r="436" spans="1:66" x14ac:dyDescent="0.25">
      <c r="A436" s="159" t="s">
        <v>2202</v>
      </c>
      <c r="B436" s="182" t="str">
        <f>VLOOKUP(A436,kurspris!$A$1:$B$894,2,FALSE)</f>
        <v>Svenska som andraspråk A, Det mångkulturella klassrummet och svenskans fonologi</v>
      </c>
      <c r="C436" s="37"/>
      <c r="D436" s="31" t="s">
        <v>117</v>
      </c>
      <c r="F436" s="59">
        <v>2019</v>
      </c>
      <c r="Q436" s="237">
        <v>1</v>
      </c>
      <c r="R436" s="40">
        <v>0.8</v>
      </c>
      <c r="S436" s="313">
        <f t="shared" si="240"/>
        <v>0.8</v>
      </c>
      <c r="T436" s="31">
        <f>VLOOKUP(A436,'Ansvar kurs'!$A$1:$C$1027,2,FALSE)</f>
        <v>1620</v>
      </c>
      <c r="U436" s="31" t="str">
        <f>VLOOKUP(T436,Orgenheter!$A$1:$C$165,2,FALSE)</f>
        <v>Inst för språkstudier</v>
      </c>
      <c r="V436" s="31" t="str">
        <f>VLOOKUP(T436,Orgenheter!$A$1:$C$165,3,FALSE)</f>
        <v>Hum</v>
      </c>
      <c r="W436" s="37" t="str">
        <f>VLOOKUP(D436,Program!$A$1:$B$34,2,FALSE)</f>
        <v>Fristående och övriga kurser</v>
      </c>
      <c r="X436" s="42">
        <f>VLOOKUP(A436,kurspris!$A$1:$Q$815,15,FALSE)</f>
        <v>18405</v>
      </c>
      <c r="Y436" s="42">
        <f>VLOOKUP(A436,kurspris!$A$1:$Q$815,16,FALSE)</f>
        <v>15773</v>
      </c>
      <c r="Z436" s="42">
        <f t="shared" si="241"/>
        <v>31023.4</v>
      </c>
      <c r="AA436" s="42">
        <f>VLOOKUP(A436,kurspris!$A$1:$Q$815,17,FALSE)</f>
        <v>5800</v>
      </c>
      <c r="AB436" s="42">
        <f t="shared" si="242"/>
        <v>5800</v>
      </c>
      <c r="AC436" s="42">
        <f t="shared" si="243"/>
        <v>36823.4</v>
      </c>
      <c r="AD436" s="31">
        <f>VLOOKUP($A436,kurspris!$A$1:$Q$852,3,FALSE)</f>
        <v>0</v>
      </c>
      <c r="AE436" s="31">
        <f>VLOOKUP($A436,kurspris!$A$1:$Q$852,4,FALSE)</f>
        <v>1</v>
      </c>
      <c r="AF436" s="31">
        <f>VLOOKUP($A436,kurspris!$A$1:$Q$852,5,FALSE)</f>
        <v>0</v>
      </c>
      <c r="AG436" s="31">
        <f>VLOOKUP($A436,kurspris!$A$1:$Q$852,6,FALSE)</f>
        <v>0</v>
      </c>
      <c r="AH436" s="31">
        <f>VLOOKUP($A436,kurspris!$A$1:$Q$852,7,FALSE)</f>
        <v>0</v>
      </c>
      <c r="AI436" s="31">
        <f>VLOOKUP($A436,kurspris!$A$1:$Q$852,8,FALSE)</f>
        <v>0</v>
      </c>
      <c r="AJ436" s="31">
        <f>VLOOKUP($A436,kurspris!$A$1:$Q$852,9,FALSE)</f>
        <v>0</v>
      </c>
      <c r="AK436" s="31">
        <f>VLOOKUP($A436,kurspris!$A$1:$Q$852,10,FALSE)</f>
        <v>0</v>
      </c>
      <c r="AL436" s="31">
        <f>VLOOKUP($A436,kurspris!$A$1:$Q$852,11,FALSE)</f>
        <v>0</v>
      </c>
      <c r="AM436" s="31">
        <f>VLOOKUP($A436,kurspris!$A$1:$Q$852,12,FALSE)</f>
        <v>0</v>
      </c>
      <c r="AN436" s="31">
        <f>VLOOKUP($A436,kurspris!$A$1:$Q$852,13,FALSE)</f>
        <v>0</v>
      </c>
      <c r="AO436" s="31">
        <f>VLOOKUP($A436,kurspris!$A$1:$Q$852,14,FALSE)</f>
        <v>0</v>
      </c>
      <c r="AP436" s="59" t="s">
        <v>2216</v>
      </c>
      <c r="AR436" s="31">
        <f t="shared" si="244"/>
        <v>0</v>
      </c>
      <c r="AS436" s="237">
        <f t="shared" si="245"/>
        <v>0</v>
      </c>
      <c r="AT436" s="31">
        <f t="shared" si="246"/>
        <v>1</v>
      </c>
      <c r="AU436" s="237">
        <f t="shared" si="247"/>
        <v>0.8</v>
      </c>
      <c r="AV436" s="31">
        <f t="shared" si="248"/>
        <v>0</v>
      </c>
      <c r="AW436" s="31">
        <f t="shared" si="249"/>
        <v>0</v>
      </c>
      <c r="AX436" s="31">
        <f t="shared" si="250"/>
        <v>0</v>
      </c>
      <c r="AY436" s="237">
        <f t="shared" si="251"/>
        <v>0</v>
      </c>
      <c r="AZ436" s="214">
        <f t="shared" si="252"/>
        <v>0</v>
      </c>
      <c r="BA436" s="237">
        <f t="shared" si="253"/>
        <v>0</v>
      </c>
      <c r="BB436" s="31">
        <f t="shared" si="254"/>
        <v>0</v>
      </c>
      <c r="BC436" s="237">
        <f t="shared" si="255"/>
        <v>0</v>
      </c>
      <c r="BD436" s="31">
        <f t="shared" si="256"/>
        <v>0</v>
      </c>
      <c r="BE436" s="237">
        <f t="shared" si="257"/>
        <v>0</v>
      </c>
      <c r="BF436" s="31">
        <f t="shared" si="258"/>
        <v>0</v>
      </c>
      <c r="BG436" s="237">
        <f t="shared" si="259"/>
        <v>0</v>
      </c>
      <c r="BH436" s="31">
        <f t="shared" si="260"/>
        <v>0</v>
      </c>
      <c r="BI436" s="237">
        <f t="shared" si="261"/>
        <v>0</v>
      </c>
      <c r="BJ436" s="31">
        <f t="shared" si="262"/>
        <v>0</v>
      </c>
      <c r="BK436" s="31">
        <f t="shared" si="263"/>
        <v>0</v>
      </c>
      <c r="BL436" s="237">
        <f t="shared" si="264"/>
        <v>0</v>
      </c>
      <c r="BM436" s="31">
        <f t="shared" si="265"/>
        <v>0</v>
      </c>
      <c r="BN436" s="237">
        <f t="shared" si="266"/>
        <v>0</v>
      </c>
    </row>
    <row r="437" spans="1:66" x14ac:dyDescent="0.25">
      <c r="A437" s="159" t="s">
        <v>2203</v>
      </c>
      <c r="B437" s="182" t="str">
        <f>VLOOKUP(A437,kurspris!$A$1:$B$894,2,FALSE)</f>
        <v>Svenska som andraspråk A, Att lära på ett andraspråk och svenskans grammatik</v>
      </c>
      <c r="C437" s="37"/>
      <c r="D437" s="31" t="s">
        <v>117</v>
      </c>
      <c r="F437" s="59">
        <v>2019</v>
      </c>
      <c r="Q437" s="237">
        <v>1.75</v>
      </c>
      <c r="R437" s="40">
        <v>0.8</v>
      </c>
      <c r="S437" s="313">
        <f t="shared" si="240"/>
        <v>1.4000000000000001</v>
      </c>
      <c r="T437" s="31">
        <f>VLOOKUP(A437,'Ansvar kurs'!$A$1:$C$1027,2,FALSE)</f>
        <v>1620</v>
      </c>
      <c r="U437" s="31" t="str">
        <f>VLOOKUP(T437,Orgenheter!$A$1:$C$165,2,FALSE)</f>
        <v>Inst för språkstudier</v>
      </c>
      <c r="V437" s="31" t="str">
        <f>VLOOKUP(T437,Orgenheter!$A$1:$C$165,3,FALSE)</f>
        <v>Hum</v>
      </c>
      <c r="W437" s="37" t="str">
        <f>VLOOKUP(D437,Program!$A$1:$B$34,2,FALSE)</f>
        <v>Fristående och övriga kurser</v>
      </c>
      <c r="X437" s="42">
        <f>VLOOKUP(A437,kurspris!$A$1:$Q$815,15,FALSE)</f>
        <v>18405</v>
      </c>
      <c r="Y437" s="42">
        <f>VLOOKUP(A437,kurspris!$A$1:$Q$815,16,FALSE)</f>
        <v>15773</v>
      </c>
      <c r="Z437" s="42">
        <f t="shared" si="241"/>
        <v>54290.95</v>
      </c>
      <c r="AA437" s="42">
        <f>VLOOKUP(A437,kurspris!$A$1:$Q$815,17,FALSE)</f>
        <v>5800</v>
      </c>
      <c r="AB437" s="42">
        <f t="shared" si="242"/>
        <v>10150</v>
      </c>
      <c r="AC437" s="42">
        <f t="shared" si="243"/>
        <v>64440.95</v>
      </c>
      <c r="AD437" s="31">
        <f>VLOOKUP($A437,kurspris!$A$1:$Q$852,3,FALSE)</f>
        <v>0</v>
      </c>
      <c r="AE437" s="31">
        <f>VLOOKUP($A437,kurspris!$A$1:$Q$852,4,FALSE)</f>
        <v>1</v>
      </c>
      <c r="AF437" s="31">
        <f>VLOOKUP($A437,kurspris!$A$1:$Q$852,5,FALSE)</f>
        <v>0</v>
      </c>
      <c r="AG437" s="31">
        <f>VLOOKUP($A437,kurspris!$A$1:$Q$852,6,FALSE)</f>
        <v>0</v>
      </c>
      <c r="AH437" s="31">
        <f>VLOOKUP($A437,kurspris!$A$1:$Q$852,7,FALSE)</f>
        <v>0</v>
      </c>
      <c r="AI437" s="31">
        <f>VLOOKUP($A437,kurspris!$A$1:$Q$852,8,FALSE)</f>
        <v>0</v>
      </c>
      <c r="AJ437" s="31">
        <f>VLOOKUP($A437,kurspris!$A$1:$Q$852,9,FALSE)</f>
        <v>0</v>
      </c>
      <c r="AK437" s="31">
        <f>VLOOKUP($A437,kurspris!$A$1:$Q$852,10,FALSE)</f>
        <v>0</v>
      </c>
      <c r="AL437" s="31">
        <f>VLOOKUP($A437,kurspris!$A$1:$Q$852,11,FALSE)</f>
        <v>0</v>
      </c>
      <c r="AM437" s="31">
        <f>VLOOKUP($A437,kurspris!$A$1:$Q$852,12,FALSE)</f>
        <v>0</v>
      </c>
      <c r="AN437" s="31">
        <f>VLOOKUP($A437,kurspris!$A$1:$Q$852,13,FALSE)</f>
        <v>0</v>
      </c>
      <c r="AO437" s="31">
        <f>VLOOKUP($A437,kurspris!$A$1:$Q$852,14,FALSE)</f>
        <v>0</v>
      </c>
      <c r="AP437" s="59" t="s">
        <v>2216</v>
      </c>
      <c r="AR437" s="31">
        <f t="shared" si="244"/>
        <v>0</v>
      </c>
      <c r="AS437" s="237">
        <f t="shared" si="245"/>
        <v>0</v>
      </c>
      <c r="AT437" s="31">
        <f t="shared" si="246"/>
        <v>1.75</v>
      </c>
      <c r="AU437" s="237">
        <f t="shared" si="247"/>
        <v>1.4000000000000001</v>
      </c>
      <c r="AV437" s="31">
        <f t="shared" si="248"/>
        <v>0</v>
      </c>
      <c r="AW437" s="31">
        <f t="shared" si="249"/>
        <v>0</v>
      </c>
      <c r="AX437" s="31">
        <f t="shared" si="250"/>
        <v>0</v>
      </c>
      <c r="AY437" s="237">
        <f t="shared" si="251"/>
        <v>0</v>
      </c>
      <c r="AZ437" s="214">
        <f t="shared" si="252"/>
        <v>0</v>
      </c>
      <c r="BA437" s="237">
        <f t="shared" si="253"/>
        <v>0</v>
      </c>
      <c r="BB437" s="31">
        <f t="shared" si="254"/>
        <v>0</v>
      </c>
      <c r="BC437" s="237">
        <f t="shared" si="255"/>
        <v>0</v>
      </c>
      <c r="BD437" s="31">
        <f t="shared" si="256"/>
        <v>0</v>
      </c>
      <c r="BE437" s="237">
        <f t="shared" si="257"/>
        <v>0</v>
      </c>
      <c r="BF437" s="31">
        <f t="shared" si="258"/>
        <v>0</v>
      </c>
      <c r="BG437" s="237">
        <f t="shared" si="259"/>
        <v>0</v>
      </c>
      <c r="BH437" s="31">
        <f t="shared" si="260"/>
        <v>0</v>
      </c>
      <c r="BI437" s="237">
        <f t="shared" si="261"/>
        <v>0</v>
      </c>
      <c r="BJ437" s="31">
        <f t="shared" si="262"/>
        <v>0</v>
      </c>
      <c r="BK437" s="31">
        <f t="shared" si="263"/>
        <v>0</v>
      </c>
      <c r="BL437" s="237">
        <f t="shared" si="264"/>
        <v>0</v>
      </c>
      <c r="BM437" s="31">
        <f t="shared" si="265"/>
        <v>0</v>
      </c>
      <c r="BN437" s="237">
        <f t="shared" si="266"/>
        <v>0</v>
      </c>
    </row>
    <row r="438" spans="1:66" x14ac:dyDescent="0.25">
      <c r="A438" s="159" t="s">
        <v>1994</v>
      </c>
      <c r="B438" s="182" t="str">
        <f>VLOOKUP(A438,kurspris!$A$1:$B$894,2,FALSE)</f>
        <v>Svenska som andraspråk B</v>
      </c>
      <c r="C438" s="37"/>
      <c r="D438" s="31" t="s">
        <v>117</v>
      </c>
      <c r="F438" s="59">
        <v>2019</v>
      </c>
      <c r="Q438" s="237">
        <v>1.5</v>
      </c>
      <c r="R438" s="40">
        <v>0.8</v>
      </c>
      <c r="S438" s="313">
        <f t="shared" si="240"/>
        <v>1.2000000000000002</v>
      </c>
      <c r="T438" s="31">
        <f>VLOOKUP(A438,'Ansvar kurs'!$A$1:$C$1027,2,FALSE)</f>
        <v>1620</v>
      </c>
      <c r="U438" s="31" t="str">
        <f>VLOOKUP(T438,Orgenheter!$A$1:$C$165,2,FALSE)</f>
        <v>Inst för språkstudier</v>
      </c>
      <c r="V438" s="31" t="str">
        <f>VLOOKUP(T438,Orgenheter!$A$1:$C$165,3,FALSE)</f>
        <v>Hum</v>
      </c>
      <c r="W438" s="37" t="str">
        <f>VLOOKUP(D438,Program!$A$1:$B$34,2,FALSE)</f>
        <v>Fristående och övriga kurser</v>
      </c>
      <c r="X438" s="42">
        <f>VLOOKUP(A438,kurspris!$A$1:$Q$815,15,FALSE)</f>
        <v>18405</v>
      </c>
      <c r="Y438" s="42">
        <f>VLOOKUP(A438,kurspris!$A$1:$Q$815,16,FALSE)</f>
        <v>15773</v>
      </c>
      <c r="Z438" s="42">
        <f t="shared" si="241"/>
        <v>46535.100000000006</v>
      </c>
      <c r="AA438" s="42">
        <f>VLOOKUP(A438,kurspris!$A$1:$Q$815,17,FALSE)</f>
        <v>5800</v>
      </c>
      <c r="AB438" s="42">
        <f t="shared" si="242"/>
        <v>8700</v>
      </c>
      <c r="AC438" s="42">
        <f t="shared" si="243"/>
        <v>55235.100000000006</v>
      </c>
      <c r="AD438" s="31">
        <f>VLOOKUP($A438,kurspris!$A$1:$Q$852,3,FALSE)</f>
        <v>0</v>
      </c>
      <c r="AE438" s="31">
        <f>VLOOKUP($A438,kurspris!$A$1:$Q$852,4,FALSE)</f>
        <v>1</v>
      </c>
      <c r="AF438" s="31">
        <f>VLOOKUP($A438,kurspris!$A$1:$Q$852,5,FALSE)</f>
        <v>0</v>
      </c>
      <c r="AG438" s="31">
        <f>VLOOKUP($A438,kurspris!$A$1:$Q$852,6,FALSE)</f>
        <v>0</v>
      </c>
      <c r="AH438" s="31">
        <f>VLOOKUP($A438,kurspris!$A$1:$Q$852,7,FALSE)</f>
        <v>0</v>
      </c>
      <c r="AI438" s="31">
        <f>VLOOKUP($A438,kurspris!$A$1:$Q$852,8,FALSE)</f>
        <v>0</v>
      </c>
      <c r="AJ438" s="31">
        <f>VLOOKUP($A438,kurspris!$A$1:$Q$852,9,FALSE)</f>
        <v>0</v>
      </c>
      <c r="AK438" s="31">
        <f>VLOOKUP($A438,kurspris!$A$1:$Q$852,10,FALSE)</f>
        <v>0</v>
      </c>
      <c r="AL438" s="31">
        <f>VLOOKUP($A438,kurspris!$A$1:$Q$852,11,FALSE)</f>
        <v>0</v>
      </c>
      <c r="AM438" s="31">
        <f>VLOOKUP($A438,kurspris!$A$1:$Q$852,12,FALSE)</f>
        <v>0</v>
      </c>
      <c r="AN438" s="31">
        <f>VLOOKUP($A438,kurspris!$A$1:$Q$852,13,FALSE)</f>
        <v>0</v>
      </c>
      <c r="AO438" s="31">
        <f>VLOOKUP($A438,kurspris!$A$1:$Q$852,14,FALSE)</f>
        <v>0</v>
      </c>
      <c r="AP438" s="59" t="s">
        <v>2216</v>
      </c>
      <c r="AR438" s="31">
        <f t="shared" si="244"/>
        <v>0</v>
      </c>
      <c r="AS438" s="237">
        <f t="shared" si="245"/>
        <v>0</v>
      </c>
      <c r="AT438" s="31">
        <f t="shared" si="246"/>
        <v>1.5</v>
      </c>
      <c r="AU438" s="237">
        <f t="shared" si="247"/>
        <v>1.2000000000000002</v>
      </c>
      <c r="AV438" s="31">
        <f t="shared" si="248"/>
        <v>0</v>
      </c>
      <c r="AW438" s="31">
        <f t="shared" si="249"/>
        <v>0</v>
      </c>
      <c r="AX438" s="31">
        <f t="shared" si="250"/>
        <v>0</v>
      </c>
      <c r="AY438" s="237">
        <f t="shared" si="251"/>
        <v>0</v>
      </c>
      <c r="AZ438" s="214">
        <f t="shared" si="252"/>
        <v>0</v>
      </c>
      <c r="BA438" s="237">
        <f t="shared" si="253"/>
        <v>0</v>
      </c>
      <c r="BB438" s="31">
        <f t="shared" si="254"/>
        <v>0</v>
      </c>
      <c r="BC438" s="237">
        <f t="shared" si="255"/>
        <v>0</v>
      </c>
      <c r="BD438" s="31">
        <f t="shared" si="256"/>
        <v>0</v>
      </c>
      <c r="BE438" s="237">
        <f t="shared" si="257"/>
        <v>0</v>
      </c>
      <c r="BF438" s="31">
        <f t="shared" si="258"/>
        <v>0</v>
      </c>
      <c r="BG438" s="237">
        <f t="shared" si="259"/>
        <v>0</v>
      </c>
      <c r="BH438" s="31">
        <f t="shared" si="260"/>
        <v>0</v>
      </c>
      <c r="BI438" s="237">
        <f t="shared" si="261"/>
        <v>0</v>
      </c>
      <c r="BJ438" s="31">
        <f t="shared" si="262"/>
        <v>0</v>
      </c>
      <c r="BK438" s="31">
        <f t="shared" si="263"/>
        <v>0</v>
      </c>
      <c r="BL438" s="237">
        <f t="shared" si="264"/>
        <v>0</v>
      </c>
      <c r="BM438" s="31">
        <f t="shared" si="265"/>
        <v>0</v>
      </c>
      <c r="BN438" s="237">
        <f t="shared" si="266"/>
        <v>0</v>
      </c>
    </row>
    <row r="439" spans="1:66" x14ac:dyDescent="0.25">
      <c r="A439" s="159" t="s">
        <v>2204</v>
      </c>
      <c r="B439" s="182" t="str">
        <f>VLOOKUP(A439,kurspris!$A$1:$B$894,2,FALSE)</f>
        <v>Svenska som andraspråk B, Flerspråkiga inlärares litteracitet</v>
      </c>
      <c r="C439" s="37"/>
      <c r="D439" s="31" t="s">
        <v>117</v>
      </c>
      <c r="F439" s="59">
        <v>2019</v>
      </c>
      <c r="Q439" s="237">
        <v>0.375</v>
      </c>
      <c r="R439" s="40">
        <v>0.8</v>
      </c>
      <c r="S439" s="313">
        <f t="shared" si="240"/>
        <v>0.30000000000000004</v>
      </c>
      <c r="T439" s="31">
        <f>VLOOKUP(A439,'Ansvar kurs'!$A$1:$C$1027,2,FALSE)</f>
        <v>1620</v>
      </c>
      <c r="U439" s="31" t="str">
        <f>VLOOKUP(T439,Orgenheter!$A$1:$C$165,2,FALSE)</f>
        <v>Inst för språkstudier</v>
      </c>
      <c r="V439" s="31" t="str">
        <f>VLOOKUP(T439,Orgenheter!$A$1:$C$165,3,FALSE)</f>
        <v>Hum</v>
      </c>
      <c r="W439" s="37" t="str">
        <f>VLOOKUP(D439,Program!$A$1:$B$34,2,FALSE)</f>
        <v>Fristående och övriga kurser</v>
      </c>
      <c r="X439" s="42">
        <f>VLOOKUP(A439,kurspris!$A$1:$Q$815,15,FALSE)</f>
        <v>18405</v>
      </c>
      <c r="Y439" s="42">
        <f>VLOOKUP(A439,kurspris!$A$1:$Q$815,16,FALSE)</f>
        <v>15773</v>
      </c>
      <c r="Z439" s="42">
        <f t="shared" si="241"/>
        <v>11633.775000000001</v>
      </c>
      <c r="AA439" s="42">
        <f>VLOOKUP(A439,kurspris!$A$1:$Q$815,17,FALSE)</f>
        <v>5800</v>
      </c>
      <c r="AB439" s="42">
        <f t="shared" si="242"/>
        <v>2175</v>
      </c>
      <c r="AC439" s="42">
        <f t="shared" si="243"/>
        <v>13808.775000000001</v>
      </c>
      <c r="AD439" s="31">
        <f>VLOOKUP($A439,kurspris!$A$1:$Q$852,3,FALSE)</f>
        <v>0</v>
      </c>
      <c r="AE439" s="31">
        <f>VLOOKUP($A439,kurspris!$A$1:$Q$852,4,FALSE)</f>
        <v>1</v>
      </c>
      <c r="AF439" s="31">
        <f>VLOOKUP($A439,kurspris!$A$1:$Q$852,5,FALSE)</f>
        <v>0</v>
      </c>
      <c r="AG439" s="31">
        <f>VLOOKUP($A439,kurspris!$A$1:$Q$852,6,FALSE)</f>
        <v>0</v>
      </c>
      <c r="AH439" s="31">
        <f>VLOOKUP($A439,kurspris!$A$1:$Q$852,7,FALSE)</f>
        <v>0</v>
      </c>
      <c r="AI439" s="31">
        <f>VLOOKUP($A439,kurspris!$A$1:$Q$852,8,FALSE)</f>
        <v>0</v>
      </c>
      <c r="AJ439" s="31">
        <f>VLOOKUP($A439,kurspris!$A$1:$Q$852,9,FALSE)</f>
        <v>0</v>
      </c>
      <c r="AK439" s="31">
        <f>VLOOKUP($A439,kurspris!$A$1:$Q$852,10,FALSE)</f>
        <v>0</v>
      </c>
      <c r="AL439" s="31">
        <f>VLOOKUP($A439,kurspris!$A$1:$Q$852,11,FALSE)</f>
        <v>0</v>
      </c>
      <c r="AM439" s="31">
        <f>VLOOKUP($A439,kurspris!$A$1:$Q$852,12,FALSE)</f>
        <v>0</v>
      </c>
      <c r="AN439" s="31">
        <f>VLOOKUP($A439,kurspris!$A$1:$Q$852,13,FALSE)</f>
        <v>0</v>
      </c>
      <c r="AO439" s="31">
        <f>VLOOKUP($A439,kurspris!$A$1:$Q$852,14,FALSE)</f>
        <v>0</v>
      </c>
      <c r="AP439" s="59" t="s">
        <v>2216</v>
      </c>
      <c r="AQ439" s="59"/>
      <c r="AR439" s="31">
        <f t="shared" si="244"/>
        <v>0</v>
      </c>
      <c r="AS439" s="237">
        <f t="shared" si="245"/>
        <v>0</v>
      </c>
      <c r="AT439" s="31">
        <f t="shared" si="246"/>
        <v>0.375</v>
      </c>
      <c r="AU439" s="237">
        <f t="shared" si="247"/>
        <v>0.30000000000000004</v>
      </c>
      <c r="AV439" s="31">
        <f t="shared" si="248"/>
        <v>0</v>
      </c>
      <c r="AW439" s="31">
        <f t="shared" si="249"/>
        <v>0</v>
      </c>
      <c r="AX439" s="31">
        <f t="shared" si="250"/>
        <v>0</v>
      </c>
      <c r="AY439" s="237">
        <f t="shared" si="251"/>
        <v>0</v>
      </c>
      <c r="AZ439" s="214">
        <f t="shared" si="252"/>
        <v>0</v>
      </c>
      <c r="BA439" s="237">
        <f t="shared" si="253"/>
        <v>0</v>
      </c>
      <c r="BB439" s="31">
        <f t="shared" si="254"/>
        <v>0</v>
      </c>
      <c r="BC439" s="237">
        <f t="shared" si="255"/>
        <v>0</v>
      </c>
      <c r="BD439" s="31">
        <f t="shared" si="256"/>
        <v>0</v>
      </c>
      <c r="BE439" s="237">
        <f t="shared" si="257"/>
        <v>0</v>
      </c>
      <c r="BF439" s="31">
        <f t="shared" si="258"/>
        <v>0</v>
      </c>
      <c r="BG439" s="237">
        <f t="shared" si="259"/>
        <v>0</v>
      </c>
      <c r="BH439" s="31">
        <f t="shared" si="260"/>
        <v>0</v>
      </c>
      <c r="BI439" s="237">
        <f t="shared" si="261"/>
        <v>0</v>
      </c>
      <c r="BJ439" s="31">
        <f t="shared" si="262"/>
        <v>0</v>
      </c>
      <c r="BK439" s="31">
        <f t="shared" si="263"/>
        <v>0</v>
      </c>
      <c r="BL439" s="237">
        <f t="shared" si="264"/>
        <v>0</v>
      </c>
      <c r="BM439" s="31">
        <f t="shared" si="265"/>
        <v>0</v>
      </c>
      <c r="BN439" s="237">
        <f t="shared" si="266"/>
        <v>0</v>
      </c>
    </row>
    <row r="440" spans="1:66" x14ac:dyDescent="0.25">
      <c r="A440" s="31" t="s">
        <v>2205</v>
      </c>
      <c r="B440" s="182" t="str">
        <f>VLOOKUP(A440,kurspris!$A$1:$B$894,2,FALSE)</f>
        <v>Svenska som andraspråk B, Flerspråkighet och fördjupning</v>
      </c>
      <c r="D440" s="31" t="s">
        <v>117</v>
      </c>
      <c r="F440" s="59">
        <v>2019</v>
      </c>
      <c r="Q440" s="237">
        <v>0.25</v>
      </c>
      <c r="R440" s="40">
        <v>0.8</v>
      </c>
      <c r="S440" s="313">
        <f t="shared" si="240"/>
        <v>0.2</v>
      </c>
      <c r="T440" s="31">
        <f>VLOOKUP(A440,'Ansvar kurs'!$A$1:$C$1027,2,FALSE)</f>
        <v>1620</v>
      </c>
      <c r="U440" s="31" t="str">
        <f>VLOOKUP(T440,Orgenheter!$A$1:$C$165,2,FALSE)</f>
        <v>Inst för språkstudier</v>
      </c>
      <c r="V440" s="31" t="str">
        <f>VLOOKUP(T440,Orgenheter!$A$1:$C$165,3,FALSE)</f>
        <v>Hum</v>
      </c>
      <c r="W440" s="37" t="str">
        <f>VLOOKUP(D440,Program!$A$1:$B$34,2,FALSE)</f>
        <v>Fristående och övriga kurser</v>
      </c>
      <c r="X440" s="42">
        <f>VLOOKUP(A440,kurspris!$A$1:$Q$815,15,FALSE)</f>
        <v>18405</v>
      </c>
      <c r="Y440" s="42">
        <f>VLOOKUP(A440,kurspris!$A$1:$Q$815,16,FALSE)</f>
        <v>15773</v>
      </c>
      <c r="Z440" s="42">
        <f t="shared" si="241"/>
        <v>7755.85</v>
      </c>
      <c r="AA440" s="42">
        <f>VLOOKUP(A440,kurspris!$A$1:$Q$815,17,FALSE)</f>
        <v>5800</v>
      </c>
      <c r="AB440" s="42">
        <f t="shared" si="242"/>
        <v>1450</v>
      </c>
      <c r="AC440" s="42">
        <f t="shared" si="243"/>
        <v>9205.85</v>
      </c>
      <c r="AD440" s="31">
        <f>VLOOKUP($A440,kurspris!$A$1:$Q$852,3,FALSE)</f>
        <v>0</v>
      </c>
      <c r="AE440" s="31">
        <f>VLOOKUP($A440,kurspris!$A$1:$Q$852,4,FALSE)</f>
        <v>1</v>
      </c>
      <c r="AF440" s="31">
        <f>VLOOKUP($A440,kurspris!$A$1:$Q$852,5,FALSE)</f>
        <v>0</v>
      </c>
      <c r="AG440" s="31">
        <f>VLOOKUP($A440,kurspris!$A$1:$Q$852,6,FALSE)</f>
        <v>0</v>
      </c>
      <c r="AH440" s="31">
        <f>VLOOKUP($A440,kurspris!$A$1:$Q$852,7,FALSE)</f>
        <v>0</v>
      </c>
      <c r="AI440" s="31">
        <f>VLOOKUP($A440,kurspris!$A$1:$Q$852,8,FALSE)</f>
        <v>0</v>
      </c>
      <c r="AJ440" s="31">
        <f>VLOOKUP($A440,kurspris!$A$1:$Q$852,9,FALSE)</f>
        <v>0</v>
      </c>
      <c r="AK440" s="31">
        <f>VLOOKUP($A440,kurspris!$A$1:$Q$852,10,FALSE)</f>
        <v>0</v>
      </c>
      <c r="AL440" s="31">
        <f>VLOOKUP($A440,kurspris!$A$1:$Q$852,11,FALSE)</f>
        <v>0</v>
      </c>
      <c r="AM440" s="31">
        <f>VLOOKUP($A440,kurspris!$A$1:$Q$852,12,FALSE)</f>
        <v>0</v>
      </c>
      <c r="AN440" s="31">
        <f>VLOOKUP($A440,kurspris!$A$1:$Q$852,13,FALSE)</f>
        <v>0</v>
      </c>
      <c r="AO440" s="31">
        <f>VLOOKUP($A440,kurspris!$A$1:$Q$852,14,FALSE)</f>
        <v>0</v>
      </c>
      <c r="AP440" s="59" t="s">
        <v>2216</v>
      </c>
      <c r="AR440" s="31">
        <f t="shared" si="244"/>
        <v>0</v>
      </c>
      <c r="AS440" s="237">
        <f t="shared" si="245"/>
        <v>0</v>
      </c>
      <c r="AT440" s="31">
        <f t="shared" si="246"/>
        <v>0.25</v>
      </c>
      <c r="AU440" s="237">
        <f t="shared" si="247"/>
        <v>0.2</v>
      </c>
      <c r="AV440" s="31">
        <f t="shared" si="248"/>
        <v>0</v>
      </c>
      <c r="AW440" s="31">
        <f t="shared" si="249"/>
        <v>0</v>
      </c>
      <c r="AX440" s="31">
        <f t="shared" si="250"/>
        <v>0</v>
      </c>
      <c r="AY440" s="237">
        <f t="shared" si="251"/>
        <v>0</v>
      </c>
      <c r="AZ440" s="214">
        <f t="shared" si="252"/>
        <v>0</v>
      </c>
      <c r="BA440" s="237">
        <f t="shared" si="253"/>
        <v>0</v>
      </c>
      <c r="BB440" s="31">
        <f t="shared" si="254"/>
        <v>0</v>
      </c>
      <c r="BC440" s="237">
        <f t="shared" si="255"/>
        <v>0</v>
      </c>
      <c r="BD440" s="31">
        <f t="shared" si="256"/>
        <v>0</v>
      </c>
      <c r="BE440" s="237">
        <f t="shared" si="257"/>
        <v>0</v>
      </c>
      <c r="BF440" s="31">
        <f t="shared" si="258"/>
        <v>0</v>
      </c>
      <c r="BG440" s="237">
        <f t="shared" si="259"/>
        <v>0</v>
      </c>
      <c r="BH440" s="31">
        <f t="shared" si="260"/>
        <v>0</v>
      </c>
      <c r="BI440" s="237">
        <f t="shared" si="261"/>
        <v>0</v>
      </c>
      <c r="BJ440" s="31">
        <f t="shared" si="262"/>
        <v>0</v>
      </c>
      <c r="BK440" s="31">
        <f t="shared" si="263"/>
        <v>0</v>
      </c>
      <c r="BL440" s="237">
        <f t="shared" si="264"/>
        <v>0</v>
      </c>
      <c r="BM440" s="31">
        <f t="shared" si="265"/>
        <v>0</v>
      </c>
      <c r="BN440" s="237">
        <f t="shared" si="266"/>
        <v>0</v>
      </c>
    </row>
    <row r="441" spans="1:66" x14ac:dyDescent="0.25">
      <c r="A441" s="31" t="s">
        <v>1995</v>
      </c>
      <c r="B441" s="182" t="str">
        <f>VLOOKUP(A441,kurspris!$A$1:$B$894,2,FALSE)</f>
        <v>Svenska som andraspråk C, Diskriminerande strukturer och skönlitteratur</v>
      </c>
      <c r="D441" s="31" t="s">
        <v>117</v>
      </c>
      <c r="F441" s="59">
        <v>2019</v>
      </c>
      <c r="Q441" s="237">
        <v>0.75</v>
      </c>
      <c r="R441" s="40">
        <v>0.8</v>
      </c>
      <c r="S441" s="313">
        <f t="shared" si="240"/>
        <v>0.60000000000000009</v>
      </c>
      <c r="T441" s="31">
        <f>VLOOKUP(A441,'Ansvar kurs'!$A$1:$C$1027,2,FALSE)</f>
        <v>1620</v>
      </c>
      <c r="U441" s="31" t="str">
        <f>VLOOKUP(T441,Orgenheter!$A$1:$C$165,2,FALSE)</f>
        <v>Inst för språkstudier</v>
      </c>
      <c r="V441" s="31" t="str">
        <f>VLOOKUP(T441,Orgenheter!$A$1:$C$165,3,FALSE)</f>
        <v>Hum</v>
      </c>
      <c r="W441" s="37" t="str">
        <f>VLOOKUP(D441,Program!$A$1:$B$34,2,FALSE)</f>
        <v>Fristående och övriga kurser</v>
      </c>
      <c r="X441" s="42">
        <f>VLOOKUP(A441,kurspris!$A$1:$Q$815,15,FALSE)</f>
        <v>18405</v>
      </c>
      <c r="Y441" s="42">
        <f>VLOOKUP(A441,kurspris!$A$1:$Q$815,16,FALSE)</f>
        <v>15773</v>
      </c>
      <c r="Z441" s="42">
        <f t="shared" si="241"/>
        <v>23267.550000000003</v>
      </c>
      <c r="AA441" s="42">
        <f>VLOOKUP(A441,kurspris!$A$1:$Q$815,17,FALSE)</f>
        <v>5800</v>
      </c>
      <c r="AB441" s="42">
        <f t="shared" si="242"/>
        <v>4350</v>
      </c>
      <c r="AC441" s="42">
        <f t="shared" si="243"/>
        <v>27617.550000000003</v>
      </c>
      <c r="AD441" s="31">
        <f>VLOOKUP($A441,kurspris!$A$1:$Q$852,3,FALSE)</f>
        <v>0</v>
      </c>
      <c r="AE441" s="31">
        <f>VLOOKUP($A441,kurspris!$A$1:$Q$852,4,FALSE)</f>
        <v>1</v>
      </c>
      <c r="AF441" s="31">
        <f>VLOOKUP($A441,kurspris!$A$1:$Q$852,5,FALSE)</f>
        <v>0</v>
      </c>
      <c r="AG441" s="31">
        <f>VLOOKUP($A441,kurspris!$A$1:$Q$852,6,FALSE)</f>
        <v>0</v>
      </c>
      <c r="AH441" s="31">
        <f>VLOOKUP($A441,kurspris!$A$1:$Q$852,7,FALSE)</f>
        <v>0</v>
      </c>
      <c r="AI441" s="31">
        <f>VLOOKUP($A441,kurspris!$A$1:$Q$852,8,FALSE)</f>
        <v>0</v>
      </c>
      <c r="AJ441" s="31">
        <f>VLOOKUP($A441,kurspris!$A$1:$Q$852,9,FALSE)</f>
        <v>0</v>
      </c>
      <c r="AK441" s="31">
        <f>VLOOKUP($A441,kurspris!$A$1:$Q$852,10,FALSE)</f>
        <v>0</v>
      </c>
      <c r="AL441" s="31">
        <f>VLOOKUP($A441,kurspris!$A$1:$Q$852,11,FALSE)</f>
        <v>0</v>
      </c>
      <c r="AM441" s="31">
        <f>VLOOKUP($A441,kurspris!$A$1:$Q$852,12,FALSE)</f>
        <v>0</v>
      </c>
      <c r="AN441" s="31">
        <f>VLOOKUP($A441,kurspris!$A$1:$Q$852,13,FALSE)</f>
        <v>0</v>
      </c>
      <c r="AO441" s="31">
        <f>VLOOKUP($A441,kurspris!$A$1:$Q$852,14,FALSE)</f>
        <v>0</v>
      </c>
      <c r="AP441" s="59" t="s">
        <v>2216</v>
      </c>
      <c r="AR441" s="31">
        <f t="shared" si="244"/>
        <v>0</v>
      </c>
      <c r="AS441" s="237">
        <f t="shared" si="245"/>
        <v>0</v>
      </c>
      <c r="AT441" s="31">
        <f t="shared" si="246"/>
        <v>0.75</v>
      </c>
      <c r="AU441" s="237">
        <f t="shared" si="247"/>
        <v>0.60000000000000009</v>
      </c>
      <c r="AV441" s="31">
        <f t="shared" si="248"/>
        <v>0</v>
      </c>
      <c r="AW441" s="31">
        <f t="shared" si="249"/>
        <v>0</v>
      </c>
      <c r="AX441" s="31">
        <f t="shared" si="250"/>
        <v>0</v>
      </c>
      <c r="AY441" s="237">
        <f t="shared" si="251"/>
        <v>0</v>
      </c>
      <c r="AZ441" s="214">
        <f t="shared" si="252"/>
        <v>0</v>
      </c>
      <c r="BA441" s="237">
        <f t="shared" si="253"/>
        <v>0</v>
      </c>
      <c r="BB441" s="31">
        <f t="shared" si="254"/>
        <v>0</v>
      </c>
      <c r="BC441" s="237">
        <f t="shared" si="255"/>
        <v>0</v>
      </c>
      <c r="BD441" s="31">
        <f t="shared" si="256"/>
        <v>0</v>
      </c>
      <c r="BE441" s="237">
        <f t="shared" si="257"/>
        <v>0</v>
      </c>
      <c r="BF441" s="31">
        <f t="shared" si="258"/>
        <v>0</v>
      </c>
      <c r="BG441" s="237">
        <f t="shared" si="259"/>
        <v>0</v>
      </c>
      <c r="BH441" s="31">
        <f t="shared" si="260"/>
        <v>0</v>
      </c>
      <c r="BI441" s="237">
        <f t="shared" si="261"/>
        <v>0</v>
      </c>
      <c r="BJ441" s="31">
        <f t="shared" si="262"/>
        <v>0</v>
      </c>
      <c r="BK441" s="31">
        <f t="shared" si="263"/>
        <v>0</v>
      </c>
      <c r="BL441" s="237">
        <f t="shared" si="264"/>
        <v>0</v>
      </c>
      <c r="BM441" s="31">
        <f t="shared" si="265"/>
        <v>0</v>
      </c>
      <c r="BN441" s="237">
        <f t="shared" si="266"/>
        <v>0</v>
      </c>
    </row>
    <row r="442" spans="1:66" x14ac:dyDescent="0.25">
      <c r="A442" s="31" t="s">
        <v>1996</v>
      </c>
      <c r="B442" s="182" t="str">
        <f>VLOOKUP(A442,kurspris!$A$1:$B$894,2,FALSE)</f>
        <v>Svenska som andraspråk C, Examensarbete för kandidatexamen</v>
      </c>
      <c r="D442" s="31" t="s">
        <v>117</v>
      </c>
      <c r="F442" s="59">
        <v>2019</v>
      </c>
      <c r="Q442" s="237">
        <v>1.5</v>
      </c>
      <c r="R442" s="40">
        <v>0.8</v>
      </c>
      <c r="S442" s="313">
        <f t="shared" si="240"/>
        <v>1.2000000000000002</v>
      </c>
      <c r="T442" s="31">
        <f>VLOOKUP(A442,'Ansvar kurs'!$A$1:$C$1027,2,FALSE)</f>
        <v>1620</v>
      </c>
      <c r="U442" s="31" t="str">
        <f>VLOOKUP(T442,Orgenheter!$A$1:$C$165,2,FALSE)</f>
        <v>Inst för språkstudier</v>
      </c>
      <c r="V442" s="31" t="str">
        <f>VLOOKUP(T442,Orgenheter!$A$1:$C$165,3,FALSE)</f>
        <v>Hum</v>
      </c>
      <c r="W442" s="37" t="str">
        <f>VLOOKUP(D442,Program!$A$1:$B$34,2,FALSE)</f>
        <v>Fristående och övriga kurser</v>
      </c>
      <c r="X442" s="42">
        <f>VLOOKUP(A442,kurspris!$A$1:$Q$815,15,FALSE)</f>
        <v>18405</v>
      </c>
      <c r="Y442" s="42">
        <f>VLOOKUP(A442,kurspris!$A$1:$Q$815,16,FALSE)</f>
        <v>15773</v>
      </c>
      <c r="Z442" s="42">
        <f t="shared" si="241"/>
        <v>46535.100000000006</v>
      </c>
      <c r="AA442" s="42">
        <f>VLOOKUP(A442,kurspris!$A$1:$Q$815,17,FALSE)</f>
        <v>5800</v>
      </c>
      <c r="AB442" s="42">
        <f t="shared" si="242"/>
        <v>8700</v>
      </c>
      <c r="AC442" s="42">
        <f t="shared" si="243"/>
        <v>55235.100000000006</v>
      </c>
      <c r="AD442" s="31">
        <f>VLOOKUP($A442,kurspris!$A$1:$Q$852,3,FALSE)</f>
        <v>0</v>
      </c>
      <c r="AE442" s="31">
        <f>VLOOKUP($A442,kurspris!$A$1:$Q$852,4,FALSE)</f>
        <v>1</v>
      </c>
      <c r="AF442" s="31">
        <f>VLOOKUP($A442,kurspris!$A$1:$Q$852,5,FALSE)</f>
        <v>0</v>
      </c>
      <c r="AG442" s="31">
        <f>VLOOKUP($A442,kurspris!$A$1:$Q$852,6,FALSE)</f>
        <v>0</v>
      </c>
      <c r="AH442" s="31">
        <f>VLOOKUP($A442,kurspris!$A$1:$Q$852,7,FALSE)</f>
        <v>0</v>
      </c>
      <c r="AI442" s="31">
        <f>VLOOKUP($A442,kurspris!$A$1:$Q$852,8,FALSE)</f>
        <v>0</v>
      </c>
      <c r="AJ442" s="31">
        <f>VLOOKUP($A442,kurspris!$A$1:$Q$852,9,FALSE)</f>
        <v>0</v>
      </c>
      <c r="AK442" s="31">
        <f>VLOOKUP($A442,kurspris!$A$1:$Q$852,10,FALSE)</f>
        <v>0</v>
      </c>
      <c r="AL442" s="31">
        <f>VLOOKUP($A442,kurspris!$A$1:$Q$852,11,FALSE)</f>
        <v>0</v>
      </c>
      <c r="AM442" s="31">
        <f>VLOOKUP($A442,kurspris!$A$1:$Q$852,12,FALSE)</f>
        <v>0</v>
      </c>
      <c r="AN442" s="31">
        <f>VLOOKUP($A442,kurspris!$A$1:$Q$852,13,FALSE)</f>
        <v>0</v>
      </c>
      <c r="AO442" s="31">
        <f>VLOOKUP($A442,kurspris!$A$1:$Q$852,14,FALSE)</f>
        <v>0</v>
      </c>
      <c r="AP442" s="59" t="s">
        <v>2216</v>
      </c>
      <c r="AR442" s="31">
        <f t="shared" si="244"/>
        <v>0</v>
      </c>
      <c r="AS442" s="237">
        <f t="shared" si="245"/>
        <v>0</v>
      </c>
      <c r="AT442" s="31">
        <f t="shared" si="246"/>
        <v>1.5</v>
      </c>
      <c r="AU442" s="237">
        <f t="shared" si="247"/>
        <v>1.2000000000000002</v>
      </c>
      <c r="AV442" s="31">
        <f t="shared" si="248"/>
        <v>0</v>
      </c>
      <c r="AW442" s="31">
        <f t="shared" si="249"/>
        <v>0</v>
      </c>
      <c r="AX442" s="31">
        <f t="shared" si="250"/>
        <v>0</v>
      </c>
      <c r="AY442" s="237">
        <f t="shared" si="251"/>
        <v>0</v>
      </c>
      <c r="AZ442" s="214">
        <f t="shared" si="252"/>
        <v>0</v>
      </c>
      <c r="BA442" s="237">
        <f t="shared" si="253"/>
        <v>0</v>
      </c>
      <c r="BB442" s="31">
        <f t="shared" si="254"/>
        <v>0</v>
      </c>
      <c r="BC442" s="237">
        <f t="shared" si="255"/>
        <v>0</v>
      </c>
      <c r="BD442" s="31">
        <f t="shared" si="256"/>
        <v>0</v>
      </c>
      <c r="BE442" s="237">
        <f t="shared" si="257"/>
        <v>0</v>
      </c>
      <c r="BF442" s="31">
        <f t="shared" si="258"/>
        <v>0</v>
      </c>
      <c r="BG442" s="237">
        <f t="shared" si="259"/>
        <v>0</v>
      </c>
      <c r="BH442" s="31">
        <f t="shared" si="260"/>
        <v>0</v>
      </c>
      <c r="BI442" s="237">
        <f t="shared" si="261"/>
        <v>0</v>
      </c>
      <c r="BJ442" s="31">
        <f t="shared" si="262"/>
        <v>0</v>
      </c>
      <c r="BK442" s="31">
        <f t="shared" si="263"/>
        <v>0</v>
      </c>
      <c r="BL442" s="237">
        <f t="shared" si="264"/>
        <v>0</v>
      </c>
      <c r="BM442" s="31">
        <f t="shared" si="265"/>
        <v>0</v>
      </c>
      <c r="BN442" s="237">
        <f t="shared" si="266"/>
        <v>0</v>
      </c>
    </row>
    <row r="443" spans="1:66" x14ac:dyDescent="0.25">
      <c r="A443" s="159" t="s">
        <v>1997</v>
      </c>
      <c r="B443" s="182" t="str">
        <f>VLOOKUP(A443,kurspris!$A$1:$B$894,2,FALSE)</f>
        <v>Svenska som andraspråk för ämneslärare, kurs 1</v>
      </c>
      <c r="C443" s="37"/>
      <c r="D443" s="31" t="s">
        <v>483</v>
      </c>
      <c r="F443" s="59">
        <v>2019</v>
      </c>
      <c r="Q443" s="237">
        <v>13.5</v>
      </c>
      <c r="R443" s="40">
        <v>0.85</v>
      </c>
      <c r="S443" s="313">
        <f t="shared" si="240"/>
        <v>11.475</v>
      </c>
      <c r="T443" s="31">
        <f>VLOOKUP(A443,'Ansvar kurs'!$A$1:$C$1027,2,FALSE)</f>
        <v>1620</v>
      </c>
      <c r="U443" s="31" t="str">
        <f>VLOOKUP(T443,Orgenheter!$A$1:$C$165,2,FALSE)</f>
        <v>Inst för språkstudier</v>
      </c>
      <c r="V443" s="31" t="str">
        <f>VLOOKUP(T443,Orgenheter!$A$1:$C$165,3,FALSE)</f>
        <v>Hum</v>
      </c>
      <c r="W443" s="37" t="str">
        <f>VLOOKUP(D443,Program!$A$1:$B$34,2,FALSE)</f>
        <v>Ämneslärarprogrammet - Gy</v>
      </c>
      <c r="X443" s="42">
        <f>VLOOKUP(A443,kurspris!$A$1:$Q$815,15,FALSE)</f>
        <v>18405</v>
      </c>
      <c r="Y443" s="42">
        <f>VLOOKUP(A443,kurspris!$A$1:$Q$815,16,FALSE)</f>
        <v>15773</v>
      </c>
      <c r="Z443" s="42">
        <f t="shared" si="241"/>
        <v>429462.67499999999</v>
      </c>
      <c r="AA443" s="42">
        <f>VLOOKUP(A443,kurspris!$A$1:$Q$815,17,FALSE)</f>
        <v>5800</v>
      </c>
      <c r="AB443" s="42">
        <f t="shared" si="242"/>
        <v>78300</v>
      </c>
      <c r="AC443" s="42">
        <f t="shared" si="243"/>
        <v>507762.67499999999</v>
      </c>
      <c r="AD443" s="31">
        <f>VLOOKUP($A443,kurspris!$A$1:$Q$852,3,FALSE)</f>
        <v>0</v>
      </c>
      <c r="AE443" s="31">
        <f>VLOOKUP($A443,kurspris!$A$1:$Q$852,4,FALSE)</f>
        <v>1</v>
      </c>
      <c r="AF443" s="31">
        <f>VLOOKUP($A443,kurspris!$A$1:$Q$852,5,FALSE)</f>
        <v>0</v>
      </c>
      <c r="AG443" s="31">
        <f>VLOOKUP($A443,kurspris!$A$1:$Q$852,6,FALSE)</f>
        <v>0</v>
      </c>
      <c r="AH443" s="31">
        <f>VLOOKUP($A443,kurspris!$A$1:$Q$852,7,FALSE)</f>
        <v>0</v>
      </c>
      <c r="AI443" s="31">
        <f>VLOOKUP($A443,kurspris!$A$1:$Q$852,8,FALSE)</f>
        <v>0</v>
      </c>
      <c r="AJ443" s="31">
        <f>VLOOKUP($A443,kurspris!$A$1:$Q$852,9,FALSE)</f>
        <v>0</v>
      </c>
      <c r="AK443" s="31">
        <f>VLOOKUP($A443,kurspris!$A$1:$Q$852,10,FALSE)</f>
        <v>0</v>
      </c>
      <c r="AL443" s="31">
        <f>VLOOKUP($A443,kurspris!$A$1:$Q$852,11,FALSE)</f>
        <v>0</v>
      </c>
      <c r="AM443" s="31">
        <f>VLOOKUP($A443,kurspris!$A$1:$Q$852,12,FALSE)</f>
        <v>0</v>
      </c>
      <c r="AN443" s="31">
        <f>VLOOKUP($A443,kurspris!$A$1:$Q$852,13,FALSE)</f>
        <v>0</v>
      </c>
      <c r="AO443" s="31">
        <f>VLOOKUP($A443,kurspris!$A$1:$Q$852,14,FALSE)</f>
        <v>0</v>
      </c>
      <c r="AP443" s="59" t="s">
        <v>2216</v>
      </c>
      <c r="AR443" s="31">
        <f t="shared" si="244"/>
        <v>0</v>
      </c>
      <c r="AS443" s="237">
        <f t="shared" si="245"/>
        <v>0</v>
      </c>
      <c r="AT443" s="31">
        <f t="shared" si="246"/>
        <v>13.5</v>
      </c>
      <c r="AU443" s="237">
        <f t="shared" si="247"/>
        <v>11.475</v>
      </c>
      <c r="AV443" s="31">
        <f t="shared" si="248"/>
        <v>0</v>
      </c>
      <c r="AW443" s="31">
        <f t="shared" si="249"/>
        <v>0</v>
      </c>
      <c r="AX443" s="31">
        <f t="shared" si="250"/>
        <v>0</v>
      </c>
      <c r="AY443" s="237">
        <f t="shared" si="251"/>
        <v>0</v>
      </c>
      <c r="AZ443" s="214">
        <f t="shared" si="252"/>
        <v>0</v>
      </c>
      <c r="BA443" s="237">
        <f t="shared" si="253"/>
        <v>0</v>
      </c>
      <c r="BB443" s="31">
        <f t="shared" si="254"/>
        <v>0</v>
      </c>
      <c r="BC443" s="237">
        <f t="shared" si="255"/>
        <v>0</v>
      </c>
      <c r="BD443" s="31">
        <f t="shared" si="256"/>
        <v>0</v>
      </c>
      <c r="BE443" s="237">
        <f t="shared" si="257"/>
        <v>0</v>
      </c>
      <c r="BF443" s="31">
        <f t="shared" si="258"/>
        <v>0</v>
      </c>
      <c r="BG443" s="237">
        <f t="shared" si="259"/>
        <v>0</v>
      </c>
      <c r="BH443" s="31">
        <f t="shared" si="260"/>
        <v>0</v>
      </c>
      <c r="BI443" s="237">
        <f t="shared" si="261"/>
        <v>0</v>
      </c>
      <c r="BJ443" s="31">
        <f t="shared" si="262"/>
        <v>0</v>
      </c>
      <c r="BK443" s="31">
        <f t="shared" si="263"/>
        <v>0</v>
      </c>
      <c r="BL443" s="237">
        <f t="shared" si="264"/>
        <v>0</v>
      </c>
      <c r="BM443" s="31">
        <f t="shared" si="265"/>
        <v>0</v>
      </c>
      <c r="BN443" s="237">
        <f t="shared" si="266"/>
        <v>0</v>
      </c>
    </row>
    <row r="444" spans="1:66" x14ac:dyDescent="0.25">
      <c r="A444" s="31" t="s">
        <v>1998</v>
      </c>
      <c r="B444" s="182" t="str">
        <f>VLOOKUP(A444,kurspris!$A$1:$B$894,2,FALSE)</f>
        <v>Svenska som andraspråk för ämneslärare, kurs 2</v>
      </c>
      <c r="D444" s="31" t="s">
        <v>483</v>
      </c>
      <c r="F444" s="59">
        <v>2019</v>
      </c>
      <c r="Q444" s="237">
        <v>8.5</v>
      </c>
      <c r="R444" s="40">
        <v>0.85</v>
      </c>
      <c r="S444" s="313">
        <f t="shared" si="240"/>
        <v>7.2249999999999996</v>
      </c>
      <c r="T444" s="31">
        <f>VLOOKUP(A444,'Ansvar kurs'!$A$1:$C$1027,2,FALSE)</f>
        <v>1620</v>
      </c>
      <c r="U444" s="31" t="str">
        <f>VLOOKUP(T444,Orgenheter!$A$1:$C$165,2,FALSE)</f>
        <v>Inst för språkstudier</v>
      </c>
      <c r="V444" s="31" t="str">
        <f>VLOOKUP(T444,Orgenheter!$A$1:$C$165,3,FALSE)</f>
        <v>Hum</v>
      </c>
      <c r="W444" s="37" t="str">
        <f>VLOOKUP(D444,Program!$A$1:$B$34,2,FALSE)</f>
        <v>Ämneslärarprogrammet - Gy</v>
      </c>
      <c r="X444" s="42">
        <f>VLOOKUP(A444,kurspris!$A$1:$Q$815,15,FALSE)</f>
        <v>18405</v>
      </c>
      <c r="Y444" s="42">
        <f>VLOOKUP(A444,kurspris!$A$1:$Q$815,16,FALSE)</f>
        <v>15773</v>
      </c>
      <c r="Z444" s="42">
        <f t="shared" si="241"/>
        <v>270402.42499999999</v>
      </c>
      <c r="AA444" s="42">
        <f>VLOOKUP(A444,kurspris!$A$1:$Q$815,17,FALSE)</f>
        <v>5800</v>
      </c>
      <c r="AB444" s="42">
        <f t="shared" si="242"/>
        <v>49300</v>
      </c>
      <c r="AC444" s="42">
        <f t="shared" si="243"/>
        <v>319702.42499999999</v>
      </c>
      <c r="AD444" s="31">
        <f>VLOOKUP($A444,kurspris!$A$1:$Q$852,3,FALSE)</f>
        <v>0</v>
      </c>
      <c r="AE444" s="31">
        <f>VLOOKUP($A444,kurspris!$A$1:$Q$852,4,FALSE)</f>
        <v>1</v>
      </c>
      <c r="AF444" s="31">
        <f>VLOOKUP($A444,kurspris!$A$1:$Q$852,5,FALSE)</f>
        <v>0</v>
      </c>
      <c r="AG444" s="31">
        <f>VLOOKUP($A444,kurspris!$A$1:$Q$852,6,FALSE)</f>
        <v>0</v>
      </c>
      <c r="AH444" s="31">
        <f>VLOOKUP($A444,kurspris!$A$1:$Q$852,7,FALSE)</f>
        <v>0</v>
      </c>
      <c r="AI444" s="31">
        <f>VLOOKUP($A444,kurspris!$A$1:$Q$852,8,FALSE)</f>
        <v>0</v>
      </c>
      <c r="AJ444" s="31">
        <f>VLOOKUP($A444,kurspris!$A$1:$Q$852,9,FALSE)</f>
        <v>0</v>
      </c>
      <c r="AK444" s="31">
        <f>VLOOKUP($A444,kurspris!$A$1:$Q$852,10,FALSE)</f>
        <v>0</v>
      </c>
      <c r="AL444" s="31">
        <f>VLOOKUP($A444,kurspris!$A$1:$Q$852,11,FALSE)</f>
        <v>0</v>
      </c>
      <c r="AM444" s="31">
        <f>VLOOKUP($A444,kurspris!$A$1:$Q$852,12,FALSE)</f>
        <v>0</v>
      </c>
      <c r="AN444" s="31">
        <f>VLOOKUP($A444,kurspris!$A$1:$Q$852,13,FALSE)</f>
        <v>0</v>
      </c>
      <c r="AO444" s="31">
        <f>VLOOKUP($A444,kurspris!$A$1:$Q$852,14,FALSE)</f>
        <v>0</v>
      </c>
      <c r="AP444" s="59" t="s">
        <v>2216</v>
      </c>
      <c r="AR444" s="31">
        <f t="shared" si="244"/>
        <v>0</v>
      </c>
      <c r="AS444" s="237">
        <f t="shared" si="245"/>
        <v>0</v>
      </c>
      <c r="AT444" s="31">
        <f t="shared" si="246"/>
        <v>8.5</v>
      </c>
      <c r="AU444" s="237">
        <f t="shared" si="247"/>
        <v>7.2249999999999996</v>
      </c>
      <c r="AV444" s="31">
        <f t="shared" si="248"/>
        <v>0</v>
      </c>
      <c r="AW444" s="31">
        <f t="shared" si="249"/>
        <v>0</v>
      </c>
      <c r="AX444" s="31">
        <f t="shared" si="250"/>
        <v>0</v>
      </c>
      <c r="AY444" s="237">
        <f t="shared" si="251"/>
        <v>0</v>
      </c>
      <c r="AZ444" s="214">
        <f t="shared" si="252"/>
        <v>0</v>
      </c>
      <c r="BA444" s="237">
        <f t="shared" si="253"/>
        <v>0</v>
      </c>
      <c r="BB444" s="31">
        <f t="shared" si="254"/>
        <v>0</v>
      </c>
      <c r="BC444" s="237">
        <f t="shared" si="255"/>
        <v>0</v>
      </c>
      <c r="BD444" s="31">
        <f t="shared" si="256"/>
        <v>0</v>
      </c>
      <c r="BE444" s="237">
        <f t="shared" si="257"/>
        <v>0</v>
      </c>
      <c r="BF444" s="31">
        <f t="shared" si="258"/>
        <v>0</v>
      </c>
      <c r="BG444" s="237">
        <f t="shared" si="259"/>
        <v>0</v>
      </c>
      <c r="BH444" s="31">
        <f t="shared" si="260"/>
        <v>0</v>
      </c>
      <c r="BI444" s="237">
        <f t="shared" si="261"/>
        <v>0</v>
      </c>
      <c r="BJ444" s="31">
        <f t="shared" si="262"/>
        <v>0</v>
      </c>
      <c r="BK444" s="31">
        <f t="shared" si="263"/>
        <v>0</v>
      </c>
      <c r="BL444" s="237">
        <f t="shared" si="264"/>
        <v>0</v>
      </c>
      <c r="BM444" s="31">
        <f t="shared" si="265"/>
        <v>0</v>
      </c>
      <c r="BN444" s="237">
        <f t="shared" si="266"/>
        <v>0</v>
      </c>
    </row>
    <row r="445" spans="1:66" x14ac:dyDescent="0.25">
      <c r="A445" s="159" t="s">
        <v>1999</v>
      </c>
      <c r="B445" s="182" t="str">
        <f>VLOOKUP(A445,kurspris!$A$1:$B$894,2,FALSE)</f>
        <v>Svenska som andraspråk för ämneslärare, kurs 3</v>
      </c>
      <c r="C445" s="37"/>
      <c r="D445" s="31" t="s">
        <v>483</v>
      </c>
      <c r="F445" s="59">
        <v>2019</v>
      </c>
      <c r="Q445" s="237">
        <v>3.5</v>
      </c>
      <c r="R445" s="40">
        <v>0.85</v>
      </c>
      <c r="S445" s="313">
        <f t="shared" si="240"/>
        <v>2.9750000000000001</v>
      </c>
      <c r="T445" s="31">
        <f>VLOOKUP(A445,'Ansvar kurs'!$A$1:$C$1027,2,FALSE)</f>
        <v>1620</v>
      </c>
      <c r="U445" s="31" t="str">
        <f>VLOOKUP(T445,Orgenheter!$A$1:$C$165,2,FALSE)</f>
        <v>Inst för språkstudier</v>
      </c>
      <c r="V445" s="31" t="str">
        <f>VLOOKUP(T445,Orgenheter!$A$1:$C$165,3,FALSE)</f>
        <v>Hum</v>
      </c>
      <c r="W445" s="37" t="str">
        <f>VLOOKUP(D445,Program!$A$1:$B$34,2,FALSE)</f>
        <v>Ämneslärarprogrammet - Gy</v>
      </c>
      <c r="X445" s="42">
        <f>VLOOKUP(A445,kurspris!$A$1:$Q$815,15,FALSE)</f>
        <v>18405</v>
      </c>
      <c r="Y445" s="42">
        <f>VLOOKUP(A445,kurspris!$A$1:$Q$815,16,FALSE)</f>
        <v>15773</v>
      </c>
      <c r="Z445" s="42">
        <f t="shared" si="241"/>
        <v>111342.175</v>
      </c>
      <c r="AA445" s="42">
        <f>VLOOKUP(A445,kurspris!$A$1:$Q$815,17,FALSE)</f>
        <v>5800</v>
      </c>
      <c r="AB445" s="42">
        <f t="shared" si="242"/>
        <v>20300</v>
      </c>
      <c r="AC445" s="42">
        <f t="shared" si="243"/>
        <v>131642.17499999999</v>
      </c>
      <c r="AD445" s="31">
        <f>VLOOKUP($A445,kurspris!$A$1:$Q$852,3,FALSE)</f>
        <v>0</v>
      </c>
      <c r="AE445" s="31">
        <f>VLOOKUP($A445,kurspris!$A$1:$Q$852,4,FALSE)</f>
        <v>1</v>
      </c>
      <c r="AF445" s="31">
        <f>VLOOKUP($A445,kurspris!$A$1:$Q$852,5,FALSE)</f>
        <v>0</v>
      </c>
      <c r="AG445" s="31">
        <f>VLOOKUP($A445,kurspris!$A$1:$Q$852,6,FALSE)</f>
        <v>0</v>
      </c>
      <c r="AH445" s="31">
        <f>VLOOKUP($A445,kurspris!$A$1:$Q$852,7,FALSE)</f>
        <v>0</v>
      </c>
      <c r="AI445" s="31">
        <f>VLOOKUP($A445,kurspris!$A$1:$Q$852,8,FALSE)</f>
        <v>0</v>
      </c>
      <c r="AJ445" s="31">
        <f>VLOOKUP($A445,kurspris!$A$1:$Q$852,9,FALSE)</f>
        <v>0</v>
      </c>
      <c r="AK445" s="31">
        <f>VLOOKUP($A445,kurspris!$A$1:$Q$852,10,FALSE)</f>
        <v>0</v>
      </c>
      <c r="AL445" s="31">
        <f>VLOOKUP($A445,kurspris!$A$1:$Q$852,11,FALSE)</f>
        <v>0</v>
      </c>
      <c r="AM445" s="31">
        <f>VLOOKUP($A445,kurspris!$A$1:$Q$852,12,FALSE)</f>
        <v>0</v>
      </c>
      <c r="AN445" s="31">
        <f>VLOOKUP($A445,kurspris!$A$1:$Q$852,13,FALSE)</f>
        <v>0</v>
      </c>
      <c r="AO445" s="31">
        <f>VLOOKUP($A445,kurspris!$A$1:$Q$852,14,FALSE)</f>
        <v>0</v>
      </c>
      <c r="AP445" s="59" t="s">
        <v>2216</v>
      </c>
      <c r="AQ445" s="59"/>
      <c r="AR445" s="31">
        <f t="shared" si="244"/>
        <v>0</v>
      </c>
      <c r="AS445" s="237">
        <f t="shared" si="245"/>
        <v>0</v>
      </c>
      <c r="AT445" s="31">
        <f t="shared" si="246"/>
        <v>3.5</v>
      </c>
      <c r="AU445" s="237">
        <f t="shared" si="247"/>
        <v>2.9750000000000001</v>
      </c>
      <c r="AV445" s="31">
        <f t="shared" si="248"/>
        <v>0</v>
      </c>
      <c r="AW445" s="31">
        <f t="shared" si="249"/>
        <v>0</v>
      </c>
      <c r="AX445" s="31">
        <f t="shared" si="250"/>
        <v>0</v>
      </c>
      <c r="AY445" s="237">
        <f t="shared" si="251"/>
        <v>0</v>
      </c>
      <c r="AZ445" s="214">
        <f t="shared" si="252"/>
        <v>0</v>
      </c>
      <c r="BA445" s="237">
        <f t="shared" si="253"/>
        <v>0</v>
      </c>
      <c r="BB445" s="31">
        <f t="shared" si="254"/>
        <v>0</v>
      </c>
      <c r="BC445" s="237">
        <f t="shared" si="255"/>
        <v>0</v>
      </c>
      <c r="BD445" s="31">
        <f t="shared" si="256"/>
        <v>0</v>
      </c>
      <c r="BE445" s="237">
        <f t="shared" si="257"/>
        <v>0</v>
      </c>
      <c r="BF445" s="31">
        <f t="shared" si="258"/>
        <v>0</v>
      </c>
      <c r="BG445" s="237">
        <f t="shared" si="259"/>
        <v>0</v>
      </c>
      <c r="BH445" s="31">
        <f t="shared" si="260"/>
        <v>0</v>
      </c>
      <c r="BI445" s="237">
        <f t="shared" si="261"/>
        <v>0</v>
      </c>
      <c r="BJ445" s="31">
        <f t="shared" si="262"/>
        <v>0</v>
      </c>
      <c r="BK445" s="31">
        <f t="shared" si="263"/>
        <v>0</v>
      </c>
      <c r="BL445" s="237">
        <f t="shared" si="264"/>
        <v>0</v>
      </c>
      <c r="BM445" s="31">
        <f t="shared" si="265"/>
        <v>0</v>
      </c>
      <c r="BN445" s="237">
        <f t="shared" si="266"/>
        <v>0</v>
      </c>
    </row>
    <row r="446" spans="1:66" x14ac:dyDescent="0.25">
      <c r="A446" s="31" t="s">
        <v>2131</v>
      </c>
      <c r="B446" s="182" t="str">
        <f>VLOOKUP(A446,kurspris!$A$1:$B$894,2,FALSE)</f>
        <v>Att läsa och skriva i lärarutbildning och läraryrket - fokus grundlärare</v>
      </c>
      <c r="D446" s="31" t="s">
        <v>117</v>
      </c>
      <c r="F446" s="59">
        <v>2019</v>
      </c>
      <c r="Q446" s="237">
        <v>3.75</v>
      </c>
      <c r="R446" s="40">
        <v>0.8</v>
      </c>
      <c r="S446" s="313">
        <f t="shared" si="240"/>
        <v>3</v>
      </c>
      <c r="T446" s="31">
        <f>VLOOKUP(A446,'Ansvar kurs'!$A$1:$C$1027,2,FALSE)</f>
        <v>1620</v>
      </c>
      <c r="U446" s="31" t="str">
        <f>VLOOKUP(T446,Orgenheter!$A$1:$C$165,2,FALSE)</f>
        <v>Inst för språkstudier</v>
      </c>
      <c r="V446" s="31" t="str">
        <f>VLOOKUP(T446,Orgenheter!$A$1:$C$165,3,FALSE)</f>
        <v>Hum</v>
      </c>
      <c r="W446" s="37" t="str">
        <f>VLOOKUP(D446,Program!$A$1:$B$34,2,FALSE)</f>
        <v>Fristående och övriga kurser</v>
      </c>
      <c r="X446" s="42">
        <f>VLOOKUP(A446,kurspris!$A$1:$Q$815,15,FALSE)</f>
        <v>18405</v>
      </c>
      <c r="Y446" s="42">
        <f>VLOOKUP(A446,kurspris!$A$1:$Q$815,16,FALSE)</f>
        <v>15773</v>
      </c>
      <c r="Z446" s="42">
        <f t="shared" si="241"/>
        <v>116337.75</v>
      </c>
      <c r="AA446" s="42">
        <f>VLOOKUP(A446,kurspris!$A$1:$Q$815,17,FALSE)</f>
        <v>5800</v>
      </c>
      <c r="AB446" s="42">
        <f t="shared" si="242"/>
        <v>21750</v>
      </c>
      <c r="AC446" s="42">
        <f t="shared" si="243"/>
        <v>138087.75</v>
      </c>
      <c r="AD446" s="31">
        <f>VLOOKUP($A446,kurspris!$A$1:$Q$852,3,FALSE)</f>
        <v>0</v>
      </c>
      <c r="AE446" s="31">
        <f>VLOOKUP($A446,kurspris!$A$1:$Q$852,4,FALSE)</f>
        <v>1</v>
      </c>
      <c r="AF446" s="31">
        <f>VLOOKUP($A446,kurspris!$A$1:$Q$852,5,FALSE)</f>
        <v>0</v>
      </c>
      <c r="AG446" s="31">
        <f>VLOOKUP($A446,kurspris!$A$1:$Q$852,6,FALSE)</f>
        <v>0</v>
      </c>
      <c r="AH446" s="31">
        <f>VLOOKUP($A446,kurspris!$A$1:$Q$852,7,FALSE)</f>
        <v>0</v>
      </c>
      <c r="AI446" s="31">
        <f>VLOOKUP($A446,kurspris!$A$1:$Q$852,8,FALSE)</f>
        <v>0</v>
      </c>
      <c r="AJ446" s="31">
        <f>VLOOKUP($A446,kurspris!$A$1:$Q$852,9,FALSE)</f>
        <v>0</v>
      </c>
      <c r="AK446" s="31">
        <f>VLOOKUP($A446,kurspris!$A$1:$Q$852,10,FALSE)</f>
        <v>0</v>
      </c>
      <c r="AL446" s="31">
        <f>VLOOKUP($A446,kurspris!$A$1:$Q$852,11,FALSE)</f>
        <v>0</v>
      </c>
      <c r="AM446" s="31">
        <f>VLOOKUP($A446,kurspris!$A$1:$Q$852,12,FALSE)</f>
        <v>0</v>
      </c>
      <c r="AN446" s="31">
        <f>VLOOKUP($A446,kurspris!$A$1:$Q$852,13,FALSE)</f>
        <v>0</v>
      </c>
      <c r="AO446" s="31">
        <f>VLOOKUP($A446,kurspris!$A$1:$Q$852,14,FALSE)</f>
        <v>0</v>
      </c>
      <c r="AP446" s="59" t="s">
        <v>2216</v>
      </c>
      <c r="AR446" s="31">
        <f t="shared" si="244"/>
        <v>0</v>
      </c>
      <c r="AS446" s="237">
        <f t="shared" si="245"/>
        <v>0</v>
      </c>
      <c r="AT446" s="31">
        <f t="shared" si="246"/>
        <v>3.75</v>
      </c>
      <c r="AU446" s="237">
        <f t="shared" si="247"/>
        <v>3</v>
      </c>
      <c r="AV446" s="31">
        <f t="shared" si="248"/>
        <v>0</v>
      </c>
      <c r="AW446" s="31">
        <f t="shared" si="249"/>
        <v>0</v>
      </c>
      <c r="AX446" s="31">
        <f t="shared" si="250"/>
        <v>0</v>
      </c>
      <c r="AY446" s="237">
        <f t="shared" si="251"/>
        <v>0</v>
      </c>
      <c r="AZ446" s="214">
        <f t="shared" si="252"/>
        <v>0</v>
      </c>
      <c r="BA446" s="237">
        <f t="shared" si="253"/>
        <v>0</v>
      </c>
      <c r="BB446" s="31">
        <f t="shared" si="254"/>
        <v>0</v>
      </c>
      <c r="BC446" s="237">
        <f t="shared" si="255"/>
        <v>0</v>
      </c>
      <c r="BD446" s="31">
        <f t="shared" si="256"/>
        <v>0</v>
      </c>
      <c r="BE446" s="237">
        <f t="shared" si="257"/>
        <v>0</v>
      </c>
      <c r="BF446" s="31">
        <f t="shared" si="258"/>
        <v>0</v>
      </c>
      <c r="BG446" s="237">
        <f t="shared" si="259"/>
        <v>0</v>
      </c>
      <c r="BH446" s="31">
        <f t="shared" si="260"/>
        <v>0</v>
      </c>
      <c r="BI446" s="237">
        <f t="shared" si="261"/>
        <v>0</v>
      </c>
      <c r="BJ446" s="31">
        <f t="shared" si="262"/>
        <v>0</v>
      </c>
      <c r="BK446" s="31">
        <f t="shared" si="263"/>
        <v>0</v>
      </c>
      <c r="BL446" s="237">
        <f t="shared" si="264"/>
        <v>0</v>
      </c>
      <c r="BM446" s="31">
        <f t="shared" si="265"/>
        <v>0</v>
      </c>
      <c r="BN446" s="237">
        <f t="shared" si="266"/>
        <v>0</v>
      </c>
    </row>
    <row r="447" spans="1:66" x14ac:dyDescent="0.25">
      <c r="A447" s="31" t="s">
        <v>2132</v>
      </c>
      <c r="B447" s="182" t="str">
        <f>VLOOKUP(A447,kurspris!$A$1:$B$894,2,FALSE)</f>
        <v>Att läsa och skriva i lärarutbildning och läraryrket - fokus ämneslärare</v>
      </c>
      <c r="D447" s="31" t="s">
        <v>117</v>
      </c>
      <c r="F447" s="59">
        <v>2019</v>
      </c>
      <c r="Q447" s="237">
        <v>4</v>
      </c>
      <c r="R447" s="40">
        <v>0.8</v>
      </c>
      <c r="S447" s="313">
        <f t="shared" si="240"/>
        <v>3.2</v>
      </c>
      <c r="T447" s="31">
        <f>VLOOKUP(A447,'Ansvar kurs'!$A$1:$C$1027,2,FALSE)</f>
        <v>1620</v>
      </c>
      <c r="U447" s="31" t="str">
        <f>VLOOKUP(T447,Orgenheter!$A$1:$C$165,2,FALSE)</f>
        <v>Inst för språkstudier</v>
      </c>
      <c r="V447" s="31" t="str">
        <f>VLOOKUP(T447,Orgenheter!$A$1:$C$165,3,FALSE)</f>
        <v>Hum</v>
      </c>
      <c r="W447" s="37" t="str">
        <f>VLOOKUP(D447,Program!$A$1:$B$34,2,FALSE)</f>
        <v>Fristående och övriga kurser</v>
      </c>
      <c r="X447" s="42">
        <f>VLOOKUP(A447,kurspris!$A$1:$Q$815,15,FALSE)</f>
        <v>18405</v>
      </c>
      <c r="Y447" s="42">
        <f>VLOOKUP(A447,kurspris!$A$1:$Q$815,16,FALSE)</f>
        <v>15773</v>
      </c>
      <c r="Z447" s="42">
        <f t="shared" si="241"/>
        <v>124093.6</v>
      </c>
      <c r="AA447" s="42">
        <f>VLOOKUP(A447,kurspris!$A$1:$Q$815,17,FALSE)</f>
        <v>5800</v>
      </c>
      <c r="AB447" s="42">
        <f t="shared" si="242"/>
        <v>23200</v>
      </c>
      <c r="AC447" s="42">
        <f t="shared" si="243"/>
        <v>147293.6</v>
      </c>
      <c r="AD447" s="31">
        <f>VLOOKUP($A447,kurspris!$A$1:$Q$852,3,FALSE)</f>
        <v>0</v>
      </c>
      <c r="AE447" s="31">
        <f>VLOOKUP($A447,kurspris!$A$1:$Q$852,4,FALSE)</f>
        <v>1</v>
      </c>
      <c r="AF447" s="31">
        <f>VLOOKUP($A447,kurspris!$A$1:$Q$852,5,FALSE)</f>
        <v>0</v>
      </c>
      <c r="AG447" s="31">
        <f>VLOOKUP($A447,kurspris!$A$1:$Q$852,6,FALSE)</f>
        <v>0</v>
      </c>
      <c r="AH447" s="31">
        <f>VLOOKUP($A447,kurspris!$A$1:$Q$852,7,FALSE)</f>
        <v>0</v>
      </c>
      <c r="AI447" s="31">
        <f>VLOOKUP($A447,kurspris!$A$1:$Q$852,8,FALSE)</f>
        <v>0</v>
      </c>
      <c r="AJ447" s="31">
        <f>VLOOKUP($A447,kurspris!$A$1:$Q$852,9,FALSE)</f>
        <v>0</v>
      </c>
      <c r="AK447" s="31">
        <f>VLOOKUP($A447,kurspris!$A$1:$Q$852,10,FALSE)</f>
        <v>0</v>
      </c>
      <c r="AL447" s="31">
        <f>VLOOKUP($A447,kurspris!$A$1:$Q$852,11,FALSE)</f>
        <v>0</v>
      </c>
      <c r="AM447" s="31">
        <f>VLOOKUP($A447,kurspris!$A$1:$Q$852,12,FALSE)</f>
        <v>0</v>
      </c>
      <c r="AN447" s="31">
        <f>VLOOKUP($A447,kurspris!$A$1:$Q$852,13,FALSE)</f>
        <v>0</v>
      </c>
      <c r="AO447" s="31">
        <f>VLOOKUP($A447,kurspris!$A$1:$Q$852,14,FALSE)</f>
        <v>0</v>
      </c>
      <c r="AP447" s="59" t="s">
        <v>2216</v>
      </c>
      <c r="AR447" s="31">
        <f t="shared" si="244"/>
        <v>0</v>
      </c>
      <c r="AS447" s="237">
        <f t="shared" si="245"/>
        <v>0</v>
      </c>
      <c r="AT447" s="31">
        <f t="shared" si="246"/>
        <v>4</v>
      </c>
      <c r="AU447" s="237">
        <f t="shared" si="247"/>
        <v>3.2</v>
      </c>
      <c r="AV447" s="31">
        <f t="shared" si="248"/>
        <v>0</v>
      </c>
      <c r="AW447" s="31">
        <f t="shared" si="249"/>
        <v>0</v>
      </c>
      <c r="AX447" s="31">
        <f t="shared" si="250"/>
        <v>0</v>
      </c>
      <c r="AY447" s="237">
        <f t="shared" si="251"/>
        <v>0</v>
      </c>
      <c r="AZ447" s="214">
        <f t="shared" si="252"/>
        <v>0</v>
      </c>
      <c r="BA447" s="237">
        <f t="shared" si="253"/>
        <v>0</v>
      </c>
      <c r="BB447" s="31">
        <f t="shared" si="254"/>
        <v>0</v>
      </c>
      <c r="BC447" s="237">
        <f t="shared" si="255"/>
        <v>0</v>
      </c>
      <c r="BD447" s="31">
        <f t="shared" si="256"/>
        <v>0</v>
      </c>
      <c r="BE447" s="237">
        <f t="shared" si="257"/>
        <v>0</v>
      </c>
      <c r="BF447" s="31">
        <f t="shared" si="258"/>
        <v>0</v>
      </c>
      <c r="BG447" s="237">
        <f t="shared" si="259"/>
        <v>0</v>
      </c>
      <c r="BH447" s="31">
        <f t="shared" si="260"/>
        <v>0</v>
      </c>
      <c r="BI447" s="237">
        <f t="shared" si="261"/>
        <v>0</v>
      </c>
      <c r="BJ447" s="31">
        <f t="shared" si="262"/>
        <v>0</v>
      </c>
      <c r="BK447" s="31">
        <f t="shared" si="263"/>
        <v>0</v>
      </c>
      <c r="BL447" s="237">
        <f t="shared" si="264"/>
        <v>0</v>
      </c>
      <c r="BM447" s="31">
        <f t="shared" si="265"/>
        <v>0</v>
      </c>
      <c r="BN447" s="237">
        <f t="shared" si="266"/>
        <v>0</v>
      </c>
    </row>
    <row r="448" spans="1:66" x14ac:dyDescent="0.25">
      <c r="A448" s="159" t="s">
        <v>2154</v>
      </c>
      <c r="B448" s="182" t="str">
        <f>VLOOKUP(A448,kurspris!$A$1:$B$894,2,FALSE)</f>
        <v>Flerspråkighet i förskoleklassen och grundskolans tidigare år</v>
      </c>
      <c r="C448" s="37"/>
      <c r="D448" s="31" t="s">
        <v>117</v>
      </c>
      <c r="F448" s="59">
        <v>2019</v>
      </c>
      <c r="Q448" s="237">
        <v>3</v>
      </c>
      <c r="R448" s="40">
        <v>0.8</v>
      </c>
      <c r="S448" s="313">
        <f t="shared" si="240"/>
        <v>2.4000000000000004</v>
      </c>
      <c r="T448" s="31">
        <f>VLOOKUP(A448,'Ansvar kurs'!$A$1:$C$1027,2,FALSE)</f>
        <v>1620</v>
      </c>
      <c r="U448" s="31" t="str">
        <f>VLOOKUP(T448,Orgenheter!$A$1:$C$165,2,FALSE)</f>
        <v>Inst för språkstudier</v>
      </c>
      <c r="V448" s="31" t="str">
        <f>VLOOKUP(T448,Orgenheter!$A$1:$C$165,3,FALSE)</f>
        <v>Hum</v>
      </c>
      <c r="W448" s="37" t="str">
        <f>VLOOKUP(D448,Program!$A$1:$B$34,2,FALSE)</f>
        <v>Fristående och övriga kurser</v>
      </c>
      <c r="X448" s="42">
        <f>VLOOKUP(A448,kurspris!$A$1:$Q$815,15,FALSE)</f>
        <v>18405</v>
      </c>
      <c r="Y448" s="42">
        <f>VLOOKUP(A448,kurspris!$A$1:$Q$815,16,FALSE)</f>
        <v>15773</v>
      </c>
      <c r="Z448" s="42">
        <f t="shared" si="241"/>
        <v>93070.200000000012</v>
      </c>
      <c r="AA448" s="42">
        <f>VLOOKUP(A448,kurspris!$A$1:$Q$815,17,FALSE)</f>
        <v>5800</v>
      </c>
      <c r="AB448" s="42">
        <f t="shared" si="242"/>
        <v>17400</v>
      </c>
      <c r="AC448" s="42">
        <f t="shared" si="243"/>
        <v>110470.20000000001</v>
      </c>
      <c r="AD448" s="31">
        <f>VLOOKUP($A448,kurspris!$A$1:$Q$852,3,FALSE)</f>
        <v>0</v>
      </c>
      <c r="AE448" s="31">
        <f>VLOOKUP($A448,kurspris!$A$1:$Q$852,4,FALSE)</f>
        <v>1</v>
      </c>
      <c r="AF448" s="31">
        <f>VLOOKUP($A448,kurspris!$A$1:$Q$852,5,FALSE)</f>
        <v>0</v>
      </c>
      <c r="AG448" s="31">
        <f>VLOOKUP($A448,kurspris!$A$1:$Q$852,6,FALSE)</f>
        <v>0</v>
      </c>
      <c r="AH448" s="31">
        <f>VLOOKUP($A448,kurspris!$A$1:$Q$852,7,FALSE)</f>
        <v>0</v>
      </c>
      <c r="AI448" s="31">
        <f>VLOOKUP($A448,kurspris!$A$1:$Q$852,8,FALSE)</f>
        <v>0</v>
      </c>
      <c r="AJ448" s="31">
        <f>VLOOKUP($A448,kurspris!$A$1:$Q$852,9,FALSE)</f>
        <v>0</v>
      </c>
      <c r="AK448" s="31">
        <f>VLOOKUP($A448,kurspris!$A$1:$Q$852,10,FALSE)</f>
        <v>0</v>
      </c>
      <c r="AL448" s="31">
        <f>VLOOKUP($A448,kurspris!$A$1:$Q$852,11,FALSE)</f>
        <v>0</v>
      </c>
      <c r="AM448" s="31">
        <f>VLOOKUP($A448,kurspris!$A$1:$Q$852,12,FALSE)</f>
        <v>0</v>
      </c>
      <c r="AN448" s="31">
        <f>VLOOKUP($A448,kurspris!$A$1:$Q$852,13,FALSE)</f>
        <v>0</v>
      </c>
      <c r="AO448" s="31">
        <f>VLOOKUP($A448,kurspris!$A$1:$Q$852,14,FALSE)</f>
        <v>0</v>
      </c>
      <c r="AP448" s="59" t="s">
        <v>2216</v>
      </c>
      <c r="AQ448" s="59"/>
      <c r="AR448" s="31">
        <f t="shared" si="244"/>
        <v>0</v>
      </c>
      <c r="AS448" s="237">
        <f t="shared" si="245"/>
        <v>0</v>
      </c>
      <c r="AT448" s="31">
        <f t="shared" si="246"/>
        <v>3</v>
      </c>
      <c r="AU448" s="237">
        <f t="shared" si="247"/>
        <v>2.4000000000000004</v>
      </c>
      <c r="AV448" s="31">
        <f t="shared" si="248"/>
        <v>0</v>
      </c>
      <c r="AW448" s="31">
        <f t="shared" si="249"/>
        <v>0</v>
      </c>
      <c r="AX448" s="31">
        <f t="shared" si="250"/>
        <v>0</v>
      </c>
      <c r="AY448" s="237">
        <f t="shared" si="251"/>
        <v>0</v>
      </c>
      <c r="AZ448" s="214">
        <f t="shared" si="252"/>
        <v>0</v>
      </c>
      <c r="BA448" s="237">
        <f t="shared" si="253"/>
        <v>0</v>
      </c>
      <c r="BB448" s="31">
        <f t="shared" si="254"/>
        <v>0</v>
      </c>
      <c r="BC448" s="237">
        <f t="shared" si="255"/>
        <v>0</v>
      </c>
      <c r="BD448" s="31">
        <f t="shared" si="256"/>
        <v>0</v>
      </c>
      <c r="BE448" s="237">
        <f t="shared" si="257"/>
        <v>0</v>
      </c>
      <c r="BF448" s="31">
        <f t="shared" si="258"/>
        <v>0</v>
      </c>
      <c r="BG448" s="237">
        <f t="shared" si="259"/>
        <v>0</v>
      </c>
      <c r="BH448" s="31">
        <f t="shared" si="260"/>
        <v>0</v>
      </c>
      <c r="BI448" s="237">
        <f t="shared" si="261"/>
        <v>0</v>
      </c>
      <c r="BJ448" s="31">
        <f t="shared" si="262"/>
        <v>0</v>
      </c>
      <c r="BK448" s="31">
        <f t="shared" si="263"/>
        <v>0</v>
      </c>
      <c r="BL448" s="237">
        <f t="shared" si="264"/>
        <v>0</v>
      </c>
      <c r="BM448" s="31">
        <f t="shared" si="265"/>
        <v>0</v>
      </c>
      <c r="BN448" s="237">
        <f t="shared" si="266"/>
        <v>0</v>
      </c>
    </row>
    <row r="449" spans="1:66" x14ac:dyDescent="0.25">
      <c r="A449" s="31" t="s">
        <v>148</v>
      </c>
      <c r="B449" s="182" t="str">
        <f>VLOOKUP(A449,kurspris!$A$1:$B$894,2,FALSE)</f>
        <v>Studie- och yrkesvägledningens grunder</v>
      </c>
      <c r="D449" s="31" t="s">
        <v>85</v>
      </c>
      <c r="F449" s="59">
        <v>2019</v>
      </c>
      <c r="Q449" s="237">
        <v>14.75</v>
      </c>
      <c r="R449" s="40">
        <v>0.85</v>
      </c>
      <c r="S449" s="313">
        <f t="shared" si="240"/>
        <v>12.5375</v>
      </c>
      <c r="T449" s="31">
        <f>VLOOKUP(A449,'Ansvar kurs'!$A$1:$C$1027,2,FALSE)</f>
        <v>2193</v>
      </c>
      <c r="U449" s="31" t="str">
        <f>VLOOKUP(T449,Orgenheter!$A$1:$C$165,2,FALSE)</f>
        <v xml:space="preserve">TUV </v>
      </c>
      <c r="V449" s="31" t="str">
        <f>VLOOKUP(T449,Orgenheter!$A$1:$C$165,3,FALSE)</f>
        <v>Sam</v>
      </c>
      <c r="W449" s="37" t="str">
        <f>VLOOKUP(D449,Program!$A$1:$B$34,2,FALSE)</f>
        <v>Studie- och yrkesvägledarprogram</v>
      </c>
      <c r="X449" s="42">
        <f>VLOOKUP(A449,kurspris!$A$1:$Q$815,15,FALSE)</f>
        <v>22339.8</v>
      </c>
      <c r="Y449" s="42">
        <f>VLOOKUP(A449,kurspris!$A$1:$Q$815,16,FALSE)</f>
        <v>20219.2</v>
      </c>
      <c r="Z449" s="42">
        <f t="shared" si="241"/>
        <v>583010.27</v>
      </c>
      <c r="AA449" s="42">
        <f>VLOOKUP(A449,kurspris!$A$1:$Q$815,17,FALSE)</f>
        <v>5800</v>
      </c>
      <c r="AB449" s="42">
        <f t="shared" si="242"/>
        <v>85550</v>
      </c>
      <c r="AC449" s="42">
        <f t="shared" si="243"/>
        <v>668560.27</v>
      </c>
      <c r="AD449" s="31">
        <f>VLOOKUP($A449,kurspris!$A$1:$Q$852,3,FALSE)</f>
        <v>0</v>
      </c>
      <c r="AE449" s="31">
        <f>VLOOKUP($A449,kurspris!$A$1:$Q$852,4,FALSE)</f>
        <v>0</v>
      </c>
      <c r="AF449" s="31">
        <f>VLOOKUP($A449,kurspris!$A$1:$Q$852,5,FALSE)</f>
        <v>0</v>
      </c>
      <c r="AG449" s="31">
        <f>VLOOKUP($A449,kurspris!$A$1:$Q$852,6,FALSE)</f>
        <v>0</v>
      </c>
      <c r="AH449" s="31">
        <f>VLOOKUP($A449,kurspris!$A$1:$Q$852,7,FALSE)</f>
        <v>0</v>
      </c>
      <c r="AI449" s="31">
        <f>VLOOKUP($A449,kurspris!$A$1:$Q$852,8,FALSE)</f>
        <v>0</v>
      </c>
      <c r="AJ449" s="31">
        <f>VLOOKUP($A449,kurspris!$A$1:$Q$852,9,FALSE)</f>
        <v>0.8</v>
      </c>
      <c r="AK449" s="31">
        <f>VLOOKUP($A449,kurspris!$A$1:$Q$852,10,FALSE)</f>
        <v>0</v>
      </c>
      <c r="AL449" s="31">
        <f>VLOOKUP($A449,kurspris!$A$1:$Q$852,11,FALSE)</f>
        <v>0</v>
      </c>
      <c r="AM449" s="31">
        <f>VLOOKUP($A449,kurspris!$A$1:$Q$852,12,FALSE)</f>
        <v>0</v>
      </c>
      <c r="AN449" s="31">
        <f>VLOOKUP($A449,kurspris!$A$1:$Q$852,13,FALSE)</f>
        <v>0</v>
      </c>
      <c r="AO449" s="31">
        <f>VLOOKUP($A449,kurspris!$A$1:$Q$852,14,FALSE)</f>
        <v>0.2</v>
      </c>
      <c r="AP449" s="59" t="s">
        <v>2216</v>
      </c>
      <c r="AR449" s="31">
        <f t="shared" si="244"/>
        <v>0</v>
      </c>
      <c r="AS449" s="237">
        <f t="shared" si="245"/>
        <v>0</v>
      </c>
      <c r="AT449" s="31">
        <f t="shared" si="246"/>
        <v>0</v>
      </c>
      <c r="AU449" s="237">
        <f t="shared" si="247"/>
        <v>0</v>
      </c>
      <c r="AV449" s="31">
        <f t="shared" si="248"/>
        <v>0</v>
      </c>
      <c r="AW449" s="31">
        <f t="shared" si="249"/>
        <v>0</v>
      </c>
      <c r="AX449" s="31">
        <f t="shared" si="250"/>
        <v>0</v>
      </c>
      <c r="AY449" s="237">
        <f t="shared" si="251"/>
        <v>0</v>
      </c>
      <c r="AZ449" s="214">
        <f t="shared" si="252"/>
        <v>0</v>
      </c>
      <c r="BA449" s="237">
        <f t="shared" si="253"/>
        <v>0</v>
      </c>
      <c r="BB449" s="31">
        <f t="shared" si="254"/>
        <v>0</v>
      </c>
      <c r="BC449" s="237">
        <f t="shared" si="255"/>
        <v>0</v>
      </c>
      <c r="BD449" s="31">
        <f t="shared" si="256"/>
        <v>11.8</v>
      </c>
      <c r="BE449" s="237">
        <f t="shared" si="257"/>
        <v>10.030000000000001</v>
      </c>
      <c r="BF449" s="31">
        <f t="shared" si="258"/>
        <v>0</v>
      </c>
      <c r="BG449" s="237">
        <f t="shared" si="259"/>
        <v>0</v>
      </c>
      <c r="BH449" s="31">
        <f t="shared" si="260"/>
        <v>0</v>
      </c>
      <c r="BI449" s="237">
        <f t="shared" si="261"/>
        <v>0</v>
      </c>
      <c r="BJ449" s="31">
        <f t="shared" si="262"/>
        <v>0</v>
      </c>
      <c r="BK449" s="31">
        <f t="shared" si="263"/>
        <v>0</v>
      </c>
      <c r="BL449" s="237">
        <f t="shared" si="264"/>
        <v>0</v>
      </c>
      <c r="BM449" s="31">
        <f t="shared" si="265"/>
        <v>2.95</v>
      </c>
      <c r="BN449" s="237">
        <f t="shared" si="266"/>
        <v>2.5075000000000003</v>
      </c>
    </row>
    <row r="450" spans="1:66" x14ac:dyDescent="0.25">
      <c r="A450" s="31" t="s">
        <v>150</v>
      </c>
      <c r="B450" s="182" t="str">
        <f>VLOOKUP(A450,kurspris!$A$1:$B$894,2,FALSE)</f>
        <v>Vetenskapliga perspektiv på studie- och yrkesvägledning</v>
      </c>
      <c r="D450" s="31" t="s">
        <v>85</v>
      </c>
      <c r="F450" s="59">
        <v>2019</v>
      </c>
      <c r="Q450" s="237">
        <v>6.25</v>
      </c>
      <c r="R450" s="40">
        <v>0.85</v>
      </c>
      <c r="S450" s="313">
        <f t="shared" si="240"/>
        <v>5.3125</v>
      </c>
      <c r="T450" s="31">
        <f>VLOOKUP(A450,'Ansvar kurs'!$A$1:$C$1027,2,FALSE)</f>
        <v>2193</v>
      </c>
      <c r="U450" s="31" t="str">
        <f>VLOOKUP(T450,Orgenheter!$A$1:$C$165,2,FALSE)</f>
        <v xml:space="preserve">TUV </v>
      </c>
      <c r="V450" s="31" t="str">
        <f>VLOOKUP(T450,Orgenheter!$A$1:$C$165,3,FALSE)</f>
        <v>Sam</v>
      </c>
      <c r="W450" s="37" t="str">
        <f>VLOOKUP(D450,Program!$A$1:$B$34,2,FALSE)</f>
        <v>Studie- och yrkesvägledarprogram</v>
      </c>
      <c r="X450" s="42">
        <f>VLOOKUP(A450,kurspris!$A$1:$Q$815,15,FALSE)</f>
        <v>18405</v>
      </c>
      <c r="Y450" s="42">
        <f>VLOOKUP(A450,kurspris!$A$1:$Q$815,16,FALSE)</f>
        <v>15773</v>
      </c>
      <c r="Z450" s="42">
        <f t="shared" si="241"/>
        <v>198825.3125</v>
      </c>
      <c r="AA450" s="42">
        <f>VLOOKUP(A450,kurspris!$A$1:$Q$815,17,FALSE)</f>
        <v>5800</v>
      </c>
      <c r="AB450" s="42">
        <f t="shared" si="242"/>
        <v>36250</v>
      </c>
      <c r="AC450" s="42">
        <f t="shared" si="243"/>
        <v>235075.3125</v>
      </c>
      <c r="AD450" s="31">
        <f>VLOOKUP($A450,kurspris!$A$1:$Q$852,3,FALSE)</f>
        <v>0</v>
      </c>
      <c r="AE450" s="31">
        <f>VLOOKUP($A450,kurspris!$A$1:$Q$852,4,FALSE)</f>
        <v>0</v>
      </c>
      <c r="AF450" s="31">
        <f>VLOOKUP($A450,kurspris!$A$1:$Q$852,5,FALSE)</f>
        <v>0</v>
      </c>
      <c r="AG450" s="31">
        <f>VLOOKUP($A450,kurspris!$A$1:$Q$852,6,FALSE)</f>
        <v>0</v>
      </c>
      <c r="AH450" s="31">
        <f>VLOOKUP($A450,kurspris!$A$1:$Q$852,7,FALSE)</f>
        <v>0</v>
      </c>
      <c r="AI450" s="31">
        <f>VLOOKUP($A450,kurspris!$A$1:$Q$852,8,FALSE)</f>
        <v>0</v>
      </c>
      <c r="AJ450" s="31">
        <f>VLOOKUP($A450,kurspris!$A$1:$Q$852,9,FALSE)</f>
        <v>1</v>
      </c>
      <c r="AK450" s="31">
        <f>VLOOKUP($A450,kurspris!$A$1:$Q$852,10,FALSE)</f>
        <v>0</v>
      </c>
      <c r="AL450" s="31">
        <f>VLOOKUP($A450,kurspris!$A$1:$Q$852,11,FALSE)</f>
        <v>0</v>
      </c>
      <c r="AM450" s="31">
        <f>VLOOKUP($A450,kurspris!$A$1:$Q$852,12,FALSE)</f>
        <v>0</v>
      </c>
      <c r="AN450" s="31">
        <f>VLOOKUP($A450,kurspris!$A$1:$Q$852,13,FALSE)</f>
        <v>0</v>
      </c>
      <c r="AO450" s="31">
        <f>VLOOKUP($A450,kurspris!$A$1:$Q$852,14,FALSE)</f>
        <v>0</v>
      </c>
      <c r="AP450" s="59" t="s">
        <v>2216</v>
      </c>
      <c r="AR450" s="31">
        <f t="shared" si="244"/>
        <v>0</v>
      </c>
      <c r="AS450" s="237">
        <f t="shared" si="245"/>
        <v>0</v>
      </c>
      <c r="AT450" s="31">
        <f t="shared" si="246"/>
        <v>0</v>
      </c>
      <c r="AU450" s="237">
        <f t="shared" si="247"/>
        <v>0</v>
      </c>
      <c r="AV450" s="31">
        <f t="shared" si="248"/>
        <v>0</v>
      </c>
      <c r="AW450" s="31">
        <f t="shared" si="249"/>
        <v>0</v>
      </c>
      <c r="AX450" s="31">
        <f t="shared" si="250"/>
        <v>0</v>
      </c>
      <c r="AY450" s="237">
        <f t="shared" si="251"/>
        <v>0</v>
      </c>
      <c r="AZ450" s="214">
        <f t="shared" si="252"/>
        <v>0</v>
      </c>
      <c r="BA450" s="237">
        <f t="shared" si="253"/>
        <v>0</v>
      </c>
      <c r="BB450" s="31">
        <f t="shared" si="254"/>
        <v>0</v>
      </c>
      <c r="BC450" s="237">
        <f t="shared" si="255"/>
        <v>0</v>
      </c>
      <c r="BD450" s="31">
        <f t="shared" si="256"/>
        <v>6.25</v>
      </c>
      <c r="BE450" s="237">
        <f t="shared" si="257"/>
        <v>5.3125</v>
      </c>
      <c r="BF450" s="31">
        <f t="shared" si="258"/>
        <v>0</v>
      </c>
      <c r="BG450" s="237">
        <f t="shared" si="259"/>
        <v>0</v>
      </c>
      <c r="BH450" s="31">
        <f t="shared" si="260"/>
        <v>0</v>
      </c>
      <c r="BI450" s="237">
        <f t="shared" si="261"/>
        <v>0</v>
      </c>
      <c r="BJ450" s="31">
        <f t="shared" si="262"/>
        <v>0</v>
      </c>
      <c r="BK450" s="31">
        <f t="shared" si="263"/>
        <v>0</v>
      </c>
      <c r="BL450" s="237">
        <f t="shared" si="264"/>
        <v>0</v>
      </c>
      <c r="BM450" s="31">
        <f t="shared" si="265"/>
        <v>0</v>
      </c>
      <c r="BN450" s="237">
        <f t="shared" si="266"/>
        <v>0</v>
      </c>
    </row>
    <row r="451" spans="1:66" x14ac:dyDescent="0.25">
      <c r="A451" s="159" t="s">
        <v>378</v>
      </c>
      <c r="B451" s="182" t="str">
        <f>VLOOKUP(A451,kurspris!$A$1:$B$894,2,FALSE)</f>
        <v>Utbildningssystem i Sverige och andra länder</v>
      </c>
      <c r="C451" s="37"/>
      <c r="D451" s="31" t="s">
        <v>85</v>
      </c>
      <c r="F451" s="59">
        <v>2019</v>
      </c>
      <c r="Q451" s="237">
        <v>6.8333300000000001</v>
      </c>
      <c r="R451" s="40">
        <v>0.85</v>
      </c>
      <c r="S451" s="313">
        <f t="shared" si="240"/>
        <v>5.8083305000000003</v>
      </c>
      <c r="T451" s="31">
        <f>VLOOKUP(A451,'Ansvar kurs'!$A$1:$C$1027,2,FALSE)</f>
        <v>2193</v>
      </c>
      <c r="U451" s="31" t="str">
        <f>VLOOKUP(T451,Orgenheter!$A$1:$C$165,2,FALSE)</f>
        <v xml:space="preserve">TUV </v>
      </c>
      <c r="V451" s="31" t="str">
        <f>VLOOKUP(T451,Orgenheter!$A$1:$C$165,3,FALSE)</f>
        <v>Sam</v>
      </c>
      <c r="W451" s="37" t="str">
        <f>VLOOKUP(D451,Program!$A$1:$B$34,2,FALSE)</f>
        <v>Studie- och yrkesvägledarprogram</v>
      </c>
      <c r="X451" s="42">
        <f>VLOOKUP(A451,kurspris!$A$1:$Q$815,15,FALSE)</f>
        <v>18405</v>
      </c>
      <c r="Y451" s="42">
        <f>VLOOKUP(A451,kurspris!$A$1:$Q$815,16,FALSE)</f>
        <v>15773</v>
      </c>
      <c r="Z451" s="42">
        <f t="shared" si="241"/>
        <v>217382.23562649998</v>
      </c>
      <c r="AA451" s="42">
        <f>VLOOKUP(A451,kurspris!$A$1:$Q$815,17,FALSE)</f>
        <v>5800</v>
      </c>
      <c r="AB451" s="42">
        <f t="shared" si="242"/>
        <v>39633.313999999998</v>
      </c>
      <c r="AC451" s="42">
        <f t="shared" si="243"/>
        <v>257015.5496265</v>
      </c>
      <c r="AD451" s="31">
        <f>VLOOKUP($A451,kurspris!$A$1:$Q$852,3,FALSE)</f>
        <v>0</v>
      </c>
      <c r="AE451" s="31">
        <f>VLOOKUP($A451,kurspris!$A$1:$Q$852,4,FALSE)</f>
        <v>0</v>
      </c>
      <c r="AF451" s="31">
        <f>VLOOKUP($A451,kurspris!$A$1:$Q$852,5,FALSE)</f>
        <v>0</v>
      </c>
      <c r="AG451" s="31">
        <f>VLOOKUP($A451,kurspris!$A$1:$Q$852,6,FALSE)</f>
        <v>0</v>
      </c>
      <c r="AH451" s="31">
        <f>VLOOKUP($A451,kurspris!$A$1:$Q$852,7,FALSE)</f>
        <v>0</v>
      </c>
      <c r="AI451" s="31">
        <f>VLOOKUP($A451,kurspris!$A$1:$Q$852,8,FALSE)</f>
        <v>0</v>
      </c>
      <c r="AJ451" s="31">
        <f>VLOOKUP($A451,kurspris!$A$1:$Q$852,9,FALSE)</f>
        <v>1</v>
      </c>
      <c r="AK451" s="31">
        <f>VLOOKUP($A451,kurspris!$A$1:$Q$852,10,FALSE)</f>
        <v>0</v>
      </c>
      <c r="AL451" s="31">
        <f>VLOOKUP($A451,kurspris!$A$1:$Q$852,11,FALSE)</f>
        <v>0</v>
      </c>
      <c r="AM451" s="31">
        <f>VLOOKUP($A451,kurspris!$A$1:$Q$852,12,FALSE)</f>
        <v>0</v>
      </c>
      <c r="AN451" s="31">
        <f>VLOOKUP($A451,kurspris!$A$1:$Q$852,13,FALSE)</f>
        <v>0</v>
      </c>
      <c r="AO451" s="31">
        <f>VLOOKUP($A451,kurspris!$A$1:$Q$852,14,FALSE)</f>
        <v>0</v>
      </c>
      <c r="AP451" s="59" t="s">
        <v>2216</v>
      </c>
      <c r="AR451" s="31">
        <f t="shared" si="244"/>
        <v>0</v>
      </c>
      <c r="AS451" s="237">
        <f t="shared" si="245"/>
        <v>0</v>
      </c>
      <c r="AT451" s="31">
        <f t="shared" si="246"/>
        <v>0</v>
      </c>
      <c r="AU451" s="237">
        <f t="shared" si="247"/>
        <v>0</v>
      </c>
      <c r="AV451" s="31">
        <f t="shared" si="248"/>
        <v>0</v>
      </c>
      <c r="AW451" s="31">
        <f t="shared" si="249"/>
        <v>0</v>
      </c>
      <c r="AX451" s="31">
        <f t="shared" si="250"/>
        <v>0</v>
      </c>
      <c r="AY451" s="237">
        <f t="shared" si="251"/>
        <v>0</v>
      </c>
      <c r="AZ451" s="214">
        <f t="shared" si="252"/>
        <v>0</v>
      </c>
      <c r="BA451" s="237">
        <f t="shared" si="253"/>
        <v>0</v>
      </c>
      <c r="BB451" s="31">
        <f t="shared" si="254"/>
        <v>0</v>
      </c>
      <c r="BC451" s="237">
        <f t="shared" si="255"/>
        <v>0</v>
      </c>
      <c r="BD451" s="31">
        <f t="shared" si="256"/>
        <v>6.8333300000000001</v>
      </c>
      <c r="BE451" s="237">
        <f t="shared" si="257"/>
        <v>5.8083305000000003</v>
      </c>
      <c r="BF451" s="31">
        <f t="shared" si="258"/>
        <v>0</v>
      </c>
      <c r="BG451" s="237">
        <f t="shared" si="259"/>
        <v>0</v>
      </c>
      <c r="BH451" s="31">
        <f t="shared" si="260"/>
        <v>0</v>
      </c>
      <c r="BI451" s="237">
        <f t="shared" si="261"/>
        <v>0</v>
      </c>
      <c r="BJ451" s="31">
        <f t="shared" si="262"/>
        <v>0</v>
      </c>
      <c r="BK451" s="31">
        <f t="shared" si="263"/>
        <v>0</v>
      </c>
      <c r="BL451" s="237">
        <f t="shared" si="264"/>
        <v>0</v>
      </c>
      <c r="BM451" s="31">
        <f t="shared" si="265"/>
        <v>0</v>
      </c>
      <c r="BN451" s="237">
        <f t="shared" si="266"/>
        <v>0</v>
      </c>
    </row>
    <row r="452" spans="1:66" x14ac:dyDescent="0.25">
      <c r="A452" s="31" t="s">
        <v>396</v>
      </c>
      <c r="B452" s="182" t="str">
        <f>VLOOKUP(A452,kurspris!$A$1:$B$894,2,FALSE)</f>
        <v>Studie- och yrkesvägledningens praktik</v>
      </c>
      <c r="D452" s="31" t="s">
        <v>85</v>
      </c>
      <c r="F452" s="59">
        <v>2019</v>
      </c>
      <c r="Q452" s="237">
        <v>18.25</v>
      </c>
      <c r="R452" s="40">
        <v>0.85</v>
      </c>
      <c r="S452" s="313">
        <f t="shared" si="240"/>
        <v>15.512499999999999</v>
      </c>
      <c r="T452" s="31">
        <f>VLOOKUP(A452,'Ansvar kurs'!$A$1:$C$1027,2,FALSE)</f>
        <v>2193</v>
      </c>
      <c r="U452" s="31" t="str">
        <f>VLOOKUP(T452,Orgenheter!$A$1:$C$165,2,FALSE)</f>
        <v xml:space="preserve">TUV </v>
      </c>
      <c r="V452" s="31" t="str">
        <f>VLOOKUP(T452,Orgenheter!$A$1:$C$165,3,FALSE)</f>
        <v>Sam</v>
      </c>
      <c r="W452" s="37" t="str">
        <f>VLOOKUP(D452,Program!$A$1:$B$34,2,FALSE)</f>
        <v>Studie- och yrkesvägledarprogram</v>
      </c>
      <c r="X452" s="42">
        <f>VLOOKUP(A452,kurspris!$A$1:$Q$815,15,FALSE)</f>
        <v>24307.199999999997</v>
      </c>
      <c r="Y452" s="42">
        <f>VLOOKUP(A452,kurspris!$A$1:$Q$815,16,FALSE)</f>
        <v>22442.299999999996</v>
      </c>
      <c r="Z452" s="42">
        <f t="shared" si="241"/>
        <v>791742.57874999987</v>
      </c>
      <c r="AA452" s="42">
        <f>VLOOKUP(A452,kurspris!$A$1:$Q$815,17,FALSE)</f>
        <v>5800</v>
      </c>
      <c r="AB452" s="42">
        <f t="shared" si="242"/>
        <v>105850</v>
      </c>
      <c r="AC452" s="42">
        <f t="shared" si="243"/>
        <v>897592.57874999987</v>
      </c>
      <c r="AD452" s="31">
        <f>VLOOKUP($A452,kurspris!$A$1:$Q$852,3,FALSE)</f>
        <v>0</v>
      </c>
      <c r="AE452" s="31">
        <f>VLOOKUP($A452,kurspris!$A$1:$Q$852,4,FALSE)</f>
        <v>0</v>
      </c>
      <c r="AF452" s="31">
        <f>VLOOKUP($A452,kurspris!$A$1:$Q$852,5,FALSE)</f>
        <v>0</v>
      </c>
      <c r="AG452" s="31">
        <f>VLOOKUP($A452,kurspris!$A$1:$Q$852,6,FALSE)</f>
        <v>0</v>
      </c>
      <c r="AH452" s="31">
        <f>VLOOKUP($A452,kurspris!$A$1:$Q$852,7,FALSE)</f>
        <v>0</v>
      </c>
      <c r="AI452" s="31">
        <f>VLOOKUP($A452,kurspris!$A$1:$Q$852,8,FALSE)</f>
        <v>0</v>
      </c>
      <c r="AJ452" s="31">
        <f>VLOOKUP($A452,kurspris!$A$1:$Q$852,9,FALSE)</f>
        <v>0.7</v>
      </c>
      <c r="AK452" s="31">
        <f>VLOOKUP($A452,kurspris!$A$1:$Q$852,10,FALSE)</f>
        <v>0</v>
      </c>
      <c r="AL452" s="31">
        <f>VLOOKUP($A452,kurspris!$A$1:$Q$852,11,FALSE)</f>
        <v>0</v>
      </c>
      <c r="AM452" s="31">
        <f>VLOOKUP($A452,kurspris!$A$1:$Q$852,12,FALSE)</f>
        <v>0</v>
      </c>
      <c r="AN452" s="31">
        <f>VLOOKUP($A452,kurspris!$A$1:$Q$852,13,FALSE)</f>
        <v>0</v>
      </c>
      <c r="AO452" s="31">
        <f>VLOOKUP($A452,kurspris!$A$1:$Q$852,14,FALSE)</f>
        <v>0.3</v>
      </c>
      <c r="AP452" s="59" t="s">
        <v>2216</v>
      </c>
      <c r="AR452" s="31">
        <f t="shared" si="244"/>
        <v>0</v>
      </c>
      <c r="AS452" s="237">
        <f t="shared" si="245"/>
        <v>0</v>
      </c>
      <c r="AT452" s="31">
        <f t="shared" si="246"/>
        <v>0</v>
      </c>
      <c r="AU452" s="237">
        <f t="shared" si="247"/>
        <v>0</v>
      </c>
      <c r="AV452" s="31">
        <f t="shared" si="248"/>
        <v>0</v>
      </c>
      <c r="AW452" s="31">
        <f t="shared" si="249"/>
        <v>0</v>
      </c>
      <c r="AX452" s="31">
        <f t="shared" si="250"/>
        <v>0</v>
      </c>
      <c r="AY452" s="237">
        <f t="shared" si="251"/>
        <v>0</v>
      </c>
      <c r="AZ452" s="214">
        <f t="shared" si="252"/>
        <v>0</v>
      </c>
      <c r="BA452" s="237">
        <f t="shared" si="253"/>
        <v>0</v>
      </c>
      <c r="BB452" s="31">
        <f t="shared" si="254"/>
        <v>0</v>
      </c>
      <c r="BC452" s="237">
        <f t="shared" si="255"/>
        <v>0</v>
      </c>
      <c r="BD452" s="31">
        <f t="shared" si="256"/>
        <v>12.774999999999999</v>
      </c>
      <c r="BE452" s="237">
        <f t="shared" si="257"/>
        <v>10.858749999999999</v>
      </c>
      <c r="BF452" s="31">
        <f t="shared" si="258"/>
        <v>0</v>
      </c>
      <c r="BG452" s="237">
        <f t="shared" si="259"/>
        <v>0</v>
      </c>
      <c r="BH452" s="31">
        <f t="shared" si="260"/>
        <v>0</v>
      </c>
      <c r="BI452" s="237">
        <f t="shared" si="261"/>
        <v>0</v>
      </c>
      <c r="BJ452" s="31">
        <f t="shared" si="262"/>
        <v>0</v>
      </c>
      <c r="BK452" s="31">
        <f t="shared" si="263"/>
        <v>0</v>
      </c>
      <c r="BL452" s="237">
        <f t="shared" si="264"/>
        <v>0</v>
      </c>
      <c r="BM452" s="31">
        <f t="shared" si="265"/>
        <v>5.4749999999999996</v>
      </c>
      <c r="BN452" s="237">
        <f t="shared" si="266"/>
        <v>4.6537499999999996</v>
      </c>
    </row>
    <row r="453" spans="1:66" x14ac:dyDescent="0.25">
      <c r="A453" s="31" t="s">
        <v>892</v>
      </c>
      <c r="B453" s="182" t="str">
        <f>VLOOKUP(A453,kurspris!$A$1:$B$894,2,FALSE)</f>
        <v>Karriärutveckling i socialt och kulturellt perspektiv</v>
      </c>
      <c r="D453" s="31" t="s">
        <v>85</v>
      </c>
      <c r="F453" s="59">
        <v>2019</v>
      </c>
      <c r="Q453" s="237">
        <v>8.25</v>
      </c>
      <c r="R453" s="40">
        <v>0.85</v>
      </c>
      <c r="S453" s="313">
        <f t="shared" ref="S453:S481" si="267">Q453*R453</f>
        <v>7.0125000000000002</v>
      </c>
      <c r="T453" s="31">
        <f>VLOOKUP(A453,'Ansvar kurs'!$A$1:$C$1027,2,FALSE)</f>
        <v>2193</v>
      </c>
      <c r="U453" s="31" t="str">
        <f>VLOOKUP(T453,Orgenheter!$A$1:$C$165,2,FALSE)</f>
        <v xml:space="preserve">TUV </v>
      </c>
      <c r="V453" s="31" t="str">
        <f>VLOOKUP(T453,Orgenheter!$A$1:$C$165,3,FALSE)</f>
        <v>Sam</v>
      </c>
      <c r="W453" s="37" t="str">
        <f>VLOOKUP(D453,Program!$A$1:$B$34,2,FALSE)</f>
        <v>Studie- och yrkesvägledarprogram</v>
      </c>
      <c r="X453" s="42">
        <f>VLOOKUP(A453,kurspris!$A$1:$Q$815,15,FALSE)</f>
        <v>18405</v>
      </c>
      <c r="Y453" s="42">
        <f>VLOOKUP(A453,kurspris!$A$1:$Q$815,16,FALSE)</f>
        <v>15773</v>
      </c>
      <c r="Z453" s="42">
        <f t="shared" ref="Z453:Z481" si="268">X453*Q453+S453*Y453</f>
        <v>262449.41249999998</v>
      </c>
      <c r="AA453" s="42">
        <f>VLOOKUP(A453,kurspris!$A$1:$Q$815,17,FALSE)</f>
        <v>5800</v>
      </c>
      <c r="AB453" s="42">
        <f t="shared" ref="AB453:AB481" si="269">AA453*Q453</f>
        <v>47850</v>
      </c>
      <c r="AC453" s="42">
        <f t="shared" ref="AC453:AC481" si="270">Z453+AB453</f>
        <v>310299.41249999998</v>
      </c>
      <c r="AD453" s="31">
        <f>VLOOKUP($A453,kurspris!$A$1:$Q$852,3,FALSE)</f>
        <v>0</v>
      </c>
      <c r="AE453" s="31">
        <f>VLOOKUP($A453,kurspris!$A$1:$Q$852,4,FALSE)</f>
        <v>0</v>
      </c>
      <c r="AF453" s="31">
        <f>VLOOKUP($A453,kurspris!$A$1:$Q$852,5,FALSE)</f>
        <v>0</v>
      </c>
      <c r="AG453" s="31">
        <f>VLOOKUP($A453,kurspris!$A$1:$Q$852,6,FALSE)</f>
        <v>0</v>
      </c>
      <c r="AH453" s="31">
        <f>VLOOKUP($A453,kurspris!$A$1:$Q$852,7,FALSE)</f>
        <v>0</v>
      </c>
      <c r="AI453" s="31">
        <f>VLOOKUP($A453,kurspris!$A$1:$Q$852,8,FALSE)</f>
        <v>0</v>
      </c>
      <c r="AJ453" s="31">
        <f>VLOOKUP($A453,kurspris!$A$1:$Q$852,9,FALSE)</f>
        <v>1</v>
      </c>
      <c r="AK453" s="31">
        <f>VLOOKUP($A453,kurspris!$A$1:$Q$852,10,FALSE)</f>
        <v>0</v>
      </c>
      <c r="AL453" s="31">
        <f>VLOOKUP($A453,kurspris!$A$1:$Q$852,11,FALSE)</f>
        <v>0</v>
      </c>
      <c r="AM453" s="31">
        <f>VLOOKUP($A453,kurspris!$A$1:$Q$852,12,FALSE)</f>
        <v>0</v>
      </c>
      <c r="AN453" s="31">
        <f>VLOOKUP($A453,kurspris!$A$1:$Q$852,13,FALSE)</f>
        <v>0</v>
      </c>
      <c r="AO453" s="31">
        <f>VLOOKUP($A453,kurspris!$A$1:$Q$852,14,FALSE)</f>
        <v>0</v>
      </c>
      <c r="AP453" s="59" t="s">
        <v>2216</v>
      </c>
      <c r="AR453" s="31">
        <f t="shared" ref="AR453:AR481" si="271">$Q453*AD453</f>
        <v>0</v>
      </c>
      <c r="AS453" s="237">
        <f t="shared" ref="AS453:AS481" si="272">$S453*AD453</f>
        <v>0</v>
      </c>
      <c r="AT453" s="31">
        <f t="shared" ref="AT453:AT481" si="273">$Q453*AE453</f>
        <v>0</v>
      </c>
      <c r="AU453" s="237">
        <f t="shared" ref="AU453:AU481" si="274">$S453*AE453</f>
        <v>0</v>
      </c>
      <c r="AV453" s="31">
        <f t="shared" ref="AV453:AV481" si="275">$Q453*AF453</f>
        <v>0</v>
      </c>
      <c r="AW453" s="31">
        <f t="shared" ref="AW453:AW481" si="276">$S453*AF453</f>
        <v>0</v>
      </c>
      <c r="AX453" s="31">
        <f t="shared" ref="AX453:AX481" si="277">$Q453*AG453</f>
        <v>0</v>
      </c>
      <c r="AY453" s="237">
        <f t="shared" ref="AY453:AY481" si="278">$S453*AG453</f>
        <v>0</v>
      </c>
      <c r="AZ453" s="214">
        <f t="shared" ref="AZ453:AZ481" si="279">$Q453*AH453</f>
        <v>0</v>
      </c>
      <c r="BA453" s="237">
        <f t="shared" ref="BA453:BA481" si="280">$S453*AH453</f>
        <v>0</v>
      </c>
      <c r="BB453" s="31">
        <f t="shared" ref="BB453:BB481" si="281">$Q453*AI453</f>
        <v>0</v>
      </c>
      <c r="BC453" s="237">
        <f t="shared" ref="BC453:BC481" si="282">$S453*AI453</f>
        <v>0</v>
      </c>
      <c r="BD453" s="31">
        <f t="shared" ref="BD453:BD481" si="283">$Q453*AJ453</f>
        <v>8.25</v>
      </c>
      <c r="BE453" s="237">
        <f t="shared" ref="BE453:BE481" si="284">$S453*AJ453</f>
        <v>7.0125000000000002</v>
      </c>
      <c r="BF453" s="31">
        <f t="shared" ref="BF453:BF481" si="285">$Q453*AK453</f>
        <v>0</v>
      </c>
      <c r="BG453" s="237">
        <f t="shared" ref="BG453:BG481" si="286">$S453*AK453</f>
        <v>0</v>
      </c>
      <c r="BH453" s="31">
        <f t="shared" ref="BH453:BH481" si="287">$Q453*AL453</f>
        <v>0</v>
      </c>
      <c r="BI453" s="237">
        <f t="shared" ref="BI453:BI481" si="288">$S453*AL453</f>
        <v>0</v>
      </c>
      <c r="BJ453" s="31">
        <f t="shared" ref="BJ453:BJ481" si="289">$Q453*AM453</f>
        <v>0</v>
      </c>
      <c r="BK453" s="31">
        <f t="shared" ref="BK453:BK481" si="290">$Q453*AN453</f>
        <v>0</v>
      </c>
      <c r="BL453" s="237">
        <f t="shared" ref="BL453:BL481" si="291">$S453*AN453</f>
        <v>0</v>
      </c>
      <c r="BM453" s="31">
        <f t="shared" ref="BM453:BM481" si="292">$Q453*AO453</f>
        <v>0</v>
      </c>
      <c r="BN453" s="237">
        <f t="shared" ref="BN453:BN481" si="293">$S453*AO453</f>
        <v>0</v>
      </c>
    </row>
    <row r="454" spans="1:66" x14ac:dyDescent="0.25">
      <c r="A454" s="159" t="s">
        <v>894</v>
      </c>
      <c r="B454" s="182" t="str">
        <f>VLOOKUP(A454,kurspris!$A$1:$B$894,2,FALSE)</f>
        <v>Karriärvägledning och andra insatser för människor i behov av särskilt stöd</v>
      </c>
      <c r="C454" s="37"/>
      <c r="D454" s="31" t="s">
        <v>85</v>
      </c>
      <c r="F454" s="59">
        <v>2019</v>
      </c>
      <c r="Q454" s="237">
        <v>9.8333399999999997</v>
      </c>
      <c r="R454" s="40">
        <v>0.85</v>
      </c>
      <c r="S454" s="313">
        <f t="shared" si="267"/>
        <v>8.3583389999999991</v>
      </c>
      <c r="T454" s="31">
        <f>VLOOKUP(A454,'Ansvar kurs'!$A$1:$C$1027,2,FALSE)</f>
        <v>2193</v>
      </c>
      <c r="U454" s="31" t="str">
        <f>VLOOKUP(T454,Orgenheter!$A$1:$C$165,2,FALSE)</f>
        <v xml:space="preserve">TUV </v>
      </c>
      <c r="V454" s="31" t="str">
        <f>VLOOKUP(T454,Orgenheter!$A$1:$C$165,3,FALSE)</f>
        <v>Sam</v>
      </c>
      <c r="W454" s="37" t="str">
        <f>VLOOKUP(D454,Program!$A$1:$B$34,2,FALSE)</f>
        <v>Studie- och yrkesvägledarprogram</v>
      </c>
      <c r="X454" s="42">
        <f>VLOOKUP(A454,kurspris!$A$1:$Q$815,15,FALSE)</f>
        <v>22339.8</v>
      </c>
      <c r="Y454" s="42">
        <f>VLOOKUP(A454,kurspris!$A$1:$Q$815,16,FALSE)</f>
        <v>20219.2</v>
      </c>
      <c r="Z454" s="42">
        <f t="shared" si="268"/>
        <v>388673.77684079995</v>
      </c>
      <c r="AA454" s="42">
        <f>VLOOKUP(A454,kurspris!$A$1:$Q$815,17,FALSE)</f>
        <v>5800</v>
      </c>
      <c r="AB454" s="42">
        <f t="shared" si="269"/>
        <v>57033.371999999996</v>
      </c>
      <c r="AC454" s="42">
        <f t="shared" si="270"/>
        <v>445707.14884079993</v>
      </c>
      <c r="AD454" s="31">
        <f>VLOOKUP($A454,kurspris!$A$1:$Q$852,3,FALSE)</f>
        <v>0</v>
      </c>
      <c r="AE454" s="31">
        <f>VLOOKUP($A454,kurspris!$A$1:$Q$852,4,FALSE)</f>
        <v>0</v>
      </c>
      <c r="AF454" s="31">
        <f>VLOOKUP($A454,kurspris!$A$1:$Q$852,5,FALSE)</f>
        <v>0</v>
      </c>
      <c r="AG454" s="31">
        <f>VLOOKUP($A454,kurspris!$A$1:$Q$852,6,FALSE)</f>
        <v>0</v>
      </c>
      <c r="AH454" s="31">
        <f>VLOOKUP($A454,kurspris!$A$1:$Q$852,7,FALSE)</f>
        <v>0</v>
      </c>
      <c r="AI454" s="31">
        <f>VLOOKUP($A454,kurspris!$A$1:$Q$852,8,FALSE)</f>
        <v>0</v>
      </c>
      <c r="AJ454" s="31">
        <f>VLOOKUP($A454,kurspris!$A$1:$Q$852,9,FALSE)</f>
        <v>0.8</v>
      </c>
      <c r="AK454" s="31">
        <f>VLOOKUP($A454,kurspris!$A$1:$Q$852,10,FALSE)</f>
        <v>0</v>
      </c>
      <c r="AL454" s="31">
        <f>VLOOKUP($A454,kurspris!$A$1:$Q$852,11,FALSE)</f>
        <v>0</v>
      </c>
      <c r="AM454" s="31">
        <f>VLOOKUP($A454,kurspris!$A$1:$Q$852,12,FALSE)</f>
        <v>0</v>
      </c>
      <c r="AN454" s="31">
        <f>VLOOKUP($A454,kurspris!$A$1:$Q$852,13,FALSE)</f>
        <v>0</v>
      </c>
      <c r="AO454" s="31">
        <f>VLOOKUP($A454,kurspris!$A$1:$Q$852,14,FALSE)</f>
        <v>0.2</v>
      </c>
      <c r="AP454" s="59" t="s">
        <v>2216</v>
      </c>
      <c r="AQ454" s="59"/>
      <c r="AR454" s="31">
        <f t="shared" si="271"/>
        <v>0</v>
      </c>
      <c r="AS454" s="237">
        <f t="shared" si="272"/>
        <v>0</v>
      </c>
      <c r="AT454" s="31">
        <f t="shared" si="273"/>
        <v>0</v>
      </c>
      <c r="AU454" s="237">
        <f t="shared" si="274"/>
        <v>0</v>
      </c>
      <c r="AV454" s="31">
        <f t="shared" si="275"/>
        <v>0</v>
      </c>
      <c r="AW454" s="31">
        <f t="shared" si="276"/>
        <v>0</v>
      </c>
      <c r="AX454" s="31">
        <f t="shared" si="277"/>
        <v>0</v>
      </c>
      <c r="AY454" s="237">
        <f t="shared" si="278"/>
        <v>0</v>
      </c>
      <c r="AZ454" s="214">
        <f t="shared" si="279"/>
        <v>0</v>
      </c>
      <c r="BA454" s="237">
        <f t="shared" si="280"/>
        <v>0</v>
      </c>
      <c r="BB454" s="31">
        <f t="shared" si="281"/>
        <v>0</v>
      </c>
      <c r="BC454" s="237">
        <f t="shared" si="282"/>
        <v>0</v>
      </c>
      <c r="BD454" s="31">
        <f t="shared" si="283"/>
        <v>7.8666720000000003</v>
      </c>
      <c r="BE454" s="237">
        <f t="shared" si="284"/>
        <v>6.6866711999999993</v>
      </c>
      <c r="BF454" s="31">
        <f t="shared" si="285"/>
        <v>0</v>
      </c>
      <c r="BG454" s="237">
        <f t="shared" si="286"/>
        <v>0</v>
      </c>
      <c r="BH454" s="31">
        <f t="shared" si="287"/>
        <v>0</v>
      </c>
      <c r="BI454" s="237">
        <f t="shared" si="288"/>
        <v>0</v>
      </c>
      <c r="BJ454" s="31">
        <f t="shared" si="289"/>
        <v>0</v>
      </c>
      <c r="BK454" s="31">
        <f t="shared" si="290"/>
        <v>0</v>
      </c>
      <c r="BL454" s="237">
        <f t="shared" si="291"/>
        <v>0</v>
      </c>
      <c r="BM454" s="31">
        <f t="shared" si="292"/>
        <v>1.9666680000000001</v>
      </c>
      <c r="BN454" s="237">
        <f t="shared" si="293"/>
        <v>1.6716677999999998</v>
      </c>
    </row>
    <row r="455" spans="1:66" x14ac:dyDescent="0.25">
      <c r="A455" s="31" t="s">
        <v>895</v>
      </c>
      <c r="B455" s="182" t="str">
        <f>VLOOKUP(A455,kurspris!$A$1:$B$894,2,FALSE)</f>
        <v>Karriärteori och vägledning</v>
      </c>
      <c r="D455" s="31" t="s">
        <v>85</v>
      </c>
      <c r="F455" s="59">
        <v>2019</v>
      </c>
      <c r="Q455" s="237">
        <v>12.29167</v>
      </c>
      <c r="R455" s="40">
        <v>0.85</v>
      </c>
      <c r="S455" s="313">
        <f t="shared" si="267"/>
        <v>10.447919499999999</v>
      </c>
      <c r="T455" s="31">
        <f>VLOOKUP(A455,'Ansvar kurs'!$A$1:$C$1027,2,FALSE)</f>
        <v>2193</v>
      </c>
      <c r="U455" s="31" t="str">
        <f>VLOOKUP(T455,Orgenheter!$A$1:$C$165,2,FALSE)</f>
        <v xml:space="preserve">TUV </v>
      </c>
      <c r="V455" s="31" t="str">
        <f>VLOOKUP(T455,Orgenheter!$A$1:$C$165,3,FALSE)</f>
        <v>Sam</v>
      </c>
      <c r="W455" s="37" t="str">
        <f>VLOOKUP(D455,Program!$A$1:$B$34,2,FALSE)</f>
        <v>Studie- och yrkesvägledarprogram</v>
      </c>
      <c r="X455" s="42">
        <f>VLOOKUP(A455,kurspris!$A$1:$Q$815,15,FALSE)</f>
        <v>18405</v>
      </c>
      <c r="Y455" s="42">
        <f>VLOOKUP(A455,kurspris!$A$1:$Q$815,16,FALSE)</f>
        <v>15773</v>
      </c>
      <c r="Z455" s="42">
        <f t="shared" si="268"/>
        <v>391023.2206235</v>
      </c>
      <c r="AA455" s="42">
        <f>VLOOKUP(A455,kurspris!$A$1:$Q$815,17,FALSE)</f>
        <v>5800</v>
      </c>
      <c r="AB455" s="42">
        <f t="shared" si="269"/>
        <v>71291.686000000002</v>
      </c>
      <c r="AC455" s="42">
        <f t="shared" si="270"/>
        <v>462314.90662349999</v>
      </c>
      <c r="AD455" s="31">
        <f>VLOOKUP($A455,kurspris!$A$1:$Q$852,3,FALSE)</f>
        <v>0</v>
      </c>
      <c r="AE455" s="31">
        <f>VLOOKUP($A455,kurspris!$A$1:$Q$852,4,FALSE)</f>
        <v>0</v>
      </c>
      <c r="AF455" s="31">
        <f>VLOOKUP($A455,kurspris!$A$1:$Q$852,5,FALSE)</f>
        <v>0</v>
      </c>
      <c r="AG455" s="31">
        <f>VLOOKUP($A455,kurspris!$A$1:$Q$852,6,FALSE)</f>
        <v>0</v>
      </c>
      <c r="AH455" s="31">
        <f>VLOOKUP($A455,kurspris!$A$1:$Q$852,7,FALSE)</f>
        <v>0</v>
      </c>
      <c r="AI455" s="31">
        <f>VLOOKUP($A455,kurspris!$A$1:$Q$852,8,FALSE)</f>
        <v>0</v>
      </c>
      <c r="AJ455" s="31">
        <f>VLOOKUP($A455,kurspris!$A$1:$Q$852,9,FALSE)</f>
        <v>1</v>
      </c>
      <c r="AK455" s="31">
        <f>VLOOKUP($A455,kurspris!$A$1:$Q$852,10,FALSE)</f>
        <v>0</v>
      </c>
      <c r="AL455" s="31">
        <f>VLOOKUP($A455,kurspris!$A$1:$Q$852,11,FALSE)</f>
        <v>0</v>
      </c>
      <c r="AM455" s="31">
        <f>VLOOKUP($A455,kurspris!$A$1:$Q$852,12,FALSE)</f>
        <v>0</v>
      </c>
      <c r="AN455" s="31">
        <f>VLOOKUP($A455,kurspris!$A$1:$Q$852,13,FALSE)</f>
        <v>0</v>
      </c>
      <c r="AO455" s="31">
        <f>VLOOKUP($A455,kurspris!$A$1:$Q$852,14,FALSE)</f>
        <v>0</v>
      </c>
      <c r="AP455" s="59" t="s">
        <v>2216</v>
      </c>
      <c r="AR455" s="31">
        <f t="shared" si="271"/>
        <v>0</v>
      </c>
      <c r="AS455" s="237">
        <f t="shared" si="272"/>
        <v>0</v>
      </c>
      <c r="AT455" s="31">
        <f t="shared" si="273"/>
        <v>0</v>
      </c>
      <c r="AU455" s="237">
        <f t="shared" si="274"/>
        <v>0</v>
      </c>
      <c r="AV455" s="31">
        <f t="shared" si="275"/>
        <v>0</v>
      </c>
      <c r="AW455" s="31">
        <f t="shared" si="276"/>
        <v>0</v>
      </c>
      <c r="AX455" s="31">
        <f t="shared" si="277"/>
        <v>0</v>
      </c>
      <c r="AY455" s="237">
        <f t="shared" si="278"/>
        <v>0</v>
      </c>
      <c r="AZ455" s="214">
        <f t="shared" si="279"/>
        <v>0</v>
      </c>
      <c r="BA455" s="237">
        <f t="shared" si="280"/>
        <v>0</v>
      </c>
      <c r="BB455" s="31">
        <f t="shared" si="281"/>
        <v>0</v>
      </c>
      <c r="BC455" s="237">
        <f t="shared" si="282"/>
        <v>0</v>
      </c>
      <c r="BD455" s="31">
        <f t="shared" si="283"/>
        <v>12.29167</v>
      </c>
      <c r="BE455" s="237">
        <f t="shared" si="284"/>
        <v>10.447919499999999</v>
      </c>
      <c r="BF455" s="31">
        <f t="shared" si="285"/>
        <v>0</v>
      </c>
      <c r="BG455" s="237">
        <f t="shared" si="286"/>
        <v>0</v>
      </c>
      <c r="BH455" s="31">
        <f t="shared" si="287"/>
        <v>0</v>
      </c>
      <c r="BI455" s="237">
        <f t="shared" si="288"/>
        <v>0</v>
      </c>
      <c r="BJ455" s="31">
        <f t="shared" si="289"/>
        <v>0</v>
      </c>
      <c r="BK455" s="31">
        <f t="shared" si="290"/>
        <v>0</v>
      </c>
      <c r="BL455" s="237">
        <f t="shared" si="291"/>
        <v>0</v>
      </c>
      <c r="BM455" s="31">
        <f t="shared" si="292"/>
        <v>0</v>
      </c>
      <c r="BN455" s="237">
        <f t="shared" si="293"/>
        <v>0</v>
      </c>
    </row>
    <row r="456" spans="1:66" x14ac:dyDescent="0.25">
      <c r="A456" s="31" t="s">
        <v>893</v>
      </c>
      <c r="B456" s="182" t="str">
        <f>VLOOKUP(A456,kurspris!$A$1:$B$894,2,FALSE)</f>
        <v>Gruppvägledning med inriktning mot karriärutveckling</v>
      </c>
      <c r="D456" s="31" t="s">
        <v>85</v>
      </c>
      <c r="F456" s="59">
        <v>2019</v>
      </c>
      <c r="Q456" s="237">
        <v>7.5</v>
      </c>
      <c r="R456" s="40">
        <v>0.85</v>
      </c>
      <c r="S456" s="313">
        <f t="shared" si="267"/>
        <v>6.375</v>
      </c>
      <c r="T456" s="31">
        <f>VLOOKUP(A456,'Ansvar kurs'!$A$1:$C$1027,2,FALSE)</f>
        <v>2193</v>
      </c>
      <c r="U456" s="31" t="str">
        <f>VLOOKUP(T456,Orgenheter!$A$1:$C$165,2,FALSE)</f>
        <v xml:space="preserve">TUV </v>
      </c>
      <c r="V456" s="31" t="str">
        <f>VLOOKUP(T456,Orgenheter!$A$1:$C$165,3,FALSE)</f>
        <v>Sam</v>
      </c>
      <c r="W456" s="37" t="str">
        <f>VLOOKUP(D456,Program!$A$1:$B$34,2,FALSE)</f>
        <v>Studie- och yrkesvägledarprogram</v>
      </c>
      <c r="X456" s="42">
        <f>VLOOKUP(A456,kurspris!$A$1:$Q$815,15,FALSE)</f>
        <v>34144.199999999997</v>
      </c>
      <c r="Y456" s="42">
        <f>VLOOKUP(A456,kurspris!$A$1:$Q$815,16,FALSE)</f>
        <v>33557.800000000003</v>
      </c>
      <c r="Z456" s="42">
        <f t="shared" si="268"/>
        <v>470012.47499999998</v>
      </c>
      <c r="AA456" s="42">
        <f>VLOOKUP(A456,kurspris!$A$1:$Q$815,17,FALSE)</f>
        <v>5800</v>
      </c>
      <c r="AB456" s="42">
        <f t="shared" si="269"/>
        <v>43500</v>
      </c>
      <c r="AC456" s="42">
        <f t="shared" si="270"/>
        <v>513512.47499999998</v>
      </c>
      <c r="AD456" s="31">
        <f>VLOOKUP($A456,kurspris!$A$1:$Q$852,3,FALSE)</f>
        <v>0</v>
      </c>
      <c r="AE456" s="31">
        <f>VLOOKUP($A456,kurspris!$A$1:$Q$852,4,FALSE)</f>
        <v>0</v>
      </c>
      <c r="AF456" s="31">
        <f>VLOOKUP($A456,kurspris!$A$1:$Q$852,5,FALSE)</f>
        <v>0</v>
      </c>
      <c r="AG456" s="31">
        <f>VLOOKUP($A456,kurspris!$A$1:$Q$852,6,FALSE)</f>
        <v>0</v>
      </c>
      <c r="AH456" s="31">
        <f>VLOOKUP($A456,kurspris!$A$1:$Q$852,7,FALSE)</f>
        <v>0</v>
      </c>
      <c r="AI456" s="31">
        <f>VLOOKUP($A456,kurspris!$A$1:$Q$852,8,FALSE)</f>
        <v>0</v>
      </c>
      <c r="AJ456" s="31">
        <f>VLOOKUP($A456,kurspris!$A$1:$Q$852,9,FALSE)</f>
        <v>0.2</v>
      </c>
      <c r="AK456" s="31">
        <f>VLOOKUP($A456,kurspris!$A$1:$Q$852,10,FALSE)</f>
        <v>0</v>
      </c>
      <c r="AL456" s="31">
        <f>VLOOKUP($A456,kurspris!$A$1:$Q$852,11,FALSE)</f>
        <v>0</v>
      </c>
      <c r="AM456" s="31">
        <f>VLOOKUP($A456,kurspris!$A$1:$Q$852,12,FALSE)</f>
        <v>0</v>
      </c>
      <c r="AN456" s="31">
        <f>VLOOKUP($A456,kurspris!$A$1:$Q$852,13,FALSE)</f>
        <v>0</v>
      </c>
      <c r="AO456" s="31">
        <f>VLOOKUP($A456,kurspris!$A$1:$Q$852,14,FALSE)</f>
        <v>0.8</v>
      </c>
      <c r="AP456" s="59" t="s">
        <v>2216</v>
      </c>
      <c r="AR456" s="31">
        <f t="shared" si="271"/>
        <v>0</v>
      </c>
      <c r="AS456" s="237">
        <f t="shared" si="272"/>
        <v>0</v>
      </c>
      <c r="AT456" s="31">
        <f t="shared" si="273"/>
        <v>0</v>
      </c>
      <c r="AU456" s="237">
        <f t="shared" si="274"/>
        <v>0</v>
      </c>
      <c r="AV456" s="31">
        <f t="shared" si="275"/>
        <v>0</v>
      </c>
      <c r="AW456" s="31">
        <f t="shared" si="276"/>
        <v>0</v>
      </c>
      <c r="AX456" s="31">
        <f t="shared" si="277"/>
        <v>0</v>
      </c>
      <c r="AY456" s="237">
        <f t="shared" si="278"/>
        <v>0</v>
      </c>
      <c r="AZ456" s="214">
        <f t="shared" si="279"/>
        <v>0</v>
      </c>
      <c r="BA456" s="237">
        <f t="shared" si="280"/>
        <v>0</v>
      </c>
      <c r="BB456" s="31">
        <f t="shared" si="281"/>
        <v>0</v>
      </c>
      <c r="BC456" s="237">
        <f t="shared" si="282"/>
        <v>0</v>
      </c>
      <c r="BD456" s="31">
        <f t="shared" si="283"/>
        <v>1.5</v>
      </c>
      <c r="BE456" s="237">
        <f t="shared" si="284"/>
        <v>1.2750000000000001</v>
      </c>
      <c r="BF456" s="31">
        <f t="shared" si="285"/>
        <v>0</v>
      </c>
      <c r="BG456" s="237">
        <f t="shared" si="286"/>
        <v>0</v>
      </c>
      <c r="BH456" s="31">
        <f t="shared" si="287"/>
        <v>0</v>
      </c>
      <c r="BI456" s="237">
        <f t="shared" si="288"/>
        <v>0</v>
      </c>
      <c r="BJ456" s="31">
        <f t="shared" si="289"/>
        <v>0</v>
      </c>
      <c r="BK456" s="31">
        <f t="shared" si="290"/>
        <v>0</v>
      </c>
      <c r="BL456" s="237">
        <f t="shared" si="291"/>
        <v>0</v>
      </c>
      <c r="BM456" s="31">
        <f t="shared" si="292"/>
        <v>6</v>
      </c>
      <c r="BN456" s="237">
        <f t="shared" si="293"/>
        <v>5.1000000000000005</v>
      </c>
    </row>
    <row r="457" spans="1:66" x14ac:dyDescent="0.25">
      <c r="A457" s="31" t="s">
        <v>891</v>
      </c>
      <c r="B457" s="182" t="str">
        <f>VLOOKUP(A457,kurspris!$A$1:$B$894,2,FALSE)</f>
        <v>Kommunikation och undervisning</v>
      </c>
      <c r="D457" s="31" t="s">
        <v>85</v>
      </c>
      <c r="F457" s="59">
        <v>2019</v>
      </c>
      <c r="Q457" s="237">
        <v>5.5</v>
      </c>
      <c r="R457" s="40">
        <v>0.85</v>
      </c>
      <c r="S457" s="313">
        <f t="shared" si="267"/>
        <v>4.6749999999999998</v>
      </c>
      <c r="T457" s="31">
        <f>VLOOKUP(A457,'Ansvar kurs'!$A$1:$C$1027,2,FALSE)</f>
        <v>2180</v>
      </c>
      <c r="U457" s="31" t="str">
        <f>VLOOKUP(T457,Orgenheter!$A$1:$C$165,2,FALSE)</f>
        <v xml:space="preserve">Pedagogik                     </v>
      </c>
      <c r="V457" s="31" t="str">
        <f>VLOOKUP(T457,Orgenheter!$A$1:$C$165,3,FALSE)</f>
        <v>Sam</v>
      </c>
      <c r="W457" s="37" t="str">
        <f>VLOOKUP(D457,Program!$A$1:$B$34,2,FALSE)</f>
        <v>Studie- och yrkesvägledarprogram</v>
      </c>
      <c r="X457" s="42">
        <f>VLOOKUP(A457,kurspris!$A$1:$Q$815,15,FALSE)</f>
        <v>18405</v>
      </c>
      <c r="Y457" s="42">
        <f>VLOOKUP(A457,kurspris!$A$1:$Q$815,16,FALSE)</f>
        <v>15773</v>
      </c>
      <c r="Z457" s="42">
        <f t="shared" si="268"/>
        <v>174966.27499999999</v>
      </c>
      <c r="AA457" s="42">
        <f>VLOOKUP(A457,kurspris!$A$1:$Q$815,17,FALSE)</f>
        <v>5800</v>
      </c>
      <c r="AB457" s="42">
        <f t="shared" si="269"/>
        <v>31900</v>
      </c>
      <c r="AC457" s="42">
        <f t="shared" si="270"/>
        <v>206866.27499999999</v>
      </c>
      <c r="AD457" s="31">
        <f>VLOOKUP($A457,kurspris!$A$1:$Q$852,3,FALSE)</f>
        <v>0</v>
      </c>
      <c r="AE457" s="31">
        <f>VLOOKUP($A457,kurspris!$A$1:$Q$852,4,FALSE)</f>
        <v>0</v>
      </c>
      <c r="AF457" s="31">
        <f>VLOOKUP($A457,kurspris!$A$1:$Q$852,5,FALSE)</f>
        <v>0</v>
      </c>
      <c r="AG457" s="31">
        <f>VLOOKUP($A457,kurspris!$A$1:$Q$852,6,FALSE)</f>
        <v>0</v>
      </c>
      <c r="AH457" s="31">
        <f>VLOOKUP($A457,kurspris!$A$1:$Q$852,7,FALSE)</f>
        <v>0</v>
      </c>
      <c r="AI457" s="31">
        <f>VLOOKUP($A457,kurspris!$A$1:$Q$852,8,FALSE)</f>
        <v>0</v>
      </c>
      <c r="AJ457" s="31">
        <f>VLOOKUP($A457,kurspris!$A$1:$Q$852,9,FALSE)</f>
        <v>1</v>
      </c>
      <c r="AK457" s="31">
        <f>VLOOKUP($A457,kurspris!$A$1:$Q$852,10,FALSE)</f>
        <v>0</v>
      </c>
      <c r="AL457" s="31">
        <f>VLOOKUP($A457,kurspris!$A$1:$Q$852,11,FALSE)</f>
        <v>0</v>
      </c>
      <c r="AM457" s="31">
        <f>VLOOKUP($A457,kurspris!$A$1:$Q$852,12,FALSE)</f>
        <v>0</v>
      </c>
      <c r="AN457" s="31">
        <f>VLOOKUP($A457,kurspris!$A$1:$Q$852,13,FALSE)</f>
        <v>0</v>
      </c>
      <c r="AO457" s="31">
        <f>VLOOKUP($A457,kurspris!$A$1:$Q$852,14,FALSE)</f>
        <v>0</v>
      </c>
      <c r="AP457" s="59" t="s">
        <v>2216</v>
      </c>
      <c r="AR457" s="31">
        <f t="shared" si="271"/>
        <v>0</v>
      </c>
      <c r="AS457" s="237">
        <f t="shared" si="272"/>
        <v>0</v>
      </c>
      <c r="AT457" s="31">
        <f t="shared" si="273"/>
        <v>0</v>
      </c>
      <c r="AU457" s="237">
        <f t="shared" si="274"/>
        <v>0</v>
      </c>
      <c r="AV457" s="31">
        <f t="shared" si="275"/>
        <v>0</v>
      </c>
      <c r="AW457" s="31">
        <f t="shared" si="276"/>
        <v>0</v>
      </c>
      <c r="AX457" s="31">
        <f t="shared" si="277"/>
        <v>0</v>
      </c>
      <c r="AY457" s="237">
        <f t="shared" si="278"/>
        <v>0</v>
      </c>
      <c r="AZ457" s="214">
        <f t="shared" si="279"/>
        <v>0</v>
      </c>
      <c r="BA457" s="237">
        <f t="shared" si="280"/>
        <v>0</v>
      </c>
      <c r="BB457" s="31">
        <f t="shared" si="281"/>
        <v>0</v>
      </c>
      <c r="BC457" s="237">
        <f t="shared" si="282"/>
        <v>0</v>
      </c>
      <c r="BD457" s="31">
        <f t="shared" si="283"/>
        <v>5.5</v>
      </c>
      <c r="BE457" s="237">
        <f t="shared" si="284"/>
        <v>4.6749999999999998</v>
      </c>
      <c r="BF457" s="31">
        <f t="shared" si="285"/>
        <v>0</v>
      </c>
      <c r="BG457" s="237">
        <f t="shared" si="286"/>
        <v>0</v>
      </c>
      <c r="BH457" s="31">
        <f t="shared" si="287"/>
        <v>0</v>
      </c>
      <c r="BI457" s="237">
        <f t="shared" si="288"/>
        <v>0</v>
      </c>
      <c r="BJ457" s="31">
        <f t="shared" si="289"/>
        <v>0</v>
      </c>
      <c r="BK457" s="31">
        <f t="shared" si="290"/>
        <v>0</v>
      </c>
      <c r="BL457" s="237">
        <f t="shared" si="291"/>
        <v>0</v>
      </c>
      <c r="BM457" s="31">
        <f t="shared" si="292"/>
        <v>0</v>
      </c>
      <c r="BN457" s="237">
        <f t="shared" si="293"/>
        <v>0</v>
      </c>
    </row>
    <row r="458" spans="1:66" x14ac:dyDescent="0.25">
      <c r="A458" s="159" t="s">
        <v>933</v>
      </c>
      <c r="B458" s="182" t="str">
        <f>VLOOKUP(A458,kurspris!$A$1:$B$894,2,FALSE)</f>
        <v>Introduktion till studie- och yrkesvägledning</v>
      </c>
      <c r="C458" s="37"/>
      <c r="D458" s="31" t="s">
        <v>117</v>
      </c>
      <c r="F458" s="59">
        <v>2019</v>
      </c>
      <c r="Q458" s="237">
        <v>6.875</v>
      </c>
      <c r="R458" s="40">
        <v>0.8</v>
      </c>
      <c r="S458" s="313">
        <f t="shared" si="267"/>
        <v>5.5</v>
      </c>
      <c r="T458" s="31">
        <f>VLOOKUP(A458,'Ansvar kurs'!$A$1:$C$1027,2,FALSE)</f>
        <v>2193</v>
      </c>
      <c r="U458" s="31" t="str">
        <f>VLOOKUP(T458,Orgenheter!$A$1:$C$165,2,FALSE)</f>
        <v xml:space="preserve">TUV </v>
      </c>
      <c r="V458" s="31" t="str">
        <f>VLOOKUP(T458,Orgenheter!$A$1:$C$165,3,FALSE)</f>
        <v>Sam</v>
      </c>
      <c r="W458" s="37" t="str">
        <f>VLOOKUP(D458,Program!$A$1:$B$34,2,FALSE)</f>
        <v>Fristående och övriga kurser</v>
      </c>
      <c r="X458" s="42">
        <f>VLOOKUP(A458,kurspris!$A$1:$Q$815,15,FALSE)</f>
        <v>18405</v>
      </c>
      <c r="Y458" s="42">
        <f>VLOOKUP(A458,kurspris!$A$1:$Q$815,16,FALSE)</f>
        <v>15773</v>
      </c>
      <c r="Z458" s="42">
        <f t="shared" si="268"/>
        <v>213285.875</v>
      </c>
      <c r="AA458" s="42">
        <f>VLOOKUP(A458,kurspris!$A$1:$Q$815,17,FALSE)</f>
        <v>5800</v>
      </c>
      <c r="AB458" s="42">
        <f t="shared" si="269"/>
        <v>39875</v>
      </c>
      <c r="AC458" s="42">
        <f t="shared" si="270"/>
        <v>253160.875</v>
      </c>
      <c r="AD458" s="31">
        <f>VLOOKUP($A458,kurspris!$A$1:$Q$852,3,FALSE)</f>
        <v>0</v>
      </c>
      <c r="AE458" s="31">
        <f>VLOOKUP($A458,kurspris!$A$1:$Q$852,4,FALSE)</f>
        <v>0</v>
      </c>
      <c r="AF458" s="31">
        <f>VLOOKUP($A458,kurspris!$A$1:$Q$852,5,FALSE)</f>
        <v>0</v>
      </c>
      <c r="AG458" s="31">
        <f>VLOOKUP($A458,kurspris!$A$1:$Q$852,6,FALSE)</f>
        <v>0</v>
      </c>
      <c r="AH458" s="31">
        <f>VLOOKUP($A458,kurspris!$A$1:$Q$852,7,FALSE)</f>
        <v>0</v>
      </c>
      <c r="AI458" s="31">
        <f>VLOOKUP($A458,kurspris!$A$1:$Q$852,8,FALSE)</f>
        <v>0</v>
      </c>
      <c r="AJ458" s="31">
        <f>VLOOKUP($A458,kurspris!$A$1:$Q$852,9,FALSE)</f>
        <v>1</v>
      </c>
      <c r="AK458" s="31">
        <f>VLOOKUP($A458,kurspris!$A$1:$Q$852,10,FALSE)</f>
        <v>0</v>
      </c>
      <c r="AL458" s="31">
        <f>VLOOKUP($A458,kurspris!$A$1:$Q$852,11,FALSE)</f>
        <v>0</v>
      </c>
      <c r="AM458" s="31">
        <f>VLOOKUP($A458,kurspris!$A$1:$Q$852,12,FALSE)</f>
        <v>0</v>
      </c>
      <c r="AN458" s="31">
        <f>VLOOKUP($A458,kurspris!$A$1:$Q$852,13,FALSE)</f>
        <v>0</v>
      </c>
      <c r="AO458" s="31">
        <f>VLOOKUP($A458,kurspris!$A$1:$Q$852,14,FALSE)</f>
        <v>0</v>
      </c>
      <c r="AP458" s="59" t="s">
        <v>2216</v>
      </c>
      <c r="AQ458" s="59"/>
      <c r="AR458" s="31">
        <f t="shared" si="271"/>
        <v>0</v>
      </c>
      <c r="AS458" s="237">
        <f t="shared" si="272"/>
        <v>0</v>
      </c>
      <c r="AT458" s="31">
        <f t="shared" si="273"/>
        <v>0</v>
      </c>
      <c r="AU458" s="237">
        <f t="shared" si="274"/>
        <v>0</v>
      </c>
      <c r="AV458" s="31">
        <f t="shared" si="275"/>
        <v>0</v>
      </c>
      <c r="AW458" s="31">
        <f t="shared" si="276"/>
        <v>0</v>
      </c>
      <c r="AX458" s="31">
        <f t="shared" si="277"/>
        <v>0</v>
      </c>
      <c r="AY458" s="237">
        <f t="shared" si="278"/>
        <v>0</v>
      </c>
      <c r="AZ458" s="214">
        <f t="shared" si="279"/>
        <v>0</v>
      </c>
      <c r="BA458" s="237">
        <f t="shared" si="280"/>
        <v>0</v>
      </c>
      <c r="BB458" s="31">
        <f t="shared" si="281"/>
        <v>0</v>
      </c>
      <c r="BC458" s="237">
        <f t="shared" si="282"/>
        <v>0</v>
      </c>
      <c r="BD458" s="31">
        <f t="shared" si="283"/>
        <v>6.875</v>
      </c>
      <c r="BE458" s="237">
        <f t="shared" si="284"/>
        <v>5.5</v>
      </c>
      <c r="BF458" s="31">
        <f t="shared" si="285"/>
        <v>0</v>
      </c>
      <c r="BG458" s="237">
        <f t="shared" si="286"/>
        <v>0</v>
      </c>
      <c r="BH458" s="31">
        <f t="shared" si="287"/>
        <v>0</v>
      </c>
      <c r="BI458" s="237">
        <f t="shared" si="288"/>
        <v>0</v>
      </c>
      <c r="BJ458" s="31">
        <f t="shared" si="289"/>
        <v>0</v>
      </c>
      <c r="BK458" s="31">
        <f t="shared" si="290"/>
        <v>0</v>
      </c>
      <c r="BL458" s="237">
        <f t="shared" si="291"/>
        <v>0</v>
      </c>
      <c r="BM458" s="31">
        <f t="shared" si="292"/>
        <v>0</v>
      </c>
      <c r="BN458" s="237">
        <f t="shared" si="293"/>
        <v>0</v>
      </c>
    </row>
    <row r="459" spans="1:66" x14ac:dyDescent="0.25">
      <c r="A459" s="31" t="s">
        <v>934</v>
      </c>
      <c r="B459" s="182" t="str">
        <f>VLOOKUP(A459,kurspris!$A$1:$B$894,2,FALSE)</f>
        <v>Teorier, modeller och metoder för karriärvägledning</v>
      </c>
      <c r="D459" s="31" t="s">
        <v>117</v>
      </c>
      <c r="F459" s="59">
        <v>2019</v>
      </c>
      <c r="Q459" s="237">
        <v>4</v>
      </c>
      <c r="R459" s="40">
        <v>0.8</v>
      </c>
      <c r="S459" s="313">
        <f t="shared" si="267"/>
        <v>3.2</v>
      </c>
      <c r="T459" s="31">
        <f>VLOOKUP(A459,'Ansvar kurs'!$A$1:$C$1027,2,FALSE)</f>
        <v>2193</v>
      </c>
      <c r="U459" s="31" t="str">
        <f>VLOOKUP(T459,Orgenheter!$A$1:$C$165,2,FALSE)</f>
        <v xml:space="preserve">TUV </v>
      </c>
      <c r="V459" s="31" t="str">
        <f>VLOOKUP(T459,Orgenheter!$A$1:$C$165,3,FALSE)</f>
        <v>Sam</v>
      </c>
      <c r="W459" s="37" t="str">
        <f>VLOOKUP(D459,Program!$A$1:$B$34,2,FALSE)</f>
        <v>Fristående och övriga kurser</v>
      </c>
      <c r="X459" s="42">
        <f>VLOOKUP(A459,kurspris!$A$1:$Q$815,15,FALSE)</f>
        <v>18405</v>
      </c>
      <c r="Y459" s="42">
        <f>VLOOKUP(A459,kurspris!$A$1:$Q$815,16,FALSE)</f>
        <v>15773</v>
      </c>
      <c r="Z459" s="42">
        <f t="shared" si="268"/>
        <v>124093.6</v>
      </c>
      <c r="AA459" s="42">
        <f>VLOOKUP(A459,kurspris!$A$1:$Q$815,17,FALSE)</f>
        <v>5800</v>
      </c>
      <c r="AB459" s="42">
        <f t="shared" si="269"/>
        <v>23200</v>
      </c>
      <c r="AC459" s="42">
        <f t="shared" si="270"/>
        <v>147293.6</v>
      </c>
      <c r="AD459" s="31">
        <f>VLOOKUP($A459,kurspris!$A$1:$Q$852,3,FALSE)</f>
        <v>0</v>
      </c>
      <c r="AE459" s="31">
        <f>VLOOKUP($A459,kurspris!$A$1:$Q$852,4,FALSE)</f>
        <v>0</v>
      </c>
      <c r="AF459" s="31">
        <f>VLOOKUP($A459,kurspris!$A$1:$Q$852,5,FALSE)</f>
        <v>0</v>
      </c>
      <c r="AG459" s="31">
        <f>VLOOKUP($A459,kurspris!$A$1:$Q$852,6,FALSE)</f>
        <v>0</v>
      </c>
      <c r="AH459" s="31">
        <f>VLOOKUP($A459,kurspris!$A$1:$Q$852,7,FALSE)</f>
        <v>0</v>
      </c>
      <c r="AI459" s="31">
        <f>VLOOKUP($A459,kurspris!$A$1:$Q$852,8,FALSE)</f>
        <v>0</v>
      </c>
      <c r="AJ459" s="31">
        <f>VLOOKUP($A459,kurspris!$A$1:$Q$852,9,FALSE)</f>
        <v>1</v>
      </c>
      <c r="AK459" s="31">
        <f>VLOOKUP($A459,kurspris!$A$1:$Q$852,10,FALSE)</f>
        <v>0</v>
      </c>
      <c r="AL459" s="31">
        <f>VLOOKUP($A459,kurspris!$A$1:$Q$852,11,FALSE)</f>
        <v>0</v>
      </c>
      <c r="AM459" s="31">
        <f>VLOOKUP($A459,kurspris!$A$1:$Q$852,12,FALSE)</f>
        <v>0</v>
      </c>
      <c r="AN459" s="31">
        <f>VLOOKUP($A459,kurspris!$A$1:$Q$852,13,FALSE)</f>
        <v>0</v>
      </c>
      <c r="AO459" s="31">
        <f>VLOOKUP($A459,kurspris!$A$1:$Q$852,14,FALSE)</f>
        <v>0</v>
      </c>
      <c r="AP459" s="59" t="s">
        <v>2216</v>
      </c>
      <c r="AR459" s="31">
        <f t="shared" si="271"/>
        <v>0</v>
      </c>
      <c r="AS459" s="237">
        <f t="shared" si="272"/>
        <v>0</v>
      </c>
      <c r="AT459" s="31">
        <f t="shared" si="273"/>
        <v>0</v>
      </c>
      <c r="AU459" s="237">
        <f t="shared" si="274"/>
        <v>0</v>
      </c>
      <c r="AV459" s="31">
        <f t="shared" si="275"/>
        <v>0</v>
      </c>
      <c r="AW459" s="31">
        <f t="shared" si="276"/>
        <v>0</v>
      </c>
      <c r="AX459" s="31">
        <f t="shared" si="277"/>
        <v>0</v>
      </c>
      <c r="AY459" s="237">
        <f t="shared" si="278"/>
        <v>0</v>
      </c>
      <c r="AZ459" s="214">
        <f t="shared" si="279"/>
        <v>0</v>
      </c>
      <c r="BA459" s="237">
        <f t="shared" si="280"/>
        <v>0</v>
      </c>
      <c r="BB459" s="31">
        <f t="shared" si="281"/>
        <v>0</v>
      </c>
      <c r="BC459" s="237">
        <f t="shared" si="282"/>
        <v>0</v>
      </c>
      <c r="BD459" s="31">
        <f t="shared" si="283"/>
        <v>4</v>
      </c>
      <c r="BE459" s="237">
        <f t="shared" si="284"/>
        <v>3.2</v>
      </c>
      <c r="BF459" s="31">
        <f t="shared" si="285"/>
        <v>0</v>
      </c>
      <c r="BG459" s="237">
        <f t="shared" si="286"/>
        <v>0</v>
      </c>
      <c r="BH459" s="31">
        <f t="shared" si="287"/>
        <v>0</v>
      </c>
      <c r="BI459" s="237">
        <f t="shared" si="288"/>
        <v>0</v>
      </c>
      <c r="BJ459" s="31">
        <f t="shared" si="289"/>
        <v>0</v>
      </c>
      <c r="BK459" s="31">
        <f t="shared" si="290"/>
        <v>0</v>
      </c>
      <c r="BL459" s="237">
        <f t="shared" si="291"/>
        <v>0</v>
      </c>
      <c r="BM459" s="31">
        <f t="shared" si="292"/>
        <v>0</v>
      </c>
      <c r="BN459" s="237">
        <f t="shared" si="293"/>
        <v>0</v>
      </c>
    </row>
    <row r="460" spans="1:66" x14ac:dyDescent="0.25">
      <c r="A460" s="31" t="s">
        <v>935</v>
      </c>
      <c r="B460" s="182" t="str">
        <f>VLOOKUP(A460,kurspris!$A$1:$B$894,2,FALSE)</f>
        <v>Samhällsvetenskap</v>
      </c>
      <c r="D460" s="31" t="s">
        <v>117</v>
      </c>
      <c r="F460" s="59">
        <v>2019</v>
      </c>
      <c r="Q460" s="237">
        <v>4.8333300000000001</v>
      </c>
      <c r="R460" s="40">
        <v>0.8</v>
      </c>
      <c r="S460" s="313">
        <f t="shared" si="267"/>
        <v>3.8666640000000001</v>
      </c>
      <c r="T460" s="31">
        <f>VLOOKUP(A460,'Ansvar kurs'!$A$1:$C$1027,2,FALSE)</f>
        <v>2193</v>
      </c>
      <c r="U460" s="31" t="str">
        <f>VLOOKUP(T460,Orgenheter!$A$1:$C$165,2,FALSE)</f>
        <v xml:space="preserve">TUV </v>
      </c>
      <c r="V460" s="31" t="str">
        <f>VLOOKUP(T460,Orgenheter!$A$1:$C$165,3,FALSE)</f>
        <v>Sam</v>
      </c>
      <c r="W460" s="37" t="str">
        <f>VLOOKUP(D460,Program!$A$1:$B$34,2,FALSE)</f>
        <v>Fristående och övriga kurser</v>
      </c>
      <c r="X460" s="42">
        <f>VLOOKUP(A460,kurspris!$A$1:$Q$815,15,FALSE)</f>
        <v>18405</v>
      </c>
      <c r="Y460" s="42">
        <f>VLOOKUP(A460,kurspris!$A$1:$Q$815,16,FALSE)</f>
        <v>15773</v>
      </c>
      <c r="Z460" s="42">
        <f t="shared" si="268"/>
        <v>149946.329922</v>
      </c>
      <c r="AA460" s="42">
        <f>VLOOKUP(A460,kurspris!$A$1:$Q$815,17,FALSE)</f>
        <v>5800</v>
      </c>
      <c r="AB460" s="42">
        <f t="shared" si="269"/>
        <v>28033.314000000002</v>
      </c>
      <c r="AC460" s="42">
        <f t="shared" si="270"/>
        <v>177979.64392200002</v>
      </c>
      <c r="AD460" s="31">
        <f>VLOOKUP($A460,kurspris!$A$1:$Q$852,3,FALSE)</f>
        <v>0</v>
      </c>
      <c r="AE460" s="31">
        <f>VLOOKUP($A460,kurspris!$A$1:$Q$852,4,FALSE)</f>
        <v>0</v>
      </c>
      <c r="AF460" s="31">
        <f>VLOOKUP($A460,kurspris!$A$1:$Q$852,5,FALSE)</f>
        <v>0</v>
      </c>
      <c r="AG460" s="31">
        <f>VLOOKUP($A460,kurspris!$A$1:$Q$852,6,FALSE)</f>
        <v>0</v>
      </c>
      <c r="AH460" s="31">
        <f>VLOOKUP($A460,kurspris!$A$1:$Q$852,7,FALSE)</f>
        <v>0</v>
      </c>
      <c r="AI460" s="31">
        <f>VLOOKUP($A460,kurspris!$A$1:$Q$852,8,FALSE)</f>
        <v>0</v>
      </c>
      <c r="AJ460" s="31">
        <f>VLOOKUP($A460,kurspris!$A$1:$Q$852,9,FALSE)</f>
        <v>1</v>
      </c>
      <c r="AK460" s="31">
        <f>VLOOKUP($A460,kurspris!$A$1:$Q$852,10,FALSE)</f>
        <v>0</v>
      </c>
      <c r="AL460" s="31">
        <f>VLOOKUP($A460,kurspris!$A$1:$Q$852,11,FALSE)</f>
        <v>0</v>
      </c>
      <c r="AM460" s="31">
        <f>VLOOKUP($A460,kurspris!$A$1:$Q$852,12,FALSE)</f>
        <v>0</v>
      </c>
      <c r="AN460" s="31">
        <f>VLOOKUP($A460,kurspris!$A$1:$Q$852,13,FALSE)</f>
        <v>0</v>
      </c>
      <c r="AO460" s="31">
        <f>VLOOKUP($A460,kurspris!$A$1:$Q$852,14,FALSE)</f>
        <v>0</v>
      </c>
      <c r="AP460" s="59" t="s">
        <v>2216</v>
      </c>
      <c r="AR460" s="31">
        <f t="shared" si="271"/>
        <v>0</v>
      </c>
      <c r="AS460" s="237">
        <f t="shared" si="272"/>
        <v>0</v>
      </c>
      <c r="AT460" s="31">
        <f t="shared" si="273"/>
        <v>0</v>
      </c>
      <c r="AU460" s="237">
        <f t="shared" si="274"/>
        <v>0</v>
      </c>
      <c r="AV460" s="31">
        <f t="shared" si="275"/>
        <v>0</v>
      </c>
      <c r="AW460" s="31">
        <f t="shared" si="276"/>
        <v>0</v>
      </c>
      <c r="AX460" s="31">
        <f t="shared" si="277"/>
        <v>0</v>
      </c>
      <c r="AY460" s="237">
        <f t="shared" si="278"/>
        <v>0</v>
      </c>
      <c r="AZ460" s="214">
        <f t="shared" si="279"/>
        <v>0</v>
      </c>
      <c r="BA460" s="237">
        <f t="shared" si="280"/>
        <v>0</v>
      </c>
      <c r="BB460" s="31">
        <f t="shared" si="281"/>
        <v>0</v>
      </c>
      <c r="BC460" s="237">
        <f t="shared" si="282"/>
        <v>0</v>
      </c>
      <c r="BD460" s="31">
        <f t="shared" si="283"/>
        <v>4.8333300000000001</v>
      </c>
      <c r="BE460" s="237">
        <f t="shared" si="284"/>
        <v>3.8666640000000001</v>
      </c>
      <c r="BF460" s="31">
        <f t="shared" si="285"/>
        <v>0</v>
      </c>
      <c r="BG460" s="237">
        <f t="shared" si="286"/>
        <v>0</v>
      </c>
      <c r="BH460" s="31">
        <f t="shared" si="287"/>
        <v>0</v>
      </c>
      <c r="BI460" s="237">
        <f t="shared" si="288"/>
        <v>0</v>
      </c>
      <c r="BJ460" s="31">
        <f t="shared" si="289"/>
        <v>0</v>
      </c>
      <c r="BK460" s="31">
        <f t="shared" si="290"/>
        <v>0</v>
      </c>
      <c r="BL460" s="237">
        <f t="shared" si="291"/>
        <v>0</v>
      </c>
      <c r="BM460" s="31">
        <f t="shared" si="292"/>
        <v>0</v>
      </c>
      <c r="BN460" s="237">
        <f t="shared" si="293"/>
        <v>0</v>
      </c>
    </row>
    <row r="461" spans="1:66" x14ac:dyDescent="0.25">
      <c r="A461" s="159" t="s">
        <v>978</v>
      </c>
      <c r="B461" s="182" t="str">
        <f>VLOOKUP(A461,kurspris!$A$1:$B$894,2,FALSE)</f>
        <v>Arbetsliv och lärande</v>
      </c>
      <c r="C461" s="37"/>
      <c r="D461" s="31" t="s">
        <v>85</v>
      </c>
      <c r="F461" s="59">
        <v>2019</v>
      </c>
      <c r="Q461" s="237">
        <v>3.875</v>
      </c>
      <c r="R461" s="40">
        <v>0.85</v>
      </c>
      <c r="S461" s="313">
        <f t="shared" si="267"/>
        <v>3.2937499999999997</v>
      </c>
      <c r="T461" s="31">
        <f>VLOOKUP(A461,'Ansvar kurs'!$A$1:$C$1027,2,FALSE)</f>
        <v>2180</v>
      </c>
      <c r="U461" s="31" t="str">
        <f>VLOOKUP(T461,Orgenheter!$A$1:$C$165,2,FALSE)</f>
        <v xml:space="preserve">Pedagogik                     </v>
      </c>
      <c r="V461" s="31" t="str">
        <f>VLOOKUP(T461,Orgenheter!$A$1:$C$165,3,FALSE)</f>
        <v>Sam</v>
      </c>
      <c r="W461" s="37" t="str">
        <f>VLOOKUP(D461,Program!$A$1:$B$34,2,FALSE)</f>
        <v>Studie- och yrkesvägledarprogram</v>
      </c>
      <c r="X461" s="42">
        <f>VLOOKUP(A461,kurspris!$A$1:$Q$815,15,FALSE)</f>
        <v>18405</v>
      </c>
      <c r="Y461" s="42">
        <f>VLOOKUP(A461,kurspris!$A$1:$Q$815,16,FALSE)</f>
        <v>15773</v>
      </c>
      <c r="Z461" s="42">
        <f t="shared" si="268"/>
        <v>123271.69375000001</v>
      </c>
      <c r="AA461" s="42">
        <f>VLOOKUP(A461,kurspris!$A$1:$Q$815,17,FALSE)</f>
        <v>5800</v>
      </c>
      <c r="AB461" s="42">
        <f t="shared" si="269"/>
        <v>22475</v>
      </c>
      <c r="AC461" s="42">
        <f t="shared" si="270"/>
        <v>145746.69375000001</v>
      </c>
      <c r="AD461" s="31">
        <f>VLOOKUP($A461,kurspris!$A$1:$Q$852,3,FALSE)</f>
        <v>0</v>
      </c>
      <c r="AE461" s="31">
        <f>VLOOKUP($A461,kurspris!$A$1:$Q$852,4,FALSE)</f>
        <v>0</v>
      </c>
      <c r="AF461" s="31">
        <f>VLOOKUP($A461,kurspris!$A$1:$Q$852,5,FALSE)</f>
        <v>0</v>
      </c>
      <c r="AG461" s="31">
        <f>VLOOKUP($A461,kurspris!$A$1:$Q$852,6,FALSE)</f>
        <v>0</v>
      </c>
      <c r="AH461" s="31">
        <f>VLOOKUP($A461,kurspris!$A$1:$Q$852,7,FALSE)</f>
        <v>0</v>
      </c>
      <c r="AI461" s="31">
        <f>VLOOKUP($A461,kurspris!$A$1:$Q$852,8,FALSE)</f>
        <v>0</v>
      </c>
      <c r="AJ461" s="31">
        <f>VLOOKUP($A461,kurspris!$A$1:$Q$852,9,FALSE)</f>
        <v>1</v>
      </c>
      <c r="AK461" s="31">
        <f>VLOOKUP($A461,kurspris!$A$1:$Q$852,10,FALSE)</f>
        <v>0</v>
      </c>
      <c r="AL461" s="31">
        <f>VLOOKUP($A461,kurspris!$A$1:$Q$852,11,FALSE)</f>
        <v>0</v>
      </c>
      <c r="AM461" s="31">
        <f>VLOOKUP($A461,kurspris!$A$1:$Q$852,12,FALSE)</f>
        <v>0</v>
      </c>
      <c r="AN461" s="31">
        <f>VLOOKUP($A461,kurspris!$A$1:$Q$852,13,FALSE)</f>
        <v>0</v>
      </c>
      <c r="AO461" s="31">
        <f>VLOOKUP($A461,kurspris!$A$1:$Q$852,14,FALSE)</f>
        <v>0</v>
      </c>
      <c r="AP461" s="59" t="s">
        <v>2216</v>
      </c>
      <c r="AQ461" s="59"/>
      <c r="AR461" s="31">
        <f t="shared" si="271"/>
        <v>0</v>
      </c>
      <c r="AS461" s="237">
        <f t="shared" si="272"/>
        <v>0</v>
      </c>
      <c r="AT461" s="31">
        <f t="shared" si="273"/>
        <v>0</v>
      </c>
      <c r="AU461" s="237">
        <f t="shared" si="274"/>
        <v>0</v>
      </c>
      <c r="AV461" s="31">
        <f t="shared" si="275"/>
        <v>0</v>
      </c>
      <c r="AW461" s="31">
        <f t="shared" si="276"/>
        <v>0</v>
      </c>
      <c r="AX461" s="31">
        <f t="shared" si="277"/>
        <v>0</v>
      </c>
      <c r="AY461" s="237">
        <f t="shared" si="278"/>
        <v>0</v>
      </c>
      <c r="AZ461" s="214">
        <f t="shared" si="279"/>
        <v>0</v>
      </c>
      <c r="BA461" s="237">
        <f t="shared" si="280"/>
        <v>0</v>
      </c>
      <c r="BB461" s="31">
        <f t="shared" si="281"/>
        <v>0</v>
      </c>
      <c r="BC461" s="237">
        <f t="shared" si="282"/>
        <v>0</v>
      </c>
      <c r="BD461" s="31">
        <f t="shared" si="283"/>
        <v>3.875</v>
      </c>
      <c r="BE461" s="237">
        <f t="shared" si="284"/>
        <v>3.2937499999999997</v>
      </c>
      <c r="BF461" s="31">
        <f t="shared" si="285"/>
        <v>0</v>
      </c>
      <c r="BG461" s="237">
        <f t="shared" si="286"/>
        <v>0</v>
      </c>
      <c r="BH461" s="31">
        <f t="shared" si="287"/>
        <v>0</v>
      </c>
      <c r="BI461" s="237">
        <f t="shared" si="288"/>
        <v>0</v>
      </c>
      <c r="BJ461" s="31">
        <f t="shared" si="289"/>
        <v>0</v>
      </c>
      <c r="BK461" s="31">
        <f t="shared" si="290"/>
        <v>0</v>
      </c>
      <c r="BL461" s="237">
        <f t="shared" si="291"/>
        <v>0</v>
      </c>
      <c r="BM461" s="31">
        <f t="shared" si="292"/>
        <v>0</v>
      </c>
      <c r="BN461" s="237">
        <f t="shared" si="293"/>
        <v>0</v>
      </c>
    </row>
    <row r="462" spans="1:66" x14ac:dyDescent="0.25">
      <c r="A462" s="31" t="s">
        <v>1343</v>
      </c>
      <c r="B462" s="182" t="str">
        <f>VLOOKUP(A462,kurspris!$A$1:$B$894,2,FALSE)</f>
        <v>Teorier, modeller och metoder för vägledning och dess praktik</v>
      </c>
      <c r="D462" s="31" t="s">
        <v>85</v>
      </c>
      <c r="F462" s="59">
        <v>2019</v>
      </c>
      <c r="Q462" s="237">
        <v>13</v>
      </c>
      <c r="R462" s="40">
        <v>0.85</v>
      </c>
      <c r="S462" s="313">
        <f t="shared" si="267"/>
        <v>11.049999999999999</v>
      </c>
      <c r="T462" s="31">
        <f>VLOOKUP(A462,'Ansvar kurs'!$A$1:$C$1027,2,FALSE)</f>
        <v>2193</v>
      </c>
      <c r="U462" s="31" t="str">
        <f>VLOOKUP(T462,Orgenheter!$A$1:$C$165,2,FALSE)</f>
        <v xml:space="preserve">TUV </v>
      </c>
      <c r="V462" s="31" t="str">
        <f>VLOOKUP(T462,Orgenheter!$A$1:$C$165,3,FALSE)</f>
        <v>Sam</v>
      </c>
      <c r="W462" s="37" t="str">
        <f>VLOOKUP(D462,Program!$A$1:$B$34,2,FALSE)</f>
        <v>Studie- och yrkesvägledarprogram</v>
      </c>
      <c r="X462" s="42">
        <f>VLOOKUP(A462,kurspris!$A$1:$Q$815,15,FALSE)</f>
        <v>27258.3</v>
      </c>
      <c r="Y462" s="42">
        <f>VLOOKUP(A462,kurspris!$A$1:$Q$815,16,FALSE)</f>
        <v>25776.95</v>
      </c>
      <c r="Z462" s="42">
        <f t="shared" si="268"/>
        <v>639193.19750000001</v>
      </c>
      <c r="AA462" s="42">
        <f>VLOOKUP(A462,kurspris!$A$1:$Q$815,17,FALSE)</f>
        <v>5800</v>
      </c>
      <c r="AB462" s="42">
        <f t="shared" si="269"/>
        <v>75400</v>
      </c>
      <c r="AC462" s="42">
        <f t="shared" si="270"/>
        <v>714593.19750000001</v>
      </c>
      <c r="AD462" s="31">
        <f>VLOOKUP($A462,kurspris!$A$1:$Q$852,3,FALSE)</f>
        <v>0</v>
      </c>
      <c r="AE462" s="31">
        <f>VLOOKUP($A462,kurspris!$A$1:$Q$852,4,FALSE)</f>
        <v>0</v>
      </c>
      <c r="AF462" s="31">
        <f>VLOOKUP($A462,kurspris!$A$1:$Q$852,5,FALSE)</f>
        <v>0</v>
      </c>
      <c r="AG462" s="31">
        <f>VLOOKUP($A462,kurspris!$A$1:$Q$852,6,FALSE)</f>
        <v>0</v>
      </c>
      <c r="AH462" s="31">
        <f>VLOOKUP($A462,kurspris!$A$1:$Q$852,7,FALSE)</f>
        <v>0</v>
      </c>
      <c r="AI462" s="31">
        <f>VLOOKUP($A462,kurspris!$A$1:$Q$852,8,FALSE)</f>
        <v>0</v>
      </c>
      <c r="AJ462" s="31">
        <f>VLOOKUP($A462,kurspris!$A$1:$Q$852,9,FALSE)</f>
        <v>0.55000000000000004</v>
      </c>
      <c r="AK462" s="31">
        <f>VLOOKUP($A462,kurspris!$A$1:$Q$852,10,FALSE)</f>
        <v>0</v>
      </c>
      <c r="AL462" s="31">
        <f>VLOOKUP($A462,kurspris!$A$1:$Q$852,11,FALSE)</f>
        <v>0</v>
      </c>
      <c r="AM462" s="31">
        <f>VLOOKUP($A462,kurspris!$A$1:$Q$852,12,FALSE)</f>
        <v>0</v>
      </c>
      <c r="AN462" s="31">
        <f>VLOOKUP($A462,kurspris!$A$1:$Q$852,13,FALSE)</f>
        <v>0</v>
      </c>
      <c r="AO462" s="31">
        <f>VLOOKUP($A462,kurspris!$A$1:$Q$852,14,FALSE)</f>
        <v>0.45</v>
      </c>
      <c r="AP462" s="59" t="s">
        <v>2216</v>
      </c>
      <c r="AR462" s="31">
        <f t="shared" si="271"/>
        <v>0</v>
      </c>
      <c r="AS462" s="237">
        <f t="shared" si="272"/>
        <v>0</v>
      </c>
      <c r="AT462" s="31">
        <f t="shared" si="273"/>
        <v>0</v>
      </c>
      <c r="AU462" s="237">
        <f t="shared" si="274"/>
        <v>0</v>
      </c>
      <c r="AV462" s="31">
        <f t="shared" si="275"/>
        <v>0</v>
      </c>
      <c r="AW462" s="31">
        <f t="shared" si="276"/>
        <v>0</v>
      </c>
      <c r="AX462" s="31">
        <f t="shared" si="277"/>
        <v>0</v>
      </c>
      <c r="AY462" s="237">
        <f t="shared" si="278"/>
        <v>0</v>
      </c>
      <c r="AZ462" s="214">
        <f t="shared" si="279"/>
        <v>0</v>
      </c>
      <c r="BA462" s="237">
        <f t="shared" si="280"/>
        <v>0</v>
      </c>
      <c r="BB462" s="31">
        <f t="shared" si="281"/>
        <v>0</v>
      </c>
      <c r="BC462" s="237">
        <f t="shared" si="282"/>
        <v>0</v>
      </c>
      <c r="BD462" s="31">
        <f t="shared" si="283"/>
        <v>7.15</v>
      </c>
      <c r="BE462" s="237">
        <f t="shared" si="284"/>
        <v>6.0774999999999997</v>
      </c>
      <c r="BF462" s="31">
        <f t="shared" si="285"/>
        <v>0</v>
      </c>
      <c r="BG462" s="237">
        <f t="shared" si="286"/>
        <v>0</v>
      </c>
      <c r="BH462" s="31">
        <f t="shared" si="287"/>
        <v>0</v>
      </c>
      <c r="BI462" s="237">
        <f t="shared" si="288"/>
        <v>0</v>
      </c>
      <c r="BJ462" s="31">
        <f t="shared" si="289"/>
        <v>0</v>
      </c>
      <c r="BK462" s="31">
        <f t="shared" si="290"/>
        <v>0</v>
      </c>
      <c r="BL462" s="237">
        <f t="shared" si="291"/>
        <v>0</v>
      </c>
      <c r="BM462" s="31">
        <f t="shared" si="292"/>
        <v>5.8500000000000005</v>
      </c>
      <c r="BN462" s="237">
        <f t="shared" si="293"/>
        <v>4.9724999999999993</v>
      </c>
    </row>
    <row r="463" spans="1:66" x14ac:dyDescent="0.25">
      <c r="A463" s="31" t="s">
        <v>1604</v>
      </c>
      <c r="B463" s="182" t="str">
        <f>VLOOKUP(A463,kurspris!$A$1:$B$894,2,FALSE)</f>
        <v>Beteendevetenskapliga grunder</v>
      </c>
      <c r="D463" s="31" t="s">
        <v>85</v>
      </c>
      <c r="F463" s="59">
        <v>2019</v>
      </c>
      <c r="Q463" s="237">
        <v>6.75</v>
      </c>
      <c r="R463" s="40">
        <v>0.85</v>
      </c>
      <c r="S463" s="313">
        <f t="shared" si="267"/>
        <v>5.7374999999999998</v>
      </c>
      <c r="T463" s="31">
        <f>VLOOKUP(A463,'Ansvar kurs'!$A$1:$C$1027,2,FALSE)</f>
        <v>2193</v>
      </c>
      <c r="U463" s="31" t="str">
        <f>VLOOKUP(T463,Orgenheter!$A$1:$C$165,2,FALSE)</f>
        <v xml:space="preserve">TUV </v>
      </c>
      <c r="V463" s="31" t="str">
        <f>VLOOKUP(T463,Orgenheter!$A$1:$C$165,3,FALSE)</f>
        <v>Sam</v>
      </c>
      <c r="W463" s="37" t="str">
        <f>VLOOKUP(D463,Program!$A$1:$B$34,2,FALSE)</f>
        <v>Studie- och yrkesvägledarprogram</v>
      </c>
      <c r="X463" s="42">
        <f>VLOOKUP(A463,kurspris!$A$1:$Q$815,15,FALSE)</f>
        <v>18405</v>
      </c>
      <c r="Y463" s="42">
        <f>VLOOKUP(A463,kurspris!$A$1:$Q$815,16,FALSE)</f>
        <v>15773</v>
      </c>
      <c r="Z463" s="42">
        <f t="shared" si="268"/>
        <v>214731.33749999999</v>
      </c>
      <c r="AA463" s="42">
        <f>VLOOKUP(A463,kurspris!$A$1:$Q$815,17,FALSE)</f>
        <v>5800</v>
      </c>
      <c r="AB463" s="42">
        <f t="shared" si="269"/>
        <v>39150</v>
      </c>
      <c r="AC463" s="42">
        <f t="shared" si="270"/>
        <v>253881.33749999999</v>
      </c>
      <c r="AD463" s="31">
        <f>VLOOKUP($A463,kurspris!$A$1:$Q$852,3,FALSE)</f>
        <v>0</v>
      </c>
      <c r="AE463" s="31">
        <f>VLOOKUP($A463,kurspris!$A$1:$Q$852,4,FALSE)</f>
        <v>0</v>
      </c>
      <c r="AF463" s="31">
        <f>VLOOKUP($A463,kurspris!$A$1:$Q$852,5,FALSE)</f>
        <v>0</v>
      </c>
      <c r="AG463" s="31">
        <f>VLOOKUP($A463,kurspris!$A$1:$Q$852,6,FALSE)</f>
        <v>0</v>
      </c>
      <c r="AH463" s="31">
        <f>VLOOKUP($A463,kurspris!$A$1:$Q$852,7,FALSE)</f>
        <v>0</v>
      </c>
      <c r="AI463" s="31">
        <f>VLOOKUP($A463,kurspris!$A$1:$Q$852,8,FALSE)</f>
        <v>0</v>
      </c>
      <c r="AJ463" s="31">
        <f>VLOOKUP($A463,kurspris!$A$1:$Q$852,9,FALSE)</f>
        <v>1</v>
      </c>
      <c r="AK463" s="31">
        <f>VLOOKUP($A463,kurspris!$A$1:$Q$852,10,FALSE)</f>
        <v>0</v>
      </c>
      <c r="AL463" s="31">
        <f>VLOOKUP($A463,kurspris!$A$1:$Q$852,11,FALSE)</f>
        <v>0</v>
      </c>
      <c r="AM463" s="31">
        <f>VLOOKUP($A463,kurspris!$A$1:$Q$852,12,FALSE)</f>
        <v>0</v>
      </c>
      <c r="AN463" s="31">
        <f>VLOOKUP($A463,kurspris!$A$1:$Q$852,13,FALSE)</f>
        <v>0</v>
      </c>
      <c r="AO463" s="31">
        <f>VLOOKUP($A463,kurspris!$A$1:$Q$852,14,FALSE)</f>
        <v>0</v>
      </c>
      <c r="AP463" s="59" t="s">
        <v>2216</v>
      </c>
      <c r="AR463" s="31">
        <f t="shared" si="271"/>
        <v>0</v>
      </c>
      <c r="AS463" s="237">
        <f t="shared" si="272"/>
        <v>0</v>
      </c>
      <c r="AT463" s="31">
        <f t="shared" si="273"/>
        <v>0</v>
      </c>
      <c r="AU463" s="237">
        <f t="shared" si="274"/>
        <v>0</v>
      </c>
      <c r="AV463" s="31">
        <f t="shared" si="275"/>
        <v>0</v>
      </c>
      <c r="AW463" s="31">
        <f t="shared" si="276"/>
        <v>0</v>
      </c>
      <c r="AX463" s="31">
        <f t="shared" si="277"/>
        <v>0</v>
      </c>
      <c r="AY463" s="237">
        <f t="shared" si="278"/>
        <v>0</v>
      </c>
      <c r="AZ463" s="214">
        <f t="shared" si="279"/>
        <v>0</v>
      </c>
      <c r="BA463" s="237">
        <f t="shared" si="280"/>
        <v>0</v>
      </c>
      <c r="BB463" s="31">
        <f t="shared" si="281"/>
        <v>0</v>
      </c>
      <c r="BC463" s="237">
        <f t="shared" si="282"/>
        <v>0</v>
      </c>
      <c r="BD463" s="31">
        <f t="shared" si="283"/>
        <v>6.75</v>
      </c>
      <c r="BE463" s="237">
        <f t="shared" si="284"/>
        <v>5.7374999999999998</v>
      </c>
      <c r="BF463" s="31">
        <f t="shared" si="285"/>
        <v>0</v>
      </c>
      <c r="BG463" s="237">
        <f t="shared" si="286"/>
        <v>0</v>
      </c>
      <c r="BH463" s="31">
        <f t="shared" si="287"/>
        <v>0</v>
      </c>
      <c r="BI463" s="237">
        <f t="shared" si="288"/>
        <v>0</v>
      </c>
      <c r="BJ463" s="31">
        <f t="shared" si="289"/>
        <v>0</v>
      </c>
      <c r="BK463" s="31">
        <f t="shared" si="290"/>
        <v>0</v>
      </c>
      <c r="BL463" s="237">
        <f t="shared" si="291"/>
        <v>0</v>
      </c>
      <c r="BM463" s="31">
        <f t="shared" si="292"/>
        <v>0</v>
      </c>
      <c r="BN463" s="237">
        <f t="shared" si="293"/>
        <v>0</v>
      </c>
    </row>
    <row r="464" spans="1:66" x14ac:dyDescent="0.25">
      <c r="A464" s="159" t="s">
        <v>568</v>
      </c>
      <c r="B464" s="182" t="str">
        <f>VLOOKUP(A464,kurspris!$A$1:$B$894,2,FALSE)</f>
        <v>Slöjd, textil 2a, distans</v>
      </c>
      <c r="C464" s="37"/>
      <c r="D464" s="31" t="s">
        <v>117</v>
      </c>
      <c r="F464" s="59">
        <v>2019</v>
      </c>
      <c r="Q464" s="237">
        <v>5.5</v>
      </c>
      <c r="R464" s="40">
        <v>0.8</v>
      </c>
      <c r="S464" s="313">
        <f t="shared" si="267"/>
        <v>4.4000000000000004</v>
      </c>
      <c r="T464" s="31">
        <f>VLOOKUP(A464,'Ansvar kurs'!$A$1:$C$1027,2,FALSE)</f>
        <v>1650</v>
      </c>
      <c r="U464" s="31" t="str">
        <f>VLOOKUP(T464,Orgenheter!$A$1:$C$165,2,FALSE)</f>
        <v xml:space="preserve">Estetiska ämnen               </v>
      </c>
      <c r="V464" s="31" t="str">
        <f>VLOOKUP(T464,Orgenheter!$A$1:$C$165,3,FALSE)</f>
        <v>Hum</v>
      </c>
      <c r="W464" s="37" t="str">
        <f>VLOOKUP(D464,Program!$A$1:$B$34,2,FALSE)</f>
        <v>Fristående och övriga kurser</v>
      </c>
      <c r="X464" s="42">
        <f>VLOOKUP(A464,kurspris!$A$1:$Q$815,15,FALSE)</f>
        <v>19473</v>
      </c>
      <c r="Y464" s="42">
        <f>VLOOKUP(A464,kurspris!$A$1:$Q$815,16,FALSE)</f>
        <v>34806</v>
      </c>
      <c r="Z464" s="42">
        <f t="shared" si="268"/>
        <v>260247.90000000002</v>
      </c>
      <c r="AA464" s="42">
        <f>VLOOKUP(A464,kurspris!$A$1:$Q$815,17,FALSE)</f>
        <v>21800</v>
      </c>
      <c r="AB464" s="42">
        <f t="shared" si="269"/>
        <v>119900</v>
      </c>
      <c r="AC464" s="42">
        <f t="shared" si="270"/>
        <v>380147.9</v>
      </c>
      <c r="AD464" s="31">
        <f>VLOOKUP($A464,kurspris!$A$1:$Q$852,3,FALSE)</f>
        <v>0</v>
      </c>
      <c r="AE464" s="31">
        <f>VLOOKUP($A464,kurspris!$A$1:$Q$852,4,FALSE)</f>
        <v>0</v>
      </c>
      <c r="AF464" s="31">
        <f>VLOOKUP($A464,kurspris!$A$1:$Q$852,5,FALSE)</f>
        <v>0</v>
      </c>
      <c r="AG464" s="31">
        <f>VLOOKUP($A464,kurspris!$A$1:$Q$852,6,FALSE)</f>
        <v>0</v>
      </c>
      <c r="AH464" s="31">
        <f>VLOOKUP($A464,kurspris!$A$1:$Q$852,7,FALSE)</f>
        <v>0</v>
      </c>
      <c r="AI464" s="31">
        <f>VLOOKUP($A464,kurspris!$A$1:$Q$852,8,FALSE)</f>
        <v>0</v>
      </c>
      <c r="AJ464" s="31">
        <f>VLOOKUP($A464,kurspris!$A$1:$Q$852,9,FALSE)</f>
        <v>0</v>
      </c>
      <c r="AK464" s="31">
        <f>VLOOKUP($A464,kurspris!$A$1:$Q$852,10,FALSE)</f>
        <v>1</v>
      </c>
      <c r="AL464" s="31">
        <f>VLOOKUP($A464,kurspris!$A$1:$Q$852,11,FALSE)</f>
        <v>0</v>
      </c>
      <c r="AM464" s="31">
        <f>VLOOKUP($A464,kurspris!$A$1:$Q$852,12,FALSE)</f>
        <v>0</v>
      </c>
      <c r="AN464" s="31">
        <f>VLOOKUP($A464,kurspris!$A$1:$Q$852,13,FALSE)</f>
        <v>0</v>
      </c>
      <c r="AO464" s="31">
        <f>VLOOKUP($A464,kurspris!$A$1:$Q$852,14,FALSE)</f>
        <v>0</v>
      </c>
      <c r="AP464" s="59" t="s">
        <v>2216</v>
      </c>
      <c r="AR464" s="31">
        <f t="shared" si="271"/>
        <v>0</v>
      </c>
      <c r="AS464" s="237">
        <f t="shared" si="272"/>
        <v>0</v>
      </c>
      <c r="AT464" s="31">
        <f t="shared" si="273"/>
        <v>0</v>
      </c>
      <c r="AU464" s="237">
        <f t="shared" si="274"/>
        <v>0</v>
      </c>
      <c r="AV464" s="31">
        <f t="shared" si="275"/>
        <v>0</v>
      </c>
      <c r="AW464" s="31">
        <f t="shared" si="276"/>
        <v>0</v>
      </c>
      <c r="AX464" s="31">
        <f t="shared" si="277"/>
        <v>0</v>
      </c>
      <c r="AY464" s="237">
        <f t="shared" si="278"/>
        <v>0</v>
      </c>
      <c r="AZ464" s="214">
        <f t="shared" si="279"/>
        <v>0</v>
      </c>
      <c r="BA464" s="237">
        <f t="shared" si="280"/>
        <v>0</v>
      </c>
      <c r="BB464" s="31">
        <f t="shared" si="281"/>
        <v>0</v>
      </c>
      <c r="BC464" s="237">
        <f t="shared" si="282"/>
        <v>0</v>
      </c>
      <c r="BD464" s="31">
        <f t="shared" si="283"/>
        <v>0</v>
      </c>
      <c r="BE464" s="237">
        <f t="shared" si="284"/>
        <v>0</v>
      </c>
      <c r="BF464" s="31">
        <f t="shared" si="285"/>
        <v>5.5</v>
      </c>
      <c r="BG464" s="237">
        <f t="shared" si="286"/>
        <v>4.4000000000000004</v>
      </c>
      <c r="BH464" s="31">
        <f t="shared" si="287"/>
        <v>0</v>
      </c>
      <c r="BI464" s="237">
        <f t="shared" si="288"/>
        <v>0</v>
      </c>
      <c r="BJ464" s="31">
        <f t="shared" si="289"/>
        <v>0</v>
      </c>
      <c r="BK464" s="31">
        <f t="shared" si="290"/>
        <v>0</v>
      </c>
      <c r="BL464" s="237">
        <f t="shared" si="291"/>
        <v>0</v>
      </c>
      <c r="BM464" s="31">
        <f t="shared" si="292"/>
        <v>0</v>
      </c>
      <c r="BN464" s="237">
        <f t="shared" si="293"/>
        <v>0</v>
      </c>
    </row>
    <row r="465" spans="1:66" x14ac:dyDescent="0.25">
      <c r="A465" s="159" t="s">
        <v>522</v>
      </c>
      <c r="B465" s="182" t="str">
        <f>VLOOKUP(A465,kurspris!$A$1:$B$894,2,FALSE)</f>
        <v>Slöjd textil 1 30 hp</v>
      </c>
      <c r="C465" s="37"/>
      <c r="D465" s="31" t="s">
        <v>482</v>
      </c>
      <c r="F465" s="59">
        <v>2019</v>
      </c>
      <c r="Q465" s="237">
        <v>1</v>
      </c>
      <c r="R465" s="40">
        <v>0.85</v>
      </c>
      <c r="S465" s="313">
        <f t="shared" si="267"/>
        <v>0.85</v>
      </c>
      <c r="T465" s="31">
        <f>VLOOKUP(A465,'Ansvar kurs'!$A$1:$C$1027,2,FALSE)</f>
        <v>1650</v>
      </c>
      <c r="U465" s="31" t="str">
        <f>VLOOKUP(T465,Orgenheter!$A$1:$C$165,2,FALSE)</f>
        <v xml:space="preserve">Estetiska ämnen               </v>
      </c>
      <c r="V465" s="31" t="str">
        <f>VLOOKUP(T465,Orgenheter!$A$1:$C$165,3,FALSE)</f>
        <v>Hum</v>
      </c>
      <c r="W465" s="37" t="str">
        <f>VLOOKUP(D465,Program!$A$1:$B$34,2,FALSE)</f>
        <v>Ämneslärarprogrammet - åk 7-9</v>
      </c>
      <c r="X465" s="42">
        <f>VLOOKUP(A465,kurspris!$A$1:$Q$815,15,FALSE)</f>
        <v>19473</v>
      </c>
      <c r="Y465" s="42">
        <f>VLOOKUP(A465,kurspris!$A$1:$Q$815,16,FALSE)</f>
        <v>34806</v>
      </c>
      <c r="Z465" s="42">
        <f t="shared" si="268"/>
        <v>49058.1</v>
      </c>
      <c r="AA465" s="42">
        <f>VLOOKUP(A465,kurspris!$A$1:$Q$815,17,FALSE)</f>
        <v>21800</v>
      </c>
      <c r="AB465" s="42">
        <f t="shared" si="269"/>
        <v>21800</v>
      </c>
      <c r="AC465" s="42">
        <f t="shared" si="270"/>
        <v>70858.100000000006</v>
      </c>
      <c r="AD465" s="31">
        <f>VLOOKUP($A465,kurspris!$A$1:$Q$852,3,FALSE)</f>
        <v>0</v>
      </c>
      <c r="AE465" s="31">
        <f>VLOOKUP($A465,kurspris!$A$1:$Q$852,4,FALSE)</f>
        <v>0</v>
      </c>
      <c r="AF465" s="31">
        <f>VLOOKUP($A465,kurspris!$A$1:$Q$852,5,FALSE)</f>
        <v>0</v>
      </c>
      <c r="AG465" s="31">
        <f>VLOOKUP($A465,kurspris!$A$1:$Q$852,6,FALSE)</f>
        <v>0</v>
      </c>
      <c r="AH465" s="31">
        <f>VLOOKUP($A465,kurspris!$A$1:$Q$852,7,FALSE)</f>
        <v>0</v>
      </c>
      <c r="AI465" s="31">
        <f>VLOOKUP($A465,kurspris!$A$1:$Q$852,8,FALSE)</f>
        <v>0</v>
      </c>
      <c r="AJ465" s="31">
        <f>VLOOKUP($A465,kurspris!$A$1:$Q$852,9,FALSE)</f>
        <v>0</v>
      </c>
      <c r="AK465" s="31">
        <f>VLOOKUP($A465,kurspris!$A$1:$Q$852,10,FALSE)</f>
        <v>1</v>
      </c>
      <c r="AL465" s="31">
        <f>VLOOKUP($A465,kurspris!$A$1:$Q$852,11,FALSE)</f>
        <v>0</v>
      </c>
      <c r="AM465" s="31">
        <f>VLOOKUP($A465,kurspris!$A$1:$Q$852,12,FALSE)</f>
        <v>0</v>
      </c>
      <c r="AN465" s="31">
        <f>VLOOKUP($A465,kurspris!$A$1:$Q$852,13,FALSE)</f>
        <v>0</v>
      </c>
      <c r="AO465" s="31">
        <f>VLOOKUP($A465,kurspris!$A$1:$Q$852,14,FALSE)</f>
        <v>0</v>
      </c>
      <c r="AP465" s="59" t="s">
        <v>2216</v>
      </c>
      <c r="AR465" s="31">
        <f t="shared" si="271"/>
        <v>0</v>
      </c>
      <c r="AS465" s="237">
        <f t="shared" si="272"/>
        <v>0</v>
      </c>
      <c r="AT465" s="31">
        <f t="shared" si="273"/>
        <v>0</v>
      </c>
      <c r="AU465" s="237">
        <f t="shared" si="274"/>
        <v>0</v>
      </c>
      <c r="AV465" s="31">
        <f t="shared" si="275"/>
        <v>0</v>
      </c>
      <c r="AW465" s="31">
        <f t="shared" si="276"/>
        <v>0</v>
      </c>
      <c r="AX465" s="31">
        <f t="shared" si="277"/>
        <v>0</v>
      </c>
      <c r="AY465" s="237">
        <f t="shared" si="278"/>
        <v>0</v>
      </c>
      <c r="AZ465" s="214">
        <f t="shared" si="279"/>
        <v>0</v>
      </c>
      <c r="BA465" s="237">
        <f t="shared" si="280"/>
        <v>0</v>
      </c>
      <c r="BB465" s="31">
        <f t="shared" si="281"/>
        <v>0</v>
      </c>
      <c r="BC465" s="237">
        <f t="shared" si="282"/>
        <v>0</v>
      </c>
      <c r="BD465" s="31">
        <f t="shared" si="283"/>
        <v>0</v>
      </c>
      <c r="BE465" s="237">
        <f t="shared" si="284"/>
        <v>0</v>
      </c>
      <c r="BF465" s="31">
        <f t="shared" si="285"/>
        <v>1</v>
      </c>
      <c r="BG465" s="237">
        <f t="shared" si="286"/>
        <v>0.85</v>
      </c>
      <c r="BH465" s="31">
        <f t="shared" si="287"/>
        <v>0</v>
      </c>
      <c r="BI465" s="237">
        <f t="shared" si="288"/>
        <v>0</v>
      </c>
      <c r="BJ465" s="31">
        <f t="shared" si="289"/>
        <v>0</v>
      </c>
      <c r="BK465" s="31">
        <f t="shared" si="290"/>
        <v>0</v>
      </c>
      <c r="BL465" s="237">
        <f t="shared" si="291"/>
        <v>0</v>
      </c>
      <c r="BM465" s="31">
        <f t="shared" si="292"/>
        <v>0</v>
      </c>
      <c r="BN465" s="237">
        <f t="shared" si="293"/>
        <v>0</v>
      </c>
    </row>
    <row r="466" spans="1:66" x14ac:dyDescent="0.25">
      <c r="A466" s="159" t="s">
        <v>649</v>
      </c>
      <c r="B466" s="182" t="str">
        <f>VLOOKUP(A466,kurspris!$A$1:$B$894,2,FALSE)</f>
        <v>Slöjd, textil 2b, distans</v>
      </c>
      <c r="C466" s="37"/>
      <c r="D466" s="31" t="s">
        <v>117</v>
      </c>
      <c r="F466" s="59">
        <v>2019</v>
      </c>
      <c r="Q466" s="237">
        <v>2.75</v>
      </c>
      <c r="R466" s="40">
        <v>0.8</v>
      </c>
      <c r="S466" s="313">
        <f t="shared" si="267"/>
        <v>2.2000000000000002</v>
      </c>
      <c r="T466" s="31">
        <f>VLOOKUP(A466,'Ansvar kurs'!$A$1:$C$1027,2,FALSE)</f>
        <v>1650</v>
      </c>
      <c r="U466" s="31" t="str">
        <f>VLOOKUP(T466,Orgenheter!$A$1:$C$165,2,FALSE)</f>
        <v xml:space="preserve">Estetiska ämnen               </v>
      </c>
      <c r="V466" s="31" t="str">
        <f>VLOOKUP(T466,Orgenheter!$A$1:$C$165,3,FALSE)</f>
        <v>Hum</v>
      </c>
      <c r="W466" s="37" t="str">
        <f>VLOOKUP(D466,Program!$A$1:$B$34,2,FALSE)</f>
        <v>Fristående och övriga kurser</v>
      </c>
      <c r="X466" s="42">
        <f>VLOOKUP(A466,kurspris!$A$1:$Q$815,15,FALSE)</f>
        <v>19473</v>
      </c>
      <c r="Y466" s="42">
        <f>VLOOKUP(A466,kurspris!$A$1:$Q$815,16,FALSE)</f>
        <v>34806</v>
      </c>
      <c r="Z466" s="42">
        <f t="shared" si="268"/>
        <v>130123.95000000001</v>
      </c>
      <c r="AA466" s="42">
        <f>VLOOKUP(A466,kurspris!$A$1:$Q$815,17,FALSE)</f>
        <v>21800</v>
      </c>
      <c r="AB466" s="42">
        <f t="shared" si="269"/>
        <v>59950</v>
      </c>
      <c r="AC466" s="42">
        <f t="shared" si="270"/>
        <v>190073.95</v>
      </c>
      <c r="AD466" s="31">
        <f>VLOOKUP($A466,kurspris!$A$1:$Q$852,3,FALSE)</f>
        <v>0</v>
      </c>
      <c r="AE466" s="31">
        <f>VLOOKUP($A466,kurspris!$A$1:$Q$852,4,FALSE)</f>
        <v>0</v>
      </c>
      <c r="AF466" s="31">
        <f>VLOOKUP($A466,kurspris!$A$1:$Q$852,5,FALSE)</f>
        <v>0</v>
      </c>
      <c r="AG466" s="31">
        <f>VLOOKUP($A466,kurspris!$A$1:$Q$852,6,FALSE)</f>
        <v>0</v>
      </c>
      <c r="AH466" s="31">
        <f>VLOOKUP($A466,kurspris!$A$1:$Q$852,7,FALSE)</f>
        <v>0</v>
      </c>
      <c r="AI466" s="31">
        <f>VLOOKUP($A466,kurspris!$A$1:$Q$852,8,FALSE)</f>
        <v>0</v>
      </c>
      <c r="AJ466" s="31">
        <f>VLOOKUP($A466,kurspris!$A$1:$Q$852,9,FALSE)</f>
        <v>0</v>
      </c>
      <c r="AK466" s="31">
        <f>VLOOKUP($A466,kurspris!$A$1:$Q$852,10,FALSE)</f>
        <v>1</v>
      </c>
      <c r="AL466" s="31">
        <f>VLOOKUP($A466,kurspris!$A$1:$Q$852,11,FALSE)</f>
        <v>0</v>
      </c>
      <c r="AM466" s="31">
        <f>VLOOKUP($A466,kurspris!$A$1:$Q$852,12,FALSE)</f>
        <v>0</v>
      </c>
      <c r="AN466" s="31">
        <f>VLOOKUP($A466,kurspris!$A$1:$Q$852,13,FALSE)</f>
        <v>0</v>
      </c>
      <c r="AO466" s="31">
        <f>VLOOKUP($A466,kurspris!$A$1:$Q$852,14,FALSE)</f>
        <v>0</v>
      </c>
      <c r="AP466" s="59" t="s">
        <v>2216</v>
      </c>
      <c r="AR466" s="31">
        <f t="shared" si="271"/>
        <v>0</v>
      </c>
      <c r="AS466" s="237">
        <f t="shared" si="272"/>
        <v>0</v>
      </c>
      <c r="AT466" s="31">
        <f t="shared" si="273"/>
        <v>0</v>
      </c>
      <c r="AU466" s="237">
        <f t="shared" si="274"/>
        <v>0</v>
      </c>
      <c r="AV466" s="31">
        <f t="shared" si="275"/>
        <v>0</v>
      </c>
      <c r="AW466" s="31">
        <f t="shared" si="276"/>
        <v>0</v>
      </c>
      <c r="AX466" s="31">
        <f t="shared" si="277"/>
        <v>0</v>
      </c>
      <c r="AY466" s="237">
        <f t="shared" si="278"/>
        <v>0</v>
      </c>
      <c r="AZ466" s="214">
        <f t="shared" si="279"/>
        <v>0</v>
      </c>
      <c r="BA466" s="237">
        <f t="shared" si="280"/>
        <v>0</v>
      </c>
      <c r="BB466" s="31">
        <f t="shared" si="281"/>
        <v>0</v>
      </c>
      <c r="BC466" s="237">
        <f t="shared" si="282"/>
        <v>0</v>
      </c>
      <c r="BD466" s="31">
        <f t="shared" si="283"/>
        <v>0</v>
      </c>
      <c r="BE466" s="237">
        <f t="shared" si="284"/>
        <v>0</v>
      </c>
      <c r="BF466" s="31">
        <f t="shared" si="285"/>
        <v>2.75</v>
      </c>
      <c r="BG466" s="237">
        <f t="shared" si="286"/>
        <v>2.2000000000000002</v>
      </c>
      <c r="BH466" s="31">
        <f t="shared" si="287"/>
        <v>0</v>
      </c>
      <c r="BI466" s="237">
        <f t="shared" si="288"/>
        <v>0</v>
      </c>
      <c r="BJ466" s="31">
        <f t="shared" si="289"/>
        <v>0</v>
      </c>
      <c r="BK466" s="31">
        <f t="shared" si="290"/>
        <v>0</v>
      </c>
      <c r="BL466" s="237">
        <f t="shared" si="291"/>
        <v>0</v>
      </c>
      <c r="BM466" s="31">
        <f t="shared" si="292"/>
        <v>0</v>
      </c>
      <c r="BN466" s="237">
        <f t="shared" si="293"/>
        <v>0</v>
      </c>
    </row>
    <row r="467" spans="1:66" x14ac:dyDescent="0.25">
      <c r="A467" s="159" t="s">
        <v>1125</v>
      </c>
      <c r="B467" s="182" t="str">
        <f>VLOOKUP(A467,kurspris!$A$1:$B$894,2,FALSE)</f>
        <v>Slöjd textil 1 30 hp, fristående</v>
      </c>
      <c r="C467" s="37"/>
      <c r="D467" s="31" t="s">
        <v>117</v>
      </c>
      <c r="F467" s="59">
        <v>2019</v>
      </c>
      <c r="Q467" s="237">
        <v>1</v>
      </c>
      <c r="R467" s="40">
        <v>0.8</v>
      </c>
      <c r="S467" s="313">
        <f t="shared" si="267"/>
        <v>0.8</v>
      </c>
      <c r="T467" s="31">
        <f>VLOOKUP(A467,'Ansvar kurs'!$A$1:$C$1027,2,FALSE)</f>
        <v>1650</v>
      </c>
      <c r="U467" s="31" t="str">
        <f>VLOOKUP(T467,Orgenheter!$A$1:$C$165,2,FALSE)</f>
        <v xml:space="preserve">Estetiska ämnen               </v>
      </c>
      <c r="V467" s="31" t="str">
        <f>VLOOKUP(T467,Orgenheter!$A$1:$C$165,3,FALSE)</f>
        <v>Hum</v>
      </c>
      <c r="W467" s="37" t="str">
        <f>VLOOKUP(D467,Program!$A$1:$B$34,2,FALSE)</f>
        <v>Fristående och övriga kurser</v>
      </c>
      <c r="X467" s="42">
        <f>VLOOKUP(A467,kurspris!$A$1:$Q$815,15,FALSE)</f>
        <v>19473</v>
      </c>
      <c r="Y467" s="42">
        <f>VLOOKUP(A467,kurspris!$A$1:$Q$815,16,FALSE)</f>
        <v>34806</v>
      </c>
      <c r="Z467" s="42">
        <f t="shared" si="268"/>
        <v>47317.8</v>
      </c>
      <c r="AA467" s="42">
        <f>VLOOKUP(A467,kurspris!$A$1:$Q$815,17,FALSE)</f>
        <v>21800</v>
      </c>
      <c r="AB467" s="42">
        <f t="shared" si="269"/>
        <v>21800</v>
      </c>
      <c r="AC467" s="42">
        <f t="shared" si="270"/>
        <v>69117.8</v>
      </c>
      <c r="AD467" s="31">
        <f>VLOOKUP($A467,kurspris!$A$1:$Q$852,3,FALSE)</f>
        <v>0</v>
      </c>
      <c r="AE467" s="31">
        <f>VLOOKUP($A467,kurspris!$A$1:$Q$852,4,FALSE)</f>
        <v>0</v>
      </c>
      <c r="AF467" s="31">
        <f>VLOOKUP($A467,kurspris!$A$1:$Q$852,5,FALSE)</f>
        <v>0</v>
      </c>
      <c r="AG467" s="31">
        <f>VLOOKUP($A467,kurspris!$A$1:$Q$852,6,FALSE)</f>
        <v>0</v>
      </c>
      <c r="AH467" s="31">
        <f>VLOOKUP($A467,kurspris!$A$1:$Q$852,7,FALSE)</f>
        <v>0</v>
      </c>
      <c r="AI467" s="31">
        <f>VLOOKUP($A467,kurspris!$A$1:$Q$852,8,FALSE)</f>
        <v>0</v>
      </c>
      <c r="AJ467" s="31">
        <f>VLOOKUP($A467,kurspris!$A$1:$Q$852,9,FALSE)</f>
        <v>0</v>
      </c>
      <c r="AK467" s="31">
        <f>VLOOKUP($A467,kurspris!$A$1:$Q$852,10,FALSE)</f>
        <v>1</v>
      </c>
      <c r="AL467" s="31">
        <f>VLOOKUP($A467,kurspris!$A$1:$Q$852,11,FALSE)</f>
        <v>0</v>
      </c>
      <c r="AM467" s="31">
        <f>VLOOKUP($A467,kurspris!$A$1:$Q$852,12,FALSE)</f>
        <v>0</v>
      </c>
      <c r="AN467" s="31">
        <f>VLOOKUP($A467,kurspris!$A$1:$Q$852,13,FALSE)</f>
        <v>0</v>
      </c>
      <c r="AO467" s="31">
        <f>VLOOKUP($A467,kurspris!$A$1:$Q$852,14,FALSE)</f>
        <v>0</v>
      </c>
      <c r="AP467" s="59" t="s">
        <v>2216</v>
      </c>
      <c r="AR467" s="31">
        <f t="shared" si="271"/>
        <v>0</v>
      </c>
      <c r="AS467" s="237">
        <f t="shared" si="272"/>
        <v>0</v>
      </c>
      <c r="AT467" s="31">
        <f t="shared" si="273"/>
        <v>0</v>
      </c>
      <c r="AU467" s="237">
        <f t="shared" si="274"/>
        <v>0</v>
      </c>
      <c r="AV467" s="31">
        <f t="shared" si="275"/>
        <v>0</v>
      </c>
      <c r="AW467" s="31">
        <f t="shared" si="276"/>
        <v>0</v>
      </c>
      <c r="AX467" s="31">
        <f t="shared" si="277"/>
        <v>0</v>
      </c>
      <c r="AY467" s="237">
        <f t="shared" si="278"/>
        <v>0</v>
      </c>
      <c r="AZ467" s="214">
        <f t="shared" si="279"/>
        <v>0</v>
      </c>
      <c r="BA467" s="237">
        <f t="shared" si="280"/>
        <v>0</v>
      </c>
      <c r="BB467" s="31">
        <f t="shared" si="281"/>
        <v>0</v>
      </c>
      <c r="BC467" s="237">
        <f t="shared" si="282"/>
        <v>0</v>
      </c>
      <c r="BD467" s="31">
        <f t="shared" si="283"/>
        <v>0</v>
      </c>
      <c r="BE467" s="237">
        <f t="shared" si="284"/>
        <v>0</v>
      </c>
      <c r="BF467" s="31">
        <f t="shared" si="285"/>
        <v>1</v>
      </c>
      <c r="BG467" s="237">
        <f t="shared" si="286"/>
        <v>0.8</v>
      </c>
      <c r="BH467" s="31">
        <f t="shared" si="287"/>
        <v>0</v>
      </c>
      <c r="BI467" s="237">
        <f t="shared" si="288"/>
        <v>0</v>
      </c>
      <c r="BJ467" s="31">
        <f t="shared" si="289"/>
        <v>0</v>
      </c>
      <c r="BK467" s="31">
        <f t="shared" si="290"/>
        <v>0</v>
      </c>
      <c r="BL467" s="237">
        <f t="shared" si="291"/>
        <v>0</v>
      </c>
      <c r="BM467" s="31">
        <f t="shared" si="292"/>
        <v>0</v>
      </c>
      <c r="BN467" s="237">
        <f t="shared" si="293"/>
        <v>0</v>
      </c>
    </row>
    <row r="468" spans="1:66" x14ac:dyDescent="0.25">
      <c r="A468" s="159" t="s">
        <v>2127</v>
      </c>
      <c r="B468" s="182" t="str">
        <f>VLOOKUP(A468,kurspris!$A$1:$B$894,2,FALSE)</f>
        <v>Textila uttryck</v>
      </c>
      <c r="C468" s="37"/>
      <c r="D468" s="31" t="s">
        <v>117</v>
      </c>
      <c r="F468" s="59">
        <v>2019</v>
      </c>
      <c r="Q468" s="237">
        <v>6.75</v>
      </c>
      <c r="R468" s="40">
        <v>0.8</v>
      </c>
      <c r="S468" s="313">
        <f t="shared" si="267"/>
        <v>5.4</v>
      </c>
      <c r="T468" s="31">
        <f>VLOOKUP(A468,'Ansvar kurs'!$A$1:$C$1027,2,FALSE)</f>
        <v>1650</v>
      </c>
      <c r="U468" s="31" t="str">
        <f>VLOOKUP(T468,Orgenheter!$A$1:$C$165,2,FALSE)</f>
        <v xml:space="preserve">Estetiska ämnen               </v>
      </c>
      <c r="V468" s="31" t="str">
        <f>VLOOKUP(T468,Orgenheter!$A$1:$C$165,3,FALSE)</f>
        <v>Hum</v>
      </c>
      <c r="W468" s="37" t="str">
        <f>VLOOKUP(D468,Program!$A$1:$B$34,2,FALSE)</f>
        <v>Fristående och övriga kurser</v>
      </c>
      <c r="X468" s="42">
        <f>VLOOKUP(A468,kurspris!$A$1:$Q$815,15,FALSE)</f>
        <v>19473</v>
      </c>
      <c r="Y468" s="42">
        <f>VLOOKUP(A468,kurspris!$A$1:$Q$815,16,FALSE)</f>
        <v>34806</v>
      </c>
      <c r="Z468" s="42">
        <f t="shared" si="268"/>
        <v>319395.15000000002</v>
      </c>
      <c r="AA468" s="42">
        <f>VLOOKUP(A468,kurspris!$A$1:$Q$815,17,FALSE)</f>
        <v>21800</v>
      </c>
      <c r="AB468" s="42">
        <f t="shared" si="269"/>
        <v>147150</v>
      </c>
      <c r="AC468" s="42">
        <f t="shared" si="270"/>
        <v>466545.15</v>
      </c>
      <c r="AD468" s="31">
        <f>VLOOKUP($A468,kurspris!$A$1:$Q$852,3,FALSE)</f>
        <v>0</v>
      </c>
      <c r="AE468" s="31">
        <f>VLOOKUP($A468,kurspris!$A$1:$Q$852,4,FALSE)</f>
        <v>0</v>
      </c>
      <c r="AF468" s="31">
        <f>VLOOKUP($A468,kurspris!$A$1:$Q$852,5,FALSE)</f>
        <v>0</v>
      </c>
      <c r="AG468" s="31">
        <f>VLOOKUP($A468,kurspris!$A$1:$Q$852,6,FALSE)</f>
        <v>0</v>
      </c>
      <c r="AH468" s="31">
        <f>VLOOKUP($A468,kurspris!$A$1:$Q$852,7,FALSE)</f>
        <v>0</v>
      </c>
      <c r="AI468" s="31">
        <f>VLOOKUP($A468,kurspris!$A$1:$Q$852,8,FALSE)</f>
        <v>0</v>
      </c>
      <c r="AJ468" s="31">
        <f>VLOOKUP($A468,kurspris!$A$1:$Q$852,9,FALSE)</f>
        <v>0</v>
      </c>
      <c r="AK468" s="31">
        <f>VLOOKUP($A468,kurspris!$A$1:$Q$852,10,FALSE)</f>
        <v>1</v>
      </c>
      <c r="AL468" s="31">
        <f>VLOOKUP($A468,kurspris!$A$1:$Q$852,11,FALSE)</f>
        <v>0</v>
      </c>
      <c r="AM468" s="31">
        <f>VLOOKUP($A468,kurspris!$A$1:$Q$852,12,FALSE)</f>
        <v>0</v>
      </c>
      <c r="AN468" s="31">
        <f>VLOOKUP($A468,kurspris!$A$1:$Q$852,13,FALSE)</f>
        <v>0</v>
      </c>
      <c r="AO468" s="31">
        <f>VLOOKUP($A468,kurspris!$A$1:$Q$852,14,FALSE)</f>
        <v>0</v>
      </c>
      <c r="AP468" s="59" t="s">
        <v>2216</v>
      </c>
      <c r="AR468" s="31">
        <f t="shared" si="271"/>
        <v>0</v>
      </c>
      <c r="AS468" s="237">
        <f t="shared" si="272"/>
        <v>0</v>
      </c>
      <c r="AT468" s="31">
        <f t="shared" si="273"/>
        <v>0</v>
      </c>
      <c r="AU468" s="237">
        <f t="shared" si="274"/>
        <v>0</v>
      </c>
      <c r="AV468" s="31">
        <f t="shared" si="275"/>
        <v>0</v>
      </c>
      <c r="AW468" s="31">
        <f t="shared" si="276"/>
        <v>0</v>
      </c>
      <c r="AX468" s="31">
        <f t="shared" si="277"/>
        <v>0</v>
      </c>
      <c r="AY468" s="237">
        <f t="shared" si="278"/>
        <v>0</v>
      </c>
      <c r="AZ468" s="214">
        <f t="shared" si="279"/>
        <v>0</v>
      </c>
      <c r="BA468" s="237">
        <f t="shared" si="280"/>
        <v>0</v>
      </c>
      <c r="BB468" s="31">
        <f t="shared" si="281"/>
        <v>0</v>
      </c>
      <c r="BC468" s="237">
        <f t="shared" si="282"/>
        <v>0</v>
      </c>
      <c r="BD468" s="31">
        <f t="shared" si="283"/>
        <v>0</v>
      </c>
      <c r="BE468" s="237">
        <f t="shared" si="284"/>
        <v>0</v>
      </c>
      <c r="BF468" s="31">
        <f t="shared" si="285"/>
        <v>6.75</v>
      </c>
      <c r="BG468" s="237">
        <f t="shared" si="286"/>
        <v>5.4</v>
      </c>
      <c r="BH468" s="31">
        <f t="shared" si="287"/>
        <v>0</v>
      </c>
      <c r="BI468" s="237">
        <f t="shared" si="288"/>
        <v>0</v>
      </c>
      <c r="BJ468" s="31">
        <f t="shared" si="289"/>
        <v>0</v>
      </c>
      <c r="BK468" s="31">
        <f t="shared" si="290"/>
        <v>0</v>
      </c>
      <c r="BL468" s="237">
        <f t="shared" si="291"/>
        <v>0</v>
      </c>
      <c r="BM468" s="31">
        <f t="shared" si="292"/>
        <v>0</v>
      </c>
      <c r="BN468" s="237">
        <f t="shared" si="293"/>
        <v>0</v>
      </c>
    </row>
    <row r="469" spans="1:66" x14ac:dyDescent="0.25">
      <c r="A469" s="31" t="s">
        <v>1750</v>
      </c>
      <c r="B469" s="182" t="str">
        <f>VLOOKUP(A469,kurspris!$A$1:$B$894,2,FALSE)</f>
        <v>Slöjd 1, textil</v>
      </c>
      <c r="D469" s="31" t="s">
        <v>117</v>
      </c>
      <c r="F469" s="59">
        <v>2019</v>
      </c>
      <c r="Q469" s="237">
        <v>16.75</v>
      </c>
      <c r="R469" s="40">
        <v>0.8</v>
      </c>
      <c r="S469" s="313">
        <f t="shared" si="267"/>
        <v>13.4</v>
      </c>
      <c r="T469" s="31">
        <f>VLOOKUP(A469,'Ansvar kurs'!$A$1:$C$1027,2,FALSE)</f>
        <v>1650</v>
      </c>
      <c r="U469" s="31" t="str">
        <f>VLOOKUP(T469,Orgenheter!$A$1:$C$165,2,FALSE)</f>
        <v xml:space="preserve">Estetiska ämnen               </v>
      </c>
      <c r="V469" s="31" t="str">
        <f>VLOOKUP(T469,Orgenheter!$A$1:$C$165,3,FALSE)</f>
        <v>Hum</v>
      </c>
      <c r="W469" s="37" t="str">
        <f>VLOOKUP(D469,Program!$A$1:$B$34,2,FALSE)</f>
        <v>Fristående och övriga kurser</v>
      </c>
      <c r="X469" s="42">
        <f>VLOOKUP(A469,kurspris!$A$1:$Q$815,15,FALSE)</f>
        <v>19473</v>
      </c>
      <c r="Y469" s="42">
        <f>VLOOKUP(A469,kurspris!$A$1:$Q$815,16,FALSE)</f>
        <v>34806</v>
      </c>
      <c r="Z469" s="42">
        <f t="shared" si="268"/>
        <v>792573.15</v>
      </c>
      <c r="AA469" s="42">
        <f>VLOOKUP(A469,kurspris!$A$1:$Q$815,17,FALSE)</f>
        <v>21800</v>
      </c>
      <c r="AB469" s="42">
        <f t="shared" si="269"/>
        <v>365150</v>
      </c>
      <c r="AC469" s="42">
        <f t="shared" si="270"/>
        <v>1157723.1499999999</v>
      </c>
      <c r="AD469" s="31">
        <f>VLOOKUP($A469,kurspris!$A$1:$Q$852,3,FALSE)</f>
        <v>0</v>
      </c>
      <c r="AE469" s="31">
        <f>VLOOKUP($A469,kurspris!$A$1:$Q$852,4,FALSE)</f>
        <v>0</v>
      </c>
      <c r="AF469" s="31">
        <f>VLOOKUP($A469,kurspris!$A$1:$Q$852,5,FALSE)</f>
        <v>0</v>
      </c>
      <c r="AG469" s="31">
        <f>VLOOKUP($A469,kurspris!$A$1:$Q$852,6,FALSE)</f>
        <v>0</v>
      </c>
      <c r="AH469" s="31">
        <f>VLOOKUP($A469,kurspris!$A$1:$Q$852,7,FALSE)</f>
        <v>0</v>
      </c>
      <c r="AI469" s="31">
        <f>VLOOKUP($A469,kurspris!$A$1:$Q$852,8,FALSE)</f>
        <v>0</v>
      </c>
      <c r="AJ469" s="31">
        <f>VLOOKUP($A469,kurspris!$A$1:$Q$852,9,FALSE)</f>
        <v>0</v>
      </c>
      <c r="AK469" s="31">
        <f>VLOOKUP($A469,kurspris!$A$1:$Q$852,10,FALSE)</f>
        <v>1</v>
      </c>
      <c r="AL469" s="31">
        <f>VLOOKUP($A469,kurspris!$A$1:$Q$852,11,FALSE)</f>
        <v>0</v>
      </c>
      <c r="AM469" s="31">
        <f>VLOOKUP($A469,kurspris!$A$1:$Q$852,12,FALSE)</f>
        <v>0</v>
      </c>
      <c r="AN469" s="31">
        <f>VLOOKUP($A469,kurspris!$A$1:$Q$852,13,FALSE)</f>
        <v>0</v>
      </c>
      <c r="AO469" s="31">
        <f>VLOOKUP($A469,kurspris!$A$1:$Q$852,14,FALSE)</f>
        <v>0</v>
      </c>
      <c r="AP469" s="59" t="s">
        <v>2216</v>
      </c>
      <c r="AR469" s="31">
        <f t="shared" si="271"/>
        <v>0</v>
      </c>
      <c r="AS469" s="237">
        <f t="shared" si="272"/>
        <v>0</v>
      </c>
      <c r="AT469" s="31">
        <f t="shared" si="273"/>
        <v>0</v>
      </c>
      <c r="AU469" s="237">
        <f t="shared" si="274"/>
        <v>0</v>
      </c>
      <c r="AV469" s="31">
        <f t="shared" si="275"/>
        <v>0</v>
      </c>
      <c r="AW469" s="31">
        <f t="shared" si="276"/>
        <v>0</v>
      </c>
      <c r="AX469" s="31">
        <f t="shared" si="277"/>
        <v>0</v>
      </c>
      <c r="AY469" s="237">
        <f t="shared" si="278"/>
        <v>0</v>
      </c>
      <c r="AZ469" s="214">
        <f t="shared" si="279"/>
        <v>0</v>
      </c>
      <c r="BA469" s="237">
        <f t="shared" si="280"/>
        <v>0</v>
      </c>
      <c r="BB469" s="31">
        <f t="shared" si="281"/>
        <v>0</v>
      </c>
      <c r="BC469" s="237">
        <f t="shared" si="282"/>
        <v>0</v>
      </c>
      <c r="BD469" s="31">
        <f t="shared" si="283"/>
        <v>0</v>
      </c>
      <c r="BE469" s="237">
        <f t="shared" si="284"/>
        <v>0</v>
      </c>
      <c r="BF469" s="31">
        <f t="shared" si="285"/>
        <v>16.75</v>
      </c>
      <c r="BG469" s="237">
        <f t="shared" si="286"/>
        <v>13.4</v>
      </c>
      <c r="BH469" s="31">
        <f t="shared" si="287"/>
        <v>0</v>
      </c>
      <c r="BI469" s="237">
        <f t="shared" si="288"/>
        <v>0</v>
      </c>
      <c r="BJ469" s="31">
        <f t="shared" si="289"/>
        <v>0</v>
      </c>
      <c r="BK469" s="31">
        <f t="shared" si="290"/>
        <v>0</v>
      </c>
      <c r="BL469" s="237">
        <f t="shared" si="291"/>
        <v>0</v>
      </c>
      <c r="BM469" s="31">
        <f t="shared" si="292"/>
        <v>0</v>
      </c>
      <c r="BN469" s="237">
        <f t="shared" si="293"/>
        <v>0</v>
      </c>
    </row>
    <row r="470" spans="1:66" x14ac:dyDescent="0.25">
      <c r="A470" s="31" t="s">
        <v>1722</v>
      </c>
      <c r="B470" s="182" t="str">
        <f>VLOOKUP(A470,kurspris!$A$1:$B$894,2,FALSE)</f>
        <v>Kläddesign</v>
      </c>
      <c r="D470" s="31" t="s">
        <v>117</v>
      </c>
      <c r="F470" s="59">
        <v>2019</v>
      </c>
      <c r="Q470" s="237">
        <v>1.5</v>
      </c>
      <c r="R470" s="40">
        <v>0.8</v>
      </c>
      <c r="S470" s="313">
        <f t="shared" si="267"/>
        <v>1.2000000000000002</v>
      </c>
      <c r="T470" s="31">
        <f>VLOOKUP(A470,'Ansvar kurs'!$A$1:$C$1027,2,FALSE)</f>
        <v>1650</v>
      </c>
      <c r="U470" s="31" t="str">
        <f>VLOOKUP(T470,Orgenheter!$A$1:$C$165,2,FALSE)</f>
        <v xml:space="preserve">Estetiska ämnen               </v>
      </c>
      <c r="V470" s="31" t="str">
        <f>VLOOKUP(T470,Orgenheter!$A$1:$C$165,3,FALSE)</f>
        <v>Hum</v>
      </c>
      <c r="W470" s="37" t="str">
        <f>VLOOKUP(D470,Program!$A$1:$B$34,2,FALSE)</f>
        <v>Fristående och övriga kurser</v>
      </c>
      <c r="X470" s="42">
        <f>VLOOKUP(A470,kurspris!$A$1:$Q$815,15,FALSE)</f>
        <v>19473</v>
      </c>
      <c r="Y470" s="42">
        <f>VLOOKUP(A470,kurspris!$A$1:$Q$815,16,FALSE)</f>
        <v>34806</v>
      </c>
      <c r="Z470" s="42">
        <f t="shared" si="268"/>
        <v>70976.700000000012</v>
      </c>
      <c r="AA470" s="42">
        <f>VLOOKUP(A470,kurspris!$A$1:$Q$815,17,FALSE)</f>
        <v>21800</v>
      </c>
      <c r="AB470" s="42">
        <f t="shared" si="269"/>
        <v>32700</v>
      </c>
      <c r="AC470" s="42">
        <f t="shared" si="270"/>
        <v>103676.70000000001</v>
      </c>
      <c r="AD470" s="31">
        <f>VLOOKUP($A470,kurspris!$A$1:$Q$852,3,FALSE)</f>
        <v>0</v>
      </c>
      <c r="AE470" s="31">
        <f>VLOOKUP($A470,kurspris!$A$1:$Q$852,4,FALSE)</f>
        <v>0</v>
      </c>
      <c r="AF470" s="31">
        <f>VLOOKUP($A470,kurspris!$A$1:$Q$852,5,FALSE)</f>
        <v>0</v>
      </c>
      <c r="AG470" s="31">
        <f>VLOOKUP($A470,kurspris!$A$1:$Q$852,6,FALSE)</f>
        <v>0</v>
      </c>
      <c r="AH470" s="31">
        <f>VLOOKUP($A470,kurspris!$A$1:$Q$852,7,FALSE)</f>
        <v>0</v>
      </c>
      <c r="AI470" s="31">
        <f>VLOOKUP($A470,kurspris!$A$1:$Q$852,8,FALSE)</f>
        <v>0</v>
      </c>
      <c r="AJ470" s="31">
        <f>VLOOKUP($A470,kurspris!$A$1:$Q$852,9,FALSE)</f>
        <v>0</v>
      </c>
      <c r="AK470" s="31">
        <f>VLOOKUP($A470,kurspris!$A$1:$Q$852,10,FALSE)</f>
        <v>1</v>
      </c>
      <c r="AL470" s="31">
        <f>VLOOKUP($A470,kurspris!$A$1:$Q$852,11,FALSE)</f>
        <v>0</v>
      </c>
      <c r="AM470" s="31">
        <f>VLOOKUP($A470,kurspris!$A$1:$Q$852,12,FALSE)</f>
        <v>0</v>
      </c>
      <c r="AN470" s="31">
        <f>VLOOKUP($A470,kurspris!$A$1:$Q$852,13,FALSE)</f>
        <v>0</v>
      </c>
      <c r="AO470" s="31">
        <f>VLOOKUP($A470,kurspris!$A$1:$Q$852,14,FALSE)</f>
        <v>0</v>
      </c>
      <c r="AP470" s="59" t="s">
        <v>2216</v>
      </c>
      <c r="AR470" s="31">
        <f t="shared" si="271"/>
        <v>0</v>
      </c>
      <c r="AS470" s="237">
        <f t="shared" si="272"/>
        <v>0</v>
      </c>
      <c r="AT470" s="31">
        <f t="shared" si="273"/>
        <v>0</v>
      </c>
      <c r="AU470" s="237">
        <f t="shared" si="274"/>
        <v>0</v>
      </c>
      <c r="AV470" s="31">
        <f t="shared" si="275"/>
        <v>0</v>
      </c>
      <c r="AW470" s="31">
        <f t="shared" si="276"/>
        <v>0</v>
      </c>
      <c r="AX470" s="31">
        <f t="shared" si="277"/>
        <v>0</v>
      </c>
      <c r="AY470" s="237">
        <f t="shared" si="278"/>
        <v>0</v>
      </c>
      <c r="AZ470" s="214">
        <f t="shared" si="279"/>
        <v>0</v>
      </c>
      <c r="BA470" s="237">
        <f t="shared" si="280"/>
        <v>0</v>
      </c>
      <c r="BB470" s="31">
        <f t="shared" si="281"/>
        <v>0</v>
      </c>
      <c r="BC470" s="237">
        <f t="shared" si="282"/>
        <v>0</v>
      </c>
      <c r="BD470" s="31">
        <f t="shared" si="283"/>
        <v>0</v>
      </c>
      <c r="BE470" s="237">
        <f t="shared" si="284"/>
        <v>0</v>
      </c>
      <c r="BF470" s="31">
        <f t="shared" si="285"/>
        <v>1.5</v>
      </c>
      <c r="BG470" s="237">
        <f t="shared" si="286"/>
        <v>1.2000000000000002</v>
      </c>
      <c r="BH470" s="31">
        <f t="shared" si="287"/>
        <v>0</v>
      </c>
      <c r="BI470" s="237">
        <f t="shared" si="288"/>
        <v>0</v>
      </c>
      <c r="BJ470" s="31">
        <f t="shared" si="289"/>
        <v>0</v>
      </c>
      <c r="BK470" s="31">
        <f t="shared" si="290"/>
        <v>0</v>
      </c>
      <c r="BL470" s="237">
        <f t="shared" si="291"/>
        <v>0</v>
      </c>
      <c r="BM470" s="31">
        <f t="shared" si="292"/>
        <v>0</v>
      </c>
      <c r="BN470" s="237">
        <f t="shared" si="293"/>
        <v>0</v>
      </c>
    </row>
    <row r="471" spans="1:66" x14ac:dyDescent="0.25">
      <c r="A471" s="31" t="s">
        <v>1721</v>
      </c>
      <c r="B471" s="182" t="str">
        <f>VLOOKUP(A471,kurspris!$A$1:$B$894,2,FALSE)</f>
        <v>Vävdesign</v>
      </c>
      <c r="D471" s="31" t="s">
        <v>117</v>
      </c>
      <c r="F471" s="59">
        <v>2019</v>
      </c>
      <c r="Q471" s="237">
        <v>1.5</v>
      </c>
      <c r="R471" s="40">
        <v>0.8</v>
      </c>
      <c r="S471" s="313">
        <f t="shared" si="267"/>
        <v>1.2000000000000002</v>
      </c>
      <c r="T471" s="31">
        <f>VLOOKUP(A471,'Ansvar kurs'!$A$1:$C$1027,2,FALSE)</f>
        <v>1650</v>
      </c>
      <c r="U471" s="31" t="str">
        <f>VLOOKUP(T471,Orgenheter!$A$1:$C$165,2,FALSE)</f>
        <v xml:space="preserve">Estetiska ämnen               </v>
      </c>
      <c r="V471" s="31" t="str">
        <f>VLOOKUP(T471,Orgenheter!$A$1:$C$165,3,FALSE)</f>
        <v>Hum</v>
      </c>
      <c r="W471" s="37" t="str">
        <f>VLOOKUP(D471,Program!$A$1:$B$34,2,FALSE)</f>
        <v>Fristående och övriga kurser</v>
      </c>
      <c r="X471" s="42">
        <f>VLOOKUP(A471,kurspris!$A$1:$Q$815,15,FALSE)</f>
        <v>19473</v>
      </c>
      <c r="Y471" s="42">
        <f>VLOOKUP(A471,kurspris!$A$1:$Q$815,16,FALSE)</f>
        <v>34806</v>
      </c>
      <c r="Z471" s="42">
        <f t="shared" si="268"/>
        <v>70976.700000000012</v>
      </c>
      <c r="AA471" s="42">
        <f>VLOOKUP(A471,kurspris!$A$1:$Q$815,17,FALSE)</f>
        <v>21800</v>
      </c>
      <c r="AB471" s="42">
        <f t="shared" si="269"/>
        <v>32700</v>
      </c>
      <c r="AC471" s="42">
        <f t="shared" si="270"/>
        <v>103676.70000000001</v>
      </c>
      <c r="AD471" s="31">
        <f>VLOOKUP($A471,kurspris!$A$1:$Q$852,3,FALSE)</f>
        <v>0</v>
      </c>
      <c r="AE471" s="31">
        <f>VLOOKUP($A471,kurspris!$A$1:$Q$852,4,FALSE)</f>
        <v>0</v>
      </c>
      <c r="AF471" s="31">
        <f>VLOOKUP($A471,kurspris!$A$1:$Q$852,5,FALSE)</f>
        <v>0</v>
      </c>
      <c r="AG471" s="31">
        <f>VLOOKUP($A471,kurspris!$A$1:$Q$852,6,FALSE)</f>
        <v>0</v>
      </c>
      <c r="AH471" s="31">
        <f>VLOOKUP($A471,kurspris!$A$1:$Q$852,7,FALSE)</f>
        <v>0</v>
      </c>
      <c r="AI471" s="31">
        <f>VLOOKUP($A471,kurspris!$A$1:$Q$852,8,FALSE)</f>
        <v>0</v>
      </c>
      <c r="AJ471" s="31">
        <f>VLOOKUP($A471,kurspris!$A$1:$Q$852,9,FALSE)</f>
        <v>0</v>
      </c>
      <c r="AK471" s="31">
        <f>VLOOKUP($A471,kurspris!$A$1:$Q$852,10,FALSE)</f>
        <v>1</v>
      </c>
      <c r="AL471" s="31">
        <f>VLOOKUP($A471,kurspris!$A$1:$Q$852,11,FALSE)</f>
        <v>0</v>
      </c>
      <c r="AM471" s="31">
        <f>VLOOKUP($A471,kurspris!$A$1:$Q$852,12,FALSE)</f>
        <v>0</v>
      </c>
      <c r="AN471" s="31">
        <f>VLOOKUP($A471,kurspris!$A$1:$Q$852,13,FALSE)</f>
        <v>0</v>
      </c>
      <c r="AO471" s="31">
        <f>VLOOKUP($A471,kurspris!$A$1:$Q$852,14,FALSE)</f>
        <v>0</v>
      </c>
      <c r="AP471" s="59" t="s">
        <v>2216</v>
      </c>
      <c r="AR471" s="31">
        <f t="shared" si="271"/>
        <v>0</v>
      </c>
      <c r="AS471" s="237">
        <f t="shared" si="272"/>
        <v>0</v>
      </c>
      <c r="AT471" s="31">
        <f t="shared" si="273"/>
        <v>0</v>
      </c>
      <c r="AU471" s="237">
        <f t="shared" si="274"/>
        <v>0</v>
      </c>
      <c r="AV471" s="31">
        <f t="shared" si="275"/>
        <v>0</v>
      </c>
      <c r="AW471" s="31">
        <f t="shared" si="276"/>
        <v>0</v>
      </c>
      <c r="AX471" s="31">
        <f t="shared" si="277"/>
        <v>0</v>
      </c>
      <c r="AY471" s="237">
        <f t="shared" si="278"/>
        <v>0</v>
      </c>
      <c r="AZ471" s="214">
        <f t="shared" si="279"/>
        <v>0</v>
      </c>
      <c r="BA471" s="237">
        <f t="shared" si="280"/>
        <v>0</v>
      </c>
      <c r="BB471" s="31">
        <f t="shared" si="281"/>
        <v>0</v>
      </c>
      <c r="BC471" s="237">
        <f t="shared" si="282"/>
        <v>0</v>
      </c>
      <c r="BD471" s="31">
        <f t="shared" si="283"/>
        <v>0</v>
      </c>
      <c r="BE471" s="237">
        <f t="shared" si="284"/>
        <v>0</v>
      </c>
      <c r="BF471" s="31">
        <f t="shared" si="285"/>
        <v>1.5</v>
      </c>
      <c r="BG471" s="237">
        <f t="shared" si="286"/>
        <v>1.2000000000000002</v>
      </c>
      <c r="BH471" s="31">
        <f t="shared" si="287"/>
        <v>0</v>
      </c>
      <c r="BI471" s="237">
        <f t="shared" si="288"/>
        <v>0</v>
      </c>
      <c r="BJ471" s="31">
        <f t="shared" si="289"/>
        <v>0</v>
      </c>
      <c r="BK471" s="31">
        <f t="shared" si="290"/>
        <v>0</v>
      </c>
      <c r="BL471" s="237">
        <f t="shared" si="291"/>
        <v>0</v>
      </c>
      <c r="BM471" s="31">
        <f t="shared" si="292"/>
        <v>0</v>
      </c>
      <c r="BN471" s="237">
        <f t="shared" si="293"/>
        <v>0</v>
      </c>
    </row>
    <row r="472" spans="1:66" x14ac:dyDescent="0.25">
      <c r="A472" s="159" t="s">
        <v>1752</v>
      </c>
      <c r="B472" s="182" t="str">
        <f>VLOOKUP(A472,kurspris!$A$1:$B$894,2,FALSE)</f>
        <v>Väv- och kläddesign: Estetiska skapandeprocesser</v>
      </c>
      <c r="C472" s="37"/>
      <c r="D472" s="31" t="s">
        <v>117</v>
      </c>
      <c r="F472" s="59">
        <v>2019</v>
      </c>
      <c r="Q472" s="237">
        <v>1.375</v>
      </c>
      <c r="R472" s="40">
        <v>0.8</v>
      </c>
      <c r="S472" s="313">
        <f t="shared" si="267"/>
        <v>1.1000000000000001</v>
      </c>
      <c r="T472" s="31">
        <f>VLOOKUP(A472,'Ansvar kurs'!$A$1:$C$1027,2,FALSE)</f>
        <v>1650</v>
      </c>
      <c r="U472" s="31" t="str">
        <f>VLOOKUP(T472,Orgenheter!$A$1:$C$165,2,FALSE)</f>
        <v xml:space="preserve">Estetiska ämnen               </v>
      </c>
      <c r="V472" s="31" t="str">
        <f>VLOOKUP(T472,Orgenheter!$A$1:$C$165,3,FALSE)</f>
        <v>Hum</v>
      </c>
      <c r="W472" s="37" t="str">
        <f>VLOOKUP(D472,Program!$A$1:$B$34,2,FALSE)</f>
        <v>Fristående och övriga kurser</v>
      </c>
      <c r="X472" s="42">
        <f>VLOOKUP(A472,kurspris!$A$1:$Q$815,15,FALSE)</f>
        <v>19473</v>
      </c>
      <c r="Y472" s="42">
        <f>VLOOKUP(A472,kurspris!$A$1:$Q$815,16,FALSE)</f>
        <v>34806</v>
      </c>
      <c r="Z472" s="42">
        <f t="shared" si="268"/>
        <v>65061.975000000006</v>
      </c>
      <c r="AA472" s="42">
        <f>VLOOKUP(A472,kurspris!$A$1:$Q$815,17,FALSE)</f>
        <v>21800</v>
      </c>
      <c r="AB472" s="42">
        <f t="shared" si="269"/>
        <v>29975</v>
      </c>
      <c r="AC472" s="42">
        <f t="shared" si="270"/>
        <v>95036.975000000006</v>
      </c>
      <c r="AD472" s="31">
        <f>VLOOKUP($A472,kurspris!$A$1:$Q$852,3,FALSE)</f>
        <v>0</v>
      </c>
      <c r="AE472" s="31">
        <f>VLOOKUP($A472,kurspris!$A$1:$Q$852,4,FALSE)</f>
        <v>0</v>
      </c>
      <c r="AF472" s="31">
        <f>VLOOKUP($A472,kurspris!$A$1:$Q$852,5,FALSE)</f>
        <v>0</v>
      </c>
      <c r="AG472" s="31">
        <f>VLOOKUP($A472,kurspris!$A$1:$Q$852,6,FALSE)</f>
        <v>0</v>
      </c>
      <c r="AH472" s="31">
        <f>VLOOKUP($A472,kurspris!$A$1:$Q$852,7,FALSE)</f>
        <v>0</v>
      </c>
      <c r="AI472" s="31">
        <f>VLOOKUP($A472,kurspris!$A$1:$Q$852,8,FALSE)</f>
        <v>0</v>
      </c>
      <c r="AJ472" s="31">
        <f>VLOOKUP($A472,kurspris!$A$1:$Q$852,9,FALSE)</f>
        <v>0</v>
      </c>
      <c r="AK472" s="31">
        <f>VLOOKUP($A472,kurspris!$A$1:$Q$852,10,FALSE)</f>
        <v>1</v>
      </c>
      <c r="AL472" s="31">
        <f>VLOOKUP($A472,kurspris!$A$1:$Q$852,11,FALSE)</f>
        <v>0</v>
      </c>
      <c r="AM472" s="31">
        <f>VLOOKUP($A472,kurspris!$A$1:$Q$852,12,FALSE)</f>
        <v>0</v>
      </c>
      <c r="AN472" s="31">
        <f>VLOOKUP($A472,kurspris!$A$1:$Q$852,13,FALSE)</f>
        <v>0</v>
      </c>
      <c r="AO472" s="31">
        <f>VLOOKUP($A472,kurspris!$A$1:$Q$852,14,FALSE)</f>
        <v>0</v>
      </c>
      <c r="AP472" s="59" t="s">
        <v>2216</v>
      </c>
      <c r="AR472" s="31">
        <f t="shared" si="271"/>
        <v>0</v>
      </c>
      <c r="AS472" s="237">
        <f t="shared" si="272"/>
        <v>0</v>
      </c>
      <c r="AT472" s="31">
        <f t="shared" si="273"/>
        <v>0</v>
      </c>
      <c r="AU472" s="237">
        <f t="shared" si="274"/>
        <v>0</v>
      </c>
      <c r="AV472" s="31">
        <f t="shared" si="275"/>
        <v>0</v>
      </c>
      <c r="AW472" s="31">
        <f t="shared" si="276"/>
        <v>0</v>
      </c>
      <c r="AX472" s="31">
        <f t="shared" si="277"/>
        <v>0</v>
      </c>
      <c r="AY472" s="237">
        <f t="shared" si="278"/>
        <v>0</v>
      </c>
      <c r="AZ472" s="214">
        <f t="shared" si="279"/>
        <v>0</v>
      </c>
      <c r="BA472" s="237">
        <f t="shared" si="280"/>
        <v>0</v>
      </c>
      <c r="BB472" s="31">
        <f t="shared" si="281"/>
        <v>0</v>
      </c>
      <c r="BC472" s="237">
        <f t="shared" si="282"/>
        <v>0</v>
      </c>
      <c r="BD472" s="31">
        <f t="shared" si="283"/>
        <v>0</v>
      </c>
      <c r="BE472" s="237">
        <f t="shared" si="284"/>
        <v>0</v>
      </c>
      <c r="BF472" s="31">
        <f t="shared" si="285"/>
        <v>1.375</v>
      </c>
      <c r="BG472" s="237">
        <f t="shared" si="286"/>
        <v>1.1000000000000001</v>
      </c>
      <c r="BH472" s="31">
        <f t="shared" si="287"/>
        <v>0</v>
      </c>
      <c r="BI472" s="237">
        <f t="shared" si="288"/>
        <v>0</v>
      </c>
      <c r="BJ472" s="31">
        <f t="shared" si="289"/>
        <v>0</v>
      </c>
      <c r="BK472" s="31">
        <f t="shared" si="290"/>
        <v>0</v>
      </c>
      <c r="BL472" s="237">
        <f t="shared" si="291"/>
        <v>0</v>
      </c>
      <c r="BM472" s="31">
        <f t="shared" si="292"/>
        <v>0</v>
      </c>
      <c r="BN472" s="237">
        <f t="shared" si="293"/>
        <v>0</v>
      </c>
    </row>
    <row r="473" spans="1:66" x14ac:dyDescent="0.25">
      <c r="A473" s="159" t="s">
        <v>2129</v>
      </c>
      <c r="B473" s="182" t="str">
        <f>VLOOKUP(A473,kurspris!$A$1:$B$894,2,FALSE)</f>
        <v>Väv- och kläddesign fördjupning</v>
      </c>
      <c r="C473" s="37"/>
      <c r="D473" s="31" t="s">
        <v>117</v>
      </c>
      <c r="F473" s="59">
        <v>2019</v>
      </c>
      <c r="Q473" s="237">
        <v>1.5</v>
      </c>
      <c r="R473" s="40">
        <v>0.8</v>
      </c>
      <c r="S473" s="313">
        <f t="shared" si="267"/>
        <v>1.2000000000000002</v>
      </c>
      <c r="T473" s="31">
        <f>VLOOKUP(A473,'Ansvar kurs'!$A$1:$C$1027,2,FALSE)</f>
        <v>1650</v>
      </c>
      <c r="U473" s="31" t="str">
        <f>VLOOKUP(T473,Orgenheter!$A$1:$C$165,2,FALSE)</f>
        <v xml:space="preserve">Estetiska ämnen               </v>
      </c>
      <c r="V473" s="31" t="str">
        <f>VLOOKUP(T473,Orgenheter!$A$1:$C$165,3,FALSE)</f>
        <v>Hum</v>
      </c>
      <c r="W473" s="37" t="str">
        <f>VLOOKUP(D473,Program!$A$1:$B$34,2,FALSE)</f>
        <v>Fristående och övriga kurser</v>
      </c>
      <c r="X473" s="42">
        <f>VLOOKUP(A473,kurspris!$A$1:$Q$815,15,FALSE)</f>
        <v>18405</v>
      </c>
      <c r="Y473" s="42">
        <f>VLOOKUP(A473,kurspris!$A$1:$Q$815,16,FALSE)</f>
        <v>15773</v>
      </c>
      <c r="Z473" s="42">
        <f t="shared" si="268"/>
        <v>46535.100000000006</v>
      </c>
      <c r="AA473" s="42">
        <f>VLOOKUP(A473,kurspris!$A$1:$Q$815,17,FALSE)</f>
        <v>5800</v>
      </c>
      <c r="AB473" s="42">
        <f t="shared" si="269"/>
        <v>8700</v>
      </c>
      <c r="AC473" s="42">
        <f t="shared" si="270"/>
        <v>55235.100000000006</v>
      </c>
      <c r="AD473" s="31">
        <f>VLOOKUP($A473,kurspris!$A$1:$Q$852,3,FALSE)</f>
        <v>0</v>
      </c>
      <c r="AE473" s="31">
        <f>VLOOKUP($A473,kurspris!$A$1:$Q$852,4,FALSE)</f>
        <v>1</v>
      </c>
      <c r="AF473" s="31">
        <f>VLOOKUP($A473,kurspris!$A$1:$Q$852,5,FALSE)</f>
        <v>0</v>
      </c>
      <c r="AG473" s="31">
        <f>VLOOKUP($A473,kurspris!$A$1:$Q$852,6,FALSE)</f>
        <v>0</v>
      </c>
      <c r="AH473" s="31">
        <f>VLOOKUP($A473,kurspris!$A$1:$Q$852,7,FALSE)</f>
        <v>0</v>
      </c>
      <c r="AI473" s="31">
        <f>VLOOKUP($A473,kurspris!$A$1:$Q$852,8,FALSE)</f>
        <v>0</v>
      </c>
      <c r="AJ473" s="31">
        <f>VLOOKUP($A473,kurspris!$A$1:$Q$852,9,FALSE)</f>
        <v>0</v>
      </c>
      <c r="AK473" s="31">
        <f>VLOOKUP($A473,kurspris!$A$1:$Q$852,10,FALSE)</f>
        <v>0</v>
      </c>
      <c r="AL473" s="31">
        <f>VLOOKUP($A473,kurspris!$A$1:$Q$852,11,FALSE)</f>
        <v>0</v>
      </c>
      <c r="AM473" s="31">
        <f>VLOOKUP($A473,kurspris!$A$1:$Q$852,12,FALSE)</f>
        <v>0</v>
      </c>
      <c r="AN473" s="31">
        <f>VLOOKUP($A473,kurspris!$A$1:$Q$852,13,FALSE)</f>
        <v>0</v>
      </c>
      <c r="AO473" s="31">
        <f>VLOOKUP($A473,kurspris!$A$1:$Q$852,14,FALSE)</f>
        <v>0</v>
      </c>
      <c r="AP473" s="59" t="s">
        <v>2216</v>
      </c>
      <c r="AR473" s="31">
        <f t="shared" si="271"/>
        <v>0</v>
      </c>
      <c r="AS473" s="237">
        <f t="shared" si="272"/>
        <v>0</v>
      </c>
      <c r="AT473" s="31">
        <f t="shared" si="273"/>
        <v>1.5</v>
      </c>
      <c r="AU473" s="237">
        <f t="shared" si="274"/>
        <v>1.2000000000000002</v>
      </c>
      <c r="AV473" s="31">
        <f t="shared" si="275"/>
        <v>0</v>
      </c>
      <c r="AW473" s="31">
        <f t="shared" si="276"/>
        <v>0</v>
      </c>
      <c r="AX473" s="31">
        <f t="shared" si="277"/>
        <v>0</v>
      </c>
      <c r="AY473" s="237">
        <f t="shared" si="278"/>
        <v>0</v>
      </c>
      <c r="AZ473" s="214">
        <f t="shared" si="279"/>
        <v>0</v>
      </c>
      <c r="BA473" s="237">
        <f t="shared" si="280"/>
        <v>0</v>
      </c>
      <c r="BB473" s="31">
        <f t="shared" si="281"/>
        <v>0</v>
      </c>
      <c r="BC473" s="237">
        <f t="shared" si="282"/>
        <v>0</v>
      </c>
      <c r="BD473" s="31">
        <f t="shared" si="283"/>
        <v>0</v>
      </c>
      <c r="BE473" s="237">
        <f t="shared" si="284"/>
        <v>0</v>
      </c>
      <c r="BF473" s="31">
        <f t="shared" si="285"/>
        <v>0</v>
      </c>
      <c r="BG473" s="237">
        <f t="shared" si="286"/>
        <v>0</v>
      </c>
      <c r="BH473" s="31">
        <f t="shared" si="287"/>
        <v>0</v>
      </c>
      <c r="BI473" s="237">
        <f t="shared" si="288"/>
        <v>0</v>
      </c>
      <c r="BJ473" s="31">
        <f t="shared" si="289"/>
        <v>0</v>
      </c>
      <c r="BK473" s="31">
        <f t="shared" si="290"/>
        <v>0</v>
      </c>
      <c r="BL473" s="237">
        <f t="shared" si="291"/>
        <v>0</v>
      </c>
      <c r="BM473" s="31">
        <f t="shared" si="292"/>
        <v>0</v>
      </c>
      <c r="BN473" s="237">
        <f t="shared" si="293"/>
        <v>0</v>
      </c>
    </row>
    <row r="474" spans="1:66" x14ac:dyDescent="0.25">
      <c r="A474" s="159" t="s">
        <v>1867</v>
      </c>
      <c r="B474" s="182" t="str">
        <f>VLOOKUP(A474,kurspris!$A$1:$B$894,2,FALSE)</f>
        <v>Slöjd - textil 3</v>
      </c>
      <c r="C474" s="37"/>
      <c r="D474" s="31" t="s">
        <v>482</v>
      </c>
      <c r="F474" s="59">
        <v>2019</v>
      </c>
      <c r="Q474" s="237">
        <v>2</v>
      </c>
      <c r="R474" s="40">
        <v>0.85</v>
      </c>
      <c r="S474" s="313">
        <f t="shared" si="267"/>
        <v>1.7</v>
      </c>
      <c r="T474" s="31">
        <f>VLOOKUP(A474,'Ansvar kurs'!$A$1:$C$1027,2,FALSE)</f>
        <v>1650</v>
      </c>
      <c r="U474" s="31" t="str">
        <f>VLOOKUP(T474,Orgenheter!$A$1:$C$165,2,FALSE)</f>
        <v xml:space="preserve">Estetiska ämnen               </v>
      </c>
      <c r="V474" s="31" t="str">
        <f>VLOOKUP(T474,Orgenheter!$A$1:$C$165,3,FALSE)</f>
        <v>Hum</v>
      </c>
      <c r="W474" s="37" t="str">
        <f>VLOOKUP(D474,Program!$A$1:$B$34,2,FALSE)</f>
        <v>Ämneslärarprogrammet - åk 7-9</v>
      </c>
      <c r="X474" s="42">
        <f>VLOOKUP(A474,kurspris!$A$1:$Q$815,15,FALSE)</f>
        <v>19473</v>
      </c>
      <c r="Y474" s="42">
        <f>VLOOKUP(A474,kurspris!$A$1:$Q$815,16,FALSE)</f>
        <v>34806</v>
      </c>
      <c r="Z474" s="42">
        <f t="shared" si="268"/>
        <v>98116.2</v>
      </c>
      <c r="AA474" s="42">
        <f>VLOOKUP(A474,kurspris!$A$1:$Q$815,17,FALSE)</f>
        <v>21800</v>
      </c>
      <c r="AB474" s="42">
        <f t="shared" si="269"/>
        <v>43600</v>
      </c>
      <c r="AC474" s="42">
        <f t="shared" si="270"/>
        <v>141716.20000000001</v>
      </c>
      <c r="AD474" s="31">
        <f>VLOOKUP($A474,kurspris!$A$1:$Q$852,3,FALSE)</f>
        <v>0</v>
      </c>
      <c r="AE474" s="31">
        <f>VLOOKUP($A474,kurspris!$A$1:$Q$852,4,FALSE)</f>
        <v>0</v>
      </c>
      <c r="AF474" s="31">
        <f>VLOOKUP($A474,kurspris!$A$1:$Q$852,5,FALSE)</f>
        <v>0</v>
      </c>
      <c r="AG474" s="31">
        <f>VLOOKUP($A474,kurspris!$A$1:$Q$852,6,FALSE)</f>
        <v>0</v>
      </c>
      <c r="AH474" s="31">
        <f>VLOOKUP($A474,kurspris!$A$1:$Q$852,7,FALSE)</f>
        <v>0</v>
      </c>
      <c r="AI474" s="31">
        <f>VLOOKUP($A474,kurspris!$A$1:$Q$852,8,FALSE)</f>
        <v>0</v>
      </c>
      <c r="AJ474" s="31">
        <f>VLOOKUP($A474,kurspris!$A$1:$Q$852,9,FALSE)</f>
        <v>0</v>
      </c>
      <c r="AK474" s="31">
        <f>VLOOKUP($A474,kurspris!$A$1:$Q$852,10,FALSE)</f>
        <v>1</v>
      </c>
      <c r="AL474" s="31">
        <f>VLOOKUP($A474,kurspris!$A$1:$Q$852,11,FALSE)</f>
        <v>0</v>
      </c>
      <c r="AM474" s="31">
        <f>VLOOKUP($A474,kurspris!$A$1:$Q$852,12,FALSE)</f>
        <v>0</v>
      </c>
      <c r="AN474" s="31">
        <f>VLOOKUP($A474,kurspris!$A$1:$Q$852,13,FALSE)</f>
        <v>0</v>
      </c>
      <c r="AO474" s="31">
        <f>VLOOKUP($A474,kurspris!$A$1:$Q$852,14,FALSE)</f>
        <v>0</v>
      </c>
      <c r="AP474" s="59" t="s">
        <v>2216</v>
      </c>
      <c r="AR474" s="31">
        <f t="shared" si="271"/>
        <v>0</v>
      </c>
      <c r="AS474" s="237">
        <f t="shared" si="272"/>
        <v>0</v>
      </c>
      <c r="AT474" s="31">
        <f t="shared" si="273"/>
        <v>0</v>
      </c>
      <c r="AU474" s="237">
        <f t="shared" si="274"/>
        <v>0</v>
      </c>
      <c r="AV474" s="31">
        <f t="shared" si="275"/>
        <v>0</v>
      </c>
      <c r="AW474" s="31">
        <f t="shared" si="276"/>
        <v>0</v>
      </c>
      <c r="AX474" s="31">
        <f t="shared" si="277"/>
        <v>0</v>
      </c>
      <c r="AY474" s="237">
        <f t="shared" si="278"/>
        <v>0</v>
      </c>
      <c r="AZ474" s="214">
        <f t="shared" si="279"/>
        <v>0</v>
      </c>
      <c r="BA474" s="237">
        <f t="shared" si="280"/>
        <v>0</v>
      </c>
      <c r="BB474" s="31">
        <f t="shared" si="281"/>
        <v>0</v>
      </c>
      <c r="BC474" s="237">
        <f t="shared" si="282"/>
        <v>0</v>
      </c>
      <c r="BD474" s="31">
        <f t="shared" si="283"/>
        <v>0</v>
      </c>
      <c r="BE474" s="237">
        <f t="shared" si="284"/>
        <v>0</v>
      </c>
      <c r="BF474" s="31">
        <f t="shared" si="285"/>
        <v>2</v>
      </c>
      <c r="BG474" s="237">
        <f t="shared" si="286"/>
        <v>1.7</v>
      </c>
      <c r="BH474" s="31">
        <f t="shared" si="287"/>
        <v>0</v>
      </c>
      <c r="BI474" s="237">
        <f t="shared" si="288"/>
        <v>0</v>
      </c>
      <c r="BJ474" s="31">
        <f t="shared" si="289"/>
        <v>0</v>
      </c>
      <c r="BK474" s="31">
        <f t="shared" si="290"/>
        <v>0</v>
      </c>
      <c r="BL474" s="237">
        <f t="shared" si="291"/>
        <v>0</v>
      </c>
      <c r="BM474" s="31">
        <f t="shared" si="292"/>
        <v>0</v>
      </c>
      <c r="BN474" s="237">
        <f t="shared" si="293"/>
        <v>0</v>
      </c>
    </row>
    <row r="475" spans="1:66" x14ac:dyDescent="0.25">
      <c r="A475" s="159" t="s">
        <v>2108</v>
      </c>
      <c r="B475" s="182" t="str">
        <f>VLOOKUP(A475,kurspris!$A$1:$B$894,2,FALSE)</f>
        <v>Slöjd textil 2</v>
      </c>
      <c r="C475" s="37"/>
      <c r="D475" s="31" t="s">
        <v>482</v>
      </c>
      <c r="F475" s="59">
        <v>2019</v>
      </c>
      <c r="Q475" s="237">
        <v>1</v>
      </c>
      <c r="R475" s="40">
        <v>0.85</v>
      </c>
      <c r="S475" s="313">
        <f t="shared" si="267"/>
        <v>0.85</v>
      </c>
      <c r="T475" s="31">
        <f>VLOOKUP(A475,'Ansvar kurs'!$A$1:$C$1027,2,FALSE)</f>
        <v>1650</v>
      </c>
      <c r="U475" s="31" t="str">
        <f>VLOOKUP(T475,Orgenheter!$A$1:$C$165,2,FALSE)</f>
        <v xml:space="preserve">Estetiska ämnen               </v>
      </c>
      <c r="V475" s="31" t="str">
        <f>VLOOKUP(T475,Orgenheter!$A$1:$C$165,3,FALSE)</f>
        <v>Hum</v>
      </c>
      <c r="W475" s="37" t="str">
        <f>VLOOKUP(D475,Program!$A$1:$B$34,2,FALSE)</f>
        <v>Ämneslärarprogrammet - åk 7-9</v>
      </c>
      <c r="X475" s="42">
        <f>VLOOKUP(A475,kurspris!$A$1:$Q$815,15,FALSE)</f>
        <v>19473</v>
      </c>
      <c r="Y475" s="42">
        <f>VLOOKUP(A475,kurspris!$A$1:$Q$815,16,FALSE)</f>
        <v>34806</v>
      </c>
      <c r="Z475" s="42">
        <f t="shared" si="268"/>
        <v>49058.1</v>
      </c>
      <c r="AA475" s="42">
        <f>VLOOKUP(A475,kurspris!$A$1:$Q$815,17,FALSE)</f>
        <v>21800</v>
      </c>
      <c r="AB475" s="42">
        <f t="shared" si="269"/>
        <v>21800</v>
      </c>
      <c r="AC475" s="42">
        <f t="shared" si="270"/>
        <v>70858.100000000006</v>
      </c>
      <c r="AD475" s="31">
        <f>VLOOKUP($A475,kurspris!$A$1:$Q$852,3,FALSE)</f>
        <v>0</v>
      </c>
      <c r="AE475" s="31">
        <f>VLOOKUP($A475,kurspris!$A$1:$Q$852,4,FALSE)</f>
        <v>0</v>
      </c>
      <c r="AF475" s="31">
        <f>VLOOKUP($A475,kurspris!$A$1:$Q$852,5,FALSE)</f>
        <v>0</v>
      </c>
      <c r="AG475" s="31">
        <f>VLOOKUP($A475,kurspris!$A$1:$Q$852,6,FALSE)</f>
        <v>0</v>
      </c>
      <c r="AH475" s="31">
        <f>VLOOKUP($A475,kurspris!$A$1:$Q$852,7,FALSE)</f>
        <v>0</v>
      </c>
      <c r="AI475" s="31">
        <f>VLOOKUP($A475,kurspris!$A$1:$Q$852,8,FALSE)</f>
        <v>0</v>
      </c>
      <c r="AJ475" s="31">
        <f>VLOOKUP($A475,kurspris!$A$1:$Q$852,9,FALSE)</f>
        <v>0</v>
      </c>
      <c r="AK475" s="31">
        <f>VLOOKUP($A475,kurspris!$A$1:$Q$852,10,FALSE)</f>
        <v>1</v>
      </c>
      <c r="AL475" s="31">
        <f>VLOOKUP($A475,kurspris!$A$1:$Q$852,11,FALSE)</f>
        <v>0</v>
      </c>
      <c r="AM475" s="31">
        <f>VLOOKUP($A475,kurspris!$A$1:$Q$852,12,FALSE)</f>
        <v>0</v>
      </c>
      <c r="AN475" s="31">
        <f>VLOOKUP($A475,kurspris!$A$1:$Q$852,13,FALSE)</f>
        <v>0</v>
      </c>
      <c r="AO475" s="31">
        <f>VLOOKUP($A475,kurspris!$A$1:$Q$852,14,FALSE)</f>
        <v>0</v>
      </c>
      <c r="AP475" s="59" t="s">
        <v>2216</v>
      </c>
      <c r="AR475" s="31">
        <f t="shared" si="271"/>
        <v>0</v>
      </c>
      <c r="AS475" s="237">
        <f t="shared" si="272"/>
        <v>0</v>
      </c>
      <c r="AT475" s="31">
        <f t="shared" si="273"/>
        <v>0</v>
      </c>
      <c r="AU475" s="237">
        <f t="shared" si="274"/>
        <v>0</v>
      </c>
      <c r="AV475" s="31">
        <f t="shared" si="275"/>
        <v>0</v>
      </c>
      <c r="AW475" s="31">
        <f t="shared" si="276"/>
        <v>0</v>
      </c>
      <c r="AX475" s="31">
        <f t="shared" si="277"/>
        <v>0</v>
      </c>
      <c r="AY475" s="237">
        <f t="shared" si="278"/>
        <v>0</v>
      </c>
      <c r="AZ475" s="214">
        <f t="shared" si="279"/>
        <v>0</v>
      </c>
      <c r="BA475" s="237">
        <f t="shared" si="280"/>
        <v>0</v>
      </c>
      <c r="BB475" s="31">
        <f t="shared" si="281"/>
        <v>0</v>
      </c>
      <c r="BC475" s="237">
        <f t="shared" si="282"/>
        <v>0</v>
      </c>
      <c r="BD475" s="31">
        <f t="shared" si="283"/>
        <v>0</v>
      </c>
      <c r="BE475" s="237">
        <f t="shared" si="284"/>
        <v>0</v>
      </c>
      <c r="BF475" s="31">
        <f t="shared" si="285"/>
        <v>1</v>
      </c>
      <c r="BG475" s="237">
        <f t="shared" si="286"/>
        <v>0.85</v>
      </c>
      <c r="BH475" s="31">
        <f t="shared" si="287"/>
        <v>0</v>
      </c>
      <c r="BI475" s="237">
        <f t="shared" si="288"/>
        <v>0</v>
      </c>
      <c r="BJ475" s="31">
        <f t="shared" si="289"/>
        <v>0</v>
      </c>
      <c r="BK475" s="31">
        <f t="shared" si="290"/>
        <v>0</v>
      </c>
      <c r="BL475" s="237">
        <f t="shared" si="291"/>
        <v>0</v>
      </c>
      <c r="BM475" s="31">
        <f t="shared" si="292"/>
        <v>0</v>
      </c>
      <c r="BN475" s="237">
        <f t="shared" si="293"/>
        <v>0</v>
      </c>
    </row>
    <row r="476" spans="1:66" x14ac:dyDescent="0.25">
      <c r="A476" s="159" t="s">
        <v>2206</v>
      </c>
      <c r="B476" s="182" t="str">
        <f>VLOOKUP(A476,kurspris!$A$1:$B$894,2,FALSE)</f>
        <v>Slöjd textil 2, fristående</v>
      </c>
      <c r="C476" s="37"/>
      <c r="D476" s="31" t="s">
        <v>117</v>
      </c>
      <c r="F476" s="59">
        <v>2019</v>
      </c>
      <c r="Q476" s="237">
        <v>1</v>
      </c>
      <c r="R476" s="40">
        <v>0.8</v>
      </c>
      <c r="S476" s="313">
        <f t="shared" si="267"/>
        <v>0.8</v>
      </c>
      <c r="T476" s="31">
        <f>VLOOKUP(A476,'Ansvar kurs'!$A$1:$C$1027,2,FALSE)</f>
        <v>1650</v>
      </c>
      <c r="U476" s="31" t="str">
        <f>VLOOKUP(T476,Orgenheter!$A$1:$C$165,2,FALSE)</f>
        <v xml:space="preserve">Estetiska ämnen               </v>
      </c>
      <c r="V476" s="31" t="str">
        <f>VLOOKUP(T476,Orgenheter!$A$1:$C$165,3,FALSE)</f>
        <v>Hum</v>
      </c>
      <c r="W476" s="37" t="str">
        <f>VLOOKUP(D476,Program!$A$1:$B$34,2,FALSE)</f>
        <v>Fristående och övriga kurser</v>
      </c>
      <c r="X476" s="42">
        <f>VLOOKUP(A476,kurspris!$A$1:$Q$815,15,FALSE)</f>
        <v>19473</v>
      </c>
      <c r="Y476" s="42">
        <f>VLOOKUP(A476,kurspris!$A$1:$Q$815,16,FALSE)</f>
        <v>34806</v>
      </c>
      <c r="Z476" s="42">
        <f t="shared" ref="Z476" si="294">X476*Q476+S476*Y476</f>
        <v>47317.8</v>
      </c>
      <c r="AA476" s="42">
        <f>VLOOKUP(A476,kurspris!$A$1:$Q$815,17,FALSE)</f>
        <v>21800</v>
      </c>
      <c r="AB476" s="42">
        <f t="shared" ref="AB476" si="295">AA476*Q476</f>
        <v>21800</v>
      </c>
      <c r="AC476" s="42">
        <f t="shared" ref="AC476" si="296">Z476+AB476</f>
        <v>69117.8</v>
      </c>
      <c r="AD476" s="31">
        <f>VLOOKUP($A476,kurspris!$A$1:$Q$852,3,FALSE)</f>
        <v>0</v>
      </c>
      <c r="AE476" s="31">
        <f>VLOOKUP($A476,kurspris!$A$1:$Q$852,4,FALSE)</f>
        <v>0</v>
      </c>
      <c r="AF476" s="31">
        <f>VLOOKUP($A476,kurspris!$A$1:$Q$852,5,FALSE)</f>
        <v>0</v>
      </c>
      <c r="AG476" s="31">
        <f>VLOOKUP($A476,kurspris!$A$1:$Q$852,6,FALSE)</f>
        <v>0</v>
      </c>
      <c r="AH476" s="31">
        <f>VLOOKUP($A476,kurspris!$A$1:$Q$852,7,FALSE)</f>
        <v>0</v>
      </c>
      <c r="AI476" s="31">
        <f>VLOOKUP($A476,kurspris!$A$1:$Q$852,8,FALSE)</f>
        <v>0</v>
      </c>
      <c r="AJ476" s="31">
        <f>VLOOKUP($A476,kurspris!$A$1:$Q$852,9,FALSE)</f>
        <v>0</v>
      </c>
      <c r="AK476" s="31">
        <f>VLOOKUP($A476,kurspris!$A$1:$Q$852,10,FALSE)</f>
        <v>1</v>
      </c>
      <c r="AL476" s="31">
        <f>VLOOKUP($A476,kurspris!$A$1:$Q$852,11,FALSE)</f>
        <v>0</v>
      </c>
      <c r="AM476" s="31">
        <f>VLOOKUP($A476,kurspris!$A$1:$Q$852,12,FALSE)</f>
        <v>0</v>
      </c>
      <c r="AN476" s="31">
        <f>VLOOKUP($A476,kurspris!$A$1:$Q$852,13,FALSE)</f>
        <v>0</v>
      </c>
      <c r="AO476" s="31">
        <f>VLOOKUP($A476,kurspris!$A$1:$Q$852,14,FALSE)</f>
        <v>0</v>
      </c>
      <c r="AP476" s="59" t="s">
        <v>2216</v>
      </c>
      <c r="AR476" s="31">
        <f t="shared" ref="AR476" si="297">$Q476*AD476</f>
        <v>0</v>
      </c>
      <c r="AS476" s="237">
        <f t="shared" ref="AS476" si="298">$S476*AD476</f>
        <v>0</v>
      </c>
      <c r="AT476" s="31">
        <f t="shared" ref="AT476" si="299">$Q476*AE476</f>
        <v>0</v>
      </c>
      <c r="AU476" s="237">
        <f t="shared" ref="AU476" si="300">$S476*AE476</f>
        <v>0</v>
      </c>
      <c r="AV476" s="31">
        <f t="shared" ref="AV476" si="301">$Q476*AF476</f>
        <v>0</v>
      </c>
      <c r="AW476" s="31">
        <f t="shared" ref="AW476" si="302">$S476*AF476</f>
        <v>0</v>
      </c>
      <c r="AX476" s="31">
        <f t="shared" ref="AX476" si="303">$Q476*AG476</f>
        <v>0</v>
      </c>
      <c r="AY476" s="237">
        <f t="shared" ref="AY476" si="304">$S476*AG476</f>
        <v>0</v>
      </c>
      <c r="AZ476" s="214">
        <f t="shared" ref="AZ476" si="305">$Q476*AH476</f>
        <v>0</v>
      </c>
      <c r="BA476" s="237">
        <f t="shared" ref="BA476" si="306">$S476*AH476</f>
        <v>0</v>
      </c>
      <c r="BB476" s="31">
        <f t="shared" ref="BB476" si="307">$Q476*AI476</f>
        <v>0</v>
      </c>
      <c r="BC476" s="237">
        <f t="shared" ref="BC476" si="308">$S476*AI476</f>
        <v>0</v>
      </c>
      <c r="BD476" s="31">
        <f t="shared" ref="BD476" si="309">$Q476*AJ476</f>
        <v>0</v>
      </c>
      <c r="BE476" s="237">
        <f t="shared" ref="BE476" si="310">$S476*AJ476</f>
        <v>0</v>
      </c>
      <c r="BF476" s="31">
        <f t="shared" ref="BF476" si="311">$Q476*AK476</f>
        <v>1</v>
      </c>
      <c r="BG476" s="237">
        <f t="shared" ref="BG476" si="312">$S476*AK476</f>
        <v>0.8</v>
      </c>
      <c r="BH476" s="31">
        <f t="shared" ref="BH476" si="313">$Q476*AL476</f>
        <v>0</v>
      </c>
      <c r="BI476" s="237">
        <f t="shared" ref="BI476" si="314">$S476*AL476</f>
        <v>0</v>
      </c>
      <c r="BJ476" s="31">
        <f t="shared" ref="BJ476" si="315">$Q476*AM476</f>
        <v>0</v>
      </c>
      <c r="BK476" s="31">
        <f t="shared" ref="BK476" si="316">$Q476*AN476</f>
        <v>0</v>
      </c>
      <c r="BL476" s="237">
        <f t="shared" ref="BL476" si="317">$S476*AN476</f>
        <v>0</v>
      </c>
      <c r="BM476" s="31">
        <f t="shared" ref="BM476" si="318">$Q476*AO476</f>
        <v>0</v>
      </c>
      <c r="BN476" s="237">
        <f t="shared" ref="BN476" si="319">$S476*AO476</f>
        <v>0</v>
      </c>
    </row>
    <row r="477" spans="1:66" x14ac:dyDescent="0.25">
      <c r="A477" s="159" t="s">
        <v>1048</v>
      </c>
      <c r="B477" s="182" t="str">
        <f>VLOOKUP(A477,kurspris!$A$1:$B$894,2,FALSE)</f>
        <v>Tyska III för ämneslärare med inriktning mot gymnasiet</v>
      </c>
      <c r="C477" s="37"/>
      <c r="D477" s="31" t="s">
        <v>483</v>
      </c>
      <c r="F477" s="59">
        <v>2019</v>
      </c>
      <c r="Q477" s="237">
        <v>0.5</v>
      </c>
      <c r="R477" s="40">
        <v>0.85</v>
      </c>
      <c r="S477" s="313">
        <f t="shared" si="267"/>
        <v>0.42499999999999999</v>
      </c>
      <c r="T477" s="31">
        <f>VLOOKUP(A477,'Ansvar kurs'!$A$1:$C$1027,2,FALSE)</f>
        <v>1620</v>
      </c>
      <c r="U477" s="31" t="str">
        <f>VLOOKUP(T477,Orgenheter!$A$1:$C$165,2,FALSE)</f>
        <v>Inst för språkstudier</v>
      </c>
      <c r="V477" s="31" t="str">
        <f>VLOOKUP(T477,Orgenheter!$A$1:$C$165,3,FALSE)</f>
        <v>Hum</v>
      </c>
      <c r="W477" s="37" t="str">
        <f>VLOOKUP(D477,Program!$A$1:$B$34,2,FALSE)</f>
        <v>Ämneslärarprogrammet - Gy</v>
      </c>
      <c r="X477" s="42">
        <f>VLOOKUP(A477,kurspris!$A$1:$Q$815,15,FALSE)</f>
        <v>18405</v>
      </c>
      <c r="Y477" s="42">
        <f>VLOOKUP(A477,kurspris!$A$1:$Q$815,16,FALSE)</f>
        <v>15773</v>
      </c>
      <c r="Z477" s="42">
        <f t="shared" si="268"/>
        <v>15906.025</v>
      </c>
      <c r="AA477" s="42">
        <f>VLOOKUP(A477,kurspris!$A$1:$Q$815,17,FALSE)</f>
        <v>5800</v>
      </c>
      <c r="AB477" s="42">
        <f t="shared" si="269"/>
        <v>2900</v>
      </c>
      <c r="AC477" s="42">
        <f t="shared" si="270"/>
        <v>18806.025000000001</v>
      </c>
      <c r="AD477" s="31">
        <f>VLOOKUP($A477,kurspris!$A$1:$Q$852,3,FALSE)</f>
        <v>0</v>
      </c>
      <c r="AE477" s="31">
        <f>VLOOKUP($A477,kurspris!$A$1:$Q$852,4,FALSE)</f>
        <v>1</v>
      </c>
      <c r="AF477" s="31">
        <f>VLOOKUP($A477,kurspris!$A$1:$Q$852,5,FALSE)</f>
        <v>0</v>
      </c>
      <c r="AG477" s="31">
        <f>VLOOKUP($A477,kurspris!$A$1:$Q$852,6,FALSE)</f>
        <v>0</v>
      </c>
      <c r="AH477" s="31">
        <f>VLOOKUP($A477,kurspris!$A$1:$Q$852,7,FALSE)</f>
        <v>0</v>
      </c>
      <c r="AI477" s="31">
        <f>VLOOKUP($A477,kurspris!$A$1:$Q$852,8,FALSE)</f>
        <v>0</v>
      </c>
      <c r="AJ477" s="31">
        <f>VLOOKUP($A477,kurspris!$A$1:$Q$852,9,FALSE)</f>
        <v>0</v>
      </c>
      <c r="AK477" s="31">
        <f>VLOOKUP($A477,kurspris!$A$1:$Q$852,10,FALSE)</f>
        <v>0</v>
      </c>
      <c r="AL477" s="31">
        <f>VLOOKUP($A477,kurspris!$A$1:$Q$852,11,FALSE)</f>
        <v>0</v>
      </c>
      <c r="AM477" s="31">
        <f>VLOOKUP($A477,kurspris!$A$1:$Q$852,12,FALSE)</f>
        <v>0</v>
      </c>
      <c r="AN477" s="31">
        <f>VLOOKUP($A477,kurspris!$A$1:$Q$852,13,FALSE)</f>
        <v>0</v>
      </c>
      <c r="AO477" s="31">
        <f>VLOOKUP($A477,kurspris!$A$1:$Q$852,14,FALSE)</f>
        <v>0</v>
      </c>
      <c r="AP477" s="59" t="s">
        <v>2216</v>
      </c>
      <c r="AR477" s="31">
        <f t="shared" si="271"/>
        <v>0</v>
      </c>
      <c r="AS477" s="237">
        <f t="shared" si="272"/>
        <v>0</v>
      </c>
      <c r="AT477" s="31">
        <f t="shared" si="273"/>
        <v>0.5</v>
      </c>
      <c r="AU477" s="237">
        <f t="shared" si="274"/>
        <v>0.42499999999999999</v>
      </c>
      <c r="AV477" s="31">
        <f t="shared" si="275"/>
        <v>0</v>
      </c>
      <c r="AW477" s="31">
        <f t="shared" si="276"/>
        <v>0</v>
      </c>
      <c r="AX477" s="31">
        <f t="shared" si="277"/>
        <v>0</v>
      </c>
      <c r="AY477" s="237">
        <f t="shared" si="278"/>
        <v>0</v>
      </c>
      <c r="AZ477" s="214">
        <f t="shared" si="279"/>
        <v>0</v>
      </c>
      <c r="BA477" s="237">
        <f t="shared" si="280"/>
        <v>0</v>
      </c>
      <c r="BB477" s="31">
        <f t="shared" si="281"/>
        <v>0</v>
      </c>
      <c r="BC477" s="237">
        <f t="shared" si="282"/>
        <v>0</v>
      </c>
      <c r="BD477" s="31">
        <f t="shared" si="283"/>
        <v>0</v>
      </c>
      <c r="BE477" s="237">
        <f t="shared" si="284"/>
        <v>0</v>
      </c>
      <c r="BF477" s="31">
        <f t="shared" si="285"/>
        <v>0</v>
      </c>
      <c r="BG477" s="237">
        <f t="shared" si="286"/>
        <v>0</v>
      </c>
      <c r="BH477" s="31">
        <f t="shared" si="287"/>
        <v>0</v>
      </c>
      <c r="BI477" s="237">
        <f t="shared" si="288"/>
        <v>0</v>
      </c>
      <c r="BJ477" s="31">
        <f t="shared" si="289"/>
        <v>0</v>
      </c>
      <c r="BK477" s="31">
        <f t="shared" si="290"/>
        <v>0</v>
      </c>
      <c r="BL477" s="237">
        <f t="shared" si="291"/>
        <v>0</v>
      </c>
      <c r="BM477" s="31">
        <f t="shared" si="292"/>
        <v>0</v>
      </c>
      <c r="BN477" s="237">
        <f t="shared" si="293"/>
        <v>0</v>
      </c>
    </row>
    <row r="478" spans="1:66" x14ac:dyDescent="0.25">
      <c r="A478" s="159" t="s">
        <v>1048</v>
      </c>
      <c r="B478" s="182" t="str">
        <f>VLOOKUP(A478,kurspris!$A$1:$B$894,2,FALSE)</f>
        <v>Tyska III för ämneslärare med inriktning mot gymnasiet</v>
      </c>
      <c r="C478" s="37"/>
      <c r="D478" s="31" t="s">
        <v>117</v>
      </c>
      <c r="F478" s="59">
        <v>2019</v>
      </c>
      <c r="Q478" s="237">
        <v>0.5</v>
      </c>
      <c r="R478" s="40">
        <v>0.8</v>
      </c>
      <c r="S478" s="313">
        <f t="shared" si="267"/>
        <v>0.4</v>
      </c>
      <c r="T478" s="31">
        <f>VLOOKUP(A478,'Ansvar kurs'!$A$1:$C$1027,2,FALSE)</f>
        <v>1620</v>
      </c>
      <c r="U478" s="31" t="str">
        <f>VLOOKUP(T478,Orgenheter!$A$1:$C$165,2,FALSE)</f>
        <v>Inst för språkstudier</v>
      </c>
      <c r="V478" s="31" t="str">
        <f>VLOOKUP(T478,Orgenheter!$A$1:$C$165,3,FALSE)</f>
        <v>Hum</v>
      </c>
      <c r="W478" s="37" t="str">
        <f>VLOOKUP(D478,Program!$A$1:$B$34,2,FALSE)</f>
        <v>Fristående och övriga kurser</v>
      </c>
      <c r="X478" s="42">
        <f>VLOOKUP(A478,kurspris!$A$1:$Q$815,15,FALSE)</f>
        <v>18405</v>
      </c>
      <c r="Y478" s="42">
        <f>VLOOKUP(A478,kurspris!$A$1:$Q$815,16,FALSE)</f>
        <v>15773</v>
      </c>
      <c r="Z478" s="42">
        <f t="shared" si="268"/>
        <v>15511.7</v>
      </c>
      <c r="AA478" s="42">
        <f>VLOOKUP(A478,kurspris!$A$1:$Q$815,17,FALSE)</f>
        <v>5800</v>
      </c>
      <c r="AB478" s="42">
        <f t="shared" si="269"/>
        <v>2900</v>
      </c>
      <c r="AC478" s="42">
        <f t="shared" si="270"/>
        <v>18411.7</v>
      </c>
      <c r="AD478" s="31">
        <f>VLOOKUP($A478,kurspris!$A$1:$Q$852,3,FALSE)</f>
        <v>0</v>
      </c>
      <c r="AE478" s="31">
        <f>VLOOKUP($A478,kurspris!$A$1:$Q$852,4,FALSE)</f>
        <v>1</v>
      </c>
      <c r="AF478" s="31">
        <f>VLOOKUP($A478,kurspris!$A$1:$Q$852,5,FALSE)</f>
        <v>0</v>
      </c>
      <c r="AG478" s="31">
        <f>VLOOKUP($A478,kurspris!$A$1:$Q$852,6,FALSE)</f>
        <v>0</v>
      </c>
      <c r="AH478" s="31">
        <f>VLOOKUP($A478,kurspris!$A$1:$Q$852,7,FALSE)</f>
        <v>0</v>
      </c>
      <c r="AI478" s="31">
        <f>VLOOKUP($A478,kurspris!$A$1:$Q$852,8,FALSE)</f>
        <v>0</v>
      </c>
      <c r="AJ478" s="31">
        <f>VLOOKUP($A478,kurspris!$A$1:$Q$852,9,FALSE)</f>
        <v>0</v>
      </c>
      <c r="AK478" s="31">
        <f>VLOOKUP($A478,kurspris!$A$1:$Q$852,10,FALSE)</f>
        <v>0</v>
      </c>
      <c r="AL478" s="31">
        <f>VLOOKUP($A478,kurspris!$A$1:$Q$852,11,FALSE)</f>
        <v>0</v>
      </c>
      <c r="AM478" s="31">
        <f>VLOOKUP($A478,kurspris!$A$1:$Q$852,12,FALSE)</f>
        <v>0</v>
      </c>
      <c r="AN478" s="31">
        <f>VLOOKUP($A478,kurspris!$A$1:$Q$852,13,FALSE)</f>
        <v>0</v>
      </c>
      <c r="AO478" s="31">
        <f>VLOOKUP($A478,kurspris!$A$1:$Q$852,14,FALSE)</f>
        <v>0</v>
      </c>
      <c r="AP478" s="59" t="s">
        <v>2216</v>
      </c>
      <c r="AR478" s="31">
        <f t="shared" si="271"/>
        <v>0</v>
      </c>
      <c r="AS478" s="237">
        <f t="shared" si="272"/>
        <v>0</v>
      </c>
      <c r="AT478" s="31">
        <f t="shared" si="273"/>
        <v>0.5</v>
      </c>
      <c r="AU478" s="237">
        <f t="shared" si="274"/>
        <v>0.4</v>
      </c>
      <c r="AV478" s="31">
        <f t="shared" si="275"/>
        <v>0</v>
      </c>
      <c r="AW478" s="31">
        <f t="shared" si="276"/>
        <v>0</v>
      </c>
      <c r="AX478" s="31">
        <f t="shared" si="277"/>
        <v>0</v>
      </c>
      <c r="AY478" s="237">
        <f t="shared" si="278"/>
        <v>0</v>
      </c>
      <c r="AZ478" s="214">
        <f t="shared" si="279"/>
        <v>0</v>
      </c>
      <c r="BA478" s="237">
        <f t="shared" si="280"/>
        <v>0</v>
      </c>
      <c r="BB478" s="31">
        <f t="shared" si="281"/>
        <v>0</v>
      </c>
      <c r="BC478" s="237">
        <f t="shared" si="282"/>
        <v>0</v>
      </c>
      <c r="BD478" s="31">
        <f t="shared" si="283"/>
        <v>0</v>
      </c>
      <c r="BE478" s="237">
        <f t="shared" si="284"/>
        <v>0</v>
      </c>
      <c r="BF478" s="31">
        <f t="shared" si="285"/>
        <v>0</v>
      </c>
      <c r="BG478" s="237">
        <f t="shared" si="286"/>
        <v>0</v>
      </c>
      <c r="BH478" s="31">
        <f t="shared" si="287"/>
        <v>0</v>
      </c>
      <c r="BI478" s="237">
        <f t="shared" si="288"/>
        <v>0</v>
      </c>
      <c r="BJ478" s="31">
        <f t="shared" si="289"/>
        <v>0</v>
      </c>
      <c r="BK478" s="31">
        <f t="shared" si="290"/>
        <v>0</v>
      </c>
      <c r="BL478" s="237">
        <f t="shared" si="291"/>
        <v>0</v>
      </c>
      <c r="BM478" s="31">
        <f t="shared" si="292"/>
        <v>0</v>
      </c>
      <c r="BN478" s="237">
        <f t="shared" si="293"/>
        <v>0</v>
      </c>
    </row>
    <row r="479" spans="1:66" x14ac:dyDescent="0.25">
      <c r="A479" s="159" t="s">
        <v>1689</v>
      </c>
      <c r="B479" s="182" t="str">
        <f>VLOOKUP(A479,kurspris!$A$1:$B$894,2,FALSE)</f>
        <v>Tyska C, Deutsch lernen und lehren III</v>
      </c>
      <c r="C479" s="37"/>
      <c r="D479" s="31" t="s">
        <v>117</v>
      </c>
      <c r="F479" s="59">
        <v>2019</v>
      </c>
      <c r="Q479" s="237">
        <v>0.125</v>
      </c>
      <c r="R479" s="40">
        <v>0.8</v>
      </c>
      <c r="S479" s="313">
        <f t="shared" si="267"/>
        <v>0.1</v>
      </c>
      <c r="T479" s="31">
        <f>VLOOKUP(A479,'Ansvar kurs'!$A$1:$C$1027,2,FALSE)</f>
        <v>1620</v>
      </c>
      <c r="U479" s="31" t="str">
        <f>VLOOKUP(T479,Orgenheter!$A$1:$C$165,2,FALSE)</f>
        <v>Inst för språkstudier</v>
      </c>
      <c r="V479" s="31" t="str">
        <f>VLOOKUP(T479,Orgenheter!$A$1:$C$165,3,FALSE)</f>
        <v>Hum</v>
      </c>
      <c r="W479" s="37" t="str">
        <f>VLOOKUP(D479,Program!$A$1:$B$34,2,FALSE)</f>
        <v>Fristående och övriga kurser</v>
      </c>
      <c r="X479" s="42">
        <f>VLOOKUP(A479,kurspris!$A$1:$Q$815,15,FALSE)</f>
        <v>18405</v>
      </c>
      <c r="Y479" s="42">
        <f>VLOOKUP(A479,kurspris!$A$1:$Q$815,16,FALSE)</f>
        <v>15773</v>
      </c>
      <c r="Z479" s="42">
        <f t="shared" si="268"/>
        <v>3877.9250000000002</v>
      </c>
      <c r="AA479" s="42">
        <f>VLOOKUP(A479,kurspris!$A$1:$Q$815,17,FALSE)</f>
        <v>5800</v>
      </c>
      <c r="AB479" s="42">
        <f t="shared" si="269"/>
        <v>725</v>
      </c>
      <c r="AC479" s="42">
        <f t="shared" si="270"/>
        <v>4602.9250000000002</v>
      </c>
      <c r="AD479" s="31">
        <f>VLOOKUP($A479,kurspris!$A$1:$Q$852,3,FALSE)</f>
        <v>0</v>
      </c>
      <c r="AE479" s="31">
        <f>VLOOKUP($A479,kurspris!$A$1:$Q$852,4,FALSE)</f>
        <v>1</v>
      </c>
      <c r="AF479" s="31">
        <f>VLOOKUP($A479,kurspris!$A$1:$Q$852,5,FALSE)</f>
        <v>0</v>
      </c>
      <c r="AG479" s="31">
        <f>VLOOKUP($A479,kurspris!$A$1:$Q$852,6,FALSE)</f>
        <v>0</v>
      </c>
      <c r="AH479" s="31">
        <f>VLOOKUP($A479,kurspris!$A$1:$Q$852,7,FALSE)</f>
        <v>0</v>
      </c>
      <c r="AI479" s="31">
        <f>VLOOKUP($A479,kurspris!$A$1:$Q$852,8,FALSE)</f>
        <v>0</v>
      </c>
      <c r="AJ479" s="31">
        <f>VLOOKUP($A479,kurspris!$A$1:$Q$852,9,FALSE)</f>
        <v>0</v>
      </c>
      <c r="AK479" s="31">
        <f>VLOOKUP($A479,kurspris!$A$1:$Q$852,10,FALSE)</f>
        <v>0</v>
      </c>
      <c r="AL479" s="31">
        <f>VLOOKUP($A479,kurspris!$A$1:$Q$852,11,FALSE)</f>
        <v>0</v>
      </c>
      <c r="AM479" s="31">
        <f>VLOOKUP($A479,kurspris!$A$1:$Q$852,12,FALSE)</f>
        <v>0</v>
      </c>
      <c r="AN479" s="31">
        <f>VLOOKUP($A479,kurspris!$A$1:$Q$852,13,FALSE)</f>
        <v>0</v>
      </c>
      <c r="AO479" s="31">
        <f>VLOOKUP($A479,kurspris!$A$1:$Q$852,14,FALSE)</f>
        <v>0</v>
      </c>
      <c r="AP479" s="59" t="s">
        <v>2216</v>
      </c>
      <c r="AR479" s="31">
        <f t="shared" si="271"/>
        <v>0</v>
      </c>
      <c r="AS479" s="237">
        <f t="shared" si="272"/>
        <v>0</v>
      </c>
      <c r="AT479" s="31">
        <f t="shared" si="273"/>
        <v>0.125</v>
      </c>
      <c r="AU479" s="237">
        <f t="shared" si="274"/>
        <v>0.1</v>
      </c>
      <c r="AV479" s="31">
        <f t="shared" si="275"/>
        <v>0</v>
      </c>
      <c r="AW479" s="31">
        <f t="shared" si="276"/>
        <v>0</v>
      </c>
      <c r="AX479" s="31">
        <f t="shared" si="277"/>
        <v>0</v>
      </c>
      <c r="AY479" s="237">
        <f t="shared" si="278"/>
        <v>0</v>
      </c>
      <c r="AZ479" s="214">
        <f t="shared" si="279"/>
        <v>0</v>
      </c>
      <c r="BA479" s="237">
        <f t="shared" si="280"/>
        <v>0</v>
      </c>
      <c r="BB479" s="31">
        <f t="shared" si="281"/>
        <v>0</v>
      </c>
      <c r="BC479" s="237">
        <f t="shared" si="282"/>
        <v>0</v>
      </c>
      <c r="BD479" s="31">
        <f t="shared" si="283"/>
        <v>0</v>
      </c>
      <c r="BE479" s="237">
        <f t="shared" si="284"/>
        <v>0</v>
      </c>
      <c r="BF479" s="31">
        <f t="shared" si="285"/>
        <v>0</v>
      </c>
      <c r="BG479" s="237">
        <f t="shared" si="286"/>
        <v>0</v>
      </c>
      <c r="BH479" s="31">
        <f t="shared" si="287"/>
        <v>0</v>
      </c>
      <c r="BI479" s="237">
        <f t="shared" si="288"/>
        <v>0</v>
      </c>
      <c r="BJ479" s="31">
        <f t="shared" si="289"/>
        <v>0</v>
      </c>
      <c r="BK479" s="31">
        <f t="shared" si="290"/>
        <v>0</v>
      </c>
      <c r="BL479" s="237">
        <f t="shared" si="291"/>
        <v>0</v>
      </c>
      <c r="BM479" s="31">
        <f t="shared" si="292"/>
        <v>0</v>
      </c>
      <c r="BN479" s="237">
        <f t="shared" si="293"/>
        <v>0</v>
      </c>
    </row>
    <row r="480" spans="1:66" x14ac:dyDescent="0.25">
      <c r="A480" s="159" t="s">
        <v>1899</v>
      </c>
      <c r="B480" s="182" t="str">
        <f>VLOOKUP(A480,kurspris!$A$1:$B$894,2,FALSE)</f>
        <v>Att undervisa i tyska (VFU)</v>
      </c>
      <c r="C480" s="37"/>
      <c r="D480" s="31" t="s">
        <v>483</v>
      </c>
      <c r="F480" s="59">
        <v>2019</v>
      </c>
      <c r="Q480" s="237">
        <v>0.1</v>
      </c>
      <c r="R480" s="40">
        <v>0.85</v>
      </c>
      <c r="S480" s="313">
        <f t="shared" si="267"/>
        <v>8.5000000000000006E-2</v>
      </c>
      <c r="T480" s="31">
        <f>VLOOKUP(A480,'Ansvar kurs'!$A$1:$C$1027,2,FALSE)</f>
        <v>1620</v>
      </c>
      <c r="U480" s="31" t="str">
        <f>VLOOKUP(T480,Orgenheter!$A$1:$C$165,2,FALSE)</f>
        <v>Inst för språkstudier</v>
      </c>
      <c r="V480" s="31" t="str">
        <f>VLOOKUP(T480,Orgenheter!$A$1:$C$165,3,FALSE)</f>
        <v>Hum</v>
      </c>
      <c r="W480" s="37" t="str">
        <f>VLOOKUP(D480,Program!$A$1:$B$34,2,FALSE)</f>
        <v>Ämneslärarprogrammet - Gy</v>
      </c>
      <c r="X480" s="42">
        <f>VLOOKUP(A480,kurspris!$A$1:$Q$815,15,FALSE)</f>
        <v>21634</v>
      </c>
      <c r="Y480" s="42">
        <f>VLOOKUP(A480,kurspris!$A$1:$Q$815,16,FALSE)</f>
        <v>26986</v>
      </c>
      <c r="Z480" s="42">
        <f t="shared" si="268"/>
        <v>4457.21</v>
      </c>
      <c r="AA480" s="42">
        <f>VLOOKUP(A480,kurspris!$A$1:$Q$815,17,FALSE)</f>
        <v>3400</v>
      </c>
      <c r="AB480" s="42">
        <f t="shared" si="269"/>
        <v>340</v>
      </c>
      <c r="AC480" s="42">
        <f t="shared" si="270"/>
        <v>4797.21</v>
      </c>
      <c r="AD480" s="31">
        <f>VLOOKUP($A480,kurspris!$A$1:$Q$852,3,FALSE)</f>
        <v>0</v>
      </c>
      <c r="AE480" s="31">
        <f>VLOOKUP($A480,kurspris!$A$1:$Q$852,4,FALSE)</f>
        <v>0</v>
      </c>
      <c r="AF480" s="31">
        <f>VLOOKUP($A480,kurspris!$A$1:$Q$852,5,FALSE)</f>
        <v>0</v>
      </c>
      <c r="AG480" s="31">
        <f>VLOOKUP($A480,kurspris!$A$1:$Q$852,6,FALSE)</f>
        <v>0</v>
      </c>
      <c r="AH480" s="31">
        <f>VLOOKUP($A480,kurspris!$A$1:$Q$852,7,FALSE)</f>
        <v>0</v>
      </c>
      <c r="AI480" s="31">
        <f>VLOOKUP($A480,kurspris!$A$1:$Q$852,8,FALSE)</f>
        <v>0</v>
      </c>
      <c r="AJ480" s="31">
        <f>VLOOKUP($A480,kurspris!$A$1:$Q$852,9,FALSE)</f>
        <v>0</v>
      </c>
      <c r="AK480" s="31">
        <f>VLOOKUP($A480,kurspris!$A$1:$Q$852,10,FALSE)</f>
        <v>0</v>
      </c>
      <c r="AL480" s="31">
        <f>VLOOKUP($A480,kurspris!$A$1:$Q$852,11,FALSE)</f>
        <v>1</v>
      </c>
      <c r="AM480" s="31">
        <f>VLOOKUP($A480,kurspris!$A$1:$Q$852,12,FALSE)</f>
        <v>0</v>
      </c>
      <c r="AN480" s="31">
        <f>VLOOKUP($A480,kurspris!$A$1:$Q$852,13,FALSE)</f>
        <v>0</v>
      </c>
      <c r="AO480" s="31">
        <f>VLOOKUP($A480,kurspris!$A$1:$Q$852,14,FALSE)</f>
        <v>0</v>
      </c>
      <c r="AP480" s="59" t="s">
        <v>2216</v>
      </c>
      <c r="AR480" s="31">
        <f t="shared" si="271"/>
        <v>0</v>
      </c>
      <c r="AS480" s="237">
        <f t="shared" si="272"/>
        <v>0</v>
      </c>
      <c r="AT480" s="31">
        <f t="shared" si="273"/>
        <v>0</v>
      </c>
      <c r="AU480" s="237">
        <f t="shared" si="274"/>
        <v>0</v>
      </c>
      <c r="AV480" s="31">
        <f t="shared" si="275"/>
        <v>0</v>
      </c>
      <c r="AW480" s="31">
        <f t="shared" si="276"/>
        <v>0</v>
      </c>
      <c r="AX480" s="31">
        <f t="shared" si="277"/>
        <v>0</v>
      </c>
      <c r="AY480" s="237">
        <f t="shared" si="278"/>
        <v>0</v>
      </c>
      <c r="AZ480" s="214">
        <f t="shared" si="279"/>
        <v>0</v>
      </c>
      <c r="BA480" s="237">
        <f t="shared" si="280"/>
        <v>0</v>
      </c>
      <c r="BB480" s="31">
        <f t="shared" si="281"/>
        <v>0</v>
      </c>
      <c r="BC480" s="237">
        <f t="shared" si="282"/>
        <v>0</v>
      </c>
      <c r="BD480" s="31">
        <f t="shared" si="283"/>
        <v>0</v>
      </c>
      <c r="BE480" s="237">
        <f t="shared" si="284"/>
        <v>0</v>
      </c>
      <c r="BF480" s="31">
        <f t="shared" si="285"/>
        <v>0</v>
      </c>
      <c r="BG480" s="237">
        <f t="shared" si="286"/>
        <v>0</v>
      </c>
      <c r="BH480" s="31">
        <f t="shared" si="287"/>
        <v>0.1</v>
      </c>
      <c r="BI480" s="237">
        <f t="shared" si="288"/>
        <v>8.5000000000000006E-2</v>
      </c>
      <c r="BJ480" s="31">
        <f t="shared" si="289"/>
        <v>0</v>
      </c>
      <c r="BK480" s="31">
        <f t="shared" si="290"/>
        <v>0</v>
      </c>
      <c r="BL480" s="237">
        <f t="shared" si="291"/>
        <v>0</v>
      </c>
      <c r="BM480" s="31">
        <f t="shared" si="292"/>
        <v>0</v>
      </c>
      <c r="BN480" s="237">
        <f t="shared" si="293"/>
        <v>0</v>
      </c>
    </row>
    <row r="481" spans="1:68" x14ac:dyDescent="0.25">
      <c r="A481" s="159" t="s">
        <v>63</v>
      </c>
      <c r="B481" s="182" t="str">
        <f>VLOOKUP(A481,kurspris!$A$1:$B$894,2,FALSE)</f>
        <v>Examensarbete</v>
      </c>
      <c r="C481" s="37"/>
      <c r="D481" s="31" t="s">
        <v>114</v>
      </c>
      <c r="F481" s="59">
        <v>2019</v>
      </c>
      <c r="Q481" s="237">
        <v>0.25</v>
      </c>
      <c r="R481" s="40">
        <v>0.85</v>
      </c>
      <c r="S481" s="313">
        <f t="shared" si="267"/>
        <v>0.21249999999999999</v>
      </c>
      <c r="T481" s="31">
        <f>VLOOKUP(A481,'Ansvar kurs'!$A$1:$C$1027,2,FALSE)</f>
        <v>2193</v>
      </c>
      <c r="U481" s="31" t="str">
        <f>VLOOKUP(T481,Orgenheter!$A$1:$C$165,2,FALSE)</f>
        <v xml:space="preserve">TUV </v>
      </c>
      <c r="V481" s="31" t="str">
        <f>VLOOKUP(T481,Orgenheter!$A$1:$C$165,3,FALSE)</f>
        <v>Sam</v>
      </c>
      <c r="W481" s="37" t="str">
        <f>VLOOKUP(D481,Program!$A$1:$B$34,2,FALSE)</f>
        <v>Lärarprogram långa - före ht11</v>
      </c>
      <c r="X481" s="42">
        <f>VLOOKUP(A481,kurspris!$A$1:$Q$815,15,FALSE)</f>
        <v>23641</v>
      </c>
      <c r="Y481" s="42">
        <f>VLOOKUP(A481,kurspris!$A$1:$Q$815,16,FALSE)</f>
        <v>28786</v>
      </c>
      <c r="Z481" s="42">
        <f t="shared" si="268"/>
        <v>12027.275</v>
      </c>
      <c r="AA481" s="42">
        <f>VLOOKUP(A481,kurspris!$A$1:$Q$815,17,FALSE)</f>
        <v>5800</v>
      </c>
      <c r="AB481" s="42">
        <f t="shared" si="269"/>
        <v>1450</v>
      </c>
      <c r="AC481" s="42">
        <f t="shared" si="270"/>
        <v>13477.275</v>
      </c>
      <c r="AD481" s="31">
        <f>VLOOKUP($A481,kurspris!$A$1:$Q$852,3,FALSE)</f>
        <v>0</v>
      </c>
      <c r="AE481" s="31">
        <f>VLOOKUP($A481,kurspris!$A$1:$Q$852,4,FALSE)</f>
        <v>0</v>
      </c>
      <c r="AF481" s="31">
        <f>VLOOKUP($A481,kurspris!$A$1:$Q$852,5,FALSE)</f>
        <v>0</v>
      </c>
      <c r="AG481" s="31">
        <f>VLOOKUP($A481,kurspris!$A$1:$Q$852,6,FALSE)</f>
        <v>1</v>
      </c>
      <c r="AH481" s="31">
        <f>VLOOKUP($A481,kurspris!$A$1:$Q$852,7,FALSE)</f>
        <v>0</v>
      </c>
      <c r="AI481" s="31">
        <f>VLOOKUP($A481,kurspris!$A$1:$Q$852,8,FALSE)</f>
        <v>0</v>
      </c>
      <c r="AJ481" s="31">
        <f>VLOOKUP($A481,kurspris!$A$1:$Q$852,9,FALSE)</f>
        <v>0</v>
      </c>
      <c r="AK481" s="31">
        <f>VLOOKUP($A481,kurspris!$A$1:$Q$852,10,FALSE)</f>
        <v>0</v>
      </c>
      <c r="AL481" s="31">
        <f>VLOOKUP($A481,kurspris!$A$1:$Q$852,11,FALSE)</f>
        <v>0</v>
      </c>
      <c r="AM481" s="31">
        <f>VLOOKUP($A481,kurspris!$A$1:$Q$852,12,FALSE)</f>
        <v>0</v>
      </c>
      <c r="AN481" s="31">
        <f>VLOOKUP($A481,kurspris!$A$1:$Q$852,13,FALSE)</f>
        <v>0</v>
      </c>
      <c r="AO481" s="31">
        <f>VLOOKUP($A481,kurspris!$A$1:$Q$852,14,FALSE)</f>
        <v>0</v>
      </c>
      <c r="AP481" s="59" t="s">
        <v>2216</v>
      </c>
      <c r="AR481" s="31">
        <f t="shared" si="271"/>
        <v>0</v>
      </c>
      <c r="AS481" s="237">
        <f t="shared" si="272"/>
        <v>0</v>
      </c>
      <c r="AT481" s="31">
        <f t="shared" si="273"/>
        <v>0</v>
      </c>
      <c r="AU481" s="237">
        <f t="shared" si="274"/>
        <v>0</v>
      </c>
      <c r="AV481" s="31">
        <f t="shared" si="275"/>
        <v>0</v>
      </c>
      <c r="AW481" s="31">
        <f t="shared" si="276"/>
        <v>0</v>
      </c>
      <c r="AX481" s="31">
        <f t="shared" si="277"/>
        <v>0.25</v>
      </c>
      <c r="AY481" s="237">
        <f t="shared" si="278"/>
        <v>0.21249999999999999</v>
      </c>
      <c r="AZ481" s="214">
        <f t="shared" si="279"/>
        <v>0</v>
      </c>
      <c r="BA481" s="237">
        <f t="shared" si="280"/>
        <v>0</v>
      </c>
      <c r="BB481" s="31">
        <f t="shared" si="281"/>
        <v>0</v>
      </c>
      <c r="BC481" s="237">
        <f t="shared" si="282"/>
        <v>0</v>
      </c>
      <c r="BD481" s="31">
        <f t="shared" si="283"/>
        <v>0</v>
      </c>
      <c r="BE481" s="237">
        <f t="shared" si="284"/>
        <v>0</v>
      </c>
      <c r="BF481" s="31">
        <f t="shared" si="285"/>
        <v>0</v>
      </c>
      <c r="BG481" s="237">
        <f t="shared" si="286"/>
        <v>0</v>
      </c>
      <c r="BH481" s="31">
        <f t="shared" si="287"/>
        <v>0</v>
      </c>
      <c r="BI481" s="237">
        <f t="shared" si="288"/>
        <v>0</v>
      </c>
      <c r="BJ481" s="31">
        <f t="shared" si="289"/>
        <v>0</v>
      </c>
      <c r="BK481" s="31">
        <f t="shared" si="290"/>
        <v>0</v>
      </c>
      <c r="BL481" s="237">
        <f t="shared" si="291"/>
        <v>0</v>
      </c>
      <c r="BM481" s="31">
        <f t="shared" si="292"/>
        <v>0</v>
      </c>
      <c r="BN481" s="237">
        <f t="shared" si="293"/>
        <v>0</v>
      </c>
    </row>
    <row r="482" spans="1:68" x14ac:dyDescent="0.25">
      <c r="B482" s="182"/>
      <c r="C482" s="36"/>
      <c r="D482" s="39"/>
      <c r="E482"/>
      <c r="G482"/>
      <c r="H482"/>
      <c r="J482"/>
      <c r="K482"/>
      <c r="L482" s="19"/>
      <c r="M482" s="210"/>
      <c r="N482" s="210"/>
      <c r="O482" s="210"/>
      <c r="P482" s="38"/>
      <c r="Q482" s="214"/>
      <c r="R482" s="40"/>
      <c r="S482" s="44"/>
      <c r="W482" s="37"/>
      <c r="AP482" s="39"/>
      <c r="AQ482"/>
      <c r="AY482" s="237"/>
      <c r="AZ482" s="214"/>
      <c r="BA482" s="237"/>
      <c r="BC482" s="237"/>
      <c r="BE482" s="237"/>
      <c r="BG482" s="237"/>
      <c r="BI482" s="237"/>
      <c r="BL482" s="237"/>
      <c r="BN482" s="237"/>
    </row>
    <row r="483" spans="1:68" x14ac:dyDescent="0.25">
      <c r="A483" s="219"/>
      <c r="B483" s="390"/>
      <c r="C483" s="221"/>
      <c r="D483" s="222"/>
      <c r="E483" s="219"/>
      <c r="F483" s="222"/>
      <c r="G483" s="219"/>
      <c r="H483" s="219"/>
      <c r="I483" s="219"/>
      <c r="J483" s="219"/>
      <c r="K483" s="219"/>
      <c r="L483" s="223"/>
      <c r="M483" s="220"/>
      <c r="N483" s="220"/>
      <c r="O483" s="220"/>
      <c r="P483" s="224"/>
      <c r="Q483" s="225"/>
      <c r="R483" s="223"/>
      <c r="S483" s="226"/>
      <c r="T483" s="219"/>
      <c r="U483" s="219"/>
      <c r="V483" s="219"/>
      <c r="W483" s="221"/>
      <c r="X483" s="227"/>
      <c r="Y483" s="227"/>
      <c r="Z483" s="227"/>
      <c r="AA483" s="227"/>
      <c r="AB483" s="227"/>
      <c r="AC483" s="227"/>
      <c r="AD483" s="219"/>
      <c r="AE483" s="219"/>
      <c r="AF483" s="219"/>
      <c r="AG483" s="219"/>
      <c r="AH483" s="219"/>
      <c r="AI483" s="219"/>
      <c r="AJ483" s="219"/>
      <c r="AK483" s="219"/>
      <c r="AL483" s="219"/>
      <c r="AM483" s="219"/>
      <c r="AN483" s="219"/>
      <c r="AO483" s="219"/>
      <c r="AP483" s="222"/>
      <c r="AQ483" s="222" t="s">
        <v>154</v>
      </c>
      <c r="AR483" s="228">
        <f t="shared" ref="AR483:BN483" si="320">SUM(AR1:AR482)</f>
        <v>39.9375</v>
      </c>
      <c r="AS483" s="228">
        <f t="shared" si="320"/>
        <v>32.92499999999999</v>
      </c>
      <c r="AT483" s="228">
        <f t="shared" si="320"/>
        <v>367.64582999999999</v>
      </c>
      <c r="AU483" s="228">
        <f t="shared" si="320"/>
        <v>309.85416400000003</v>
      </c>
      <c r="AV483" s="228">
        <f t="shared" si="320"/>
        <v>38.5</v>
      </c>
      <c r="AW483" s="228">
        <f t="shared" si="320"/>
        <v>32.499999999999993</v>
      </c>
      <c r="AX483" s="228">
        <f t="shared" si="320"/>
        <v>396.29999333333342</v>
      </c>
      <c r="AY483" s="228">
        <f t="shared" si="320"/>
        <v>336.83624433333347</v>
      </c>
      <c r="AZ483" s="228">
        <f t="shared" si="320"/>
        <v>21.875</v>
      </c>
      <c r="BA483" s="228">
        <f t="shared" si="320"/>
        <v>18.037499999999998</v>
      </c>
      <c r="BB483" s="228">
        <f t="shared" si="320"/>
        <v>225.18332999999998</v>
      </c>
      <c r="BC483" s="228">
        <f t="shared" si="320"/>
        <v>188.39291399999999</v>
      </c>
      <c r="BD483" s="228">
        <f t="shared" si="320"/>
        <v>451.36251200000004</v>
      </c>
      <c r="BE483" s="228">
        <f t="shared" si="320"/>
        <v>377.51813520000002</v>
      </c>
      <c r="BF483" s="228">
        <f t="shared" si="320"/>
        <v>81.637500000000003</v>
      </c>
      <c r="BG483" s="228">
        <f t="shared" si="320"/>
        <v>66.085624999999993</v>
      </c>
      <c r="BH483" s="228">
        <f t="shared" si="320"/>
        <v>157.14167</v>
      </c>
      <c r="BI483" s="228">
        <f t="shared" si="320"/>
        <v>133.4554195</v>
      </c>
      <c r="BJ483" s="228">
        <f t="shared" si="320"/>
        <v>0</v>
      </c>
      <c r="BK483" s="228">
        <f t="shared" si="320"/>
        <v>41.625</v>
      </c>
      <c r="BL483" s="228">
        <f t="shared" si="320"/>
        <v>35.34375</v>
      </c>
      <c r="BM483" s="228">
        <f t="shared" si="320"/>
        <v>37.041668000000001</v>
      </c>
      <c r="BN483" s="228">
        <f t="shared" si="320"/>
        <v>31.485417800000004</v>
      </c>
      <c r="BP483" s="238"/>
    </row>
    <row r="484" spans="1:68" x14ac:dyDescent="0.25">
      <c r="B484" s="182"/>
      <c r="C484" s="36"/>
      <c r="N484" s="210"/>
      <c r="O484" s="210"/>
      <c r="P484" s="38"/>
      <c r="Q484" s="214">
        <f>SUM(Q1:Q482)</f>
        <v>1858.2500033333331</v>
      </c>
      <c r="R484" s="40"/>
      <c r="S484" s="44">
        <f>SUM(S1:S482)</f>
        <v>1562.4341698333335</v>
      </c>
      <c r="W484" s="37"/>
      <c r="AP484" s="39"/>
      <c r="AQ484" s="31" t="s">
        <v>804</v>
      </c>
      <c r="AR484" s="31">
        <v>37</v>
      </c>
      <c r="AS484" s="31">
        <v>37</v>
      </c>
      <c r="AZ484" s="214">
        <v>10</v>
      </c>
      <c r="BA484" s="214">
        <v>10</v>
      </c>
    </row>
    <row r="485" spans="1:68" x14ac:dyDescent="0.25">
      <c r="R485" s="40"/>
      <c r="S485" s="31"/>
      <c r="X485" s="31"/>
      <c r="Y485" s="31"/>
      <c r="Z485" s="31"/>
      <c r="AA485" s="31"/>
      <c r="AB485" s="31"/>
      <c r="AC485" s="31"/>
      <c r="AQ485" s="31" t="s">
        <v>805</v>
      </c>
      <c r="AR485" s="31">
        <f>IF(AR483&gt;AR484,AR483-AR484,0)</f>
        <v>2.9375</v>
      </c>
      <c r="AS485" s="31">
        <f>IF(AS483&gt;AS484,AS483-AS484,0)</f>
        <v>0</v>
      </c>
      <c r="AZ485" s="31">
        <f>IF(AZ483&gt;AZ484,AZ483-AZ484,0)</f>
        <v>11.875</v>
      </c>
      <c r="BA485" s="31">
        <f>IF(BA483&gt;BA484,BA483-BA484,0)</f>
        <v>8.0374999999999979</v>
      </c>
    </row>
    <row r="486" spans="1:68" x14ac:dyDescent="0.25">
      <c r="S486" s="31"/>
      <c r="X486" s="31"/>
      <c r="Y486" s="31"/>
      <c r="Z486" s="31"/>
      <c r="AA486" s="31"/>
      <c r="AB486" s="31"/>
      <c r="AC486" s="31"/>
      <c r="AQ486" s="31" t="s">
        <v>806</v>
      </c>
      <c r="AR486" s="42">
        <f>(AR485*Prislapp!$H$2)-(AR485*Prislapp!$C$2)</f>
        <v>-83671.75</v>
      </c>
      <c r="AS486" s="42">
        <f>(AS485*Prislapp!$H$3)-(AS485*Prislapp!$C$3)</f>
        <v>0</v>
      </c>
      <c r="AZ486" s="42">
        <f>(AZ485*Prislapp!$H$2)-(AZ485*Prislapp!$G$2)</f>
        <v>-134531.875</v>
      </c>
      <c r="BA486" s="42">
        <f>(BA485*Prislapp!$H$3)-(BA485*Prislapp!$G$3)</f>
        <v>-233015.16249999992</v>
      </c>
    </row>
    <row r="487" spans="1:68" x14ac:dyDescent="0.25">
      <c r="S487" s="31"/>
      <c r="X487" s="31"/>
      <c r="Y487" s="31"/>
      <c r="Z487" s="31"/>
      <c r="AA487" s="31"/>
      <c r="AB487" s="31"/>
      <c r="AC487" s="31"/>
      <c r="AQ487" s="31" t="s">
        <v>853</v>
      </c>
      <c r="AR487" s="42">
        <f>(AR485*Prislapp!$H$5)-(AR485*Prislapp!$C$5)</f>
        <v>-138650</v>
      </c>
      <c r="AS487" s="42"/>
      <c r="AZ487" s="42">
        <f>(AZ485*Prislapp!$H$5)-(AZ485*Prislapp!$G$5)</f>
        <v>-573562.5</v>
      </c>
      <c r="BA487" s="42"/>
    </row>
    <row r="488" spans="1:68" x14ac:dyDescent="0.25">
      <c r="S488" s="31"/>
      <c r="X488" s="31"/>
      <c r="Y488" s="31"/>
      <c r="Z488" s="31"/>
      <c r="AA488" s="31"/>
      <c r="AB488" s="31"/>
      <c r="AC488" s="31"/>
      <c r="AQ488" s="59" t="s">
        <v>807</v>
      </c>
      <c r="AR488" s="42">
        <f>SUM(AR486:AR487)</f>
        <v>-222321.75</v>
      </c>
      <c r="AS488" s="42">
        <f>SUM(AS486:AS487)</f>
        <v>0</v>
      </c>
      <c r="AZ488" s="42">
        <f>SUM(AZ486:AZ487)</f>
        <v>-708094.375</v>
      </c>
      <c r="BA488" s="42">
        <f>SUM(BA486:BA487)</f>
        <v>-233015.16249999992</v>
      </c>
    </row>
    <row r="489" spans="1:68" x14ac:dyDescent="0.25">
      <c r="S489" s="31"/>
      <c r="X489" s="31"/>
      <c r="Y489" s="31"/>
      <c r="Z489" s="31"/>
      <c r="AA489" s="31"/>
      <c r="AB489" s="31"/>
      <c r="AC489" s="31"/>
    </row>
    <row r="490" spans="1:68" x14ac:dyDescent="0.25">
      <c r="S490" s="31"/>
      <c r="X490" s="31"/>
      <c r="Y490" s="31"/>
      <c r="Z490" s="31"/>
      <c r="AA490" s="31"/>
      <c r="AB490" s="31"/>
      <c r="AC490" s="31"/>
    </row>
    <row r="491" spans="1:68" x14ac:dyDescent="0.25">
      <c r="S491" s="31"/>
      <c r="X491" s="31"/>
      <c r="Y491" s="31"/>
      <c r="Z491" s="31"/>
      <c r="AA491" s="31"/>
      <c r="AB491" s="31"/>
      <c r="AC491" s="31"/>
    </row>
    <row r="492" spans="1:68" x14ac:dyDescent="0.25">
      <c r="S492" s="31"/>
      <c r="X492" s="31"/>
      <c r="Y492" s="31"/>
      <c r="Z492" s="31"/>
      <c r="AA492" s="31"/>
      <c r="AB492" s="31"/>
      <c r="AC492" s="31"/>
    </row>
    <row r="493" spans="1:68" x14ac:dyDescent="0.25">
      <c r="S493" s="31"/>
      <c r="X493" s="31"/>
      <c r="Y493" s="31"/>
      <c r="Z493" s="31"/>
      <c r="AA493" s="31"/>
      <c r="AB493" s="31"/>
      <c r="AC493" s="31"/>
    </row>
    <row r="494" spans="1:68" x14ac:dyDescent="0.25">
      <c r="S494" s="31"/>
      <c r="X494" s="31"/>
      <c r="Y494" s="31"/>
      <c r="Z494" s="31"/>
      <c r="AA494" s="31"/>
      <c r="AB494" s="31"/>
      <c r="AC494" s="31"/>
    </row>
    <row r="495" spans="1:68" x14ac:dyDescent="0.25">
      <c r="S495" s="31"/>
      <c r="X495" s="31"/>
      <c r="Y495" s="31"/>
      <c r="Z495" s="31"/>
      <c r="AA495" s="31"/>
      <c r="AB495" s="31"/>
      <c r="AC495" s="31"/>
    </row>
    <row r="496" spans="1:68" x14ac:dyDescent="0.25">
      <c r="S496" s="31"/>
      <c r="X496" s="31"/>
      <c r="Y496" s="31"/>
      <c r="Z496" s="31"/>
      <c r="AA496" s="31"/>
      <c r="AB496" s="31"/>
      <c r="AC496" s="31"/>
    </row>
    <row r="497" spans="19:29" x14ac:dyDescent="0.25">
      <c r="S497" s="31"/>
      <c r="X497" s="31"/>
      <c r="Y497" s="31"/>
      <c r="Z497" s="31"/>
      <c r="AA497" s="31"/>
      <c r="AB497" s="31"/>
      <c r="AC497" s="31"/>
    </row>
    <row r="498" spans="19:29" x14ac:dyDescent="0.25">
      <c r="S498" s="31"/>
      <c r="X498" s="31"/>
      <c r="Y498" s="31"/>
      <c r="Z498" s="31"/>
      <c r="AA498" s="31"/>
      <c r="AB498" s="31"/>
      <c r="AC498" s="31"/>
    </row>
    <row r="499" spans="19:29" x14ac:dyDescent="0.25">
      <c r="S499" s="31"/>
      <c r="X499" s="31"/>
      <c r="Y499" s="31"/>
      <c r="Z499" s="31"/>
      <c r="AA499" s="31"/>
      <c r="AB499" s="31"/>
      <c r="AC499" s="31"/>
    </row>
    <row r="500" spans="19:29" x14ac:dyDescent="0.25">
      <c r="S500" s="31"/>
      <c r="X500" s="31"/>
      <c r="Y500" s="31"/>
      <c r="Z500" s="31"/>
      <c r="AA500" s="31"/>
      <c r="AB500" s="31"/>
      <c r="AC500" s="31"/>
    </row>
    <row r="501" spans="19:29" x14ac:dyDescent="0.25">
      <c r="S501" s="31"/>
      <c r="X501" s="31"/>
      <c r="Y501" s="31"/>
      <c r="Z501" s="31"/>
      <c r="AA501" s="31"/>
      <c r="AB501" s="31"/>
      <c r="AC501" s="31"/>
    </row>
    <row r="502" spans="19:29" x14ac:dyDescent="0.25">
      <c r="S502" s="31"/>
      <c r="X502" s="31"/>
      <c r="Y502" s="31"/>
      <c r="Z502" s="31"/>
      <c r="AA502" s="31"/>
      <c r="AB502" s="31"/>
      <c r="AC502" s="31"/>
    </row>
    <row r="503" spans="19:29" x14ac:dyDescent="0.25">
      <c r="S503" s="31"/>
      <c r="X503" s="31"/>
      <c r="Y503" s="31"/>
      <c r="Z503" s="31"/>
      <c r="AA503" s="31"/>
      <c r="AB503" s="31"/>
      <c r="AC503" s="31"/>
    </row>
    <row r="504" spans="19:29" x14ac:dyDescent="0.25">
      <c r="S504" s="31"/>
      <c r="X504" s="31"/>
      <c r="Y504" s="31"/>
      <c r="Z504" s="31"/>
      <c r="AA504" s="31"/>
      <c r="AB504" s="31"/>
      <c r="AC504" s="31"/>
    </row>
    <row r="505" spans="19:29" x14ac:dyDescent="0.25">
      <c r="S505" s="31"/>
      <c r="X505" s="31"/>
      <c r="Y505" s="31"/>
      <c r="Z505" s="31"/>
      <c r="AA505" s="31"/>
      <c r="AB505" s="31"/>
      <c r="AC505" s="31"/>
    </row>
    <row r="506" spans="19:29" x14ac:dyDescent="0.25">
      <c r="S506" s="31"/>
      <c r="X506" s="31"/>
      <c r="Y506" s="31"/>
      <c r="Z506" s="31"/>
      <c r="AA506" s="31"/>
      <c r="AB506" s="31"/>
      <c r="AC506" s="31"/>
    </row>
    <row r="507" spans="19:29" x14ac:dyDescent="0.25">
      <c r="S507" s="31"/>
      <c r="X507" s="31"/>
      <c r="Y507" s="31"/>
      <c r="Z507" s="31"/>
      <c r="AA507" s="31"/>
      <c r="AB507" s="31"/>
      <c r="AC507" s="31"/>
    </row>
    <row r="508" spans="19:29" x14ac:dyDescent="0.25">
      <c r="S508" s="31"/>
      <c r="X508" s="31"/>
      <c r="Y508" s="31"/>
      <c r="Z508" s="31"/>
      <c r="AA508" s="31"/>
      <c r="AB508" s="31"/>
      <c r="AC508" s="31"/>
    </row>
    <row r="509" spans="19:29" x14ac:dyDescent="0.25">
      <c r="S509" s="31"/>
      <c r="X509" s="31"/>
      <c r="Y509" s="31"/>
      <c r="Z509" s="31"/>
      <c r="AA509" s="31"/>
      <c r="AB509" s="31"/>
      <c r="AC509" s="31"/>
    </row>
    <row r="510" spans="19:29" x14ac:dyDescent="0.25">
      <c r="S510" s="31"/>
      <c r="X510" s="31"/>
      <c r="Y510" s="31"/>
      <c r="Z510" s="31"/>
      <c r="AA510" s="31"/>
      <c r="AB510" s="31"/>
      <c r="AC510" s="31"/>
    </row>
    <row r="511" spans="19:29" x14ac:dyDescent="0.25">
      <c r="S511" s="31"/>
      <c r="X511" s="31"/>
      <c r="Y511" s="31"/>
      <c r="Z511" s="31"/>
      <c r="AA511" s="31"/>
      <c r="AB511" s="31"/>
      <c r="AC511" s="31"/>
    </row>
    <row r="512" spans="19:29" x14ac:dyDescent="0.25">
      <c r="S512" s="31"/>
      <c r="X512" s="31"/>
      <c r="Y512" s="31"/>
      <c r="Z512" s="31"/>
      <c r="AA512" s="31"/>
      <c r="AB512" s="31"/>
      <c r="AC512" s="31"/>
    </row>
    <row r="513" spans="19:29" x14ac:dyDescent="0.25">
      <c r="S513" s="31"/>
      <c r="X513" s="31"/>
      <c r="Y513" s="31"/>
      <c r="Z513" s="31"/>
      <c r="AA513" s="31"/>
      <c r="AB513" s="31"/>
      <c r="AC513" s="31"/>
    </row>
    <row r="514" spans="19:29" x14ac:dyDescent="0.25">
      <c r="S514" s="31"/>
      <c r="X514" s="31"/>
      <c r="Y514" s="31"/>
      <c r="Z514" s="31"/>
      <c r="AA514" s="31"/>
      <c r="AB514" s="31"/>
      <c r="AC514" s="31"/>
    </row>
    <row r="515" spans="19:29" x14ac:dyDescent="0.25">
      <c r="S515" s="31"/>
      <c r="X515" s="31"/>
      <c r="Y515" s="31"/>
      <c r="Z515" s="31"/>
      <c r="AA515" s="31"/>
      <c r="AB515" s="31"/>
      <c r="AC515" s="31"/>
    </row>
    <row r="516" spans="19:29" x14ac:dyDescent="0.25">
      <c r="S516" s="31"/>
      <c r="X516" s="31"/>
      <c r="Y516" s="31"/>
      <c r="Z516" s="31"/>
      <c r="AA516" s="31"/>
      <c r="AB516" s="31"/>
      <c r="AC516" s="31"/>
    </row>
    <row r="517" spans="19:29" x14ac:dyDescent="0.25">
      <c r="S517" s="31"/>
      <c r="X517" s="31"/>
      <c r="Y517" s="31"/>
      <c r="Z517" s="31"/>
      <c r="AA517" s="31"/>
      <c r="AB517" s="31"/>
      <c r="AC517" s="31"/>
    </row>
    <row r="518" spans="19:29" x14ac:dyDescent="0.25">
      <c r="S518" s="31"/>
      <c r="X518" s="31"/>
      <c r="Y518" s="31"/>
      <c r="Z518" s="31"/>
      <c r="AA518" s="31"/>
      <c r="AB518" s="31"/>
      <c r="AC518" s="31"/>
    </row>
    <row r="519" spans="19:29" x14ac:dyDescent="0.25">
      <c r="S519" s="31"/>
      <c r="X519" s="31"/>
      <c r="Y519" s="31"/>
      <c r="Z519" s="31"/>
      <c r="AA519" s="31"/>
      <c r="AB519" s="31"/>
      <c r="AC519" s="31"/>
    </row>
    <row r="520" spans="19:29" x14ac:dyDescent="0.25">
      <c r="S520" s="31"/>
      <c r="X520" s="31"/>
      <c r="Y520" s="31"/>
      <c r="Z520" s="31"/>
      <c r="AA520" s="31"/>
      <c r="AB520" s="31"/>
      <c r="AC520" s="31"/>
    </row>
    <row r="521" spans="19:29" x14ac:dyDescent="0.25">
      <c r="S521" s="31"/>
      <c r="X521" s="31"/>
      <c r="Y521" s="31"/>
      <c r="Z521" s="31"/>
      <c r="AA521" s="31"/>
      <c r="AB521" s="31"/>
      <c r="AC521" s="31"/>
    </row>
    <row r="522" spans="19:29" x14ac:dyDescent="0.25">
      <c r="S522" s="31"/>
      <c r="X522" s="31"/>
      <c r="Y522" s="31"/>
      <c r="Z522" s="31"/>
      <c r="AA522" s="31"/>
      <c r="AB522" s="31"/>
      <c r="AC522" s="31"/>
    </row>
    <row r="523" spans="19:29" x14ac:dyDescent="0.25">
      <c r="S523" s="31"/>
      <c r="X523" s="31"/>
      <c r="Y523" s="31"/>
      <c r="Z523" s="31"/>
      <c r="AA523" s="31"/>
      <c r="AB523" s="31"/>
      <c r="AC523" s="31"/>
    </row>
    <row r="524" spans="19:29" x14ac:dyDescent="0.25">
      <c r="S524" s="31"/>
      <c r="X524" s="31"/>
      <c r="Y524" s="31"/>
      <c r="Z524" s="31"/>
      <c r="AA524" s="31"/>
      <c r="AB524" s="31"/>
      <c r="AC524" s="31"/>
    </row>
    <row r="525" spans="19:29" x14ac:dyDescent="0.25">
      <c r="S525" s="31"/>
      <c r="X525" s="31"/>
      <c r="Y525" s="31"/>
      <c r="Z525" s="31"/>
      <c r="AA525" s="31"/>
      <c r="AB525" s="31"/>
      <c r="AC525" s="31"/>
    </row>
    <row r="526" spans="19:29" x14ac:dyDescent="0.25">
      <c r="S526" s="31"/>
      <c r="X526" s="31"/>
      <c r="Y526" s="31"/>
      <c r="Z526" s="31"/>
      <c r="AA526" s="31"/>
      <c r="AB526" s="31"/>
      <c r="AC526" s="31"/>
    </row>
    <row r="527" spans="19:29" x14ac:dyDescent="0.25">
      <c r="S527" s="31"/>
      <c r="X527" s="31"/>
      <c r="Y527" s="31"/>
      <c r="Z527" s="31"/>
      <c r="AA527" s="31"/>
      <c r="AB527" s="31"/>
      <c r="AC527" s="31"/>
    </row>
    <row r="528" spans="19:29" x14ac:dyDescent="0.25">
      <c r="S528" s="31"/>
      <c r="X528" s="31"/>
      <c r="Y528" s="31"/>
      <c r="Z528" s="31"/>
      <c r="AA528" s="31"/>
      <c r="AB528" s="31"/>
      <c r="AC528" s="31"/>
    </row>
    <row r="529" spans="19:29" x14ac:dyDescent="0.25">
      <c r="S529" s="31"/>
      <c r="X529" s="31"/>
      <c r="Y529" s="31"/>
      <c r="Z529" s="31"/>
      <c r="AA529" s="31"/>
      <c r="AB529" s="31"/>
      <c r="AC529" s="31"/>
    </row>
    <row r="530" spans="19:29" x14ac:dyDescent="0.25">
      <c r="S530" s="31"/>
      <c r="X530" s="31"/>
      <c r="Y530" s="31"/>
      <c r="Z530" s="31"/>
      <c r="AA530" s="31"/>
      <c r="AB530" s="31"/>
      <c r="AC530" s="31"/>
    </row>
    <row r="531" spans="19:29" x14ac:dyDescent="0.25">
      <c r="S531" s="31"/>
      <c r="X531" s="31"/>
      <c r="Y531" s="31"/>
      <c r="Z531" s="31"/>
      <c r="AA531" s="31"/>
      <c r="AB531" s="31"/>
      <c r="AC531" s="31"/>
    </row>
    <row r="532" spans="19:29" x14ac:dyDescent="0.25">
      <c r="S532" s="31"/>
      <c r="X532" s="31"/>
      <c r="Y532" s="31"/>
      <c r="Z532" s="31"/>
      <c r="AA532" s="31"/>
      <c r="AB532" s="31"/>
      <c r="AC532" s="31"/>
    </row>
    <row r="533" spans="19:29" x14ac:dyDescent="0.25">
      <c r="S533" s="31"/>
      <c r="X533" s="31"/>
      <c r="Y533" s="31"/>
      <c r="Z533" s="31"/>
      <c r="AA533" s="31"/>
      <c r="AB533" s="31"/>
      <c r="AC533" s="31"/>
    </row>
    <row r="534" spans="19:29" x14ac:dyDescent="0.25">
      <c r="S534" s="31"/>
      <c r="X534" s="31"/>
      <c r="Y534" s="31"/>
      <c r="Z534" s="31"/>
      <c r="AA534" s="31"/>
      <c r="AB534" s="31"/>
      <c r="AC534" s="31"/>
    </row>
    <row r="535" spans="19:29" x14ac:dyDescent="0.25">
      <c r="S535" s="31"/>
      <c r="X535" s="31"/>
      <c r="Y535" s="31"/>
      <c r="Z535" s="31"/>
      <c r="AA535" s="31"/>
      <c r="AB535" s="31"/>
      <c r="AC535" s="31"/>
    </row>
    <row r="536" spans="19:29" x14ac:dyDescent="0.25">
      <c r="S536" s="31"/>
      <c r="X536" s="31"/>
      <c r="Y536" s="31"/>
      <c r="Z536" s="31"/>
      <c r="AA536" s="31"/>
      <c r="AB536" s="31"/>
      <c r="AC536" s="31"/>
    </row>
    <row r="537" spans="19:29" x14ac:dyDescent="0.25">
      <c r="S537" s="31"/>
      <c r="X537" s="31"/>
      <c r="Y537" s="31"/>
      <c r="Z537" s="31"/>
      <c r="AA537" s="31"/>
      <c r="AB537" s="31"/>
      <c r="AC537" s="31"/>
    </row>
    <row r="538" spans="19:29" x14ac:dyDescent="0.25">
      <c r="S538" s="31"/>
      <c r="X538" s="31"/>
      <c r="Y538" s="31"/>
      <c r="Z538" s="31"/>
      <c r="AA538" s="31"/>
      <c r="AB538" s="31"/>
      <c r="AC538" s="31"/>
    </row>
    <row r="539" spans="19:29" x14ac:dyDescent="0.25">
      <c r="S539" s="31"/>
      <c r="X539" s="31"/>
      <c r="Y539" s="31"/>
      <c r="Z539" s="31"/>
      <c r="AA539" s="31"/>
      <c r="AB539" s="31"/>
      <c r="AC539" s="31"/>
    </row>
    <row r="540" spans="19:29" x14ac:dyDescent="0.25">
      <c r="S540" s="31"/>
      <c r="X540" s="31"/>
      <c r="Y540" s="31"/>
      <c r="Z540" s="31"/>
      <c r="AA540" s="31"/>
      <c r="AB540" s="31"/>
      <c r="AC540" s="31"/>
    </row>
    <row r="541" spans="19:29" x14ac:dyDescent="0.25">
      <c r="S541" s="31"/>
      <c r="X541" s="31"/>
      <c r="Y541" s="31"/>
      <c r="Z541" s="31"/>
      <c r="AA541" s="31"/>
      <c r="AB541" s="31"/>
      <c r="AC541" s="31"/>
    </row>
    <row r="542" spans="19:29" x14ac:dyDescent="0.25">
      <c r="S542" s="31"/>
      <c r="X542" s="31"/>
      <c r="Y542" s="31"/>
      <c r="Z542" s="31"/>
      <c r="AA542" s="31"/>
      <c r="AB542" s="31"/>
      <c r="AC542" s="31"/>
    </row>
    <row r="543" spans="19:29" x14ac:dyDescent="0.25">
      <c r="S543" s="31"/>
      <c r="X543" s="31"/>
      <c r="Y543" s="31"/>
      <c r="Z543" s="31"/>
      <c r="AA543" s="31"/>
      <c r="AB543" s="31"/>
      <c r="AC543" s="31"/>
    </row>
    <row r="544" spans="19:29" x14ac:dyDescent="0.25">
      <c r="S544" s="31"/>
      <c r="X544" s="31"/>
      <c r="Y544" s="31"/>
      <c r="Z544" s="31"/>
      <c r="AA544" s="31"/>
      <c r="AB544" s="31"/>
      <c r="AC544" s="31"/>
    </row>
    <row r="545" spans="19:29" x14ac:dyDescent="0.25">
      <c r="S545" s="31"/>
      <c r="X545" s="31"/>
      <c r="Y545" s="31"/>
      <c r="Z545" s="31"/>
      <c r="AA545" s="31"/>
      <c r="AB545" s="31"/>
      <c r="AC545" s="31"/>
    </row>
    <row r="546" spans="19:29" x14ac:dyDescent="0.25">
      <c r="S546" s="31"/>
      <c r="X546" s="31"/>
      <c r="Y546" s="31"/>
      <c r="Z546" s="31"/>
      <c r="AA546" s="31"/>
      <c r="AB546" s="31"/>
      <c r="AC546" s="31"/>
    </row>
    <row r="547" spans="19:29" x14ac:dyDescent="0.25">
      <c r="S547" s="31"/>
      <c r="X547" s="31"/>
      <c r="Y547" s="31"/>
      <c r="Z547" s="31"/>
      <c r="AA547" s="31"/>
      <c r="AB547" s="31"/>
      <c r="AC547" s="31"/>
    </row>
    <row r="548" spans="19:29" x14ac:dyDescent="0.25">
      <c r="S548" s="31"/>
      <c r="X548" s="31"/>
      <c r="Y548" s="31"/>
      <c r="Z548" s="31"/>
      <c r="AA548" s="31"/>
      <c r="AB548" s="31"/>
      <c r="AC548" s="31"/>
    </row>
    <row r="549" spans="19:29" x14ac:dyDescent="0.25">
      <c r="S549" s="31"/>
      <c r="X549" s="31"/>
      <c r="Y549" s="31"/>
      <c r="Z549" s="31"/>
      <c r="AA549" s="31"/>
      <c r="AB549" s="31"/>
      <c r="AC549" s="31"/>
    </row>
    <row r="550" spans="19:29" x14ac:dyDescent="0.25">
      <c r="S550" s="31"/>
      <c r="X550" s="31"/>
      <c r="Y550" s="31"/>
      <c r="Z550" s="31"/>
      <c r="AA550" s="31"/>
      <c r="AB550" s="31"/>
      <c r="AC550" s="31"/>
    </row>
    <row r="551" spans="19:29" x14ac:dyDescent="0.25">
      <c r="S551" s="31"/>
      <c r="X551" s="31"/>
      <c r="Y551" s="31"/>
      <c r="Z551" s="31"/>
      <c r="AA551" s="31"/>
      <c r="AB551" s="31"/>
      <c r="AC551" s="31"/>
    </row>
    <row r="552" spans="19:29" x14ac:dyDescent="0.25">
      <c r="S552" s="31"/>
      <c r="X552" s="31"/>
      <c r="Y552" s="31"/>
      <c r="Z552" s="31"/>
      <c r="AA552" s="31"/>
      <c r="AB552" s="31"/>
      <c r="AC552" s="31"/>
    </row>
    <row r="553" spans="19:29" x14ac:dyDescent="0.25">
      <c r="S553" s="31"/>
      <c r="X553" s="31"/>
      <c r="Y553" s="31"/>
      <c r="Z553" s="31"/>
      <c r="AA553" s="31"/>
      <c r="AB553" s="31"/>
      <c r="AC553" s="31"/>
    </row>
    <row r="554" spans="19:29" x14ac:dyDescent="0.25">
      <c r="S554" s="31"/>
      <c r="X554" s="31"/>
      <c r="Y554" s="31"/>
      <c r="Z554" s="31"/>
      <c r="AA554" s="31"/>
      <c r="AB554" s="31"/>
      <c r="AC554" s="31"/>
    </row>
    <row r="555" spans="19:29" x14ac:dyDescent="0.25">
      <c r="S555" s="31"/>
      <c r="X555" s="31"/>
      <c r="Y555" s="31"/>
      <c r="Z555" s="31"/>
      <c r="AA555" s="31"/>
      <c r="AB555" s="31"/>
      <c r="AC555" s="31"/>
    </row>
    <row r="556" spans="19:29" x14ac:dyDescent="0.25">
      <c r="S556" s="31"/>
      <c r="X556" s="31"/>
      <c r="Y556" s="31"/>
      <c r="Z556" s="31"/>
      <c r="AA556" s="31"/>
      <c r="AB556" s="31"/>
      <c r="AC556" s="31"/>
    </row>
    <row r="557" spans="19:29" x14ac:dyDescent="0.25">
      <c r="S557" s="31"/>
      <c r="X557" s="31"/>
      <c r="Y557" s="31"/>
      <c r="Z557" s="31"/>
      <c r="AA557" s="31"/>
      <c r="AB557" s="31"/>
      <c r="AC557" s="31"/>
    </row>
    <row r="558" spans="19:29" x14ac:dyDescent="0.25">
      <c r="S558" s="31"/>
      <c r="X558" s="31"/>
      <c r="Y558" s="31"/>
      <c r="Z558" s="31"/>
      <c r="AA558" s="31"/>
      <c r="AB558" s="31"/>
      <c r="AC558" s="31"/>
    </row>
    <row r="559" spans="19:29" x14ac:dyDescent="0.25">
      <c r="S559" s="31"/>
      <c r="X559" s="31"/>
      <c r="Y559" s="31"/>
      <c r="Z559" s="31"/>
      <c r="AA559" s="31"/>
      <c r="AB559" s="31"/>
      <c r="AC559" s="31"/>
    </row>
    <row r="560" spans="19:29" x14ac:dyDescent="0.25">
      <c r="S560" s="31"/>
      <c r="X560" s="31"/>
      <c r="Y560" s="31"/>
      <c r="Z560" s="31"/>
      <c r="AA560" s="31"/>
      <c r="AB560" s="31"/>
      <c r="AC560" s="31"/>
    </row>
    <row r="561" spans="19:29" x14ac:dyDescent="0.25">
      <c r="S561" s="31"/>
      <c r="X561" s="31"/>
      <c r="Y561" s="31"/>
      <c r="Z561" s="31"/>
      <c r="AA561" s="31"/>
      <c r="AB561" s="31"/>
      <c r="AC561" s="31"/>
    </row>
    <row r="562" spans="19:29" x14ac:dyDescent="0.25">
      <c r="S562" s="31"/>
      <c r="X562" s="31"/>
      <c r="Y562" s="31"/>
      <c r="Z562" s="31"/>
      <c r="AA562" s="31"/>
      <c r="AB562" s="31"/>
      <c r="AC562" s="31"/>
    </row>
    <row r="563" spans="19:29" x14ac:dyDescent="0.25">
      <c r="S563" s="31"/>
      <c r="X563" s="31"/>
      <c r="Y563" s="31"/>
      <c r="Z563" s="31"/>
      <c r="AA563" s="31"/>
      <c r="AB563" s="31"/>
      <c r="AC563" s="31"/>
    </row>
    <row r="564" spans="19:29" x14ac:dyDescent="0.25">
      <c r="S564" s="31"/>
      <c r="X564" s="31"/>
      <c r="Y564" s="31"/>
      <c r="Z564" s="31"/>
      <c r="AA564" s="31"/>
      <c r="AB564" s="31"/>
      <c r="AC564" s="31"/>
    </row>
    <row r="565" spans="19:29" x14ac:dyDescent="0.25">
      <c r="S565" s="31"/>
      <c r="X565" s="31"/>
      <c r="Y565" s="31"/>
      <c r="Z565" s="31"/>
      <c r="AA565" s="31"/>
      <c r="AB565" s="31"/>
      <c r="AC565" s="31"/>
    </row>
    <row r="566" spans="19:29" x14ac:dyDescent="0.25">
      <c r="S566" s="31"/>
      <c r="X566" s="31"/>
      <c r="Y566" s="31"/>
      <c r="Z566" s="31"/>
      <c r="AA566" s="31"/>
      <c r="AB566" s="31"/>
      <c r="AC566" s="31"/>
    </row>
    <row r="567" spans="19:29" x14ac:dyDescent="0.25">
      <c r="S567" s="31"/>
      <c r="X567" s="31"/>
      <c r="Y567" s="31"/>
      <c r="Z567" s="31"/>
      <c r="AA567" s="31"/>
      <c r="AB567" s="31"/>
      <c r="AC567" s="31"/>
    </row>
    <row r="568" spans="19:29" x14ac:dyDescent="0.25">
      <c r="S568" s="31"/>
      <c r="X568" s="31"/>
      <c r="Y568" s="31"/>
      <c r="Z568" s="31"/>
      <c r="AA568" s="31"/>
      <c r="AB568" s="31"/>
      <c r="AC568" s="31"/>
    </row>
    <row r="569" spans="19:29" x14ac:dyDescent="0.25">
      <c r="S569" s="31"/>
      <c r="X569" s="31"/>
      <c r="Y569" s="31"/>
      <c r="Z569" s="31"/>
      <c r="AA569" s="31"/>
      <c r="AB569" s="31"/>
      <c r="AC569" s="31"/>
    </row>
    <row r="570" spans="19:29" x14ac:dyDescent="0.25">
      <c r="S570" s="31"/>
      <c r="X570" s="31"/>
      <c r="Y570" s="31"/>
      <c r="Z570" s="31"/>
      <c r="AA570" s="31"/>
      <c r="AB570" s="31"/>
      <c r="AC570" s="31"/>
    </row>
    <row r="571" spans="19:29" x14ac:dyDescent="0.25">
      <c r="S571" s="31"/>
      <c r="X571" s="31"/>
      <c r="Y571" s="31"/>
      <c r="Z571" s="31"/>
      <c r="AA571" s="31"/>
      <c r="AB571" s="31"/>
      <c r="AC571" s="31"/>
    </row>
    <row r="572" spans="19:29" x14ac:dyDescent="0.25">
      <c r="S572" s="31"/>
      <c r="X572" s="31"/>
      <c r="Y572" s="31"/>
      <c r="Z572" s="31"/>
      <c r="AA572" s="31"/>
      <c r="AB572" s="31"/>
      <c r="AC572" s="31"/>
    </row>
    <row r="573" spans="19:29" x14ac:dyDescent="0.25">
      <c r="S573" s="31"/>
      <c r="X573" s="31"/>
      <c r="Y573" s="31"/>
      <c r="Z573" s="31"/>
      <c r="AA573" s="31"/>
      <c r="AB573" s="31"/>
      <c r="AC573" s="31"/>
    </row>
    <row r="574" spans="19:29" x14ac:dyDescent="0.25">
      <c r="S574" s="31"/>
      <c r="X574" s="31"/>
      <c r="Y574" s="31"/>
      <c r="Z574" s="31"/>
      <c r="AA574" s="31"/>
      <c r="AB574" s="31"/>
      <c r="AC574" s="31"/>
    </row>
    <row r="575" spans="19:29" x14ac:dyDescent="0.25">
      <c r="S575" s="31"/>
      <c r="X575" s="31"/>
      <c r="Y575" s="31"/>
      <c r="Z575" s="31"/>
      <c r="AA575" s="31"/>
      <c r="AB575" s="31"/>
      <c r="AC575" s="31"/>
    </row>
    <row r="576" spans="19:29" x14ac:dyDescent="0.25">
      <c r="S576" s="31"/>
      <c r="X576" s="31"/>
      <c r="Y576" s="31"/>
      <c r="Z576" s="31"/>
      <c r="AA576" s="31"/>
      <c r="AB576" s="31"/>
      <c r="AC576" s="31"/>
    </row>
    <row r="577" spans="19:29" x14ac:dyDescent="0.25">
      <c r="S577" s="31"/>
      <c r="X577" s="31"/>
      <c r="Y577" s="31"/>
      <c r="Z577" s="31"/>
      <c r="AA577" s="31"/>
      <c r="AB577" s="31"/>
      <c r="AC577" s="31"/>
    </row>
    <row r="578" spans="19:29" x14ac:dyDescent="0.25">
      <c r="S578" s="31"/>
      <c r="X578" s="31"/>
      <c r="Y578" s="31"/>
      <c r="Z578" s="31"/>
      <c r="AA578" s="31"/>
      <c r="AB578" s="31"/>
      <c r="AC578" s="31"/>
    </row>
    <row r="579" spans="19:29" x14ac:dyDescent="0.25">
      <c r="S579" s="31"/>
      <c r="X579" s="31"/>
      <c r="Y579" s="31"/>
      <c r="Z579" s="31"/>
      <c r="AA579" s="31"/>
      <c r="AB579" s="31"/>
      <c r="AC579" s="31"/>
    </row>
    <row r="580" spans="19:29" x14ac:dyDescent="0.25">
      <c r="S580" s="31"/>
      <c r="X580" s="31"/>
      <c r="Y580" s="31"/>
      <c r="Z580" s="31"/>
      <c r="AA580" s="31"/>
      <c r="AB580" s="31"/>
      <c r="AC580" s="31"/>
    </row>
    <row r="581" spans="19:29" x14ac:dyDescent="0.25">
      <c r="S581" s="31"/>
      <c r="X581" s="31"/>
      <c r="Y581" s="31"/>
      <c r="Z581" s="31"/>
      <c r="AA581" s="31"/>
      <c r="AB581" s="31"/>
      <c r="AC581" s="31"/>
    </row>
    <row r="582" spans="19:29" x14ac:dyDescent="0.25">
      <c r="S582" s="31"/>
      <c r="X582" s="31"/>
      <c r="Y582" s="31"/>
      <c r="Z582" s="31"/>
      <c r="AA582" s="31"/>
      <c r="AB582" s="31"/>
      <c r="AC582" s="31"/>
    </row>
    <row r="583" spans="19:29" x14ac:dyDescent="0.25">
      <c r="S583" s="31"/>
      <c r="X583" s="31"/>
      <c r="Y583" s="31"/>
      <c r="Z583" s="31"/>
      <c r="AA583" s="31"/>
      <c r="AB583" s="31"/>
      <c r="AC583" s="31"/>
    </row>
    <row r="584" spans="19:29" x14ac:dyDescent="0.25">
      <c r="S584" s="31"/>
      <c r="X584" s="31"/>
      <c r="Y584" s="31"/>
      <c r="Z584" s="31"/>
      <c r="AA584" s="31"/>
      <c r="AB584" s="31"/>
      <c r="AC584" s="31"/>
    </row>
    <row r="585" spans="19:29" x14ac:dyDescent="0.25">
      <c r="S585" s="31"/>
      <c r="X585" s="31"/>
      <c r="Y585" s="31"/>
      <c r="Z585" s="31"/>
      <c r="AA585" s="31"/>
      <c r="AB585" s="31"/>
      <c r="AC585" s="31"/>
    </row>
    <row r="586" spans="19:29" x14ac:dyDescent="0.25">
      <c r="S586" s="31"/>
      <c r="X586" s="31"/>
      <c r="Y586" s="31"/>
      <c r="Z586" s="31"/>
      <c r="AA586" s="31"/>
      <c r="AB586" s="31"/>
      <c r="AC586" s="31"/>
    </row>
    <row r="587" spans="19:29" x14ac:dyDescent="0.25">
      <c r="S587" s="31"/>
      <c r="X587" s="31"/>
      <c r="Y587" s="31"/>
      <c r="Z587" s="31"/>
      <c r="AA587" s="31"/>
      <c r="AB587" s="31"/>
      <c r="AC587" s="31"/>
    </row>
    <row r="588" spans="19:29" x14ac:dyDescent="0.25">
      <c r="S588" s="31"/>
      <c r="X588" s="31"/>
      <c r="Y588" s="31"/>
      <c r="Z588" s="31"/>
      <c r="AA588" s="31"/>
      <c r="AB588" s="31"/>
      <c r="AC588" s="31"/>
    </row>
    <row r="589" spans="19:29" x14ac:dyDescent="0.25">
      <c r="S589" s="31"/>
      <c r="X589" s="31"/>
      <c r="Y589" s="31"/>
      <c r="Z589" s="31"/>
      <c r="AA589" s="31"/>
      <c r="AB589" s="31"/>
      <c r="AC589" s="31"/>
    </row>
    <row r="590" spans="19:29" x14ac:dyDescent="0.25">
      <c r="S590" s="31"/>
      <c r="X590" s="31"/>
      <c r="Y590" s="31"/>
      <c r="Z590" s="31"/>
      <c r="AA590" s="31"/>
      <c r="AB590" s="31"/>
      <c r="AC590" s="31"/>
    </row>
    <row r="591" spans="19:29" x14ac:dyDescent="0.25">
      <c r="S591" s="31"/>
      <c r="X591" s="31"/>
      <c r="Y591" s="31"/>
      <c r="Z591" s="31"/>
      <c r="AA591" s="31"/>
      <c r="AB591" s="31"/>
      <c r="AC591" s="31"/>
    </row>
    <row r="592" spans="19:29" x14ac:dyDescent="0.25">
      <c r="S592" s="31"/>
      <c r="X592" s="31"/>
      <c r="Y592" s="31"/>
      <c r="Z592" s="31"/>
      <c r="AA592" s="31"/>
      <c r="AB592" s="31"/>
      <c r="AC592" s="31"/>
    </row>
    <row r="593" spans="19:29" x14ac:dyDescent="0.25">
      <c r="S593" s="31"/>
      <c r="X593" s="31"/>
      <c r="Y593" s="31"/>
      <c r="Z593" s="31"/>
      <c r="AA593" s="31"/>
      <c r="AB593" s="31"/>
      <c r="AC593" s="31"/>
    </row>
    <row r="594" spans="19:29" x14ac:dyDescent="0.25">
      <c r="S594" s="31"/>
      <c r="X594" s="31"/>
      <c r="Y594" s="31"/>
      <c r="Z594" s="31"/>
      <c r="AA594" s="31"/>
      <c r="AB594" s="31"/>
      <c r="AC594" s="31"/>
    </row>
    <row r="595" spans="19:29" x14ac:dyDescent="0.25">
      <c r="S595" s="31"/>
      <c r="X595" s="31"/>
      <c r="Y595" s="31"/>
      <c r="Z595" s="31"/>
      <c r="AA595" s="31"/>
      <c r="AB595" s="31"/>
      <c r="AC595" s="31"/>
    </row>
    <row r="596" spans="19:29" x14ac:dyDescent="0.25">
      <c r="S596" s="31"/>
      <c r="X596" s="31"/>
      <c r="Y596" s="31"/>
      <c r="Z596" s="31"/>
      <c r="AA596" s="31"/>
      <c r="AB596" s="31"/>
      <c r="AC596" s="31"/>
    </row>
    <row r="597" spans="19:29" x14ac:dyDescent="0.25">
      <c r="S597" s="31"/>
      <c r="X597" s="31"/>
      <c r="Y597" s="31"/>
      <c r="Z597" s="31"/>
      <c r="AA597" s="31"/>
      <c r="AB597" s="31"/>
      <c r="AC597" s="31"/>
    </row>
    <row r="598" spans="19:29" x14ac:dyDescent="0.25">
      <c r="S598" s="31"/>
      <c r="X598" s="31"/>
      <c r="Y598" s="31"/>
      <c r="Z598" s="31"/>
      <c r="AA598" s="31"/>
      <c r="AB598" s="31"/>
      <c r="AC598" s="31"/>
    </row>
    <row r="599" spans="19:29" x14ac:dyDescent="0.25">
      <c r="S599" s="31"/>
      <c r="X599" s="31"/>
      <c r="Y599" s="31"/>
      <c r="Z599" s="31"/>
      <c r="AA599" s="31"/>
      <c r="AB599" s="31"/>
      <c r="AC599" s="31"/>
    </row>
    <row r="600" spans="19:29" x14ac:dyDescent="0.25">
      <c r="S600" s="31"/>
      <c r="X600" s="31"/>
      <c r="Y600" s="31"/>
      <c r="Z600" s="31"/>
      <c r="AA600" s="31"/>
      <c r="AB600" s="31"/>
      <c r="AC600" s="31"/>
    </row>
    <row r="601" spans="19:29" x14ac:dyDescent="0.25">
      <c r="S601" s="31"/>
      <c r="X601" s="31"/>
      <c r="Y601" s="31"/>
      <c r="Z601" s="31"/>
      <c r="AA601" s="31"/>
      <c r="AB601" s="31"/>
      <c r="AC601" s="31"/>
    </row>
    <row r="602" spans="19:29" x14ac:dyDescent="0.25">
      <c r="S602" s="31"/>
      <c r="X602" s="31"/>
      <c r="Y602" s="31"/>
      <c r="Z602" s="31"/>
      <c r="AA602" s="31"/>
      <c r="AB602" s="31"/>
      <c r="AC602" s="31"/>
    </row>
    <row r="603" spans="19:29" x14ac:dyDescent="0.25">
      <c r="S603" s="31"/>
      <c r="X603" s="31"/>
      <c r="Y603" s="31"/>
      <c r="Z603" s="31"/>
      <c r="AA603" s="31"/>
      <c r="AB603" s="31"/>
      <c r="AC603" s="31"/>
    </row>
    <row r="604" spans="19:29" x14ac:dyDescent="0.25">
      <c r="S604" s="31"/>
      <c r="X604" s="31"/>
      <c r="Y604" s="31"/>
      <c r="Z604" s="31"/>
      <c r="AA604" s="31"/>
      <c r="AB604" s="31"/>
      <c r="AC604" s="31"/>
    </row>
    <row r="605" spans="19:29" x14ac:dyDescent="0.25">
      <c r="S605" s="31"/>
      <c r="X605" s="31"/>
      <c r="Y605" s="31"/>
      <c r="Z605" s="31"/>
      <c r="AA605" s="31"/>
      <c r="AB605" s="31"/>
      <c r="AC605" s="31"/>
    </row>
    <row r="606" spans="19:29" x14ac:dyDescent="0.25">
      <c r="S606" s="31"/>
      <c r="X606" s="31"/>
      <c r="Y606" s="31"/>
      <c r="Z606" s="31"/>
      <c r="AA606" s="31"/>
      <c r="AB606" s="31"/>
      <c r="AC606" s="31"/>
    </row>
    <row r="607" spans="19:29" x14ac:dyDescent="0.25">
      <c r="S607" s="31"/>
      <c r="X607" s="31"/>
      <c r="Y607" s="31"/>
      <c r="Z607" s="31"/>
      <c r="AA607" s="31"/>
      <c r="AB607" s="31"/>
      <c r="AC607" s="31"/>
    </row>
    <row r="608" spans="19:29" x14ac:dyDescent="0.25">
      <c r="S608" s="31"/>
      <c r="X608" s="31"/>
      <c r="Y608" s="31"/>
      <c r="Z608" s="31"/>
      <c r="AA608" s="31"/>
      <c r="AB608" s="31"/>
      <c r="AC608" s="31"/>
    </row>
    <row r="609" spans="19:29" x14ac:dyDescent="0.25">
      <c r="S609" s="31"/>
      <c r="X609" s="31"/>
      <c r="Y609" s="31"/>
      <c r="Z609" s="31"/>
      <c r="AA609" s="31"/>
      <c r="AB609" s="31"/>
      <c r="AC609" s="31"/>
    </row>
    <row r="610" spans="19:29" x14ac:dyDescent="0.25">
      <c r="S610" s="31"/>
      <c r="X610" s="31"/>
      <c r="Y610" s="31"/>
      <c r="Z610" s="31"/>
      <c r="AA610" s="31"/>
      <c r="AB610" s="31"/>
      <c r="AC610" s="31"/>
    </row>
    <row r="611" spans="19:29" x14ac:dyDescent="0.25">
      <c r="S611" s="31"/>
      <c r="X611" s="31"/>
      <c r="Y611" s="31"/>
      <c r="Z611" s="31"/>
      <c r="AA611" s="31"/>
      <c r="AB611" s="31"/>
      <c r="AC611" s="31"/>
    </row>
    <row r="612" spans="19:29" x14ac:dyDescent="0.25">
      <c r="S612" s="31"/>
      <c r="X612" s="31"/>
      <c r="Y612" s="31"/>
      <c r="Z612" s="31"/>
      <c r="AA612" s="31"/>
      <c r="AB612" s="31"/>
      <c r="AC612" s="31"/>
    </row>
    <row r="613" spans="19:29" x14ac:dyDescent="0.25">
      <c r="S613" s="31"/>
      <c r="X613" s="31"/>
      <c r="Y613" s="31"/>
      <c r="Z613" s="31"/>
      <c r="AA613" s="31"/>
      <c r="AB613" s="31"/>
      <c r="AC613" s="31"/>
    </row>
    <row r="614" spans="19:29" x14ac:dyDescent="0.25">
      <c r="S614" s="31"/>
      <c r="X614" s="31"/>
      <c r="Y614" s="31"/>
      <c r="Z614" s="31"/>
      <c r="AA614" s="31"/>
      <c r="AB614" s="31"/>
      <c r="AC614" s="31"/>
    </row>
    <row r="615" spans="19:29" x14ac:dyDescent="0.25">
      <c r="S615" s="31"/>
      <c r="X615" s="31"/>
      <c r="Y615" s="31"/>
      <c r="Z615" s="31"/>
      <c r="AA615" s="31"/>
      <c r="AB615" s="31"/>
      <c r="AC615" s="31"/>
    </row>
    <row r="616" spans="19:29" x14ac:dyDescent="0.25">
      <c r="S616" s="31"/>
      <c r="X616" s="31"/>
      <c r="Y616" s="31"/>
      <c r="Z616" s="31"/>
      <c r="AA616" s="31"/>
      <c r="AB616" s="31"/>
      <c r="AC616" s="31"/>
    </row>
    <row r="617" spans="19:29" x14ac:dyDescent="0.25">
      <c r="S617" s="31"/>
      <c r="X617" s="31"/>
      <c r="Y617" s="31"/>
      <c r="Z617" s="31"/>
      <c r="AA617" s="31"/>
      <c r="AB617" s="31"/>
      <c r="AC617" s="31"/>
    </row>
    <row r="618" spans="19:29" x14ac:dyDescent="0.25">
      <c r="S618" s="31"/>
      <c r="X618" s="31"/>
      <c r="Y618" s="31"/>
      <c r="Z618" s="31"/>
      <c r="AA618" s="31"/>
      <c r="AB618" s="31"/>
      <c r="AC618" s="31"/>
    </row>
    <row r="619" spans="19:29" x14ac:dyDescent="0.25">
      <c r="S619" s="31"/>
      <c r="X619" s="31"/>
      <c r="Y619" s="31"/>
      <c r="Z619" s="31"/>
      <c r="AA619" s="31"/>
      <c r="AB619" s="31"/>
      <c r="AC619" s="31"/>
    </row>
    <row r="620" spans="19:29" x14ac:dyDescent="0.25">
      <c r="S620" s="31"/>
      <c r="X620" s="31"/>
      <c r="Y620" s="31"/>
      <c r="Z620" s="31"/>
      <c r="AA620" s="31"/>
      <c r="AB620" s="31"/>
      <c r="AC620" s="31"/>
    </row>
    <row r="621" spans="19:29" x14ac:dyDescent="0.25">
      <c r="S621" s="31"/>
      <c r="X621" s="31"/>
      <c r="Y621" s="31"/>
      <c r="Z621" s="31"/>
      <c r="AA621" s="31"/>
      <c r="AB621" s="31"/>
      <c r="AC621" s="31"/>
    </row>
    <row r="622" spans="19:29" x14ac:dyDescent="0.25">
      <c r="S622" s="31"/>
      <c r="X622" s="31"/>
      <c r="Y622" s="31"/>
      <c r="Z622" s="31"/>
      <c r="AA622" s="31"/>
      <c r="AB622" s="31"/>
      <c r="AC622" s="31"/>
    </row>
    <row r="623" spans="19:29" x14ac:dyDescent="0.25">
      <c r="S623" s="31"/>
      <c r="X623" s="31"/>
      <c r="Y623" s="31"/>
      <c r="Z623" s="31"/>
      <c r="AA623" s="31"/>
      <c r="AB623" s="31"/>
      <c r="AC623" s="31"/>
    </row>
    <row r="624" spans="19:29" x14ac:dyDescent="0.25">
      <c r="S624" s="31"/>
      <c r="X624" s="31"/>
      <c r="Y624" s="31"/>
      <c r="Z624" s="31"/>
      <c r="AA624" s="31"/>
      <c r="AB624" s="31"/>
      <c r="AC624" s="31"/>
    </row>
    <row r="625" spans="19:29" x14ac:dyDescent="0.25">
      <c r="S625" s="31"/>
      <c r="X625" s="31"/>
      <c r="Y625" s="31"/>
      <c r="Z625" s="31"/>
      <c r="AA625" s="31"/>
      <c r="AB625" s="31"/>
      <c r="AC625" s="31"/>
    </row>
    <row r="626" spans="19:29" x14ac:dyDescent="0.25">
      <c r="S626" s="31"/>
      <c r="X626" s="31"/>
      <c r="Y626" s="31"/>
      <c r="Z626" s="31"/>
      <c r="AA626" s="31"/>
      <c r="AB626" s="31"/>
      <c r="AC626" s="31"/>
    </row>
    <row r="627" spans="19:29" x14ac:dyDescent="0.25">
      <c r="S627" s="31"/>
      <c r="X627" s="31"/>
      <c r="Y627" s="31"/>
      <c r="Z627" s="31"/>
      <c r="AA627" s="31"/>
      <c r="AB627" s="31"/>
      <c r="AC627" s="31"/>
    </row>
    <row r="628" spans="19:29" x14ac:dyDescent="0.25">
      <c r="S628" s="31"/>
      <c r="X628" s="31"/>
      <c r="Y628" s="31"/>
      <c r="Z628" s="31"/>
      <c r="AA628" s="31"/>
      <c r="AB628" s="31"/>
      <c r="AC628" s="31"/>
    </row>
    <row r="629" spans="19:29" x14ac:dyDescent="0.25">
      <c r="S629" s="31"/>
      <c r="X629" s="31"/>
      <c r="Y629" s="31"/>
      <c r="Z629" s="31"/>
      <c r="AA629" s="31"/>
      <c r="AB629" s="31"/>
      <c r="AC629" s="31"/>
    </row>
    <row r="630" spans="19:29" x14ac:dyDescent="0.25">
      <c r="S630" s="31"/>
      <c r="X630" s="31"/>
      <c r="Y630" s="31"/>
      <c r="Z630" s="31"/>
      <c r="AA630" s="31"/>
      <c r="AB630" s="31"/>
      <c r="AC630" s="31"/>
    </row>
    <row r="631" spans="19:29" x14ac:dyDescent="0.25">
      <c r="S631" s="31"/>
      <c r="X631" s="31"/>
      <c r="Y631" s="31"/>
      <c r="Z631" s="31"/>
      <c r="AA631" s="31"/>
      <c r="AB631" s="31"/>
      <c r="AC631" s="31"/>
    </row>
    <row r="632" spans="19:29" x14ac:dyDescent="0.25">
      <c r="S632" s="31"/>
      <c r="X632" s="31"/>
      <c r="Y632" s="31"/>
      <c r="Z632" s="31"/>
      <c r="AA632" s="31"/>
      <c r="AB632" s="31"/>
      <c r="AC632" s="31"/>
    </row>
    <row r="633" spans="19:29" x14ac:dyDescent="0.25">
      <c r="S633" s="31"/>
      <c r="X633" s="31"/>
      <c r="Y633" s="31"/>
      <c r="Z633" s="31"/>
      <c r="AA633" s="31"/>
      <c r="AB633" s="31"/>
      <c r="AC633" s="31"/>
    </row>
    <row r="634" spans="19:29" x14ac:dyDescent="0.25">
      <c r="S634" s="31"/>
      <c r="X634" s="31"/>
      <c r="Y634" s="31"/>
      <c r="Z634" s="31"/>
      <c r="AA634" s="31"/>
      <c r="AB634" s="31"/>
      <c r="AC634" s="31"/>
    </row>
    <row r="635" spans="19:29" x14ac:dyDescent="0.25">
      <c r="S635" s="31"/>
      <c r="X635" s="31"/>
      <c r="Y635" s="31"/>
      <c r="Z635" s="31"/>
      <c r="AA635" s="31"/>
      <c r="AB635" s="31"/>
      <c r="AC635" s="31"/>
    </row>
    <row r="636" spans="19:29" x14ac:dyDescent="0.25">
      <c r="S636" s="31"/>
      <c r="X636" s="31"/>
      <c r="Y636" s="31"/>
      <c r="Z636" s="31"/>
      <c r="AA636" s="31"/>
      <c r="AB636" s="31"/>
      <c r="AC636" s="31"/>
    </row>
    <row r="637" spans="19:29" x14ac:dyDescent="0.25">
      <c r="S637" s="31"/>
      <c r="X637" s="31"/>
      <c r="Y637" s="31"/>
      <c r="Z637" s="31"/>
      <c r="AA637" s="31"/>
      <c r="AB637" s="31"/>
      <c r="AC637" s="31"/>
    </row>
    <row r="638" spans="19:29" x14ac:dyDescent="0.25">
      <c r="S638" s="31"/>
      <c r="X638" s="31"/>
      <c r="Y638" s="31"/>
      <c r="Z638" s="31"/>
      <c r="AA638" s="31"/>
      <c r="AB638" s="31"/>
      <c r="AC638" s="31"/>
    </row>
    <row r="639" spans="19:29" x14ac:dyDescent="0.25">
      <c r="S639" s="31"/>
      <c r="X639" s="31"/>
      <c r="Y639" s="31"/>
      <c r="Z639" s="31"/>
      <c r="AA639" s="31"/>
      <c r="AB639" s="31"/>
      <c r="AC639" s="31"/>
    </row>
    <row r="640" spans="19:29" x14ac:dyDescent="0.25">
      <c r="S640" s="31"/>
      <c r="X640" s="31"/>
      <c r="Y640" s="31"/>
      <c r="Z640" s="31"/>
      <c r="AA640" s="31"/>
      <c r="AB640" s="31"/>
      <c r="AC640" s="31"/>
    </row>
    <row r="641" spans="19:29" x14ac:dyDescent="0.25">
      <c r="S641" s="31"/>
      <c r="X641" s="31"/>
      <c r="Y641" s="31"/>
      <c r="Z641" s="31"/>
      <c r="AA641" s="31"/>
      <c r="AB641" s="31"/>
      <c r="AC641" s="31"/>
    </row>
    <row r="642" spans="19:29" x14ac:dyDescent="0.25">
      <c r="S642" s="31"/>
      <c r="X642" s="31"/>
      <c r="Y642" s="31"/>
      <c r="Z642" s="31"/>
      <c r="AA642" s="31"/>
      <c r="AB642" s="31"/>
      <c r="AC642" s="31"/>
    </row>
    <row r="643" spans="19:29" x14ac:dyDescent="0.25">
      <c r="S643" s="31"/>
      <c r="X643" s="31"/>
      <c r="Y643" s="31"/>
      <c r="Z643" s="31"/>
      <c r="AA643" s="31"/>
      <c r="AB643" s="31"/>
      <c r="AC643" s="31"/>
    </row>
    <row r="644" spans="19:29" x14ac:dyDescent="0.25">
      <c r="S644" s="31"/>
      <c r="X644" s="31"/>
      <c r="Y644" s="31"/>
      <c r="Z644" s="31"/>
      <c r="AA644" s="31"/>
      <c r="AB644" s="31"/>
      <c r="AC644" s="31"/>
    </row>
    <row r="645" spans="19:29" x14ac:dyDescent="0.25">
      <c r="S645" s="31"/>
      <c r="X645" s="31"/>
      <c r="Y645" s="31"/>
      <c r="Z645" s="31"/>
      <c r="AA645" s="31"/>
      <c r="AB645" s="31"/>
      <c r="AC645" s="31"/>
    </row>
    <row r="646" spans="19:29" x14ac:dyDescent="0.25">
      <c r="S646" s="31"/>
      <c r="X646" s="31"/>
      <c r="Y646" s="31"/>
      <c r="Z646" s="31"/>
      <c r="AA646" s="31"/>
      <c r="AB646" s="31"/>
      <c r="AC646" s="31"/>
    </row>
    <row r="647" spans="19:29" x14ac:dyDescent="0.25">
      <c r="S647" s="31"/>
      <c r="X647" s="31"/>
      <c r="Y647" s="31"/>
      <c r="Z647" s="31"/>
      <c r="AA647" s="31"/>
      <c r="AB647" s="31"/>
      <c r="AC647" s="31"/>
    </row>
    <row r="648" spans="19:29" x14ac:dyDescent="0.25">
      <c r="S648" s="31"/>
      <c r="X648" s="31"/>
      <c r="Y648" s="31"/>
      <c r="Z648" s="31"/>
      <c r="AA648" s="31"/>
      <c r="AB648" s="31"/>
      <c r="AC648" s="31"/>
    </row>
    <row r="649" spans="19:29" x14ac:dyDescent="0.25">
      <c r="S649" s="31"/>
      <c r="X649" s="31"/>
      <c r="Y649" s="31"/>
      <c r="Z649" s="31"/>
      <c r="AA649" s="31"/>
      <c r="AB649" s="31"/>
      <c r="AC649" s="31"/>
    </row>
    <row r="650" spans="19:29" x14ac:dyDescent="0.25">
      <c r="S650" s="31"/>
      <c r="X650" s="31"/>
      <c r="Y650" s="31"/>
      <c r="Z650" s="31"/>
      <c r="AA650" s="31"/>
      <c r="AB650" s="31"/>
      <c r="AC650" s="31"/>
    </row>
    <row r="651" spans="19:29" x14ac:dyDescent="0.25">
      <c r="S651" s="31"/>
      <c r="X651" s="31"/>
      <c r="Y651" s="31"/>
      <c r="Z651" s="31"/>
      <c r="AA651" s="31"/>
      <c r="AB651" s="31"/>
      <c r="AC651" s="31"/>
    </row>
    <row r="652" spans="19:29" x14ac:dyDescent="0.25">
      <c r="S652" s="31"/>
      <c r="X652" s="31"/>
      <c r="Y652" s="31"/>
      <c r="Z652" s="31"/>
      <c r="AA652" s="31"/>
      <c r="AB652" s="31"/>
      <c r="AC652" s="31"/>
    </row>
    <row r="653" spans="19:29" x14ac:dyDescent="0.25">
      <c r="S653" s="31"/>
      <c r="X653" s="31"/>
      <c r="Y653" s="31"/>
      <c r="Z653" s="31"/>
      <c r="AA653" s="31"/>
      <c r="AB653" s="31"/>
      <c r="AC653" s="31"/>
    </row>
    <row r="654" spans="19:29" x14ac:dyDescent="0.25">
      <c r="S654" s="31"/>
      <c r="X654" s="31"/>
      <c r="Y654" s="31"/>
      <c r="Z654" s="31"/>
      <c r="AA654" s="31"/>
      <c r="AB654" s="31"/>
      <c r="AC654" s="31"/>
    </row>
    <row r="655" spans="19:29" x14ac:dyDescent="0.25">
      <c r="S655" s="31"/>
      <c r="X655" s="31"/>
      <c r="Y655" s="31"/>
      <c r="Z655" s="31"/>
      <c r="AA655" s="31"/>
      <c r="AB655" s="31"/>
      <c r="AC655" s="31"/>
    </row>
    <row r="656" spans="19:29" x14ac:dyDescent="0.25">
      <c r="S656" s="31"/>
      <c r="X656" s="31"/>
      <c r="Y656" s="31"/>
      <c r="Z656" s="31"/>
      <c r="AA656" s="31"/>
      <c r="AB656" s="31"/>
      <c r="AC656" s="31"/>
    </row>
    <row r="657" spans="19:29" x14ac:dyDescent="0.25">
      <c r="S657" s="31"/>
      <c r="X657" s="31"/>
      <c r="Y657" s="31"/>
      <c r="Z657" s="31"/>
      <c r="AA657" s="31"/>
      <c r="AB657" s="31"/>
      <c r="AC657" s="31"/>
    </row>
    <row r="658" spans="19:29" x14ac:dyDescent="0.25">
      <c r="S658" s="31"/>
      <c r="X658" s="31"/>
      <c r="Y658" s="31"/>
      <c r="Z658" s="31"/>
      <c r="AA658" s="31"/>
      <c r="AB658" s="31"/>
      <c r="AC658" s="31"/>
    </row>
    <row r="659" spans="19:29" x14ac:dyDescent="0.25">
      <c r="S659" s="31"/>
      <c r="X659" s="31"/>
      <c r="Y659" s="31"/>
      <c r="Z659" s="31"/>
      <c r="AA659" s="31"/>
      <c r="AB659" s="31"/>
      <c r="AC659" s="31"/>
    </row>
    <row r="660" spans="19:29" x14ac:dyDescent="0.25">
      <c r="S660" s="31"/>
      <c r="X660" s="31"/>
      <c r="Y660" s="31"/>
      <c r="Z660" s="31"/>
      <c r="AA660" s="31"/>
      <c r="AB660" s="31"/>
      <c r="AC660" s="31"/>
    </row>
    <row r="661" spans="19:29" x14ac:dyDescent="0.25">
      <c r="S661" s="31"/>
      <c r="X661" s="31"/>
      <c r="Y661" s="31"/>
      <c r="Z661" s="31"/>
      <c r="AA661" s="31"/>
      <c r="AB661" s="31"/>
      <c r="AC661" s="31"/>
    </row>
    <row r="662" spans="19:29" x14ac:dyDescent="0.25">
      <c r="S662" s="31"/>
      <c r="X662" s="31"/>
      <c r="Y662" s="31"/>
      <c r="Z662" s="31"/>
      <c r="AA662" s="31"/>
      <c r="AB662" s="31"/>
      <c r="AC662" s="31"/>
    </row>
    <row r="663" spans="19:29" x14ac:dyDescent="0.25">
      <c r="S663" s="31"/>
      <c r="X663" s="31"/>
      <c r="Y663" s="31"/>
      <c r="Z663" s="31"/>
      <c r="AA663" s="31"/>
      <c r="AB663" s="31"/>
      <c r="AC663" s="31"/>
    </row>
    <row r="664" spans="19:29" x14ac:dyDescent="0.25">
      <c r="S664" s="31"/>
      <c r="X664" s="31"/>
      <c r="Y664" s="31"/>
      <c r="Z664" s="31"/>
      <c r="AA664" s="31"/>
      <c r="AB664" s="31"/>
      <c r="AC664" s="31"/>
    </row>
    <row r="665" spans="19:29" x14ac:dyDescent="0.25">
      <c r="S665" s="31"/>
      <c r="X665" s="31"/>
      <c r="Y665" s="31"/>
      <c r="Z665" s="31"/>
      <c r="AA665" s="31"/>
      <c r="AB665" s="31"/>
      <c r="AC665" s="31"/>
    </row>
    <row r="666" spans="19:29" x14ac:dyDescent="0.25">
      <c r="S666" s="31"/>
      <c r="X666" s="31"/>
      <c r="Y666" s="31"/>
      <c r="Z666" s="31"/>
      <c r="AA666" s="31"/>
      <c r="AB666" s="31"/>
      <c r="AC666" s="31"/>
    </row>
    <row r="667" spans="19:29" x14ac:dyDescent="0.25">
      <c r="S667" s="31"/>
      <c r="X667" s="31"/>
      <c r="Y667" s="31"/>
      <c r="Z667" s="31"/>
      <c r="AA667" s="31"/>
      <c r="AB667" s="31"/>
      <c r="AC667" s="31"/>
    </row>
    <row r="668" spans="19:29" x14ac:dyDescent="0.25">
      <c r="S668" s="31"/>
      <c r="X668" s="31"/>
      <c r="Y668" s="31"/>
      <c r="Z668" s="31"/>
      <c r="AA668" s="31"/>
      <c r="AB668" s="31"/>
      <c r="AC668" s="31"/>
    </row>
    <row r="669" spans="19:29" x14ac:dyDescent="0.25">
      <c r="S669" s="31"/>
      <c r="X669" s="31"/>
      <c r="Y669" s="31"/>
      <c r="Z669" s="31"/>
      <c r="AA669" s="31"/>
      <c r="AB669" s="31"/>
      <c r="AC669" s="31"/>
    </row>
    <row r="670" spans="19:29" x14ac:dyDescent="0.25">
      <c r="S670" s="31"/>
      <c r="X670" s="31"/>
      <c r="Y670" s="31"/>
      <c r="Z670" s="31"/>
      <c r="AA670" s="31"/>
      <c r="AB670" s="31"/>
      <c r="AC670" s="31"/>
    </row>
    <row r="671" spans="19:29" x14ac:dyDescent="0.25">
      <c r="S671" s="31"/>
      <c r="X671" s="31"/>
      <c r="Y671" s="31"/>
      <c r="Z671" s="31"/>
      <c r="AA671" s="31"/>
      <c r="AB671" s="31"/>
      <c r="AC671" s="31"/>
    </row>
    <row r="672" spans="19:29" x14ac:dyDescent="0.25">
      <c r="S672" s="31"/>
      <c r="X672" s="31"/>
      <c r="Y672" s="31"/>
      <c r="Z672" s="31"/>
      <c r="AA672" s="31"/>
      <c r="AB672" s="31"/>
      <c r="AC672" s="31"/>
    </row>
    <row r="673" spans="19:29" x14ac:dyDescent="0.25">
      <c r="S673" s="31"/>
      <c r="X673" s="31"/>
      <c r="Y673" s="31"/>
      <c r="Z673" s="31"/>
      <c r="AA673" s="31"/>
      <c r="AB673" s="31"/>
      <c r="AC673" s="31"/>
    </row>
    <row r="674" spans="19:29" x14ac:dyDescent="0.25">
      <c r="S674" s="31"/>
      <c r="X674" s="31"/>
      <c r="Y674" s="31"/>
      <c r="Z674" s="31"/>
      <c r="AA674" s="31"/>
      <c r="AB674" s="31"/>
      <c r="AC674" s="31"/>
    </row>
    <row r="675" spans="19:29" x14ac:dyDescent="0.25">
      <c r="S675" s="31"/>
      <c r="X675" s="31"/>
      <c r="Y675" s="31"/>
      <c r="Z675" s="31"/>
      <c r="AA675" s="31"/>
      <c r="AB675" s="31"/>
      <c r="AC675" s="31"/>
    </row>
    <row r="676" spans="19:29" x14ac:dyDescent="0.25">
      <c r="S676" s="31"/>
      <c r="X676" s="31"/>
      <c r="Y676" s="31"/>
      <c r="Z676" s="31"/>
      <c r="AA676" s="31"/>
      <c r="AB676" s="31"/>
      <c r="AC676" s="31"/>
    </row>
    <row r="677" spans="19:29" x14ac:dyDescent="0.25">
      <c r="S677" s="31"/>
      <c r="X677" s="31"/>
      <c r="Y677" s="31"/>
      <c r="Z677" s="31"/>
      <c r="AA677" s="31"/>
      <c r="AB677" s="31"/>
      <c r="AC677" s="31"/>
    </row>
    <row r="678" spans="19:29" x14ac:dyDescent="0.25">
      <c r="S678" s="31"/>
      <c r="X678" s="31"/>
      <c r="Y678" s="31"/>
      <c r="Z678" s="31"/>
      <c r="AA678" s="31"/>
      <c r="AB678" s="31"/>
      <c r="AC678" s="31"/>
    </row>
    <row r="679" spans="19:29" x14ac:dyDescent="0.25">
      <c r="S679" s="31"/>
      <c r="X679" s="31"/>
      <c r="Y679" s="31"/>
      <c r="Z679" s="31"/>
      <c r="AA679" s="31"/>
      <c r="AB679" s="31"/>
      <c r="AC679" s="31"/>
    </row>
    <row r="680" spans="19:29" x14ac:dyDescent="0.25">
      <c r="S680" s="31"/>
      <c r="X680" s="31"/>
      <c r="Y680" s="31"/>
      <c r="Z680" s="31"/>
      <c r="AA680" s="31"/>
      <c r="AB680" s="31"/>
      <c r="AC680" s="31"/>
    </row>
    <row r="681" spans="19:29" x14ac:dyDescent="0.25">
      <c r="S681" s="31"/>
      <c r="X681" s="31"/>
      <c r="Y681" s="31"/>
      <c r="Z681" s="31"/>
      <c r="AA681" s="31"/>
      <c r="AB681" s="31"/>
      <c r="AC681" s="31"/>
    </row>
    <row r="682" spans="19:29" x14ac:dyDescent="0.25">
      <c r="S682" s="31"/>
      <c r="X682" s="31"/>
      <c r="Y682" s="31"/>
      <c r="Z682" s="31"/>
      <c r="AA682" s="31"/>
      <c r="AB682" s="31"/>
      <c r="AC682" s="31"/>
    </row>
    <row r="683" spans="19:29" x14ac:dyDescent="0.25">
      <c r="S683" s="31"/>
      <c r="X683" s="31"/>
      <c r="Y683" s="31"/>
      <c r="Z683" s="31"/>
      <c r="AA683" s="31"/>
      <c r="AB683" s="31"/>
      <c r="AC683" s="31"/>
    </row>
    <row r="684" spans="19:29" x14ac:dyDescent="0.25">
      <c r="S684" s="31"/>
      <c r="X684" s="31"/>
      <c r="Y684" s="31"/>
      <c r="Z684" s="31"/>
      <c r="AA684" s="31"/>
      <c r="AB684" s="31"/>
      <c r="AC684" s="31"/>
    </row>
    <row r="685" spans="19:29" x14ac:dyDescent="0.25">
      <c r="S685" s="31"/>
      <c r="X685" s="31"/>
      <c r="Y685" s="31"/>
      <c r="Z685" s="31"/>
      <c r="AA685" s="31"/>
      <c r="AB685" s="31"/>
      <c r="AC685" s="31"/>
    </row>
    <row r="686" spans="19:29" x14ac:dyDescent="0.25">
      <c r="S686" s="31"/>
      <c r="X686" s="31"/>
      <c r="Y686" s="31"/>
      <c r="Z686" s="31"/>
      <c r="AA686" s="31"/>
      <c r="AB686" s="31"/>
      <c r="AC686" s="31"/>
    </row>
    <row r="687" spans="19:29" x14ac:dyDescent="0.25">
      <c r="S687" s="31"/>
      <c r="X687" s="31"/>
      <c r="Y687" s="31"/>
      <c r="Z687" s="31"/>
      <c r="AA687" s="31"/>
      <c r="AB687" s="31"/>
      <c r="AC687" s="31"/>
    </row>
    <row r="688" spans="19:29" x14ac:dyDescent="0.25">
      <c r="S688" s="31"/>
      <c r="X688" s="31"/>
      <c r="Y688" s="31"/>
      <c r="Z688" s="31"/>
      <c r="AA688" s="31"/>
      <c r="AB688" s="31"/>
      <c r="AC688" s="31"/>
    </row>
    <row r="689" spans="19:29" x14ac:dyDescent="0.25">
      <c r="S689" s="31"/>
      <c r="X689" s="31"/>
      <c r="Y689" s="31"/>
      <c r="Z689" s="31"/>
      <c r="AA689" s="31"/>
      <c r="AB689" s="31"/>
      <c r="AC689" s="31"/>
    </row>
    <row r="690" spans="19:29" x14ac:dyDescent="0.25">
      <c r="S690" s="31"/>
      <c r="X690" s="31"/>
      <c r="Y690" s="31"/>
      <c r="Z690" s="31"/>
      <c r="AA690" s="31"/>
      <c r="AB690" s="31"/>
      <c r="AC690" s="31"/>
    </row>
    <row r="691" spans="19:29" x14ac:dyDescent="0.25">
      <c r="S691" s="31"/>
      <c r="X691" s="31"/>
      <c r="Y691" s="31"/>
      <c r="Z691" s="31"/>
      <c r="AA691" s="31"/>
      <c r="AB691" s="31"/>
      <c r="AC691" s="31"/>
    </row>
    <row r="692" spans="19:29" x14ac:dyDescent="0.25">
      <c r="S692" s="31"/>
      <c r="X692" s="31"/>
      <c r="Y692" s="31"/>
      <c r="Z692" s="31"/>
      <c r="AA692" s="31"/>
      <c r="AB692" s="31"/>
      <c r="AC692" s="31"/>
    </row>
    <row r="693" spans="19:29" x14ac:dyDescent="0.25">
      <c r="S693" s="31"/>
      <c r="X693" s="31"/>
      <c r="Y693" s="31"/>
      <c r="Z693" s="31"/>
      <c r="AA693" s="31"/>
      <c r="AB693" s="31"/>
      <c r="AC693" s="31"/>
    </row>
    <row r="694" spans="19:29" x14ac:dyDescent="0.25">
      <c r="S694" s="31"/>
      <c r="X694" s="31"/>
      <c r="Y694" s="31"/>
      <c r="Z694" s="31"/>
      <c r="AA694" s="31"/>
      <c r="AB694" s="31"/>
      <c r="AC694" s="31"/>
    </row>
    <row r="695" spans="19:29" x14ac:dyDescent="0.25">
      <c r="S695" s="31"/>
      <c r="X695" s="31"/>
      <c r="Y695" s="31"/>
      <c r="Z695" s="31"/>
      <c r="AA695" s="31"/>
      <c r="AB695" s="31"/>
      <c r="AC695" s="31"/>
    </row>
    <row r="696" spans="19:29" x14ac:dyDescent="0.25">
      <c r="S696" s="31"/>
      <c r="X696" s="31"/>
      <c r="Y696" s="31"/>
      <c r="Z696" s="31"/>
      <c r="AA696" s="31"/>
      <c r="AB696" s="31"/>
      <c r="AC696" s="31"/>
    </row>
    <row r="697" spans="19:29" x14ac:dyDescent="0.25">
      <c r="S697" s="31"/>
      <c r="X697" s="31"/>
      <c r="Y697" s="31"/>
      <c r="Z697" s="31"/>
      <c r="AA697" s="31"/>
      <c r="AB697" s="31"/>
      <c r="AC697" s="31"/>
    </row>
    <row r="698" spans="19:29" x14ac:dyDescent="0.25">
      <c r="S698" s="31"/>
      <c r="X698" s="31"/>
      <c r="Y698" s="31"/>
      <c r="Z698" s="31"/>
      <c r="AA698" s="31"/>
      <c r="AB698" s="31"/>
      <c r="AC698" s="31"/>
    </row>
    <row r="699" spans="19:29" x14ac:dyDescent="0.25">
      <c r="S699" s="31"/>
      <c r="X699" s="31"/>
      <c r="Y699" s="31"/>
      <c r="Z699" s="31"/>
      <c r="AA699" s="31"/>
      <c r="AB699" s="31"/>
      <c r="AC699" s="31"/>
    </row>
    <row r="700" spans="19:29" x14ac:dyDescent="0.25">
      <c r="S700" s="31"/>
      <c r="X700" s="31"/>
      <c r="Y700" s="31"/>
      <c r="Z700" s="31"/>
      <c r="AA700" s="31"/>
      <c r="AB700" s="31"/>
      <c r="AC700" s="31"/>
    </row>
    <row r="701" spans="19:29" x14ac:dyDescent="0.25">
      <c r="S701" s="31"/>
      <c r="X701" s="31"/>
      <c r="Y701" s="31"/>
      <c r="Z701" s="31"/>
      <c r="AA701" s="31"/>
      <c r="AB701" s="31"/>
      <c r="AC701" s="31"/>
    </row>
    <row r="702" spans="19:29" x14ac:dyDescent="0.25">
      <c r="S702" s="31"/>
      <c r="X702" s="31"/>
      <c r="Y702" s="31"/>
      <c r="Z702" s="31"/>
      <c r="AA702" s="31"/>
      <c r="AB702" s="31"/>
      <c r="AC702" s="31"/>
    </row>
    <row r="703" spans="19:29" x14ac:dyDescent="0.25">
      <c r="S703" s="31"/>
      <c r="X703" s="31"/>
      <c r="Y703" s="31"/>
      <c r="Z703" s="31"/>
      <c r="AA703" s="31"/>
      <c r="AB703" s="31"/>
      <c r="AC703" s="31"/>
    </row>
    <row r="704" spans="19:29" x14ac:dyDescent="0.25">
      <c r="S704" s="31"/>
      <c r="X704" s="31"/>
      <c r="Y704" s="31"/>
      <c r="Z704" s="31"/>
      <c r="AA704" s="31"/>
      <c r="AB704" s="31"/>
      <c r="AC704" s="31"/>
    </row>
    <row r="705" spans="19:29" x14ac:dyDescent="0.25">
      <c r="S705" s="31"/>
      <c r="X705" s="31"/>
      <c r="Y705" s="31"/>
      <c r="Z705" s="31"/>
      <c r="AA705" s="31"/>
      <c r="AB705" s="31"/>
      <c r="AC705" s="31"/>
    </row>
    <row r="706" spans="19:29" x14ac:dyDescent="0.25">
      <c r="S706" s="31"/>
      <c r="X706" s="31"/>
      <c r="Y706" s="31"/>
      <c r="Z706" s="31"/>
      <c r="AA706" s="31"/>
      <c r="AB706" s="31"/>
      <c r="AC706" s="31"/>
    </row>
    <row r="707" spans="19:29" x14ac:dyDescent="0.25">
      <c r="S707" s="31"/>
      <c r="X707" s="31"/>
      <c r="Y707" s="31"/>
      <c r="Z707" s="31"/>
      <c r="AA707" s="31"/>
      <c r="AB707" s="31"/>
      <c r="AC707" s="31"/>
    </row>
    <row r="708" spans="19:29" x14ac:dyDescent="0.25">
      <c r="S708" s="31"/>
      <c r="X708" s="31"/>
      <c r="Y708" s="31"/>
      <c r="Z708" s="31"/>
      <c r="AA708" s="31"/>
      <c r="AB708" s="31"/>
      <c r="AC708" s="31"/>
    </row>
    <row r="709" spans="19:29" x14ac:dyDescent="0.25">
      <c r="S709" s="31"/>
      <c r="X709" s="31"/>
      <c r="Y709" s="31"/>
      <c r="Z709" s="31"/>
      <c r="AA709" s="31"/>
      <c r="AB709" s="31"/>
      <c r="AC709" s="31"/>
    </row>
    <row r="710" spans="19:29" x14ac:dyDescent="0.25">
      <c r="S710" s="31"/>
      <c r="X710" s="31"/>
      <c r="Y710" s="31"/>
      <c r="Z710" s="31"/>
      <c r="AA710" s="31"/>
      <c r="AB710" s="31"/>
      <c r="AC710" s="31"/>
    </row>
    <row r="711" spans="19:29" x14ac:dyDescent="0.25">
      <c r="S711" s="31"/>
      <c r="X711" s="31"/>
      <c r="Y711" s="31"/>
      <c r="Z711" s="31"/>
      <c r="AA711" s="31"/>
      <c r="AB711" s="31"/>
      <c r="AC711" s="31"/>
    </row>
    <row r="712" spans="19:29" x14ac:dyDescent="0.25">
      <c r="S712" s="31"/>
      <c r="X712" s="31"/>
      <c r="Y712" s="31"/>
      <c r="Z712" s="31"/>
      <c r="AA712" s="31"/>
      <c r="AB712" s="31"/>
      <c r="AC712" s="31"/>
    </row>
    <row r="713" spans="19:29" x14ac:dyDescent="0.25">
      <c r="S713" s="31"/>
      <c r="X713" s="31"/>
      <c r="Y713" s="31"/>
      <c r="Z713" s="31"/>
      <c r="AA713" s="31"/>
      <c r="AB713" s="31"/>
      <c r="AC713" s="31"/>
    </row>
    <row r="714" spans="19:29" x14ac:dyDescent="0.25">
      <c r="S714" s="31"/>
      <c r="X714" s="31"/>
      <c r="Y714" s="31"/>
      <c r="Z714" s="31"/>
      <c r="AA714" s="31"/>
      <c r="AB714" s="31"/>
      <c r="AC714" s="31"/>
    </row>
    <row r="715" spans="19:29" x14ac:dyDescent="0.25">
      <c r="S715" s="31"/>
      <c r="X715" s="31"/>
      <c r="Y715" s="31"/>
      <c r="Z715" s="31"/>
      <c r="AA715" s="31"/>
      <c r="AB715" s="31"/>
      <c r="AC715" s="31"/>
    </row>
    <row r="716" spans="19:29" x14ac:dyDescent="0.25">
      <c r="S716" s="31"/>
      <c r="X716" s="31"/>
      <c r="Y716" s="31"/>
      <c r="Z716" s="31"/>
      <c r="AA716" s="31"/>
      <c r="AB716" s="31"/>
      <c r="AC716" s="31"/>
    </row>
    <row r="717" spans="19:29" x14ac:dyDescent="0.25">
      <c r="S717" s="31"/>
      <c r="X717" s="31"/>
      <c r="Y717" s="31"/>
      <c r="Z717" s="31"/>
      <c r="AA717" s="31"/>
      <c r="AB717" s="31"/>
      <c r="AC717" s="31"/>
    </row>
    <row r="718" spans="19:29" x14ac:dyDescent="0.25">
      <c r="S718" s="31"/>
      <c r="X718" s="31"/>
      <c r="Y718" s="31"/>
      <c r="Z718" s="31"/>
      <c r="AA718" s="31"/>
      <c r="AB718" s="31"/>
      <c r="AC718" s="31"/>
    </row>
    <row r="719" spans="19:29" x14ac:dyDescent="0.25">
      <c r="S719" s="31"/>
      <c r="X719" s="31"/>
      <c r="Y719" s="31"/>
      <c r="Z719" s="31"/>
      <c r="AA719" s="31"/>
      <c r="AB719" s="31"/>
      <c r="AC719" s="31"/>
    </row>
    <row r="720" spans="19:29" x14ac:dyDescent="0.25">
      <c r="S720" s="31"/>
      <c r="X720" s="31"/>
      <c r="Y720" s="31"/>
      <c r="Z720" s="31"/>
      <c r="AA720" s="31"/>
      <c r="AB720" s="31"/>
      <c r="AC720" s="31"/>
    </row>
    <row r="721" spans="19:29" x14ac:dyDescent="0.25">
      <c r="S721" s="31"/>
      <c r="X721" s="31"/>
      <c r="Y721" s="31"/>
      <c r="Z721" s="31"/>
      <c r="AA721" s="31"/>
      <c r="AB721" s="31"/>
      <c r="AC721" s="31"/>
    </row>
    <row r="722" spans="19:29" x14ac:dyDescent="0.25">
      <c r="S722" s="31"/>
      <c r="X722" s="31"/>
      <c r="Y722" s="31"/>
      <c r="Z722" s="31"/>
      <c r="AA722" s="31"/>
      <c r="AB722" s="31"/>
      <c r="AC722" s="31"/>
    </row>
    <row r="723" spans="19:29" x14ac:dyDescent="0.25">
      <c r="S723" s="31"/>
      <c r="X723" s="31"/>
      <c r="Y723" s="31"/>
      <c r="Z723" s="31"/>
      <c r="AA723" s="31"/>
      <c r="AB723" s="31"/>
      <c r="AC723" s="31"/>
    </row>
    <row r="724" spans="19:29" x14ac:dyDescent="0.25">
      <c r="S724" s="31"/>
      <c r="X724" s="31"/>
      <c r="Y724" s="31"/>
      <c r="Z724" s="31"/>
      <c r="AA724" s="31"/>
      <c r="AB724" s="31"/>
      <c r="AC724" s="31"/>
    </row>
    <row r="725" spans="19:29" x14ac:dyDescent="0.25">
      <c r="S725" s="31"/>
      <c r="X725" s="31"/>
      <c r="Y725" s="31"/>
      <c r="Z725" s="31"/>
      <c r="AA725" s="31"/>
      <c r="AB725" s="31"/>
      <c r="AC725" s="31"/>
    </row>
    <row r="726" spans="19:29" x14ac:dyDescent="0.25">
      <c r="S726" s="31"/>
      <c r="X726" s="31"/>
      <c r="Y726" s="31"/>
      <c r="Z726" s="31"/>
      <c r="AA726" s="31"/>
      <c r="AB726" s="31"/>
      <c r="AC726" s="31"/>
    </row>
    <row r="727" spans="19:29" x14ac:dyDescent="0.25">
      <c r="S727" s="31"/>
      <c r="X727" s="31"/>
      <c r="Y727" s="31"/>
      <c r="Z727" s="31"/>
      <c r="AA727" s="31"/>
      <c r="AB727" s="31"/>
      <c r="AC727" s="31"/>
    </row>
    <row r="728" spans="19:29" x14ac:dyDescent="0.25">
      <c r="S728" s="31"/>
      <c r="X728" s="31"/>
      <c r="Y728" s="31"/>
      <c r="Z728" s="31"/>
      <c r="AA728" s="31"/>
      <c r="AB728" s="31"/>
      <c r="AC728" s="31"/>
    </row>
    <row r="729" spans="19:29" x14ac:dyDescent="0.25">
      <c r="S729" s="31"/>
      <c r="X729" s="31"/>
      <c r="Y729" s="31"/>
      <c r="Z729" s="31"/>
      <c r="AA729" s="31"/>
      <c r="AB729" s="31"/>
      <c r="AC729" s="31"/>
    </row>
    <row r="730" spans="19:29" x14ac:dyDescent="0.25">
      <c r="S730" s="31"/>
      <c r="X730" s="31"/>
      <c r="Y730" s="31"/>
      <c r="Z730" s="31"/>
      <c r="AA730" s="31"/>
      <c r="AB730" s="31"/>
      <c r="AC730" s="31"/>
    </row>
    <row r="731" spans="19:29" x14ac:dyDescent="0.25">
      <c r="S731" s="31"/>
      <c r="X731" s="31"/>
      <c r="Y731" s="31"/>
      <c r="Z731" s="31"/>
      <c r="AA731" s="31"/>
      <c r="AB731" s="31"/>
      <c r="AC731" s="31"/>
    </row>
    <row r="732" spans="19:29" x14ac:dyDescent="0.25">
      <c r="S732" s="31"/>
      <c r="X732" s="31"/>
      <c r="Y732" s="31"/>
      <c r="Z732" s="31"/>
      <c r="AA732" s="31"/>
      <c r="AB732" s="31"/>
      <c r="AC732" s="31"/>
    </row>
    <row r="733" spans="19:29" x14ac:dyDescent="0.25">
      <c r="S733" s="31"/>
      <c r="X733" s="31"/>
      <c r="Y733" s="31"/>
      <c r="Z733" s="31"/>
      <c r="AA733" s="31"/>
      <c r="AB733" s="31"/>
      <c r="AC733" s="31"/>
    </row>
    <row r="734" spans="19:29" x14ac:dyDescent="0.25">
      <c r="S734" s="31"/>
      <c r="X734" s="31"/>
      <c r="Y734" s="31"/>
      <c r="Z734" s="31"/>
      <c r="AA734" s="31"/>
      <c r="AB734" s="31"/>
      <c r="AC734" s="31"/>
    </row>
    <row r="735" spans="19:29" x14ac:dyDescent="0.25">
      <c r="S735" s="31"/>
      <c r="X735" s="31"/>
      <c r="Y735" s="31"/>
      <c r="Z735" s="31"/>
      <c r="AA735" s="31"/>
      <c r="AB735" s="31"/>
      <c r="AC735" s="31"/>
    </row>
    <row r="736" spans="19:29" x14ac:dyDescent="0.25">
      <c r="S736" s="31"/>
      <c r="X736" s="31"/>
      <c r="Y736" s="31"/>
      <c r="Z736" s="31"/>
      <c r="AA736" s="31"/>
      <c r="AB736" s="31"/>
      <c r="AC736" s="31"/>
    </row>
    <row r="737" spans="19:29" x14ac:dyDescent="0.25">
      <c r="S737" s="31"/>
      <c r="X737" s="31"/>
      <c r="Y737" s="31"/>
      <c r="Z737" s="31"/>
      <c r="AA737" s="31"/>
      <c r="AB737" s="31"/>
      <c r="AC737" s="31"/>
    </row>
    <row r="738" spans="19:29" x14ac:dyDescent="0.25">
      <c r="S738" s="31"/>
      <c r="X738" s="31"/>
      <c r="Y738" s="31"/>
      <c r="Z738" s="31"/>
      <c r="AA738" s="31"/>
      <c r="AB738" s="31"/>
      <c r="AC738" s="31"/>
    </row>
    <row r="739" spans="19:29" x14ac:dyDescent="0.25">
      <c r="S739" s="31"/>
      <c r="X739" s="31"/>
      <c r="Y739" s="31"/>
      <c r="Z739" s="31"/>
      <c r="AA739" s="31"/>
      <c r="AB739" s="31"/>
      <c r="AC739" s="31"/>
    </row>
    <row r="740" spans="19:29" x14ac:dyDescent="0.25">
      <c r="S740" s="31"/>
      <c r="X740" s="31"/>
      <c r="Y740" s="31"/>
      <c r="Z740" s="31"/>
      <c r="AA740" s="31"/>
      <c r="AB740" s="31"/>
      <c r="AC740" s="31"/>
    </row>
    <row r="741" spans="19:29" x14ac:dyDescent="0.25">
      <c r="S741" s="31"/>
      <c r="X741" s="31"/>
      <c r="Y741" s="31"/>
      <c r="Z741" s="31"/>
      <c r="AA741" s="31"/>
      <c r="AB741" s="31"/>
      <c r="AC741" s="31"/>
    </row>
    <row r="742" spans="19:29" x14ac:dyDescent="0.25">
      <c r="S742" s="31"/>
      <c r="X742" s="31"/>
      <c r="Y742" s="31"/>
      <c r="Z742" s="31"/>
      <c r="AA742" s="31"/>
      <c r="AB742" s="31"/>
      <c r="AC742" s="31"/>
    </row>
    <row r="743" spans="19:29" x14ac:dyDescent="0.25">
      <c r="S743" s="31"/>
      <c r="X743" s="31"/>
      <c r="Y743" s="31"/>
      <c r="Z743" s="31"/>
      <c r="AA743" s="31"/>
      <c r="AB743" s="31"/>
      <c r="AC743" s="31"/>
    </row>
    <row r="744" spans="19:29" x14ac:dyDescent="0.25">
      <c r="S744" s="31"/>
      <c r="X744" s="31"/>
      <c r="Y744" s="31"/>
      <c r="Z744" s="31"/>
      <c r="AA744" s="31"/>
      <c r="AB744" s="31"/>
      <c r="AC744" s="31"/>
    </row>
    <row r="745" spans="19:29" x14ac:dyDescent="0.25">
      <c r="S745" s="31"/>
      <c r="X745" s="31"/>
      <c r="Y745" s="31"/>
      <c r="Z745" s="31"/>
      <c r="AA745" s="31"/>
      <c r="AB745" s="31"/>
      <c r="AC745" s="31"/>
    </row>
    <row r="746" spans="19:29" x14ac:dyDescent="0.25">
      <c r="S746" s="31"/>
      <c r="X746" s="31"/>
      <c r="Y746" s="31"/>
      <c r="Z746" s="31"/>
      <c r="AA746" s="31"/>
      <c r="AB746" s="31"/>
      <c r="AC746" s="31"/>
    </row>
    <row r="747" spans="19:29" x14ac:dyDescent="0.25">
      <c r="S747" s="31"/>
      <c r="X747" s="31"/>
      <c r="Y747" s="31"/>
      <c r="Z747" s="31"/>
      <c r="AA747" s="31"/>
      <c r="AB747" s="31"/>
      <c r="AC747" s="31"/>
    </row>
    <row r="748" spans="19:29" x14ac:dyDescent="0.25">
      <c r="S748" s="31"/>
      <c r="X748" s="31"/>
      <c r="Y748" s="31"/>
      <c r="Z748" s="31"/>
      <c r="AA748" s="31"/>
      <c r="AB748" s="31"/>
      <c r="AC748" s="31"/>
    </row>
    <row r="749" spans="19:29" x14ac:dyDescent="0.25">
      <c r="S749" s="31"/>
      <c r="X749" s="31"/>
      <c r="Y749" s="31"/>
      <c r="Z749" s="31"/>
      <c r="AA749" s="31"/>
      <c r="AB749" s="31"/>
      <c r="AC749" s="31"/>
    </row>
    <row r="750" spans="19:29" x14ac:dyDescent="0.25">
      <c r="S750" s="31"/>
      <c r="X750" s="31"/>
      <c r="Y750" s="31"/>
      <c r="Z750" s="31"/>
      <c r="AA750" s="31"/>
      <c r="AB750" s="31"/>
      <c r="AC750" s="31"/>
    </row>
    <row r="751" spans="19:29" x14ac:dyDescent="0.25">
      <c r="S751" s="31"/>
      <c r="X751" s="31"/>
      <c r="Y751" s="31"/>
      <c r="Z751" s="31"/>
      <c r="AA751" s="31"/>
      <c r="AB751" s="31"/>
      <c r="AC751" s="31"/>
    </row>
    <row r="752" spans="19:29" x14ac:dyDescent="0.25">
      <c r="S752" s="31"/>
      <c r="X752" s="31"/>
      <c r="Y752" s="31"/>
      <c r="Z752" s="31"/>
      <c r="AA752" s="31"/>
      <c r="AB752" s="31"/>
      <c r="AC752" s="31"/>
    </row>
    <row r="753" spans="19:29" x14ac:dyDescent="0.25">
      <c r="S753" s="31"/>
      <c r="X753" s="31"/>
      <c r="Y753" s="31"/>
      <c r="Z753" s="31"/>
      <c r="AA753" s="31"/>
      <c r="AB753" s="31"/>
      <c r="AC753" s="31"/>
    </row>
    <row r="754" spans="19:29" x14ac:dyDescent="0.25">
      <c r="S754" s="31"/>
      <c r="X754" s="31"/>
      <c r="Y754" s="31"/>
      <c r="Z754" s="31"/>
      <c r="AA754" s="31"/>
      <c r="AB754" s="31"/>
      <c r="AC754" s="31"/>
    </row>
    <row r="755" spans="19:29" x14ac:dyDescent="0.25">
      <c r="S755" s="31"/>
      <c r="X755" s="31"/>
      <c r="Y755" s="31"/>
      <c r="Z755" s="31"/>
      <c r="AA755" s="31"/>
      <c r="AB755" s="31"/>
      <c r="AC755" s="31"/>
    </row>
    <row r="756" spans="19:29" x14ac:dyDescent="0.25">
      <c r="S756" s="31"/>
      <c r="X756" s="31"/>
      <c r="Y756" s="31"/>
      <c r="Z756" s="31"/>
      <c r="AA756" s="31"/>
      <c r="AB756" s="31"/>
      <c r="AC756" s="31"/>
    </row>
    <row r="757" spans="19:29" x14ac:dyDescent="0.25">
      <c r="S757" s="31"/>
      <c r="X757" s="31"/>
      <c r="Y757" s="31"/>
      <c r="Z757" s="31"/>
      <c r="AA757" s="31"/>
      <c r="AB757" s="31"/>
      <c r="AC757" s="31"/>
    </row>
    <row r="758" spans="19:29" x14ac:dyDescent="0.25">
      <c r="S758" s="31"/>
      <c r="X758" s="31"/>
      <c r="Y758" s="31"/>
      <c r="Z758" s="31"/>
      <c r="AA758" s="31"/>
      <c r="AB758" s="31"/>
      <c r="AC758" s="31"/>
    </row>
    <row r="759" spans="19:29" x14ac:dyDescent="0.25">
      <c r="S759" s="31"/>
      <c r="X759" s="31"/>
      <c r="Y759" s="31"/>
      <c r="Z759" s="31"/>
      <c r="AA759" s="31"/>
      <c r="AB759" s="31"/>
      <c r="AC759" s="31"/>
    </row>
    <row r="760" spans="19:29" x14ac:dyDescent="0.25">
      <c r="S760" s="31"/>
      <c r="X760" s="31"/>
      <c r="Y760" s="31"/>
      <c r="Z760" s="31"/>
      <c r="AA760" s="31"/>
      <c r="AB760" s="31"/>
      <c r="AC760" s="31"/>
    </row>
    <row r="761" spans="19:29" x14ac:dyDescent="0.25">
      <c r="S761" s="31"/>
      <c r="X761" s="31"/>
      <c r="Y761" s="31"/>
      <c r="Z761" s="31"/>
      <c r="AA761" s="31"/>
      <c r="AB761" s="31"/>
      <c r="AC761" s="31"/>
    </row>
    <row r="762" spans="19:29" x14ac:dyDescent="0.25">
      <c r="S762" s="31"/>
      <c r="X762" s="31"/>
      <c r="Y762" s="31"/>
      <c r="Z762" s="31"/>
      <c r="AA762" s="31"/>
      <c r="AB762" s="31"/>
      <c r="AC762" s="31"/>
    </row>
    <row r="763" spans="19:29" x14ac:dyDescent="0.25">
      <c r="S763" s="31"/>
      <c r="X763" s="31"/>
      <c r="Y763" s="31"/>
      <c r="Z763" s="31"/>
      <c r="AA763" s="31"/>
      <c r="AB763" s="31"/>
      <c r="AC763" s="31"/>
    </row>
    <row r="764" spans="19:29" x14ac:dyDescent="0.25">
      <c r="S764" s="31"/>
      <c r="X764" s="31"/>
      <c r="Y764" s="31"/>
      <c r="Z764" s="31"/>
      <c r="AA764" s="31"/>
      <c r="AB764" s="31"/>
      <c r="AC764" s="31"/>
    </row>
    <row r="765" spans="19:29" x14ac:dyDescent="0.25">
      <c r="S765" s="31"/>
      <c r="X765" s="31"/>
      <c r="Y765" s="31"/>
      <c r="Z765" s="31"/>
      <c r="AA765" s="31"/>
      <c r="AB765" s="31"/>
      <c r="AC765" s="31"/>
    </row>
    <row r="766" spans="19:29" x14ac:dyDescent="0.25">
      <c r="S766" s="31"/>
      <c r="X766" s="31"/>
      <c r="Y766" s="31"/>
      <c r="Z766" s="31"/>
      <c r="AA766" s="31"/>
      <c r="AB766" s="31"/>
      <c r="AC766" s="31"/>
    </row>
    <row r="767" spans="19:29" x14ac:dyDescent="0.25">
      <c r="S767" s="31"/>
      <c r="X767" s="31"/>
      <c r="Y767" s="31"/>
      <c r="Z767" s="31"/>
      <c r="AA767" s="31"/>
      <c r="AB767" s="31"/>
      <c r="AC767" s="31"/>
    </row>
    <row r="768" spans="19:29" x14ac:dyDescent="0.25">
      <c r="S768" s="31"/>
      <c r="X768" s="31"/>
      <c r="Y768" s="31"/>
      <c r="Z768" s="31"/>
      <c r="AA768" s="31"/>
      <c r="AB768" s="31"/>
      <c r="AC768" s="31"/>
    </row>
    <row r="769" spans="19:29" x14ac:dyDescent="0.25">
      <c r="S769" s="31"/>
      <c r="X769" s="31"/>
      <c r="Y769" s="31"/>
      <c r="Z769" s="31"/>
      <c r="AA769" s="31"/>
      <c r="AB769" s="31"/>
      <c r="AC769" s="31"/>
    </row>
    <row r="770" spans="19:29" x14ac:dyDescent="0.25">
      <c r="S770" s="31"/>
      <c r="X770" s="31"/>
      <c r="Y770" s="31"/>
      <c r="Z770" s="31"/>
      <c r="AA770" s="31"/>
      <c r="AB770" s="31"/>
      <c r="AC770" s="31"/>
    </row>
    <row r="771" spans="19:29" x14ac:dyDescent="0.25">
      <c r="S771" s="31"/>
      <c r="X771" s="31"/>
      <c r="Y771" s="31"/>
      <c r="Z771" s="31"/>
      <c r="AA771" s="31"/>
      <c r="AB771" s="31"/>
      <c r="AC771" s="31"/>
    </row>
    <row r="772" spans="19:29" x14ac:dyDescent="0.25">
      <c r="S772" s="31"/>
      <c r="X772" s="31"/>
      <c r="Y772" s="31"/>
      <c r="Z772" s="31"/>
      <c r="AA772" s="31"/>
      <c r="AB772" s="31"/>
      <c r="AC772" s="31"/>
    </row>
    <row r="773" spans="19:29" x14ac:dyDescent="0.25">
      <c r="S773" s="31"/>
      <c r="X773" s="31"/>
      <c r="Y773" s="31"/>
      <c r="Z773" s="31"/>
      <c r="AA773" s="31"/>
      <c r="AB773" s="31"/>
      <c r="AC773" s="31"/>
    </row>
    <row r="774" spans="19:29" x14ac:dyDescent="0.25">
      <c r="S774" s="31"/>
      <c r="X774" s="31"/>
      <c r="Y774" s="31"/>
      <c r="Z774" s="31"/>
      <c r="AA774" s="31"/>
      <c r="AB774" s="31"/>
      <c r="AC774" s="31"/>
    </row>
    <row r="775" spans="19:29" x14ac:dyDescent="0.25">
      <c r="S775" s="31"/>
      <c r="X775" s="31"/>
      <c r="Y775" s="31"/>
      <c r="Z775" s="31"/>
      <c r="AA775" s="31"/>
      <c r="AB775" s="31"/>
      <c r="AC775" s="31"/>
    </row>
    <row r="776" spans="19:29" x14ac:dyDescent="0.25">
      <c r="S776" s="31"/>
      <c r="X776" s="31"/>
      <c r="Y776" s="31"/>
      <c r="Z776" s="31"/>
      <c r="AA776" s="31"/>
      <c r="AB776" s="31"/>
      <c r="AC776" s="31"/>
    </row>
    <row r="777" spans="19:29" x14ac:dyDescent="0.25">
      <c r="S777" s="31"/>
      <c r="X777" s="31"/>
      <c r="Y777" s="31"/>
      <c r="Z777" s="31"/>
      <c r="AA777" s="31"/>
      <c r="AB777" s="31"/>
      <c r="AC777" s="31"/>
    </row>
    <row r="778" spans="19:29" x14ac:dyDescent="0.25">
      <c r="S778" s="31"/>
      <c r="X778" s="31"/>
      <c r="Y778" s="31"/>
      <c r="Z778" s="31"/>
      <c r="AA778" s="31"/>
      <c r="AB778" s="31"/>
      <c r="AC778" s="31"/>
    </row>
    <row r="779" spans="19:29" x14ac:dyDescent="0.25">
      <c r="S779" s="31"/>
      <c r="X779" s="31"/>
      <c r="Y779" s="31"/>
      <c r="Z779" s="31"/>
      <c r="AA779" s="31"/>
      <c r="AB779" s="31"/>
      <c r="AC779" s="31"/>
    </row>
    <row r="780" spans="19:29" x14ac:dyDescent="0.25">
      <c r="S780" s="31"/>
      <c r="X780" s="31"/>
      <c r="Y780" s="31"/>
      <c r="Z780" s="31"/>
      <c r="AA780" s="31"/>
      <c r="AB780" s="31"/>
      <c r="AC780" s="31"/>
    </row>
    <row r="781" spans="19:29" x14ac:dyDescent="0.25">
      <c r="S781" s="31"/>
      <c r="X781" s="31"/>
      <c r="Y781" s="31"/>
      <c r="Z781" s="31"/>
      <c r="AA781" s="31"/>
      <c r="AB781" s="31"/>
      <c r="AC781" s="31"/>
    </row>
    <row r="782" spans="19:29" x14ac:dyDescent="0.25">
      <c r="S782" s="31"/>
      <c r="X782" s="31"/>
      <c r="Y782" s="31"/>
      <c r="Z782" s="31"/>
      <c r="AA782" s="31"/>
      <c r="AB782" s="31"/>
      <c r="AC782" s="31"/>
    </row>
    <row r="783" spans="19:29" x14ac:dyDescent="0.25">
      <c r="S783" s="31"/>
      <c r="X783" s="31"/>
      <c r="Y783" s="31"/>
      <c r="Z783" s="31"/>
      <c r="AA783" s="31"/>
      <c r="AB783" s="31"/>
      <c r="AC783" s="31"/>
    </row>
    <row r="784" spans="19:29" x14ac:dyDescent="0.25">
      <c r="S784" s="31"/>
      <c r="X784" s="31"/>
      <c r="Y784" s="31"/>
      <c r="Z784" s="31"/>
      <c r="AA784" s="31"/>
      <c r="AB784" s="31"/>
      <c r="AC784" s="31"/>
    </row>
    <row r="785" spans="19:29" x14ac:dyDescent="0.25">
      <c r="S785" s="31"/>
      <c r="X785" s="31"/>
      <c r="Y785" s="31"/>
      <c r="Z785" s="31"/>
      <c r="AA785" s="31"/>
      <c r="AB785" s="31"/>
      <c r="AC785" s="31"/>
    </row>
    <row r="786" spans="19:29" x14ac:dyDescent="0.25">
      <c r="S786" s="31"/>
      <c r="X786" s="31"/>
      <c r="Y786" s="31"/>
      <c r="Z786" s="31"/>
      <c r="AA786" s="31"/>
      <c r="AB786" s="31"/>
      <c r="AC786" s="31"/>
    </row>
    <row r="787" spans="19:29" x14ac:dyDescent="0.25">
      <c r="S787" s="31"/>
      <c r="X787" s="31"/>
      <c r="Y787" s="31"/>
      <c r="Z787" s="31"/>
      <c r="AA787" s="31"/>
      <c r="AB787" s="31"/>
      <c r="AC787" s="31"/>
    </row>
    <row r="788" spans="19:29" x14ac:dyDescent="0.25">
      <c r="S788" s="31"/>
      <c r="X788" s="31"/>
      <c r="Y788" s="31"/>
      <c r="Z788" s="31"/>
      <c r="AA788" s="31"/>
      <c r="AB788" s="31"/>
      <c r="AC788" s="31"/>
    </row>
    <row r="789" spans="19:29" x14ac:dyDescent="0.25">
      <c r="S789" s="31"/>
      <c r="X789" s="31"/>
      <c r="Y789" s="31"/>
      <c r="Z789" s="31"/>
      <c r="AA789" s="31"/>
      <c r="AB789" s="31"/>
      <c r="AC789" s="31"/>
    </row>
    <row r="790" spans="19:29" x14ac:dyDescent="0.25">
      <c r="S790" s="31"/>
      <c r="X790" s="31"/>
      <c r="Y790" s="31"/>
      <c r="Z790" s="31"/>
      <c r="AA790" s="31"/>
      <c r="AB790" s="31"/>
      <c r="AC790" s="31"/>
    </row>
    <row r="791" spans="19:29" x14ac:dyDescent="0.25">
      <c r="S791" s="31"/>
      <c r="X791" s="31"/>
      <c r="Y791" s="31"/>
      <c r="Z791" s="31"/>
      <c r="AA791" s="31"/>
      <c r="AB791" s="31"/>
      <c r="AC791" s="31"/>
    </row>
    <row r="792" spans="19:29" x14ac:dyDescent="0.25">
      <c r="S792" s="31"/>
      <c r="X792" s="31"/>
      <c r="Y792" s="31"/>
      <c r="Z792" s="31"/>
      <c r="AA792" s="31"/>
      <c r="AB792" s="31"/>
      <c r="AC792" s="31"/>
    </row>
    <row r="793" spans="19:29" x14ac:dyDescent="0.25">
      <c r="S793" s="31"/>
      <c r="X793" s="31"/>
      <c r="Y793" s="31"/>
      <c r="Z793" s="31"/>
      <c r="AA793" s="31"/>
      <c r="AB793" s="31"/>
      <c r="AC793" s="31"/>
    </row>
    <row r="794" spans="19:29" x14ac:dyDescent="0.25">
      <c r="S794" s="31"/>
      <c r="X794" s="31"/>
      <c r="Y794" s="31"/>
      <c r="Z794" s="31"/>
      <c r="AA794" s="31"/>
      <c r="AB794" s="31"/>
      <c r="AC794" s="31"/>
    </row>
    <row r="795" spans="19:29" x14ac:dyDescent="0.25">
      <c r="S795" s="31"/>
      <c r="X795" s="31"/>
      <c r="Y795" s="31"/>
      <c r="Z795" s="31"/>
      <c r="AA795" s="31"/>
      <c r="AB795" s="31"/>
      <c r="AC795" s="31"/>
    </row>
    <row r="796" spans="19:29" x14ac:dyDescent="0.25">
      <c r="S796" s="31"/>
      <c r="X796" s="31"/>
      <c r="Y796" s="31"/>
      <c r="Z796" s="31"/>
      <c r="AA796" s="31"/>
      <c r="AB796" s="31"/>
      <c r="AC796" s="31"/>
    </row>
    <row r="797" spans="19:29" x14ac:dyDescent="0.25">
      <c r="S797" s="31"/>
      <c r="X797" s="31"/>
      <c r="Y797" s="31"/>
      <c r="Z797" s="31"/>
      <c r="AA797" s="31"/>
      <c r="AB797" s="31"/>
      <c r="AC797" s="31"/>
    </row>
    <row r="798" spans="19:29" x14ac:dyDescent="0.25">
      <c r="S798" s="31"/>
      <c r="X798" s="31"/>
      <c r="Y798" s="31"/>
      <c r="Z798" s="31"/>
      <c r="AA798" s="31"/>
      <c r="AB798" s="31"/>
      <c r="AC798" s="31"/>
    </row>
    <row r="799" spans="19:29" x14ac:dyDescent="0.25">
      <c r="S799" s="31"/>
      <c r="X799" s="31"/>
      <c r="Y799" s="31"/>
      <c r="Z799" s="31"/>
      <c r="AA799" s="31"/>
      <c r="AB799" s="31"/>
      <c r="AC799" s="31"/>
    </row>
    <row r="800" spans="19:29" x14ac:dyDescent="0.25">
      <c r="S800" s="31"/>
      <c r="X800" s="31"/>
      <c r="Y800" s="31"/>
      <c r="Z800" s="31"/>
      <c r="AA800" s="31"/>
      <c r="AB800" s="31"/>
      <c r="AC800" s="31"/>
    </row>
    <row r="801" spans="19:29" x14ac:dyDescent="0.25">
      <c r="S801" s="31"/>
      <c r="X801" s="31"/>
      <c r="Y801" s="31"/>
      <c r="Z801" s="31"/>
      <c r="AA801" s="31"/>
      <c r="AB801" s="31"/>
      <c r="AC801" s="31"/>
    </row>
    <row r="802" spans="19:29" x14ac:dyDescent="0.25">
      <c r="S802" s="31"/>
      <c r="X802" s="31"/>
      <c r="Y802" s="31"/>
      <c r="Z802" s="31"/>
      <c r="AA802" s="31"/>
      <c r="AB802" s="31"/>
      <c r="AC802" s="31"/>
    </row>
    <row r="803" spans="19:29" x14ac:dyDescent="0.25">
      <c r="S803" s="31"/>
      <c r="X803" s="31"/>
      <c r="Y803" s="31"/>
      <c r="Z803" s="31"/>
      <c r="AA803" s="31"/>
      <c r="AB803" s="31"/>
      <c r="AC803" s="31"/>
    </row>
    <row r="804" spans="19:29" x14ac:dyDescent="0.25">
      <c r="S804" s="31"/>
      <c r="X804" s="31"/>
      <c r="Y804" s="31"/>
      <c r="Z804" s="31"/>
      <c r="AA804" s="31"/>
      <c r="AB804" s="31"/>
      <c r="AC804" s="31"/>
    </row>
    <row r="805" spans="19:29" x14ac:dyDescent="0.25">
      <c r="S805" s="31"/>
      <c r="X805" s="31"/>
      <c r="Y805" s="31"/>
      <c r="Z805" s="31"/>
      <c r="AA805" s="31"/>
      <c r="AB805" s="31"/>
      <c r="AC805" s="31"/>
    </row>
    <row r="806" spans="19:29" x14ac:dyDescent="0.25">
      <c r="S806" s="31"/>
      <c r="X806" s="31"/>
      <c r="Y806" s="31"/>
      <c r="Z806" s="31"/>
      <c r="AA806" s="31"/>
      <c r="AB806" s="31"/>
      <c r="AC806" s="31"/>
    </row>
    <row r="807" spans="19:29" x14ac:dyDescent="0.25">
      <c r="S807" s="31"/>
      <c r="X807" s="31"/>
      <c r="Y807" s="31"/>
      <c r="Z807" s="31"/>
      <c r="AA807" s="31"/>
      <c r="AB807" s="31"/>
      <c r="AC807" s="31"/>
    </row>
    <row r="808" spans="19:29" x14ac:dyDescent="0.25">
      <c r="S808" s="31"/>
      <c r="X808" s="31"/>
      <c r="Y808" s="31"/>
      <c r="Z808" s="31"/>
      <c r="AA808" s="31"/>
      <c r="AB808" s="31"/>
      <c r="AC808" s="31"/>
    </row>
    <row r="809" spans="19:29" x14ac:dyDescent="0.25">
      <c r="S809" s="31"/>
      <c r="X809" s="31"/>
      <c r="Y809" s="31"/>
      <c r="Z809" s="31"/>
      <c r="AA809" s="31"/>
      <c r="AB809" s="31"/>
      <c r="AC809" s="31"/>
    </row>
    <row r="810" spans="19:29" x14ac:dyDescent="0.25">
      <c r="S810" s="31"/>
      <c r="X810" s="31"/>
      <c r="Y810" s="31"/>
      <c r="Z810" s="31"/>
      <c r="AA810" s="31"/>
      <c r="AB810" s="31"/>
      <c r="AC810" s="31"/>
    </row>
    <row r="811" spans="19:29" x14ac:dyDescent="0.25">
      <c r="S811" s="31"/>
      <c r="X811" s="31"/>
      <c r="Y811" s="31"/>
      <c r="Z811" s="31"/>
      <c r="AA811" s="31"/>
      <c r="AB811" s="31"/>
      <c r="AC811" s="31"/>
    </row>
    <row r="812" spans="19:29" x14ac:dyDescent="0.25">
      <c r="S812" s="31"/>
      <c r="X812" s="31"/>
      <c r="Y812" s="31"/>
      <c r="Z812" s="31"/>
      <c r="AA812" s="31"/>
      <c r="AB812" s="31"/>
      <c r="AC812" s="31"/>
    </row>
    <row r="813" spans="19:29" x14ac:dyDescent="0.25">
      <c r="S813" s="31"/>
      <c r="X813" s="31"/>
      <c r="Y813" s="31"/>
      <c r="Z813" s="31"/>
      <c r="AA813" s="31"/>
      <c r="AB813" s="31"/>
      <c r="AC813" s="31"/>
    </row>
    <row r="814" spans="19:29" x14ac:dyDescent="0.25">
      <c r="S814" s="31"/>
      <c r="X814" s="31"/>
      <c r="Y814" s="31"/>
      <c r="Z814" s="31"/>
      <c r="AA814" s="31"/>
      <c r="AB814" s="31"/>
      <c r="AC814" s="31"/>
    </row>
    <row r="815" spans="19:29" x14ac:dyDescent="0.25">
      <c r="S815" s="31"/>
      <c r="X815" s="31"/>
      <c r="Y815" s="31"/>
      <c r="Z815" s="31"/>
      <c r="AA815" s="31"/>
      <c r="AB815" s="31"/>
      <c r="AC815" s="31"/>
    </row>
    <row r="816" spans="19:29" x14ac:dyDescent="0.25">
      <c r="S816" s="31"/>
      <c r="X816" s="31"/>
      <c r="Y816" s="31"/>
      <c r="Z816" s="31"/>
      <c r="AA816" s="31"/>
      <c r="AB816" s="31"/>
      <c r="AC816" s="31"/>
    </row>
    <row r="817" spans="19:29" x14ac:dyDescent="0.25">
      <c r="S817" s="31"/>
      <c r="X817" s="31"/>
      <c r="Y817" s="31"/>
      <c r="Z817" s="31"/>
      <c r="AA817" s="31"/>
      <c r="AB817" s="31"/>
      <c r="AC817" s="31"/>
    </row>
    <row r="818" spans="19:29" x14ac:dyDescent="0.25">
      <c r="S818" s="31"/>
      <c r="X818" s="31"/>
      <c r="Y818" s="31"/>
      <c r="Z818" s="31"/>
      <c r="AA818" s="31"/>
      <c r="AB818" s="31"/>
      <c r="AC818" s="31"/>
    </row>
    <row r="819" spans="19:29" x14ac:dyDescent="0.25">
      <c r="S819" s="31"/>
      <c r="X819" s="31"/>
      <c r="Y819" s="31"/>
      <c r="Z819" s="31"/>
      <c r="AA819" s="31"/>
      <c r="AB819" s="31"/>
      <c r="AC819" s="31"/>
    </row>
    <row r="820" spans="19:29" x14ac:dyDescent="0.25">
      <c r="S820" s="31"/>
      <c r="X820" s="31"/>
      <c r="Y820" s="31"/>
      <c r="Z820" s="31"/>
      <c r="AA820" s="31"/>
      <c r="AB820" s="31"/>
      <c r="AC820" s="31"/>
    </row>
    <row r="821" spans="19:29" x14ac:dyDescent="0.25">
      <c r="S821" s="31"/>
      <c r="X821" s="31"/>
      <c r="Y821" s="31"/>
      <c r="Z821" s="31"/>
      <c r="AA821" s="31"/>
      <c r="AB821" s="31"/>
      <c r="AC821" s="31"/>
    </row>
    <row r="822" spans="19:29" x14ac:dyDescent="0.25">
      <c r="S822" s="31"/>
      <c r="X822" s="31"/>
      <c r="Y822" s="31"/>
      <c r="Z822" s="31"/>
      <c r="AA822" s="31"/>
      <c r="AB822" s="31"/>
      <c r="AC822" s="31"/>
    </row>
    <row r="823" spans="19:29" x14ac:dyDescent="0.25">
      <c r="S823" s="31"/>
      <c r="X823" s="31"/>
      <c r="Y823" s="31"/>
      <c r="Z823" s="31"/>
      <c r="AA823" s="31"/>
      <c r="AB823" s="31"/>
      <c r="AC823" s="31"/>
    </row>
    <row r="824" spans="19:29" x14ac:dyDescent="0.25">
      <c r="S824" s="31"/>
      <c r="X824" s="31"/>
      <c r="Y824" s="31"/>
      <c r="Z824" s="31"/>
      <c r="AA824" s="31"/>
      <c r="AB824" s="31"/>
      <c r="AC824" s="31"/>
    </row>
    <row r="825" spans="19:29" x14ac:dyDescent="0.25">
      <c r="S825" s="31"/>
      <c r="X825" s="31"/>
      <c r="Y825" s="31"/>
      <c r="Z825" s="31"/>
      <c r="AA825" s="31"/>
      <c r="AB825" s="31"/>
      <c r="AC825" s="31"/>
    </row>
    <row r="826" spans="19:29" x14ac:dyDescent="0.25">
      <c r="S826" s="31"/>
      <c r="X826" s="31"/>
      <c r="Y826" s="31"/>
      <c r="Z826" s="31"/>
      <c r="AA826" s="31"/>
      <c r="AB826" s="31"/>
      <c r="AC826" s="31"/>
    </row>
    <row r="827" spans="19:29" x14ac:dyDescent="0.25">
      <c r="S827" s="31"/>
      <c r="X827" s="31"/>
      <c r="Y827" s="31"/>
      <c r="Z827" s="31"/>
      <c r="AA827" s="31"/>
      <c r="AB827" s="31"/>
      <c r="AC827" s="31"/>
    </row>
    <row r="828" spans="19:29" x14ac:dyDescent="0.25">
      <c r="S828" s="31"/>
      <c r="X828" s="31"/>
      <c r="Y828" s="31"/>
      <c r="Z828" s="31"/>
      <c r="AA828" s="31"/>
      <c r="AB828" s="31"/>
      <c r="AC828" s="31"/>
    </row>
    <row r="829" spans="19:29" x14ac:dyDescent="0.25">
      <c r="S829" s="31"/>
      <c r="X829" s="31"/>
      <c r="Y829" s="31"/>
      <c r="Z829" s="31"/>
      <c r="AA829" s="31"/>
      <c r="AB829" s="31"/>
      <c r="AC829" s="31"/>
    </row>
    <row r="830" spans="19:29" x14ac:dyDescent="0.25">
      <c r="S830" s="31"/>
      <c r="X830" s="31"/>
      <c r="Y830" s="31"/>
      <c r="Z830" s="31"/>
      <c r="AA830" s="31"/>
      <c r="AB830" s="31"/>
      <c r="AC830" s="31"/>
    </row>
    <row r="831" spans="19:29" x14ac:dyDescent="0.25">
      <c r="S831" s="31"/>
      <c r="X831" s="31"/>
      <c r="Y831" s="31"/>
      <c r="Z831" s="31"/>
      <c r="AA831" s="31"/>
      <c r="AB831" s="31"/>
      <c r="AC831" s="31"/>
    </row>
    <row r="832" spans="19:29" x14ac:dyDescent="0.25">
      <c r="S832" s="31"/>
      <c r="X832" s="31"/>
      <c r="Y832" s="31"/>
      <c r="Z832" s="31"/>
      <c r="AA832" s="31"/>
      <c r="AB832" s="31"/>
      <c r="AC832" s="31"/>
    </row>
    <row r="833" spans="19:29" x14ac:dyDescent="0.25">
      <c r="S833" s="31"/>
      <c r="X833" s="31"/>
      <c r="Y833" s="31"/>
      <c r="Z833" s="31"/>
      <c r="AA833" s="31"/>
      <c r="AB833" s="31"/>
      <c r="AC833" s="31"/>
    </row>
    <row r="834" spans="19:29" x14ac:dyDescent="0.25">
      <c r="S834" s="31"/>
      <c r="X834" s="31"/>
      <c r="Y834" s="31"/>
      <c r="Z834" s="31"/>
      <c r="AA834" s="31"/>
      <c r="AB834" s="31"/>
      <c r="AC834" s="31"/>
    </row>
    <row r="835" spans="19:29" x14ac:dyDescent="0.25">
      <c r="S835" s="31"/>
      <c r="X835" s="31"/>
      <c r="Y835" s="31"/>
      <c r="Z835" s="31"/>
      <c r="AA835" s="31"/>
      <c r="AB835" s="31"/>
      <c r="AC835" s="31"/>
    </row>
    <row r="836" spans="19:29" x14ac:dyDescent="0.25">
      <c r="S836" s="31"/>
      <c r="X836" s="31"/>
      <c r="Y836" s="31"/>
      <c r="Z836" s="31"/>
      <c r="AA836" s="31"/>
      <c r="AB836" s="31"/>
      <c r="AC836" s="31"/>
    </row>
    <row r="837" spans="19:29" x14ac:dyDescent="0.25">
      <c r="S837" s="31"/>
      <c r="X837" s="31"/>
      <c r="Y837" s="31"/>
      <c r="Z837" s="31"/>
      <c r="AA837" s="31"/>
      <c r="AB837" s="31"/>
      <c r="AC837" s="31"/>
    </row>
    <row r="838" spans="19:29" x14ac:dyDescent="0.25">
      <c r="S838" s="31"/>
      <c r="X838" s="31"/>
      <c r="Y838" s="31"/>
      <c r="Z838" s="31"/>
      <c r="AA838" s="31"/>
      <c r="AB838" s="31"/>
      <c r="AC838" s="31"/>
    </row>
    <row r="839" spans="19:29" x14ac:dyDescent="0.25">
      <c r="S839" s="31"/>
      <c r="X839" s="31"/>
      <c r="Y839" s="31"/>
      <c r="Z839" s="31"/>
      <c r="AA839" s="31"/>
      <c r="AB839" s="31"/>
      <c r="AC839" s="31"/>
    </row>
    <row r="840" spans="19:29" x14ac:dyDescent="0.25">
      <c r="S840" s="31"/>
      <c r="X840" s="31"/>
      <c r="Y840" s="31"/>
      <c r="Z840" s="31"/>
      <c r="AA840" s="31"/>
      <c r="AB840" s="31"/>
      <c r="AC840" s="31"/>
    </row>
    <row r="841" spans="19:29" x14ac:dyDescent="0.25">
      <c r="S841" s="31"/>
      <c r="X841" s="31"/>
      <c r="Y841" s="31"/>
      <c r="Z841" s="31"/>
      <c r="AA841" s="31"/>
      <c r="AB841" s="31"/>
      <c r="AC841" s="31"/>
    </row>
    <row r="842" spans="19:29" x14ac:dyDescent="0.25">
      <c r="S842" s="31"/>
      <c r="X842" s="31"/>
      <c r="Y842" s="31"/>
      <c r="Z842" s="31"/>
      <c r="AA842" s="31"/>
      <c r="AB842" s="31"/>
      <c r="AC842" s="31"/>
    </row>
    <row r="843" spans="19:29" x14ac:dyDescent="0.25">
      <c r="S843" s="31"/>
      <c r="X843" s="31"/>
      <c r="Y843" s="31"/>
      <c r="Z843" s="31"/>
      <c r="AA843" s="31"/>
      <c r="AB843" s="31"/>
      <c r="AC843" s="31"/>
    </row>
    <row r="844" spans="19:29" x14ac:dyDescent="0.25">
      <c r="S844" s="31"/>
      <c r="X844" s="31"/>
      <c r="Y844" s="31"/>
      <c r="Z844" s="31"/>
      <c r="AA844" s="31"/>
      <c r="AB844" s="31"/>
      <c r="AC844" s="31"/>
    </row>
    <row r="845" spans="19:29" x14ac:dyDescent="0.25">
      <c r="S845" s="31"/>
      <c r="X845" s="31"/>
      <c r="Y845" s="31"/>
      <c r="Z845" s="31"/>
      <c r="AA845" s="31"/>
      <c r="AB845" s="31"/>
      <c r="AC845" s="31"/>
    </row>
    <row r="846" spans="19:29" x14ac:dyDescent="0.25">
      <c r="S846" s="31"/>
      <c r="X846" s="31"/>
      <c r="Y846" s="31"/>
      <c r="Z846" s="31"/>
      <c r="AA846" s="31"/>
      <c r="AB846" s="31"/>
      <c r="AC846" s="31"/>
    </row>
    <row r="847" spans="19:29" x14ac:dyDescent="0.25">
      <c r="S847" s="31"/>
      <c r="X847" s="31"/>
      <c r="Y847" s="31"/>
      <c r="Z847" s="31"/>
      <c r="AA847" s="31"/>
      <c r="AB847" s="31"/>
      <c r="AC847" s="31"/>
    </row>
    <row r="848" spans="19:29" x14ac:dyDescent="0.25">
      <c r="S848" s="31"/>
      <c r="X848" s="31"/>
      <c r="Y848" s="31"/>
      <c r="Z848" s="31"/>
      <c r="AA848" s="31"/>
      <c r="AB848" s="31"/>
      <c r="AC848" s="31"/>
    </row>
    <row r="849" spans="19:29" x14ac:dyDescent="0.25">
      <c r="S849" s="31"/>
      <c r="X849" s="31"/>
      <c r="Y849" s="31"/>
      <c r="Z849" s="31"/>
      <c r="AA849" s="31"/>
      <c r="AB849" s="31"/>
      <c r="AC849" s="31"/>
    </row>
    <row r="850" spans="19:29" x14ac:dyDescent="0.25">
      <c r="S850" s="31"/>
      <c r="X850" s="31"/>
      <c r="Y850" s="31"/>
      <c r="Z850" s="31"/>
      <c r="AA850" s="31"/>
      <c r="AB850" s="31"/>
      <c r="AC850" s="31"/>
    </row>
    <row r="851" spans="19:29" x14ac:dyDescent="0.25">
      <c r="S851" s="31"/>
      <c r="X851" s="31"/>
      <c r="Y851" s="31"/>
      <c r="Z851" s="31"/>
      <c r="AA851" s="31"/>
      <c r="AB851" s="31"/>
      <c r="AC851" s="31"/>
    </row>
    <row r="852" spans="19:29" x14ac:dyDescent="0.25">
      <c r="S852" s="31"/>
      <c r="X852" s="31"/>
      <c r="Y852" s="31"/>
      <c r="Z852" s="31"/>
      <c r="AA852" s="31"/>
      <c r="AB852" s="31"/>
      <c r="AC852" s="31"/>
    </row>
    <row r="853" spans="19:29" x14ac:dyDescent="0.25">
      <c r="S853" s="31"/>
      <c r="X853" s="31"/>
      <c r="Y853" s="31"/>
      <c r="Z853" s="31"/>
      <c r="AA853" s="31"/>
      <c r="AB853" s="31"/>
      <c r="AC853" s="31"/>
    </row>
    <row r="854" spans="19:29" x14ac:dyDescent="0.25">
      <c r="S854" s="31"/>
      <c r="X854" s="31"/>
      <c r="Y854" s="31"/>
      <c r="Z854" s="31"/>
      <c r="AA854" s="31"/>
      <c r="AB854" s="31"/>
      <c r="AC854" s="31"/>
    </row>
    <row r="855" spans="19:29" x14ac:dyDescent="0.25">
      <c r="S855" s="31"/>
      <c r="X855" s="31"/>
      <c r="Y855" s="31"/>
      <c r="Z855" s="31"/>
      <c r="AA855" s="31"/>
      <c r="AB855" s="31"/>
      <c r="AC855" s="31"/>
    </row>
    <row r="856" spans="19:29" x14ac:dyDescent="0.25">
      <c r="S856" s="31"/>
      <c r="X856" s="31"/>
      <c r="Y856" s="31"/>
      <c r="Z856" s="31"/>
      <c r="AA856" s="31"/>
      <c r="AB856" s="31"/>
      <c r="AC856" s="31"/>
    </row>
    <row r="857" spans="19:29" x14ac:dyDescent="0.25">
      <c r="S857" s="31"/>
      <c r="X857" s="31"/>
      <c r="Y857" s="31"/>
      <c r="Z857" s="31"/>
      <c r="AA857" s="31"/>
      <c r="AB857" s="31"/>
      <c r="AC857" s="31"/>
    </row>
    <row r="858" spans="19:29" x14ac:dyDescent="0.25">
      <c r="S858" s="31"/>
      <c r="X858" s="31"/>
      <c r="Y858" s="31"/>
      <c r="Z858" s="31"/>
      <c r="AA858" s="31"/>
      <c r="AB858" s="31"/>
      <c r="AC858" s="31"/>
    </row>
    <row r="859" spans="19:29" x14ac:dyDescent="0.25">
      <c r="S859" s="31"/>
      <c r="X859" s="31"/>
      <c r="Y859" s="31"/>
      <c r="Z859" s="31"/>
      <c r="AA859" s="31"/>
      <c r="AB859" s="31"/>
      <c r="AC859" s="31"/>
    </row>
    <row r="860" spans="19:29" x14ac:dyDescent="0.25">
      <c r="S860" s="31"/>
      <c r="X860" s="31"/>
      <c r="Y860" s="31"/>
      <c r="Z860" s="31"/>
      <c r="AA860" s="31"/>
      <c r="AB860" s="31"/>
      <c r="AC860" s="31"/>
    </row>
    <row r="861" spans="19:29" x14ac:dyDescent="0.25">
      <c r="S861" s="31"/>
      <c r="X861" s="31"/>
      <c r="Y861" s="31"/>
      <c r="Z861" s="31"/>
      <c r="AA861" s="31"/>
      <c r="AB861" s="31"/>
      <c r="AC861" s="31"/>
    </row>
    <row r="862" spans="19:29" x14ac:dyDescent="0.25">
      <c r="S862" s="31"/>
      <c r="X862" s="31"/>
      <c r="Y862" s="31"/>
      <c r="Z862" s="31"/>
      <c r="AA862" s="31"/>
      <c r="AB862" s="31"/>
      <c r="AC862" s="31"/>
    </row>
    <row r="863" spans="19:29" x14ac:dyDescent="0.25">
      <c r="S863" s="31"/>
      <c r="X863" s="31"/>
      <c r="Y863" s="31"/>
      <c r="Z863" s="31"/>
      <c r="AA863" s="31"/>
      <c r="AB863" s="31"/>
      <c r="AC863" s="31"/>
    </row>
    <row r="864" spans="19:29" x14ac:dyDescent="0.25">
      <c r="S864" s="31"/>
      <c r="X864" s="31"/>
      <c r="Y864" s="31"/>
      <c r="Z864" s="31"/>
      <c r="AA864" s="31"/>
      <c r="AB864" s="31"/>
      <c r="AC864" s="31"/>
    </row>
    <row r="865" spans="19:29" x14ac:dyDescent="0.25">
      <c r="S865" s="31"/>
      <c r="X865" s="31"/>
      <c r="Y865" s="31"/>
      <c r="Z865" s="31"/>
      <c r="AA865" s="31"/>
      <c r="AB865" s="31"/>
      <c r="AC865" s="31"/>
    </row>
    <row r="866" spans="19:29" x14ac:dyDescent="0.25">
      <c r="S866" s="31"/>
      <c r="X866" s="31"/>
      <c r="Y866" s="31"/>
      <c r="Z866" s="31"/>
      <c r="AA866" s="31"/>
      <c r="AB866" s="31"/>
      <c r="AC866" s="31"/>
    </row>
    <row r="867" spans="19:29" x14ac:dyDescent="0.25">
      <c r="S867" s="31"/>
      <c r="X867" s="31"/>
      <c r="Y867" s="31"/>
      <c r="Z867" s="31"/>
      <c r="AA867" s="31"/>
      <c r="AB867" s="31"/>
      <c r="AC867" s="31"/>
    </row>
    <row r="868" spans="19:29" x14ac:dyDescent="0.25">
      <c r="S868" s="31"/>
      <c r="X868" s="31"/>
      <c r="Y868" s="31"/>
      <c r="Z868" s="31"/>
      <c r="AA868" s="31"/>
      <c r="AB868" s="31"/>
      <c r="AC868" s="31"/>
    </row>
    <row r="869" spans="19:29" x14ac:dyDescent="0.25">
      <c r="S869" s="31"/>
      <c r="X869" s="31"/>
      <c r="Y869" s="31"/>
      <c r="Z869" s="31"/>
      <c r="AA869" s="31"/>
      <c r="AB869" s="31"/>
      <c r="AC869" s="31"/>
    </row>
    <row r="870" spans="19:29" x14ac:dyDescent="0.25">
      <c r="S870" s="31"/>
      <c r="X870" s="31"/>
      <c r="Y870" s="31"/>
      <c r="Z870" s="31"/>
      <c r="AA870" s="31"/>
      <c r="AB870" s="31"/>
      <c r="AC870" s="31"/>
    </row>
    <row r="871" spans="19:29" x14ac:dyDescent="0.25">
      <c r="S871" s="31"/>
      <c r="X871" s="31"/>
      <c r="Y871" s="31"/>
      <c r="Z871" s="31"/>
      <c r="AA871" s="31"/>
      <c r="AB871" s="31"/>
      <c r="AC871" s="31"/>
    </row>
    <row r="872" spans="19:29" x14ac:dyDescent="0.25">
      <c r="S872" s="31"/>
      <c r="X872" s="31"/>
      <c r="Y872" s="31"/>
      <c r="Z872" s="31"/>
      <c r="AA872" s="31"/>
      <c r="AB872" s="31"/>
      <c r="AC872" s="31"/>
    </row>
    <row r="873" spans="19:29" x14ac:dyDescent="0.25">
      <c r="S873" s="31"/>
      <c r="X873" s="31"/>
      <c r="Y873" s="31"/>
      <c r="Z873" s="31"/>
      <c r="AA873" s="31"/>
      <c r="AB873" s="31"/>
      <c r="AC873" s="31"/>
    </row>
    <row r="874" spans="19:29" x14ac:dyDescent="0.25">
      <c r="S874" s="31"/>
      <c r="X874" s="31"/>
      <c r="Y874" s="31"/>
      <c r="Z874" s="31"/>
      <c r="AA874" s="31"/>
      <c r="AB874" s="31"/>
      <c r="AC874" s="31"/>
    </row>
    <row r="875" spans="19:29" x14ac:dyDescent="0.25">
      <c r="S875" s="31"/>
      <c r="X875" s="31"/>
      <c r="Y875" s="31"/>
      <c r="Z875" s="31"/>
      <c r="AA875" s="31"/>
      <c r="AB875" s="31"/>
      <c r="AC875" s="31"/>
    </row>
    <row r="876" spans="19:29" x14ac:dyDescent="0.25">
      <c r="S876" s="31"/>
      <c r="X876" s="31"/>
      <c r="Y876" s="31"/>
      <c r="Z876" s="31"/>
      <c r="AA876" s="31"/>
      <c r="AB876" s="31"/>
      <c r="AC876" s="31"/>
    </row>
    <row r="877" spans="19:29" x14ac:dyDescent="0.25">
      <c r="S877" s="31"/>
      <c r="X877" s="31"/>
      <c r="Y877" s="31"/>
      <c r="Z877" s="31"/>
      <c r="AA877" s="31"/>
      <c r="AB877" s="31"/>
      <c r="AC877" s="31"/>
    </row>
    <row r="878" spans="19:29" x14ac:dyDescent="0.25">
      <c r="S878" s="31"/>
      <c r="X878" s="31"/>
      <c r="Y878" s="31"/>
      <c r="Z878" s="31"/>
      <c r="AA878" s="31"/>
      <c r="AB878" s="31"/>
      <c r="AC878" s="31"/>
    </row>
    <row r="879" spans="19:29" x14ac:dyDescent="0.25">
      <c r="S879" s="31"/>
      <c r="X879" s="31"/>
      <c r="Y879" s="31"/>
      <c r="Z879" s="31"/>
      <c r="AA879" s="31"/>
      <c r="AB879" s="31"/>
      <c r="AC879" s="31"/>
    </row>
    <row r="880" spans="19:29" x14ac:dyDescent="0.25">
      <c r="S880" s="31"/>
      <c r="X880" s="31"/>
      <c r="Y880" s="31"/>
      <c r="Z880" s="31"/>
      <c r="AA880" s="31"/>
      <c r="AB880" s="31"/>
      <c r="AC880" s="31"/>
    </row>
    <row r="881" spans="19:29" x14ac:dyDescent="0.25">
      <c r="S881" s="31"/>
      <c r="X881" s="31"/>
      <c r="Y881" s="31"/>
      <c r="Z881" s="31"/>
      <c r="AA881" s="31"/>
      <c r="AB881" s="31"/>
      <c r="AC881" s="31"/>
    </row>
    <row r="882" spans="19:29" x14ac:dyDescent="0.25">
      <c r="S882" s="31"/>
      <c r="X882" s="31"/>
      <c r="Y882" s="31"/>
      <c r="Z882" s="31"/>
      <c r="AA882" s="31"/>
      <c r="AB882" s="31"/>
      <c r="AC882" s="31"/>
    </row>
    <row r="883" spans="19:29" x14ac:dyDescent="0.25">
      <c r="S883" s="31"/>
      <c r="X883" s="31"/>
      <c r="Y883" s="31"/>
      <c r="Z883" s="31"/>
      <c r="AA883" s="31"/>
      <c r="AB883" s="31"/>
      <c r="AC883" s="31"/>
    </row>
    <row r="884" spans="19:29" x14ac:dyDescent="0.25">
      <c r="S884" s="31"/>
      <c r="X884" s="31"/>
      <c r="Y884" s="31"/>
      <c r="Z884" s="31"/>
      <c r="AA884" s="31"/>
      <c r="AB884" s="31"/>
      <c r="AC884" s="31"/>
    </row>
    <row r="885" spans="19:29" x14ac:dyDescent="0.25">
      <c r="S885" s="31"/>
      <c r="X885" s="31"/>
      <c r="Y885" s="31"/>
      <c r="Z885" s="31"/>
      <c r="AA885" s="31"/>
      <c r="AB885" s="31"/>
      <c r="AC885" s="31"/>
    </row>
    <row r="886" spans="19:29" x14ac:dyDescent="0.25">
      <c r="S886" s="31"/>
      <c r="X886" s="31"/>
      <c r="Y886" s="31"/>
      <c r="Z886" s="31"/>
      <c r="AA886" s="31"/>
      <c r="AB886" s="31"/>
      <c r="AC886" s="31"/>
    </row>
    <row r="887" spans="19:29" x14ac:dyDescent="0.25">
      <c r="S887" s="31"/>
      <c r="X887" s="31"/>
      <c r="Y887" s="31"/>
      <c r="Z887" s="31"/>
      <c r="AA887" s="31"/>
      <c r="AB887" s="31"/>
      <c r="AC887" s="31"/>
    </row>
    <row r="888" spans="19:29" x14ac:dyDescent="0.25">
      <c r="S888" s="31"/>
      <c r="X888" s="31"/>
      <c r="Y888" s="31"/>
      <c r="Z888" s="31"/>
      <c r="AA888" s="31"/>
      <c r="AB888" s="31"/>
      <c r="AC888" s="31"/>
    </row>
    <row r="889" spans="19:29" x14ac:dyDescent="0.25">
      <c r="S889" s="31"/>
      <c r="X889" s="31"/>
      <c r="Y889" s="31"/>
      <c r="Z889" s="31"/>
      <c r="AA889" s="31"/>
      <c r="AB889" s="31"/>
      <c r="AC889" s="31"/>
    </row>
    <row r="890" spans="19:29" x14ac:dyDescent="0.25">
      <c r="S890" s="31"/>
      <c r="X890" s="31"/>
      <c r="Y890" s="31"/>
      <c r="Z890" s="31"/>
      <c r="AA890" s="31"/>
      <c r="AB890" s="31"/>
      <c r="AC890" s="31"/>
    </row>
    <row r="891" spans="19:29" x14ac:dyDescent="0.25">
      <c r="S891" s="31"/>
      <c r="X891" s="31"/>
      <c r="Y891" s="31"/>
      <c r="Z891" s="31"/>
      <c r="AA891" s="31"/>
      <c r="AB891" s="31"/>
      <c r="AC891" s="31"/>
    </row>
    <row r="892" spans="19:29" x14ac:dyDescent="0.25">
      <c r="S892" s="31"/>
      <c r="X892" s="31"/>
      <c r="Y892" s="31"/>
      <c r="Z892" s="31"/>
      <c r="AA892" s="31"/>
      <c r="AB892" s="31"/>
      <c r="AC892" s="31"/>
    </row>
    <row r="893" spans="19:29" x14ac:dyDescent="0.25">
      <c r="S893" s="31"/>
      <c r="X893" s="31"/>
      <c r="Y893" s="31"/>
      <c r="Z893" s="31"/>
      <c r="AA893" s="31"/>
      <c r="AB893" s="31"/>
      <c r="AC893" s="31"/>
    </row>
    <row r="894" spans="19:29" x14ac:dyDescent="0.25">
      <c r="S894" s="31"/>
      <c r="X894" s="31"/>
      <c r="Y894" s="31"/>
      <c r="Z894" s="31"/>
      <c r="AA894" s="31"/>
      <c r="AB894" s="31"/>
      <c r="AC894" s="31"/>
    </row>
    <row r="895" spans="19:29" x14ac:dyDescent="0.25">
      <c r="S895" s="31"/>
      <c r="X895" s="31"/>
      <c r="Y895" s="31"/>
      <c r="Z895" s="31"/>
      <c r="AA895" s="31"/>
      <c r="AB895" s="31"/>
      <c r="AC895" s="31"/>
    </row>
    <row r="896" spans="19:29" x14ac:dyDescent="0.25">
      <c r="S896" s="31"/>
      <c r="X896" s="31"/>
      <c r="Y896" s="31"/>
      <c r="Z896" s="31"/>
      <c r="AA896" s="31"/>
      <c r="AB896" s="31"/>
      <c r="AC896" s="31"/>
    </row>
    <row r="897" spans="19:29" x14ac:dyDescent="0.25">
      <c r="S897" s="31"/>
      <c r="X897" s="31"/>
      <c r="Y897" s="31"/>
      <c r="Z897" s="31"/>
      <c r="AA897" s="31"/>
      <c r="AB897" s="31"/>
      <c r="AC897" s="31"/>
    </row>
    <row r="898" spans="19:29" x14ac:dyDescent="0.25">
      <c r="S898" s="31"/>
      <c r="X898" s="31"/>
      <c r="Y898" s="31"/>
      <c r="Z898" s="31"/>
      <c r="AA898" s="31"/>
      <c r="AB898" s="31"/>
      <c r="AC898" s="31"/>
    </row>
    <row r="899" spans="19:29" x14ac:dyDescent="0.25">
      <c r="S899" s="31"/>
      <c r="X899" s="31"/>
      <c r="Y899" s="31"/>
      <c r="Z899" s="31"/>
      <c r="AA899" s="31"/>
      <c r="AB899" s="31"/>
      <c r="AC899" s="31"/>
    </row>
    <row r="900" spans="19:29" x14ac:dyDescent="0.25">
      <c r="S900" s="31"/>
      <c r="X900" s="31"/>
      <c r="Y900" s="31"/>
      <c r="Z900" s="31"/>
      <c r="AA900" s="31"/>
      <c r="AB900" s="31"/>
      <c r="AC900" s="31"/>
    </row>
    <row r="901" spans="19:29" x14ac:dyDescent="0.25">
      <c r="S901" s="31"/>
      <c r="X901" s="31"/>
      <c r="Y901" s="31"/>
      <c r="Z901" s="31"/>
      <c r="AA901" s="31"/>
      <c r="AB901" s="31"/>
      <c r="AC901" s="31"/>
    </row>
    <row r="902" spans="19:29" x14ac:dyDescent="0.25">
      <c r="S902" s="31"/>
      <c r="X902" s="31"/>
      <c r="Y902" s="31"/>
      <c r="Z902" s="31"/>
      <c r="AA902" s="31"/>
      <c r="AB902" s="31"/>
      <c r="AC902" s="31"/>
    </row>
    <row r="903" spans="19:29" x14ac:dyDescent="0.25">
      <c r="S903" s="31"/>
      <c r="X903" s="31"/>
      <c r="Y903" s="31"/>
      <c r="Z903" s="31"/>
      <c r="AA903" s="31"/>
      <c r="AB903" s="31"/>
      <c r="AC903" s="31"/>
    </row>
    <row r="904" spans="19:29" x14ac:dyDescent="0.25">
      <c r="S904" s="31"/>
      <c r="X904" s="31"/>
      <c r="Y904" s="31"/>
      <c r="Z904" s="31"/>
      <c r="AA904" s="31"/>
      <c r="AB904" s="31"/>
      <c r="AC904" s="31"/>
    </row>
    <row r="905" spans="19:29" x14ac:dyDescent="0.25">
      <c r="S905" s="31"/>
      <c r="X905" s="31"/>
      <c r="Y905" s="31"/>
      <c r="Z905" s="31"/>
      <c r="AA905" s="31"/>
      <c r="AB905" s="31"/>
      <c r="AC905" s="31"/>
    </row>
    <row r="906" spans="19:29" x14ac:dyDescent="0.25">
      <c r="S906" s="31"/>
      <c r="X906" s="31"/>
      <c r="Y906" s="31"/>
      <c r="Z906" s="31"/>
      <c r="AA906" s="31"/>
      <c r="AB906" s="31"/>
      <c r="AC906" s="31"/>
    </row>
    <row r="907" spans="19:29" x14ac:dyDescent="0.25">
      <c r="S907" s="31"/>
      <c r="X907" s="31"/>
      <c r="Y907" s="31"/>
      <c r="Z907" s="31"/>
      <c r="AA907" s="31"/>
      <c r="AB907" s="31"/>
      <c r="AC907" s="31"/>
    </row>
    <row r="908" spans="19:29" x14ac:dyDescent="0.25">
      <c r="S908" s="31"/>
      <c r="X908" s="31"/>
      <c r="Y908" s="31"/>
      <c r="Z908" s="31"/>
      <c r="AA908" s="31"/>
      <c r="AB908" s="31"/>
      <c r="AC908" s="31"/>
    </row>
    <row r="909" spans="19:29" x14ac:dyDescent="0.25">
      <c r="S909" s="31"/>
      <c r="X909" s="31"/>
      <c r="Y909" s="31"/>
      <c r="Z909" s="31"/>
      <c r="AA909" s="31"/>
      <c r="AB909" s="31"/>
      <c r="AC909" s="31"/>
    </row>
    <row r="910" spans="19:29" x14ac:dyDescent="0.25">
      <c r="S910" s="31"/>
      <c r="X910" s="31"/>
      <c r="Y910" s="31"/>
      <c r="Z910" s="31"/>
      <c r="AA910" s="31"/>
      <c r="AB910" s="31"/>
      <c r="AC910" s="31"/>
    </row>
    <row r="911" spans="19:29" x14ac:dyDescent="0.25">
      <c r="S911" s="31"/>
      <c r="X911" s="31"/>
      <c r="Y911" s="31"/>
      <c r="Z911" s="31"/>
      <c r="AA911" s="31"/>
      <c r="AB911" s="31"/>
      <c r="AC911" s="31"/>
    </row>
    <row r="912" spans="19:29" x14ac:dyDescent="0.25">
      <c r="S912" s="31"/>
      <c r="X912" s="31"/>
      <c r="Y912" s="31"/>
      <c r="Z912" s="31"/>
      <c r="AA912" s="31"/>
      <c r="AB912" s="31"/>
      <c r="AC912" s="31"/>
    </row>
    <row r="913" spans="19:29" x14ac:dyDescent="0.25">
      <c r="S913" s="31"/>
      <c r="X913" s="31"/>
      <c r="Y913" s="31"/>
      <c r="Z913" s="31"/>
      <c r="AA913" s="31"/>
      <c r="AB913" s="31"/>
      <c r="AC913" s="31"/>
    </row>
    <row r="914" spans="19:29" x14ac:dyDescent="0.25">
      <c r="S914" s="31"/>
      <c r="X914" s="31"/>
      <c r="Y914" s="31"/>
      <c r="Z914" s="31"/>
      <c r="AA914" s="31"/>
      <c r="AB914" s="31"/>
      <c r="AC914" s="31"/>
    </row>
    <row r="915" spans="19:29" x14ac:dyDescent="0.25">
      <c r="S915" s="31"/>
      <c r="X915" s="31"/>
      <c r="Y915" s="31"/>
      <c r="Z915" s="31"/>
      <c r="AA915" s="31"/>
      <c r="AB915" s="31"/>
      <c r="AC915" s="31"/>
    </row>
    <row r="916" spans="19:29" x14ac:dyDescent="0.25">
      <c r="S916" s="31"/>
      <c r="X916" s="31"/>
      <c r="Y916" s="31"/>
      <c r="Z916" s="31"/>
      <c r="AA916" s="31"/>
      <c r="AB916" s="31"/>
      <c r="AC916" s="31"/>
    </row>
    <row r="917" spans="19:29" x14ac:dyDescent="0.25">
      <c r="S917" s="31"/>
      <c r="X917" s="31"/>
      <c r="Y917" s="31"/>
      <c r="Z917" s="31"/>
      <c r="AA917" s="31"/>
      <c r="AB917" s="31"/>
      <c r="AC917" s="31"/>
    </row>
    <row r="918" spans="19:29" x14ac:dyDescent="0.25">
      <c r="S918" s="31"/>
      <c r="X918" s="31"/>
      <c r="Y918" s="31"/>
      <c r="Z918" s="31"/>
      <c r="AA918" s="31"/>
      <c r="AB918" s="31"/>
      <c r="AC918" s="31"/>
    </row>
    <row r="919" spans="19:29" x14ac:dyDescent="0.25">
      <c r="S919" s="31"/>
      <c r="X919" s="31"/>
      <c r="Y919" s="31"/>
      <c r="Z919" s="31"/>
      <c r="AA919" s="31"/>
      <c r="AB919" s="31"/>
      <c r="AC919" s="31"/>
    </row>
    <row r="920" spans="19:29" x14ac:dyDescent="0.25">
      <c r="S920" s="31"/>
      <c r="X920" s="31"/>
      <c r="Y920" s="31"/>
      <c r="Z920" s="31"/>
      <c r="AA920" s="31"/>
      <c r="AB920" s="31"/>
      <c r="AC920" s="31"/>
    </row>
    <row r="921" spans="19:29" x14ac:dyDescent="0.25">
      <c r="S921" s="31"/>
      <c r="X921" s="31"/>
      <c r="Y921" s="31"/>
      <c r="Z921" s="31"/>
      <c r="AA921" s="31"/>
      <c r="AB921" s="31"/>
      <c r="AC921" s="31"/>
    </row>
    <row r="922" spans="19:29" x14ac:dyDescent="0.25">
      <c r="S922" s="31"/>
      <c r="X922" s="31"/>
      <c r="Y922" s="31"/>
      <c r="Z922" s="31"/>
      <c r="AA922" s="31"/>
      <c r="AB922" s="31"/>
      <c r="AC922" s="31"/>
    </row>
    <row r="923" spans="19:29" x14ac:dyDescent="0.25">
      <c r="S923" s="31"/>
      <c r="X923" s="31"/>
      <c r="Y923" s="31"/>
      <c r="Z923" s="31"/>
      <c r="AA923" s="31"/>
      <c r="AB923" s="31"/>
      <c r="AC923" s="31"/>
    </row>
    <row r="924" spans="19:29" x14ac:dyDescent="0.25">
      <c r="S924" s="31"/>
      <c r="X924" s="31"/>
      <c r="Y924" s="31"/>
      <c r="Z924" s="31"/>
      <c r="AA924" s="31"/>
      <c r="AB924" s="31"/>
      <c r="AC924" s="31"/>
    </row>
    <row r="925" spans="19:29" x14ac:dyDescent="0.25">
      <c r="S925" s="31"/>
      <c r="X925" s="31"/>
      <c r="Y925" s="31"/>
      <c r="Z925" s="31"/>
      <c r="AA925" s="31"/>
      <c r="AB925" s="31"/>
      <c r="AC925" s="31"/>
    </row>
    <row r="926" spans="19:29" x14ac:dyDescent="0.25">
      <c r="S926" s="31"/>
      <c r="X926" s="31"/>
      <c r="Y926" s="31"/>
      <c r="Z926" s="31"/>
      <c r="AA926" s="31"/>
      <c r="AB926" s="31"/>
      <c r="AC926" s="31"/>
    </row>
    <row r="927" spans="19:29" x14ac:dyDescent="0.25">
      <c r="S927" s="31"/>
      <c r="X927" s="31"/>
      <c r="Y927" s="31"/>
      <c r="Z927" s="31"/>
      <c r="AA927" s="31"/>
      <c r="AB927" s="31"/>
      <c r="AC927" s="31"/>
    </row>
    <row r="928" spans="19:29" x14ac:dyDescent="0.25">
      <c r="S928" s="31"/>
      <c r="X928" s="31"/>
      <c r="Y928" s="31"/>
      <c r="Z928" s="31"/>
      <c r="AA928" s="31"/>
      <c r="AB928" s="31"/>
      <c r="AC928" s="31"/>
    </row>
    <row r="929" spans="19:29" x14ac:dyDescent="0.25">
      <c r="S929" s="31"/>
      <c r="X929" s="31"/>
      <c r="Y929" s="31"/>
      <c r="Z929" s="31"/>
      <c r="AA929" s="31"/>
      <c r="AB929" s="31"/>
      <c r="AC929" s="31"/>
    </row>
    <row r="930" spans="19:29" x14ac:dyDescent="0.25">
      <c r="S930" s="31"/>
      <c r="X930" s="31"/>
      <c r="Y930" s="31"/>
      <c r="Z930" s="31"/>
      <c r="AA930" s="31"/>
      <c r="AB930" s="31"/>
      <c r="AC930" s="31"/>
    </row>
    <row r="931" spans="19:29" x14ac:dyDescent="0.25">
      <c r="S931" s="31"/>
      <c r="X931" s="31"/>
      <c r="Y931" s="31"/>
      <c r="Z931" s="31"/>
      <c r="AA931" s="31"/>
      <c r="AB931" s="31"/>
      <c r="AC931" s="31"/>
    </row>
    <row r="932" spans="19:29" x14ac:dyDescent="0.25">
      <c r="S932" s="31"/>
      <c r="X932" s="31"/>
      <c r="Y932" s="31"/>
      <c r="Z932" s="31"/>
      <c r="AA932" s="31"/>
      <c r="AB932" s="31"/>
      <c r="AC932" s="31"/>
    </row>
    <row r="933" spans="19:29" x14ac:dyDescent="0.25">
      <c r="S933" s="31"/>
      <c r="X933" s="31"/>
      <c r="Y933" s="31"/>
      <c r="Z933" s="31"/>
      <c r="AA933" s="31"/>
      <c r="AB933" s="31"/>
      <c r="AC933" s="31"/>
    </row>
    <row r="934" spans="19:29" x14ac:dyDescent="0.25">
      <c r="S934" s="31"/>
      <c r="X934" s="31"/>
      <c r="Y934" s="31"/>
      <c r="Z934" s="31"/>
      <c r="AA934" s="31"/>
      <c r="AB934" s="31"/>
      <c r="AC934" s="31"/>
    </row>
    <row r="935" spans="19:29" x14ac:dyDescent="0.25">
      <c r="S935" s="31"/>
      <c r="X935" s="31"/>
      <c r="Y935" s="31"/>
      <c r="Z935" s="31"/>
      <c r="AA935" s="31"/>
      <c r="AB935" s="31"/>
      <c r="AC935" s="31"/>
    </row>
    <row r="936" spans="19:29" x14ac:dyDescent="0.25">
      <c r="S936" s="31"/>
      <c r="X936" s="31"/>
      <c r="Y936" s="31"/>
      <c r="Z936" s="31"/>
      <c r="AA936" s="31"/>
      <c r="AB936" s="31"/>
      <c r="AC936" s="31"/>
    </row>
    <row r="937" spans="19:29" x14ac:dyDescent="0.25">
      <c r="S937" s="31"/>
      <c r="X937" s="31"/>
      <c r="Y937" s="31"/>
      <c r="Z937" s="31"/>
      <c r="AA937" s="31"/>
      <c r="AB937" s="31"/>
      <c r="AC937" s="31"/>
    </row>
    <row r="938" spans="19:29" x14ac:dyDescent="0.25">
      <c r="S938" s="31"/>
      <c r="X938" s="31"/>
      <c r="Y938" s="31"/>
      <c r="Z938" s="31"/>
      <c r="AA938" s="31"/>
      <c r="AB938" s="31"/>
      <c r="AC938" s="31"/>
    </row>
    <row r="939" spans="19:29" x14ac:dyDescent="0.25">
      <c r="S939" s="31"/>
      <c r="X939" s="31"/>
      <c r="Y939" s="31"/>
      <c r="Z939" s="31"/>
      <c r="AA939" s="31"/>
      <c r="AB939" s="31"/>
      <c r="AC939" s="31"/>
    </row>
    <row r="940" spans="19:29" x14ac:dyDescent="0.25">
      <c r="S940" s="31"/>
      <c r="X940" s="31"/>
      <c r="Y940" s="31"/>
      <c r="Z940" s="31"/>
      <c r="AA940" s="31"/>
      <c r="AB940" s="31"/>
      <c r="AC940" s="31"/>
    </row>
    <row r="941" spans="19:29" x14ac:dyDescent="0.25">
      <c r="S941" s="31"/>
      <c r="X941" s="31"/>
      <c r="Y941" s="31"/>
      <c r="Z941" s="31"/>
      <c r="AA941" s="31"/>
      <c r="AB941" s="31"/>
      <c r="AC941" s="31"/>
    </row>
    <row r="942" spans="19:29" x14ac:dyDescent="0.25">
      <c r="S942" s="31"/>
      <c r="X942" s="31"/>
      <c r="Y942" s="31"/>
      <c r="Z942" s="31"/>
      <c r="AA942" s="31"/>
      <c r="AB942" s="31"/>
      <c r="AC942" s="31"/>
    </row>
    <row r="943" spans="19:29" x14ac:dyDescent="0.25">
      <c r="S943" s="31"/>
      <c r="X943" s="31"/>
      <c r="Y943" s="31"/>
      <c r="Z943" s="31"/>
      <c r="AA943" s="31"/>
      <c r="AB943" s="31"/>
      <c r="AC943" s="31"/>
    </row>
    <row r="944" spans="19:29" x14ac:dyDescent="0.25">
      <c r="S944" s="31"/>
      <c r="X944" s="31"/>
      <c r="Y944" s="31"/>
      <c r="Z944" s="31"/>
      <c r="AA944" s="31"/>
      <c r="AB944" s="31"/>
      <c r="AC944" s="31"/>
    </row>
    <row r="945" spans="19:29" x14ac:dyDescent="0.25">
      <c r="S945" s="31"/>
      <c r="X945" s="31"/>
      <c r="Y945" s="31"/>
      <c r="Z945" s="31"/>
      <c r="AA945" s="31"/>
      <c r="AB945" s="31"/>
      <c r="AC945" s="31"/>
    </row>
    <row r="946" spans="19:29" x14ac:dyDescent="0.25">
      <c r="S946" s="31"/>
      <c r="X946" s="31"/>
      <c r="Y946" s="31"/>
      <c r="Z946" s="31"/>
      <c r="AA946" s="31"/>
      <c r="AB946" s="31"/>
      <c r="AC946" s="31"/>
    </row>
    <row r="947" spans="19:29" x14ac:dyDescent="0.25">
      <c r="S947" s="31"/>
      <c r="X947" s="31"/>
      <c r="Y947" s="31"/>
      <c r="Z947" s="31"/>
      <c r="AA947" s="31"/>
      <c r="AB947" s="31"/>
      <c r="AC947" s="31"/>
    </row>
    <row r="948" spans="19:29" x14ac:dyDescent="0.25">
      <c r="S948" s="31"/>
      <c r="X948" s="31"/>
      <c r="Y948" s="31"/>
      <c r="Z948" s="31"/>
      <c r="AA948" s="31"/>
      <c r="AB948" s="31"/>
      <c r="AC948" s="31"/>
    </row>
    <row r="949" spans="19:29" x14ac:dyDescent="0.25">
      <c r="S949" s="31"/>
      <c r="X949" s="31"/>
      <c r="Y949" s="31"/>
      <c r="Z949" s="31"/>
      <c r="AA949" s="31"/>
      <c r="AB949" s="31"/>
      <c r="AC949" s="31"/>
    </row>
    <row r="950" spans="19:29" x14ac:dyDescent="0.25">
      <c r="S950" s="31"/>
      <c r="X950" s="31"/>
      <c r="Y950" s="31"/>
      <c r="Z950" s="31"/>
      <c r="AA950" s="31"/>
      <c r="AB950" s="31"/>
      <c r="AC950" s="31"/>
    </row>
    <row r="951" spans="19:29" x14ac:dyDescent="0.25">
      <c r="S951" s="31"/>
      <c r="X951" s="31"/>
      <c r="Y951" s="31"/>
      <c r="Z951" s="31"/>
      <c r="AA951" s="31"/>
      <c r="AB951" s="31"/>
      <c r="AC951" s="31"/>
    </row>
    <row r="952" spans="19:29" x14ac:dyDescent="0.25">
      <c r="S952" s="31"/>
      <c r="X952" s="31"/>
      <c r="Y952" s="31"/>
      <c r="Z952" s="31"/>
      <c r="AA952" s="31"/>
      <c r="AB952" s="31"/>
      <c r="AC952" s="31"/>
    </row>
    <row r="953" spans="19:29" x14ac:dyDescent="0.25">
      <c r="S953" s="31"/>
      <c r="X953" s="31"/>
      <c r="Y953" s="31"/>
      <c r="Z953" s="31"/>
      <c r="AA953" s="31"/>
      <c r="AB953" s="31"/>
      <c r="AC953" s="31"/>
    </row>
    <row r="954" spans="19:29" x14ac:dyDescent="0.25">
      <c r="S954" s="31"/>
      <c r="X954" s="31"/>
      <c r="Y954" s="31"/>
      <c r="Z954" s="31"/>
      <c r="AA954" s="31"/>
      <c r="AB954" s="31"/>
      <c r="AC954" s="31"/>
    </row>
    <row r="955" spans="19:29" x14ac:dyDescent="0.25">
      <c r="S955" s="31"/>
      <c r="X955" s="31"/>
      <c r="Y955" s="31"/>
      <c r="Z955" s="31"/>
      <c r="AA955" s="31"/>
      <c r="AB955" s="31"/>
      <c r="AC955" s="31"/>
    </row>
    <row r="956" spans="19:29" x14ac:dyDescent="0.25">
      <c r="S956" s="31"/>
      <c r="X956" s="31"/>
      <c r="Y956" s="31"/>
      <c r="Z956" s="31"/>
      <c r="AA956" s="31"/>
      <c r="AB956" s="31"/>
      <c r="AC956" s="31"/>
    </row>
    <row r="957" spans="19:29" x14ac:dyDescent="0.25">
      <c r="S957" s="31"/>
      <c r="X957" s="31"/>
      <c r="Y957" s="31"/>
      <c r="Z957" s="31"/>
      <c r="AA957" s="31"/>
      <c r="AB957" s="31"/>
      <c r="AC957" s="31"/>
    </row>
    <row r="958" spans="19:29" x14ac:dyDescent="0.25">
      <c r="S958" s="31"/>
      <c r="X958" s="31"/>
      <c r="Y958" s="31"/>
      <c r="Z958" s="31"/>
      <c r="AA958" s="31"/>
      <c r="AB958" s="31"/>
      <c r="AC958" s="31"/>
    </row>
    <row r="959" spans="19:29" x14ac:dyDescent="0.25">
      <c r="S959" s="31"/>
      <c r="X959" s="31"/>
      <c r="Y959" s="31"/>
      <c r="Z959" s="31"/>
      <c r="AA959" s="31"/>
      <c r="AB959" s="31"/>
      <c r="AC959" s="31"/>
    </row>
    <row r="960" spans="19:29" x14ac:dyDescent="0.25">
      <c r="S960" s="31"/>
      <c r="X960" s="31"/>
      <c r="Y960" s="31"/>
      <c r="Z960" s="31"/>
      <c r="AA960" s="31"/>
      <c r="AB960" s="31"/>
      <c r="AC960" s="31"/>
    </row>
    <row r="961" spans="19:29" x14ac:dyDescent="0.25">
      <c r="S961" s="31"/>
      <c r="X961" s="31"/>
      <c r="Y961" s="31"/>
      <c r="Z961" s="31"/>
      <c r="AA961" s="31"/>
      <c r="AB961" s="31"/>
      <c r="AC961" s="31"/>
    </row>
    <row r="962" spans="19:29" x14ac:dyDescent="0.25">
      <c r="S962" s="31"/>
      <c r="X962" s="31"/>
      <c r="Y962" s="31"/>
      <c r="Z962" s="31"/>
      <c r="AA962" s="31"/>
      <c r="AB962" s="31"/>
      <c r="AC962" s="31"/>
    </row>
    <row r="963" spans="19:29" x14ac:dyDescent="0.25">
      <c r="S963" s="31"/>
      <c r="X963" s="31"/>
      <c r="Y963" s="31"/>
      <c r="Z963" s="31"/>
      <c r="AA963" s="31"/>
      <c r="AB963" s="31"/>
      <c r="AC963" s="31"/>
    </row>
    <row r="964" spans="19:29" x14ac:dyDescent="0.25">
      <c r="S964" s="31"/>
      <c r="X964" s="31"/>
      <c r="Y964" s="31"/>
      <c r="Z964" s="31"/>
      <c r="AA964" s="31"/>
      <c r="AB964" s="31"/>
      <c r="AC964" s="31"/>
    </row>
    <row r="965" spans="19:29" x14ac:dyDescent="0.25">
      <c r="S965" s="31"/>
      <c r="X965" s="31"/>
      <c r="Y965" s="31"/>
      <c r="Z965" s="31"/>
      <c r="AA965" s="31"/>
      <c r="AB965" s="31"/>
      <c r="AC965" s="31"/>
    </row>
    <row r="966" spans="19:29" x14ac:dyDescent="0.25">
      <c r="S966" s="31"/>
      <c r="X966" s="31"/>
      <c r="Y966" s="31"/>
      <c r="Z966" s="31"/>
      <c r="AA966" s="31"/>
      <c r="AB966" s="31"/>
      <c r="AC966" s="31"/>
    </row>
    <row r="967" spans="19:29" x14ac:dyDescent="0.25">
      <c r="S967" s="31"/>
      <c r="X967" s="31"/>
      <c r="Y967" s="31"/>
      <c r="Z967" s="31"/>
      <c r="AA967" s="31"/>
      <c r="AB967" s="31"/>
      <c r="AC967" s="31"/>
    </row>
    <row r="968" spans="19:29" x14ac:dyDescent="0.25">
      <c r="S968" s="31"/>
      <c r="X968" s="31"/>
      <c r="Y968" s="31"/>
      <c r="Z968" s="31"/>
      <c r="AA968" s="31"/>
      <c r="AB968" s="31"/>
      <c r="AC968" s="31"/>
    </row>
    <row r="969" spans="19:29" x14ac:dyDescent="0.25">
      <c r="S969" s="31"/>
      <c r="X969" s="31"/>
      <c r="Y969" s="31"/>
      <c r="Z969" s="31"/>
      <c r="AA969" s="31"/>
      <c r="AB969" s="31"/>
      <c r="AC969" s="31"/>
    </row>
    <row r="970" spans="19:29" x14ac:dyDescent="0.25">
      <c r="S970" s="31"/>
      <c r="X970" s="31"/>
      <c r="Y970" s="31"/>
      <c r="Z970" s="31"/>
      <c r="AA970" s="31"/>
      <c r="AB970" s="31"/>
      <c r="AC970" s="31"/>
    </row>
    <row r="971" spans="19:29" x14ac:dyDescent="0.25">
      <c r="S971" s="31"/>
      <c r="X971" s="31"/>
      <c r="Y971" s="31"/>
      <c r="Z971" s="31"/>
      <c r="AA971" s="31"/>
      <c r="AB971" s="31"/>
      <c r="AC971" s="31"/>
    </row>
    <row r="972" spans="19:29" x14ac:dyDescent="0.25">
      <c r="S972" s="31"/>
      <c r="X972" s="31"/>
      <c r="Y972" s="31"/>
      <c r="Z972" s="31"/>
      <c r="AA972" s="31"/>
      <c r="AB972" s="31"/>
      <c r="AC972" s="31"/>
    </row>
    <row r="973" spans="19:29" x14ac:dyDescent="0.25">
      <c r="S973" s="31"/>
      <c r="X973" s="31"/>
      <c r="Y973" s="31"/>
      <c r="Z973" s="31"/>
      <c r="AA973" s="31"/>
      <c r="AB973" s="31"/>
      <c r="AC973" s="31"/>
    </row>
    <row r="974" spans="19:29" x14ac:dyDescent="0.25">
      <c r="S974" s="31"/>
      <c r="X974" s="31"/>
      <c r="Y974" s="31"/>
      <c r="Z974" s="31"/>
      <c r="AA974" s="31"/>
      <c r="AB974" s="31"/>
      <c r="AC974" s="31"/>
    </row>
    <row r="975" spans="19:29" x14ac:dyDescent="0.25">
      <c r="S975" s="31"/>
      <c r="X975" s="31"/>
      <c r="Y975" s="31"/>
      <c r="Z975" s="31"/>
      <c r="AA975" s="31"/>
      <c r="AB975" s="31"/>
      <c r="AC975" s="31"/>
    </row>
    <row r="976" spans="19:29" x14ac:dyDescent="0.25">
      <c r="S976" s="31"/>
      <c r="X976" s="31"/>
      <c r="Y976" s="31"/>
      <c r="Z976" s="31"/>
      <c r="AA976" s="31"/>
      <c r="AB976" s="31"/>
      <c r="AC976" s="31"/>
    </row>
    <row r="977" spans="19:29" x14ac:dyDescent="0.25">
      <c r="S977" s="31"/>
      <c r="X977" s="31"/>
      <c r="Y977" s="31"/>
      <c r="Z977" s="31"/>
      <c r="AA977" s="31"/>
      <c r="AB977" s="31"/>
      <c r="AC977" s="31"/>
    </row>
    <row r="978" spans="19:29" x14ac:dyDescent="0.25">
      <c r="S978" s="31"/>
      <c r="X978" s="31"/>
      <c r="Y978" s="31"/>
      <c r="Z978" s="31"/>
      <c r="AA978" s="31"/>
      <c r="AB978" s="31"/>
      <c r="AC978" s="31"/>
    </row>
    <row r="979" spans="19:29" x14ac:dyDescent="0.25">
      <c r="S979" s="31"/>
      <c r="X979" s="31"/>
      <c r="Y979" s="31"/>
      <c r="Z979" s="31"/>
      <c r="AA979" s="31"/>
      <c r="AB979" s="31"/>
      <c r="AC979" s="31"/>
    </row>
    <row r="980" spans="19:29" x14ac:dyDescent="0.25">
      <c r="S980" s="31"/>
      <c r="X980" s="31"/>
      <c r="Y980" s="31"/>
      <c r="Z980" s="31"/>
      <c r="AA980" s="31"/>
      <c r="AB980" s="31"/>
      <c r="AC980" s="31"/>
    </row>
    <row r="981" spans="19:29" x14ac:dyDescent="0.25">
      <c r="S981" s="31"/>
      <c r="X981" s="31"/>
      <c r="Y981" s="31"/>
      <c r="Z981" s="31"/>
      <c r="AA981" s="31"/>
      <c r="AB981" s="31"/>
      <c r="AC981" s="31"/>
    </row>
    <row r="982" spans="19:29" x14ac:dyDescent="0.25">
      <c r="S982" s="31"/>
      <c r="X982" s="31"/>
      <c r="Y982" s="31"/>
      <c r="Z982" s="31"/>
      <c r="AA982" s="31"/>
      <c r="AB982" s="31"/>
      <c r="AC982" s="31"/>
    </row>
    <row r="983" spans="19:29" x14ac:dyDescent="0.25">
      <c r="S983" s="31"/>
      <c r="X983" s="31"/>
      <c r="Y983" s="31"/>
      <c r="Z983" s="31"/>
      <c r="AA983" s="31"/>
      <c r="AB983" s="31"/>
      <c r="AC983" s="31"/>
    </row>
    <row r="984" spans="19:29" x14ac:dyDescent="0.25">
      <c r="S984" s="31"/>
      <c r="X984" s="31"/>
      <c r="Y984" s="31"/>
      <c r="Z984" s="31"/>
      <c r="AA984" s="31"/>
      <c r="AB984" s="31"/>
      <c r="AC984" s="31"/>
    </row>
    <row r="985" spans="19:29" x14ac:dyDescent="0.25">
      <c r="S985" s="31"/>
      <c r="X985" s="31"/>
      <c r="Y985" s="31"/>
      <c r="Z985" s="31"/>
      <c r="AA985" s="31"/>
      <c r="AB985" s="31"/>
      <c r="AC985" s="31"/>
    </row>
    <row r="986" spans="19:29" x14ac:dyDescent="0.25">
      <c r="S986" s="31"/>
      <c r="X986" s="31"/>
      <c r="Y986" s="31"/>
      <c r="Z986" s="31"/>
      <c r="AA986" s="31"/>
      <c r="AB986" s="31"/>
      <c r="AC986" s="31"/>
    </row>
    <row r="987" spans="19:29" x14ac:dyDescent="0.25">
      <c r="S987" s="31"/>
      <c r="X987" s="31"/>
      <c r="Y987" s="31"/>
      <c r="Z987" s="31"/>
      <c r="AA987" s="31"/>
      <c r="AB987" s="31"/>
      <c r="AC987" s="31"/>
    </row>
    <row r="988" spans="19:29" x14ac:dyDescent="0.25">
      <c r="S988" s="31"/>
      <c r="X988" s="31"/>
      <c r="Y988" s="31"/>
      <c r="Z988" s="31"/>
      <c r="AA988" s="31"/>
      <c r="AB988" s="31"/>
      <c r="AC988" s="31"/>
    </row>
    <row r="989" spans="19:29" x14ac:dyDescent="0.25">
      <c r="S989" s="31"/>
      <c r="X989" s="31"/>
      <c r="Y989" s="31"/>
      <c r="Z989" s="31"/>
      <c r="AA989" s="31"/>
      <c r="AB989" s="31"/>
      <c r="AC989" s="31"/>
    </row>
    <row r="990" spans="19:29" x14ac:dyDescent="0.25">
      <c r="S990" s="31"/>
      <c r="X990" s="31"/>
      <c r="Y990" s="31"/>
      <c r="Z990" s="31"/>
      <c r="AA990" s="31"/>
      <c r="AB990" s="31"/>
      <c r="AC990" s="31"/>
    </row>
    <row r="991" spans="19:29" x14ac:dyDescent="0.25">
      <c r="S991" s="31"/>
      <c r="X991" s="31"/>
      <c r="Y991" s="31"/>
      <c r="Z991" s="31"/>
      <c r="AA991" s="31"/>
      <c r="AB991" s="31"/>
      <c r="AC991" s="31"/>
    </row>
    <row r="992" spans="19:29" x14ac:dyDescent="0.25">
      <c r="S992" s="31"/>
      <c r="X992" s="31"/>
      <c r="Y992" s="31"/>
      <c r="Z992" s="31"/>
      <c r="AA992" s="31"/>
      <c r="AB992" s="31"/>
      <c r="AC992" s="31"/>
    </row>
    <row r="993" spans="19:29" x14ac:dyDescent="0.25">
      <c r="S993" s="31"/>
      <c r="X993" s="31"/>
      <c r="Y993" s="31"/>
      <c r="Z993" s="31"/>
      <c r="AA993" s="31"/>
      <c r="AB993" s="31"/>
      <c r="AC993" s="31"/>
    </row>
    <row r="994" spans="19:29" x14ac:dyDescent="0.25">
      <c r="S994" s="31"/>
      <c r="X994" s="31"/>
      <c r="Y994" s="31"/>
      <c r="Z994" s="31"/>
      <c r="AA994" s="31"/>
      <c r="AB994" s="31"/>
      <c r="AC994" s="31"/>
    </row>
    <row r="995" spans="19:29" x14ac:dyDescent="0.25">
      <c r="S995" s="31"/>
      <c r="X995" s="31"/>
      <c r="Y995" s="31"/>
      <c r="Z995" s="31"/>
      <c r="AA995" s="31"/>
      <c r="AB995" s="31"/>
      <c r="AC995" s="31"/>
    </row>
    <row r="996" spans="19:29" x14ac:dyDescent="0.25">
      <c r="S996" s="31"/>
      <c r="X996" s="31"/>
      <c r="Y996" s="31"/>
      <c r="Z996" s="31"/>
      <c r="AA996" s="31"/>
      <c r="AB996" s="31"/>
      <c r="AC996" s="31"/>
    </row>
    <row r="997" spans="19:29" x14ac:dyDescent="0.25">
      <c r="S997" s="31"/>
      <c r="X997" s="31"/>
      <c r="Y997" s="31"/>
      <c r="Z997" s="31"/>
      <c r="AA997" s="31"/>
      <c r="AB997" s="31"/>
      <c r="AC997" s="31"/>
    </row>
    <row r="998" spans="19:29" x14ac:dyDescent="0.25">
      <c r="S998" s="31"/>
      <c r="X998" s="31"/>
      <c r="Y998" s="31"/>
      <c r="Z998" s="31"/>
      <c r="AA998" s="31"/>
      <c r="AB998" s="31"/>
      <c r="AC998" s="31"/>
    </row>
    <row r="999" spans="19:29" x14ac:dyDescent="0.25">
      <c r="S999" s="31"/>
      <c r="X999" s="31"/>
      <c r="Y999" s="31"/>
      <c r="Z999" s="31"/>
      <c r="AA999" s="31"/>
      <c r="AB999" s="31"/>
      <c r="AC999" s="31"/>
    </row>
    <row r="1000" spans="19:29" x14ac:dyDescent="0.25">
      <c r="S1000" s="31"/>
      <c r="X1000" s="31"/>
      <c r="Y1000" s="31"/>
      <c r="Z1000" s="31"/>
      <c r="AA1000" s="31"/>
      <c r="AB1000" s="31"/>
      <c r="AC1000" s="31"/>
    </row>
    <row r="1001" spans="19:29" x14ac:dyDescent="0.25">
      <c r="S1001" s="31"/>
      <c r="X1001" s="31"/>
      <c r="Y1001" s="31"/>
      <c r="Z1001" s="31"/>
      <c r="AA1001" s="31"/>
      <c r="AB1001" s="31"/>
      <c r="AC1001" s="31"/>
    </row>
    <row r="1002" spans="19:29" x14ac:dyDescent="0.25">
      <c r="S1002" s="31"/>
      <c r="X1002" s="31"/>
      <c r="Y1002" s="31"/>
      <c r="Z1002" s="31"/>
      <c r="AA1002" s="31"/>
      <c r="AB1002" s="31"/>
      <c r="AC1002" s="31"/>
    </row>
    <row r="1003" spans="19:29" x14ac:dyDescent="0.25">
      <c r="S1003" s="31"/>
      <c r="X1003" s="31"/>
      <c r="Y1003" s="31"/>
      <c r="Z1003" s="31"/>
      <c r="AA1003" s="31"/>
      <c r="AB1003" s="31"/>
      <c r="AC1003" s="31"/>
    </row>
    <row r="1004" spans="19:29" x14ac:dyDescent="0.25">
      <c r="S1004" s="31"/>
      <c r="X1004" s="31"/>
      <c r="Y1004" s="31"/>
      <c r="Z1004" s="31"/>
      <c r="AA1004" s="31"/>
      <c r="AB1004" s="31"/>
      <c r="AC1004" s="31"/>
    </row>
    <row r="1005" spans="19:29" x14ac:dyDescent="0.25">
      <c r="S1005" s="31"/>
      <c r="X1005" s="31"/>
      <c r="Y1005" s="31"/>
      <c r="Z1005" s="31"/>
      <c r="AA1005" s="31"/>
      <c r="AB1005" s="31"/>
      <c r="AC1005" s="31"/>
    </row>
    <row r="1006" spans="19:29" x14ac:dyDescent="0.25">
      <c r="S1006" s="31"/>
      <c r="X1006" s="31"/>
      <c r="Y1006" s="31"/>
      <c r="Z1006" s="31"/>
      <c r="AA1006" s="31"/>
      <c r="AB1006" s="31"/>
      <c r="AC1006" s="31"/>
    </row>
    <row r="1007" spans="19:29" x14ac:dyDescent="0.25">
      <c r="S1007" s="31"/>
      <c r="X1007" s="31"/>
      <c r="Y1007" s="31"/>
      <c r="Z1007" s="31"/>
      <c r="AA1007" s="31"/>
      <c r="AB1007" s="31"/>
      <c r="AC1007" s="31"/>
    </row>
    <row r="1008" spans="19:29" x14ac:dyDescent="0.25">
      <c r="S1008" s="31"/>
      <c r="X1008" s="31"/>
      <c r="Y1008" s="31"/>
      <c r="Z1008" s="31"/>
      <c r="AA1008" s="31"/>
      <c r="AB1008" s="31"/>
      <c r="AC1008" s="31"/>
    </row>
    <row r="1009" spans="19:29" x14ac:dyDescent="0.25">
      <c r="S1009" s="31"/>
      <c r="X1009" s="31"/>
      <c r="Y1009" s="31"/>
      <c r="Z1009" s="31"/>
      <c r="AA1009" s="31"/>
      <c r="AB1009" s="31"/>
      <c r="AC1009" s="31"/>
    </row>
    <row r="1010" spans="19:29" x14ac:dyDescent="0.25">
      <c r="S1010" s="31"/>
      <c r="X1010" s="31"/>
      <c r="Y1010" s="31"/>
      <c r="Z1010" s="31"/>
      <c r="AA1010" s="31"/>
      <c r="AB1010" s="31"/>
      <c r="AC1010" s="31"/>
    </row>
    <row r="1011" spans="19:29" x14ac:dyDescent="0.25">
      <c r="S1011" s="31"/>
      <c r="X1011" s="31"/>
      <c r="Y1011" s="31"/>
      <c r="Z1011" s="31"/>
      <c r="AA1011" s="31"/>
      <c r="AB1011" s="31"/>
      <c r="AC1011" s="31"/>
    </row>
    <row r="1012" spans="19:29" x14ac:dyDescent="0.25">
      <c r="S1012" s="31"/>
      <c r="X1012" s="31"/>
      <c r="Y1012" s="31"/>
      <c r="Z1012" s="31"/>
      <c r="AA1012" s="31"/>
      <c r="AB1012" s="31"/>
      <c r="AC1012" s="31"/>
    </row>
    <row r="1013" spans="19:29" x14ac:dyDescent="0.25">
      <c r="S1013" s="31"/>
      <c r="X1013" s="31"/>
      <c r="Y1013" s="31"/>
      <c r="Z1013" s="31"/>
      <c r="AA1013" s="31"/>
      <c r="AB1013" s="31"/>
      <c r="AC1013" s="31"/>
    </row>
    <row r="1014" spans="19:29" x14ac:dyDescent="0.25">
      <c r="S1014" s="31"/>
      <c r="X1014" s="31"/>
      <c r="Y1014" s="31"/>
      <c r="Z1014" s="31"/>
      <c r="AA1014" s="31"/>
      <c r="AB1014" s="31"/>
      <c r="AC1014" s="31"/>
    </row>
    <row r="1015" spans="19:29" x14ac:dyDescent="0.25">
      <c r="S1015" s="31"/>
      <c r="X1015" s="31"/>
      <c r="Y1015" s="31"/>
      <c r="Z1015" s="31"/>
      <c r="AA1015" s="31"/>
      <c r="AB1015" s="31"/>
      <c r="AC1015" s="31"/>
    </row>
    <row r="1016" spans="19:29" x14ac:dyDescent="0.25">
      <c r="S1016" s="31"/>
      <c r="X1016" s="31"/>
      <c r="Y1016" s="31"/>
      <c r="Z1016" s="31"/>
      <c r="AA1016" s="31"/>
      <c r="AB1016" s="31"/>
      <c r="AC1016" s="31"/>
    </row>
    <row r="1017" spans="19:29" x14ac:dyDescent="0.25">
      <c r="S1017" s="31"/>
      <c r="X1017" s="31"/>
      <c r="Y1017" s="31"/>
      <c r="Z1017" s="31"/>
      <c r="AA1017" s="31"/>
      <c r="AB1017" s="31"/>
      <c r="AC1017" s="31"/>
    </row>
    <row r="1018" spans="19:29" x14ac:dyDescent="0.25">
      <c r="S1018" s="31"/>
      <c r="X1018" s="31"/>
      <c r="Y1018" s="31"/>
      <c r="Z1018" s="31"/>
      <c r="AA1018" s="31"/>
      <c r="AB1018" s="31"/>
      <c r="AC1018" s="31"/>
    </row>
    <row r="1019" spans="19:29" x14ac:dyDescent="0.25">
      <c r="S1019" s="31"/>
      <c r="X1019" s="31"/>
      <c r="Y1019" s="31"/>
      <c r="Z1019" s="31"/>
      <c r="AA1019" s="31"/>
      <c r="AB1019" s="31"/>
      <c r="AC1019" s="31"/>
    </row>
    <row r="1020" spans="19:29" x14ac:dyDescent="0.25">
      <c r="S1020" s="31"/>
      <c r="X1020" s="31"/>
      <c r="Y1020" s="31"/>
      <c r="Z1020" s="31"/>
      <c r="AA1020" s="31"/>
      <c r="AB1020" s="31"/>
      <c r="AC1020" s="31"/>
    </row>
    <row r="1021" spans="19:29" x14ac:dyDescent="0.25">
      <c r="S1021" s="31"/>
      <c r="X1021" s="31"/>
      <c r="Y1021" s="31"/>
      <c r="Z1021" s="31"/>
      <c r="AA1021" s="31"/>
      <c r="AB1021" s="31"/>
      <c r="AC1021" s="31"/>
    </row>
    <row r="1022" spans="19:29" x14ac:dyDescent="0.25">
      <c r="S1022" s="31"/>
      <c r="X1022" s="31"/>
      <c r="Y1022" s="31"/>
      <c r="Z1022" s="31"/>
      <c r="AA1022" s="31"/>
      <c r="AB1022" s="31"/>
      <c r="AC1022" s="31"/>
    </row>
    <row r="1023" spans="19:29" x14ac:dyDescent="0.25">
      <c r="S1023" s="31"/>
      <c r="X1023" s="31"/>
      <c r="Y1023" s="31"/>
      <c r="Z1023" s="31"/>
      <c r="AA1023" s="31"/>
      <c r="AB1023" s="31"/>
      <c r="AC1023" s="31"/>
    </row>
    <row r="1024" spans="19:29" x14ac:dyDescent="0.25">
      <c r="S1024" s="31"/>
      <c r="X1024" s="31"/>
      <c r="Y1024" s="31"/>
      <c r="Z1024" s="31"/>
      <c r="AA1024" s="31"/>
      <c r="AB1024" s="31"/>
      <c r="AC1024" s="31"/>
    </row>
    <row r="1025" spans="19:29" x14ac:dyDescent="0.25">
      <c r="S1025" s="31"/>
      <c r="X1025" s="31"/>
      <c r="Y1025" s="31"/>
      <c r="Z1025" s="31"/>
      <c r="AA1025" s="31"/>
      <c r="AB1025" s="31"/>
      <c r="AC1025" s="31"/>
    </row>
    <row r="1026" spans="19:29" x14ac:dyDescent="0.25">
      <c r="S1026" s="31"/>
      <c r="X1026" s="31"/>
      <c r="Y1026" s="31"/>
      <c r="Z1026" s="31"/>
      <c r="AA1026" s="31"/>
      <c r="AB1026" s="31"/>
      <c r="AC1026" s="31"/>
    </row>
    <row r="1027" spans="19:29" x14ac:dyDescent="0.25">
      <c r="S1027" s="31"/>
      <c r="X1027" s="31"/>
      <c r="Y1027" s="31"/>
      <c r="Z1027" s="31"/>
      <c r="AA1027" s="31"/>
      <c r="AB1027" s="31"/>
      <c r="AC1027" s="31"/>
    </row>
    <row r="1028" spans="19:29" x14ac:dyDescent="0.25">
      <c r="S1028" s="31"/>
      <c r="X1028" s="31"/>
      <c r="Y1028" s="31"/>
      <c r="Z1028" s="31"/>
      <c r="AA1028" s="31"/>
      <c r="AB1028" s="31"/>
      <c r="AC1028" s="31"/>
    </row>
    <row r="1029" spans="19:29" x14ac:dyDescent="0.25">
      <c r="S1029" s="31"/>
      <c r="X1029" s="31"/>
      <c r="Y1029" s="31"/>
      <c r="Z1029" s="31"/>
      <c r="AA1029" s="31"/>
      <c r="AB1029" s="31"/>
      <c r="AC1029" s="31"/>
    </row>
    <row r="1030" spans="19:29" x14ac:dyDescent="0.25">
      <c r="S1030" s="31"/>
      <c r="X1030" s="31"/>
      <c r="Y1030" s="31"/>
      <c r="Z1030" s="31"/>
      <c r="AA1030" s="31"/>
      <c r="AB1030" s="31"/>
      <c r="AC1030" s="31"/>
    </row>
    <row r="1031" spans="19:29" x14ac:dyDescent="0.25">
      <c r="S1031" s="31"/>
      <c r="X1031" s="31"/>
      <c r="Y1031" s="31"/>
      <c r="Z1031" s="31"/>
      <c r="AA1031" s="31"/>
      <c r="AB1031" s="31"/>
      <c r="AC1031" s="31"/>
    </row>
    <row r="1032" spans="19:29" x14ac:dyDescent="0.25">
      <c r="S1032" s="31"/>
      <c r="X1032" s="31"/>
      <c r="Y1032" s="31"/>
      <c r="Z1032" s="31"/>
      <c r="AA1032" s="31"/>
      <c r="AB1032" s="31"/>
      <c r="AC1032" s="31"/>
    </row>
    <row r="1033" spans="19:29" x14ac:dyDescent="0.25">
      <c r="S1033" s="31"/>
      <c r="X1033" s="31"/>
      <c r="Y1033" s="31"/>
      <c r="Z1033" s="31"/>
      <c r="AA1033" s="31"/>
      <c r="AB1033" s="31"/>
      <c r="AC1033" s="31"/>
    </row>
    <row r="1034" spans="19:29" x14ac:dyDescent="0.25">
      <c r="S1034" s="31"/>
      <c r="X1034" s="31"/>
      <c r="Y1034" s="31"/>
      <c r="Z1034" s="31"/>
      <c r="AA1034" s="31"/>
      <c r="AB1034" s="31"/>
      <c r="AC1034" s="31"/>
    </row>
    <row r="1035" spans="19:29" x14ac:dyDescent="0.25">
      <c r="S1035" s="31"/>
      <c r="X1035" s="31"/>
      <c r="Y1035" s="31"/>
      <c r="Z1035" s="31"/>
      <c r="AA1035" s="31"/>
      <c r="AB1035" s="31"/>
      <c r="AC1035" s="31"/>
    </row>
    <row r="1036" spans="19:29" x14ac:dyDescent="0.25">
      <c r="S1036" s="31"/>
      <c r="X1036" s="31"/>
      <c r="Y1036" s="31"/>
      <c r="Z1036" s="31"/>
      <c r="AA1036" s="31"/>
      <c r="AB1036" s="31"/>
      <c r="AC1036" s="31"/>
    </row>
    <row r="1037" spans="19:29" x14ac:dyDescent="0.25">
      <c r="S1037" s="31"/>
      <c r="X1037" s="31"/>
      <c r="Y1037" s="31"/>
      <c r="Z1037" s="31"/>
      <c r="AA1037" s="31"/>
      <c r="AB1037" s="31"/>
      <c r="AC1037" s="31"/>
    </row>
    <row r="1038" spans="19:29" x14ac:dyDescent="0.25">
      <c r="S1038" s="31"/>
      <c r="X1038" s="31"/>
      <c r="Y1038" s="31"/>
      <c r="Z1038" s="31"/>
      <c r="AA1038" s="31"/>
      <c r="AB1038" s="31"/>
      <c r="AC1038" s="31"/>
    </row>
    <row r="1039" spans="19:29" x14ac:dyDescent="0.25">
      <c r="S1039" s="31"/>
      <c r="X1039" s="31"/>
      <c r="Y1039" s="31"/>
      <c r="Z1039" s="31"/>
      <c r="AA1039" s="31"/>
      <c r="AB1039" s="31"/>
      <c r="AC1039" s="31"/>
    </row>
    <row r="1040" spans="19:29" x14ac:dyDescent="0.25">
      <c r="S1040" s="31"/>
      <c r="X1040" s="31"/>
      <c r="Y1040" s="31"/>
      <c r="Z1040" s="31"/>
      <c r="AA1040" s="31"/>
      <c r="AB1040" s="31"/>
      <c r="AC1040" s="31"/>
    </row>
    <row r="1041" spans="19:29" x14ac:dyDescent="0.25">
      <c r="S1041" s="31"/>
      <c r="X1041" s="31"/>
      <c r="Y1041" s="31"/>
      <c r="Z1041" s="31"/>
      <c r="AA1041" s="31"/>
      <c r="AB1041" s="31"/>
      <c r="AC1041" s="31"/>
    </row>
    <row r="1042" spans="19:29" x14ac:dyDescent="0.25">
      <c r="S1042" s="31"/>
      <c r="X1042" s="31"/>
      <c r="Y1042" s="31"/>
      <c r="Z1042" s="31"/>
      <c r="AA1042" s="31"/>
      <c r="AB1042" s="31"/>
      <c r="AC1042" s="31"/>
    </row>
    <row r="1043" spans="19:29" x14ac:dyDescent="0.25">
      <c r="S1043" s="31"/>
      <c r="X1043" s="31"/>
      <c r="Y1043" s="31"/>
      <c r="Z1043" s="31"/>
      <c r="AA1043" s="31"/>
      <c r="AB1043" s="31"/>
      <c r="AC1043" s="31"/>
    </row>
    <row r="1044" spans="19:29" x14ac:dyDescent="0.25">
      <c r="S1044" s="31"/>
      <c r="X1044" s="31"/>
      <c r="Y1044" s="31"/>
      <c r="Z1044" s="31"/>
      <c r="AA1044" s="31"/>
      <c r="AB1044" s="31"/>
      <c r="AC1044" s="31"/>
    </row>
    <row r="1045" spans="19:29" x14ac:dyDescent="0.25">
      <c r="S1045" s="31"/>
      <c r="X1045" s="31"/>
      <c r="Y1045" s="31"/>
      <c r="Z1045" s="31"/>
      <c r="AA1045" s="31"/>
      <c r="AB1045" s="31"/>
      <c r="AC1045" s="31"/>
    </row>
    <row r="1046" spans="19:29" x14ac:dyDescent="0.25">
      <c r="S1046" s="31"/>
      <c r="X1046" s="31"/>
      <c r="Y1046" s="31"/>
      <c r="Z1046" s="31"/>
      <c r="AA1046" s="31"/>
      <c r="AB1046" s="31"/>
      <c r="AC1046" s="31"/>
    </row>
    <row r="1047" spans="19:29" x14ac:dyDescent="0.25">
      <c r="S1047" s="31"/>
      <c r="X1047" s="31"/>
      <c r="Y1047" s="31"/>
      <c r="Z1047" s="31"/>
      <c r="AA1047" s="31"/>
      <c r="AB1047" s="31"/>
      <c r="AC1047" s="31"/>
    </row>
    <row r="1048" spans="19:29" x14ac:dyDescent="0.25">
      <c r="S1048" s="31"/>
      <c r="X1048" s="31"/>
      <c r="Y1048" s="31"/>
      <c r="Z1048" s="31"/>
      <c r="AA1048" s="31"/>
      <c r="AB1048" s="31"/>
      <c r="AC1048" s="31"/>
    </row>
    <row r="1049" spans="19:29" x14ac:dyDescent="0.25">
      <c r="S1049" s="31"/>
      <c r="X1049" s="31"/>
      <c r="Y1049" s="31"/>
      <c r="Z1049" s="31"/>
      <c r="AA1049" s="31"/>
      <c r="AB1049" s="31"/>
      <c r="AC1049" s="31"/>
    </row>
    <row r="1050" spans="19:29" x14ac:dyDescent="0.25">
      <c r="S1050" s="31"/>
      <c r="X1050" s="31"/>
      <c r="Y1050" s="31"/>
      <c r="Z1050" s="31"/>
      <c r="AA1050" s="31"/>
      <c r="AB1050" s="31"/>
      <c r="AC1050" s="31"/>
    </row>
    <row r="1051" spans="19:29" x14ac:dyDescent="0.25">
      <c r="S1051" s="31"/>
      <c r="X1051" s="31"/>
      <c r="Y1051" s="31"/>
      <c r="Z1051" s="31"/>
      <c r="AA1051" s="31"/>
      <c r="AB1051" s="31"/>
      <c r="AC1051" s="31"/>
    </row>
    <row r="1052" spans="19:29" x14ac:dyDescent="0.25">
      <c r="S1052" s="31"/>
      <c r="X1052" s="31"/>
      <c r="Y1052" s="31"/>
      <c r="Z1052" s="31"/>
      <c r="AA1052" s="31"/>
      <c r="AB1052" s="31"/>
      <c r="AC1052" s="31"/>
    </row>
    <row r="1053" spans="19:29" x14ac:dyDescent="0.25">
      <c r="S1053" s="31"/>
      <c r="X1053" s="31"/>
      <c r="Y1053" s="31"/>
      <c r="Z1053" s="31"/>
      <c r="AA1053" s="31"/>
      <c r="AB1053" s="31"/>
      <c r="AC1053" s="31"/>
    </row>
    <row r="1054" spans="19:29" x14ac:dyDescent="0.25">
      <c r="S1054" s="31"/>
      <c r="X1054" s="31"/>
      <c r="Y1054" s="31"/>
      <c r="Z1054" s="31"/>
      <c r="AA1054" s="31"/>
      <c r="AB1054" s="31"/>
      <c r="AC1054" s="31"/>
    </row>
    <row r="1055" spans="19:29" x14ac:dyDescent="0.25">
      <c r="S1055" s="31"/>
      <c r="X1055" s="31"/>
      <c r="Y1055" s="31"/>
      <c r="Z1055" s="31"/>
      <c r="AA1055" s="31"/>
      <c r="AB1055" s="31"/>
      <c r="AC1055" s="31"/>
    </row>
    <row r="1056" spans="19:29" x14ac:dyDescent="0.25">
      <c r="S1056" s="31"/>
      <c r="X1056" s="31"/>
      <c r="Y1056" s="31"/>
      <c r="Z1056" s="31"/>
      <c r="AA1056" s="31"/>
      <c r="AB1056" s="31"/>
      <c r="AC1056" s="31"/>
    </row>
    <row r="1057" spans="19:29" x14ac:dyDescent="0.25">
      <c r="S1057" s="31"/>
      <c r="X1057" s="31"/>
      <c r="Y1057" s="31"/>
      <c r="Z1057" s="31"/>
      <c r="AA1057" s="31"/>
      <c r="AB1057" s="31"/>
      <c r="AC1057" s="31"/>
    </row>
    <row r="1058" spans="19:29" x14ac:dyDescent="0.25">
      <c r="S1058" s="31"/>
      <c r="X1058" s="31"/>
      <c r="Y1058" s="31"/>
      <c r="Z1058" s="31"/>
      <c r="AA1058" s="31"/>
      <c r="AB1058" s="31"/>
      <c r="AC1058" s="31"/>
    </row>
    <row r="1059" spans="19:29" x14ac:dyDescent="0.25">
      <c r="S1059" s="31"/>
      <c r="X1059" s="31"/>
      <c r="Y1059" s="31"/>
      <c r="Z1059" s="31"/>
      <c r="AA1059" s="31"/>
      <c r="AB1059" s="31"/>
      <c r="AC1059" s="31"/>
    </row>
    <row r="1060" spans="19:29" x14ac:dyDescent="0.25">
      <c r="S1060" s="31"/>
      <c r="X1060" s="31"/>
      <c r="Y1060" s="31"/>
      <c r="Z1060" s="31"/>
      <c r="AA1060" s="31"/>
      <c r="AB1060" s="31"/>
      <c r="AC1060" s="31"/>
    </row>
    <row r="1061" spans="19:29" x14ac:dyDescent="0.25">
      <c r="S1061" s="31"/>
      <c r="X1061" s="31"/>
      <c r="Y1061" s="31"/>
      <c r="Z1061" s="31"/>
      <c r="AA1061" s="31"/>
      <c r="AB1061" s="31"/>
      <c r="AC1061" s="31"/>
    </row>
    <row r="1062" spans="19:29" x14ac:dyDescent="0.25">
      <c r="S1062" s="31"/>
      <c r="X1062" s="31"/>
      <c r="Y1062" s="31"/>
      <c r="Z1062" s="31"/>
      <c r="AA1062" s="31"/>
      <c r="AB1062" s="31"/>
      <c r="AC1062" s="31"/>
    </row>
    <row r="1063" spans="19:29" x14ac:dyDescent="0.25">
      <c r="S1063" s="31"/>
      <c r="X1063" s="31"/>
      <c r="Y1063" s="31"/>
      <c r="Z1063" s="31"/>
      <c r="AA1063" s="31"/>
      <c r="AB1063" s="31"/>
      <c r="AC1063" s="31"/>
    </row>
    <row r="1064" spans="19:29" x14ac:dyDescent="0.25">
      <c r="S1064" s="31"/>
      <c r="X1064" s="31"/>
      <c r="Y1064" s="31"/>
      <c r="Z1064" s="31"/>
      <c r="AA1064" s="31"/>
      <c r="AB1064" s="31"/>
      <c r="AC1064" s="31"/>
    </row>
    <row r="1065" spans="19:29" x14ac:dyDescent="0.25">
      <c r="S1065" s="31"/>
      <c r="X1065" s="31"/>
      <c r="Y1065" s="31"/>
      <c r="Z1065" s="31"/>
      <c r="AA1065" s="31"/>
      <c r="AB1065" s="31"/>
      <c r="AC1065" s="31"/>
    </row>
    <row r="1066" spans="19:29" x14ac:dyDescent="0.25">
      <c r="S1066" s="31"/>
      <c r="X1066" s="31"/>
      <c r="Y1066" s="31"/>
      <c r="Z1066" s="31"/>
      <c r="AA1066" s="31"/>
      <c r="AB1066" s="31"/>
      <c r="AC1066" s="31"/>
    </row>
    <row r="1067" spans="19:29" x14ac:dyDescent="0.25">
      <c r="S1067" s="31"/>
      <c r="X1067" s="31"/>
      <c r="Y1067" s="31"/>
      <c r="Z1067" s="31"/>
      <c r="AA1067" s="31"/>
      <c r="AB1067" s="31"/>
      <c r="AC1067" s="31"/>
    </row>
    <row r="1068" spans="19:29" x14ac:dyDescent="0.25">
      <c r="S1068" s="31"/>
      <c r="X1068" s="31"/>
      <c r="Y1068" s="31"/>
      <c r="Z1068" s="31"/>
      <c r="AA1068" s="31"/>
      <c r="AB1068" s="31"/>
      <c r="AC1068" s="31"/>
    </row>
    <row r="1069" spans="19:29" x14ac:dyDescent="0.25">
      <c r="S1069" s="31"/>
      <c r="X1069" s="31"/>
      <c r="Y1069" s="31"/>
      <c r="Z1069" s="31"/>
      <c r="AA1069" s="31"/>
      <c r="AB1069" s="31"/>
      <c r="AC1069" s="31"/>
    </row>
    <row r="1070" spans="19:29" x14ac:dyDescent="0.25">
      <c r="S1070" s="31"/>
      <c r="X1070" s="31"/>
      <c r="Y1070" s="31"/>
      <c r="Z1070" s="31"/>
      <c r="AA1070" s="31"/>
      <c r="AB1070" s="31"/>
      <c r="AC1070" s="31"/>
    </row>
    <row r="1071" spans="19:29" x14ac:dyDescent="0.25">
      <c r="S1071" s="31"/>
      <c r="X1071" s="31"/>
      <c r="Y1071" s="31"/>
      <c r="Z1071" s="31"/>
      <c r="AA1071" s="31"/>
      <c r="AB1071" s="31"/>
      <c r="AC1071" s="31"/>
    </row>
    <row r="1072" spans="19:29" x14ac:dyDescent="0.25">
      <c r="S1072" s="31"/>
      <c r="X1072" s="31"/>
      <c r="Y1072" s="31"/>
      <c r="Z1072" s="31"/>
      <c r="AA1072" s="31"/>
      <c r="AB1072" s="31"/>
      <c r="AC1072" s="31"/>
    </row>
    <row r="1073" spans="19:29" x14ac:dyDescent="0.25">
      <c r="S1073" s="31"/>
      <c r="X1073" s="31"/>
      <c r="Y1073" s="31"/>
      <c r="Z1073" s="31"/>
      <c r="AA1073" s="31"/>
      <c r="AB1073" s="31"/>
      <c r="AC1073" s="31"/>
    </row>
    <row r="1074" spans="19:29" x14ac:dyDescent="0.25">
      <c r="S1074" s="31"/>
      <c r="X1074" s="31"/>
      <c r="Y1074" s="31"/>
      <c r="Z1074" s="31"/>
      <c r="AA1074" s="31"/>
      <c r="AB1074" s="31"/>
      <c r="AC1074" s="31"/>
    </row>
    <row r="1075" spans="19:29" x14ac:dyDescent="0.25">
      <c r="S1075" s="31"/>
      <c r="X1075" s="31"/>
      <c r="Y1075" s="31"/>
      <c r="Z1075" s="31"/>
      <c r="AA1075" s="31"/>
      <c r="AB1075" s="31"/>
      <c r="AC1075" s="31"/>
    </row>
    <row r="1076" spans="19:29" x14ac:dyDescent="0.25">
      <c r="S1076" s="31"/>
      <c r="X1076" s="31"/>
      <c r="Y1076" s="31"/>
      <c r="Z1076" s="31"/>
      <c r="AA1076" s="31"/>
      <c r="AB1076" s="31"/>
      <c r="AC1076" s="31"/>
    </row>
    <row r="1077" spans="19:29" x14ac:dyDescent="0.25">
      <c r="S1077" s="31"/>
      <c r="X1077" s="31"/>
      <c r="Y1077" s="31"/>
      <c r="Z1077" s="31"/>
      <c r="AA1077" s="31"/>
      <c r="AB1077" s="31"/>
      <c r="AC1077" s="31"/>
    </row>
    <row r="1078" spans="19:29" x14ac:dyDescent="0.25">
      <c r="S1078" s="31"/>
      <c r="X1078" s="31"/>
      <c r="Y1078" s="31"/>
      <c r="Z1078" s="31"/>
      <c r="AA1078" s="31"/>
      <c r="AB1078" s="31"/>
      <c r="AC1078" s="31"/>
    </row>
    <row r="1079" spans="19:29" x14ac:dyDescent="0.25">
      <c r="S1079" s="31"/>
      <c r="X1079" s="31"/>
      <c r="Y1079" s="31"/>
      <c r="Z1079" s="31"/>
      <c r="AA1079" s="31"/>
      <c r="AB1079" s="31"/>
      <c r="AC1079" s="31"/>
    </row>
    <row r="1080" spans="19:29" x14ac:dyDescent="0.25">
      <c r="S1080" s="31"/>
      <c r="X1080" s="31"/>
      <c r="Y1080" s="31"/>
      <c r="Z1080" s="31"/>
      <c r="AA1080" s="31"/>
      <c r="AB1080" s="31"/>
      <c r="AC1080" s="31"/>
    </row>
    <row r="1081" spans="19:29" x14ac:dyDescent="0.25">
      <c r="S1081" s="31"/>
      <c r="X1081" s="31"/>
      <c r="Y1081" s="31"/>
      <c r="Z1081" s="31"/>
      <c r="AA1081" s="31"/>
      <c r="AB1081" s="31"/>
      <c r="AC1081" s="31"/>
    </row>
    <row r="1082" spans="19:29" x14ac:dyDescent="0.25">
      <c r="S1082" s="31"/>
      <c r="X1082" s="31"/>
      <c r="Y1082" s="31"/>
      <c r="Z1082" s="31"/>
      <c r="AA1082" s="31"/>
      <c r="AB1082" s="31"/>
      <c r="AC1082" s="31"/>
    </row>
    <row r="1083" spans="19:29" x14ac:dyDescent="0.25">
      <c r="S1083" s="31"/>
      <c r="X1083" s="31"/>
      <c r="Y1083" s="31"/>
      <c r="Z1083" s="31"/>
      <c r="AA1083" s="31"/>
      <c r="AB1083" s="31"/>
      <c r="AC1083" s="31"/>
    </row>
    <row r="1084" spans="19:29" x14ac:dyDescent="0.25">
      <c r="S1084" s="31"/>
      <c r="X1084" s="31"/>
      <c r="Y1084" s="31"/>
      <c r="Z1084" s="31"/>
      <c r="AA1084" s="31"/>
      <c r="AB1084" s="31"/>
      <c r="AC1084" s="31"/>
    </row>
    <row r="1085" spans="19:29" x14ac:dyDescent="0.25">
      <c r="S1085" s="31"/>
      <c r="X1085" s="31"/>
      <c r="Y1085" s="31"/>
      <c r="Z1085" s="31"/>
      <c r="AA1085" s="31"/>
      <c r="AB1085" s="31"/>
      <c r="AC1085" s="31"/>
    </row>
    <row r="1086" spans="19:29" x14ac:dyDescent="0.25">
      <c r="S1086" s="31"/>
      <c r="X1086" s="31"/>
      <c r="Y1086" s="31"/>
      <c r="Z1086" s="31"/>
      <c r="AA1086" s="31"/>
      <c r="AB1086" s="31"/>
      <c r="AC1086" s="31"/>
    </row>
    <row r="1087" spans="19:29" x14ac:dyDescent="0.25">
      <c r="S1087" s="31"/>
      <c r="X1087" s="31"/>
      <c r="Y1087" s="31"/>
      <c r="Z1087" s="31"/>
      <c r="AA1087" s="31"/>
      <c r="AB1087" s="31"/>
      <c r="AC1087" s="31"/>
    </row>
  </sheetData>
  <autoFilter ref="A1:BN483">
    <sortState ref="A2:BN1271">
      <sortCondition sortBy="cellColor" ref="P1:P1271" dxfId="0"/>
    </sortState>
  </autoFilter>
  <sortState ref="A2:BN1319">
    <sortCondition ref="A2:A1319"/>
    <sortCondition ref="D2:D1319"/>
    <sortCondition ref="E2:E1319"/>
    <sortCondition descending="1" ref="F2:F1319"/>
    <sortCondition ref="J2:J1319"/>
  </sortState>
  <printOptions gridLines="1"/>
  <pageMargins left="0.74803149606299213" right="0.74803149606299213" top="0.98425196850393704" bottom="0.98425196850393704" header="0.51181102362204722" footer="0.51181102362204722"/>
  <pageSetup paperSize="9" scale="2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4">
    <tabColor rgb="FFC00000"/>
    <pageSetUpPr fitToPage="1"/>
  </sheetPr>
  <dimension ref="A1:S8"/>
  <sheetViews>
    <sheetView workbookViewId="0">
      <selection activeCell="A8" sqref="A8"/>
    </sheetView>
  </sheetViews>
  <sheetFormatPr defaultColWidth="8.85546875" defaultRowHeight="15" x14ac:dyDescent="0.25"/>
  <cols>
    <col min="1" max="1" width="22.42578125" bestFit="1" customWidth="1"/>
    <col min="2" max="2" width="22.42578125" customWidth="1"/>
  </cols>
  <sheetData>
    <row r="1" spans="1:19" ht="15.75" thickTop="1" x14ac:dyDescent="0.25">
      <c r="A1" s="55" t="s">
        <v>380</v>
      </c>
      <c r="B1" s="102"/>
      <c r="C1" s="56" t="s">
        <v>381</v>
      </c>
      <c r="D1" s="57" t="s">
        <v>72</v>
      </c>
      <c r="E1" s="56" t="s">
        <v>382</v>
      </c>
      <c r="F1" s="56" t="s">
        <v>386</v>
      </c>
      <c r="G1" s="56" t="s">
        <v>383</v>
      </c>
      <c r="H1" s="56" t="s">
        <v>384</v>
      </c>
      <c r="I1" s="57" t="s">
        <v>73</v>
      </c>
      <c r="J1" s="56" t="s">
        <v>385</v>
      </c>
      <c r="K1" s="101" t="s">
        <v>774</v>
      </c>
      <c r="L1" s="101" t="s">
        <v>342</v>
      </c>
      <c r="M1" s="58" t="s">
        <v>387</v>
      </c>
      <c r="N1" s="58" t="s">
        <v>443</v>
      </c>
      <c r="P1" s="51"/>
      <c r="Q1" s="51"/>
      <c r="R1" s="51"/>
      <c r="S1" s="51"/>
    </row>
    <row r="2" spans="1:19" x14ac:dyDescent="0.25">
      <c r="A2" s="229" t="s">
        <v>61</v>
      </c>
      <c r="B2" s="230"/>
      <c r="C2" s="319">
        <v>47957</v>
      </c>
      <c r="D2" s="319">
        <v>18405</v>
      </c>
      <c r="E2" s="319">
        <v>45034</v>
      </c>
      <c r="F2" s="319">
        <v>23641</v>
      </c>
      <c r="G2" s="319">
        <v>30802</v>
      </c>
      <c r="H2" s="319">
        <v>19473</v>
      </c>
      <c r="I2" s="319">
        <v>18405</v>
      </c>
      <c r="J2" s="319">
        <v>19473</v>
      </c>
      <c r="K2" s="320">
        <v>21634</v>
      </c>
      <c r="L2" s="320">
        <v>18505</v>
      </c>
      <c r="M2" s="321">
        <v>15846</v>
      </c>
      <c r="N2" s="321">
        <v>38079</v>
      </c>
      <c r="P2" s="15"/>
      <c r="Q2" s="15"/>
      <c r="R2" s="52"/>
      <c r="S2" s="52"/>
    </row>
    <row r="3" spans="1:19" x14ac:dyDescent="0.25">
      <c r="A3" s="229" t="s">
        <v>62</v>
      </c>
      <c r="B3" s="230"/>
      <c r="C3" s="319">
        <v>57006</v>
      </c>
      <c r="D3" s="319">
        <v>15773</v>
      </c>
      <c r="E3" s="319">
        <v>31547</v>
      </c>
      <c r="F3" s="319">
        <v>28786</v>
      </c>
      <c r="G3" s="319">
        <v>63797</v>
      </c>
      <c r="H3" s="319">
        <v>34806</v>
      </c>
      <c r="I3" s="319">
        <v>15773</v>
      </c>
      <c r="J3" s="319">
        <v>34806</v>
      </c>
      <c r="K3" s="319">
        <v>26986</v>
      </c>
      <c r="L3" s="319">
        <v>15773</v>
      </c>
      <c r="M3" s="321">
        <v>26926</v>
      </c>
      <c r="N3" s="321">
        <v>38004</v>
      </c>
    </row>
    <row r="4" spans="1:19" s="1" customFormat="1" ht="15.75" x14ac:dyDescent="0.25">
      <c r="A4" s="231" t="s">
        <v>1672</v>
      </c>
      <c r="B4" s="232"/>
      <c r="C4" s="233">
        <f t="shared" ref="C4:N4" si="0">SUM(C2:C3)</f>
        <v>104963</v>
      </c>
      <c r="D4" s="233">
        <f t="shared" si="0"/>
        <v>34178</v>
      </c>
      <c r="E4" s="233">
        <f t="shared" si="0"/>
        <v>76581</v>
      </c>
      <c r="F4" s="233">
        <f t="shared" si="0"/>
        <v>52427</v>
      </c>
      <c r="G4" s="233">
        <f t="shared" si="0"/>
        <v>94599</v>
      </c>
      <c r="H4" s="233">
        <f t="shared" si="0"/>
        <v>54279</v>
      </c>
      <c r="I4" s="233">
        <f t="shared" si="0"/>
        <v>34178</v>
      </c>
      <c r="J4" s="233">
        <f t="shared" si="0"/>
        <v>54279</v>
      </c>
      <c r="K4" s="233">
        <f t="shared" si="0"/>
        <v>48620</v>
      </c>
      <c r="L4" s="233">
        <f t="shared" si="0"/>
        <v>34278</v>
      </c>
      <c r="M4" s="234">
        <f t="shared" si="0"/>
        <v>42772</v>
      </c>
      <c r="N4" s="234">
        <f t="shared" si="0"/>
        <v>76083</v>
      </c>
      <c r="R4" s="1" t="s">
        <v>457</v>
      </c>
    </row>
    <row r="5" spans="1:19" x14ac:dyDescent="0.25">
      <c r="A5" s="235" t="s">
        <v>390</v>
      </c>
      <c r="B5" s="236"/>
      <c r="C5" s="322">
        <v>69000</v>
      </c>
      <c r="D5" s="322">
        <v>5800</v>
      </c>
      <c r="E5" s="322">
        <v>34500</v>
      </c>
      <c r="F5" s="322">
        <v>5800</v>
      </c>
      <c r="G5" s="322">
        <v>70100</v>
      </c>
      <c r="H5" s="322">
        <v>21800</v>
      </c>
      <c r="I5" s="322">
        <v>5800</v>
      </c>
      <c r="J5" s="322">
        <v>21800</v>
      </c>
      <c r="K5" s="323">
        <v>3400</v>
      </c>
      <c r="L5" s="323">
        <v>5700</v>
      </c>
      <c r="M5" s="324">
        <v>17300</v>
      </c>
      <c r="N5" s="324">
        <v>5800</v>
      </c>
      <c r="R5" s="19">
        <v>7.0000000000000007E-2</v>
      </c>
    </row>
    <row r="6" spans="1:19" ht="16.5" thickBot="1" x14ac:dyDescent="0.3">
      <c r="A6" s="53" t="s">
        <v>1672</v>
      </c>
      <c r="B6" s="103"/>
      <c r="C6" s="54">
        <f>SUM(C4:C5)</f>
        <v>173963</v>
      </c>
      <c r="D6" s="54">
        <f t="shared" ref="D6:N6" si="1">SUM(D4:D5)</f>
        <v>39978</v>
      </c>
      <c r="E6" s="54">
        <f t="shared" si="1"/>
        <v>111081</v>
      </c>
      <c r="F6" s="54">
        <f t="shared" si="1"/>
        <v>58227</v>
      </c>
      <c r="G6" s="54">
        <f t="shared" si="1"/>
        <v>164699</v>
      </c>
      <c r="H6" s="54">
        <f t="shared" si="1"/>
        <v>76079</v>
      </c>
      <c r="I6" s="54">
        <f t="shared" si="1"/>
        <v>39978</v>
      </c>
      <c r="J6" s="54">
        <f t="shared" si="1"/>
        <v>76079</v>
      </c>
      <c r="K6" s="54">
        <f t="shared" si="1"/>
        <v>52020</v>
      </c>
      <c r="L6" s="54">
        <f t="shared" si="1"/>
        <v>39978</v>
      </c>
      <c r="M6" s="54">
        <f t="shared" si="1"/>
        <v>60072</v>
      </c>
      <c r="N6" s="54">
        <f t="shared" si="1"/>
        <v>81883</v>
      </c>
    </row>
    <row r="7" spans="1:19" ht="15.75" thickTop="1" x14ac:dyDescent="0.25">
      <c r="A7" s="48"/>
      <c r="B7" s="48"/>
      <c r="C7" s="50"/>
      <c r="D7" s="49"/>
      <c r="E7" s="49"/>
      <c r="F7" s="47"/>
    </row>
    <row r="8" spans="1:19" x14ac:dyDescent="0.25">
      <c r="A8" s="48"/>
      <c r="B8" s="48"/>
      <c r="C8" s="65"/>
      <c r="D8" s="65"/>
      <c r="E8" s="65"/>
      <c r="F8" s="47"/>
      <c r="G8" s="66"/>
      <c r="H8" s="66"/>
      <c r="I8" s="66"/>
      <c r="J8" s="66"/>
      <c r="K8" s="66"/>
      <c r="L8" s="66"/>
      <c r="M8" s="66"/>
      <c r="N8" s="66"/>
    </row>
  </sheetData>
  <sheetProtection sheet="1" objects="1" scenarios="1"/>
  <sortState ref="A22:E30">
    <sortCondition ref="A22:A30"/>
  </sortState>
  <phoneticPr fontId="14" type="noConversion"/>
  <pageMargins left="0.74803149606299213" right="0.74803149606299213" top="0.98425196850393704" bottom="0.98425196850393704" header="0.51181102362204722" footer="0.51181102362204722"/>
  <pageSetup paperSize="9" scale="68" orientation="landscape" r:id="rId1"/>
  <headerFooter alignWithMargins="0">
    <oddHeader>&amp;R&amp;F</oddHead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7">
    <tabColor rgb="FFC00000"/>
    <pageSetUpPr fitToPage="1"/>
  </sheetPr>
  <dimension ref="A1:XER894"/>
  <sheetViews>
    <sheetView workbookViewId="0">
      <pane ySplit="1" topLeftCell="A2" activePane="bottomLeft" state="frozen"/>
      <selection activeCell="A6" sqref="A6"/>
      <selection pane="bottomLeft" activeCell="A2" sqref="A2"/>
    </sheetView>
  </sheetViews>
  <sheetFormatPr defaultColWidth="8.85546875" defaultRowHeight="15" x14ac:dyDescent="0.25"/>
  <cols>
    <col min="1" max="1" width="14.140625" style="31" bestFit="1" customWidth="1"/>
    <col min="2" max="2" width="50" style="31" customWidth="1"/>
    <col min="3" max="3" width="5" style="31" bestFit="1" customWidth="1"/>
    <col min="4" max="4" width="7" style="31" bestFit="1" customWidth="1"/>
    <col min="5" max="5" width="6" style="31" customWidth="1"/>
    <col min="6" max="6" width="7" style="31" bestFit="1" customWidth="1"/>
    <col min="7" max="7" width="6.140625" style="31" customWidth="1"/>
    <col min="8" max="9" width="6" style="31" bestFit="1" customWidth="1"/>
    <col min="10" max="11" width="6.140625" style="31" customWidth="1"/>
    <col min="12" max="12" width="5.42578125" style="31" bestFit="1" customWidth="1"/>
    <col min="13" max="13" width="6" style="31" customWidth="1"/>
    <col min="14" max="14" width="5" style="31" bestFit="1" customWidth="1"/>
    <col min="15" max="15" width="15.140625" style="31" bestFit="1" customWidth="1"/>
    <col min="16" max="16" width="14.85546875" style="31" bestFit="1" customWidth="1"/>
    <col min="17" max="17" width="12.140625" style="31" customWidth="1"/>
    <col min="18" max="18" width="11.42578125" style="31" customWidth="1"/>
    <col min="19" max="19" width="41" style="31" customWidth="1"/>
    <col min="20" max="20" width="28.42578125" style="31" customWidth="1"/>
    <col min="21" max="21" width="13.42578125" style="31" customWidth="1"/>
    <col min="22" max="25" width="11.42578125" style="31" bestFit="1" customWidth="1"/>
    <col min="26" max="26" width="17.5703125" style="31" bestFit="1" customWidth="1"/>
    <col min="27" max="16384" width="8.85546875" style="31"/>
  </cols>
  <sheetData>
    <row r="1" spans="1:26" s="32" customFormat="1" ht="14.25" x14ac:dyDescent="0.2">
      <c r="A1" s="32" t="s">
        <v>59</v>
      </c>
      <c r="B1" s="32" t="s">
        <v>158</v>
      </c>
      <c r="C1" s="32" t="s">
        <v>130</v>
      </c>
      <c r="D1" s="32" t="s">
        <v>131</v>
      </c>
      <c r="E1" s="32" t="s">
        <v>132</v>
      </c>
      <c r="F1" s="32" t="s">
        <v>133</v>
      </c>
      <c r="G1" s="32" t="s">
        <v>134</v>
      </c>
      <c r="H1" s="32" t="s">
        <v>135</v>
      </c>
      <c r="I1" s="32" t="s">
        <v>136</v>
      </c>
      <c r="J1" s="32" t="s">
        <v>126</v>
      </c>
      <c r="K1" s="32" t="s">
        <v>774</v>
      </c>
      <c r="L1" s="32" t="s">
        <v>342</v>
      </c>
      <c r="M1" s="32" t="s">
        <v>137</v>
      </c>
      <c r="N1" s="32" t="s">
        <v>322</v>
      </c>
      <c r="O1" s="32" t="s">
        <v>388</v>
      </c>
      <c r="P1" s="32" t="s">
        <v>389</v>
      </c>
      <c r="Q1" s="32" t="s">
        <v>390</v>
      </c>
      <c r="R1" s="32" t="s">
        <v>1380</v>
      </c>
      <c r="S1" s="196" t="s">
        <v>996</v>
      </c>
      <c r="T1" s="196" t="s">
        <v>997</v>
      </c>
      <c r="U1" s="196"/>
      <c r="V1" s="196"/>
      <c r="W1" s="196"/>
      <c r="X1" s="196"/>
      <c r="Y1" s="196"/>
      <c r="Z1" s="196"/>
    </row>
    <row r="2" spans="1:26" x14ac:dyDescent="0.25">
      <c r="A2" s="31" t="s">
        <v>1386</v>
      </c>
      <c r="B2" s="31" t="s">
        <v>1387</v>
      </c>
      <c r="D2" s="31">
        <v>1</v>
      </c>
      <c r="O2" s="42">
        <f>C2*Prislapp!$C$2+D2*Prislapp!$D$2+E2*Prislapp!$E$2+F2*Prislapp!$F$2+G2*Prislapp!$G$2+H2*Prislapp!$H$2+I2*Prislapp!$I$2+J2*Prislapp!$J$2+K2*Prislapp!$K$2+L2*Prislapp!$L$2+M2*Prislapp!$M$2+N2*Prislapp!$N$2</f>
        <v>18405</v>
      </c>
      <c r="P2" s="42">
        <f>C2*Prislapp!$C$3+D2*Prislapp!$D$3+E2*Prislapp!$E$3+F2*Prislapp!$F$3+G2*Prislapp!$G$3+H2*Prislapp!$H$3+I2*Prislapp!$I$3+J2*Prislapp!$J$3+K2*Prislapp!$K$3+M2*Prislapp!$M$3+N2*Prislapp!$N$3</f>
        <v>15773</v>
      </c>
      <c r="Q2" s="42">
        <f>C2*Prislapp!$C$5+D2*Prislapp!$D$5+E2*Prislapp!$E$5+F2*Prislapp!$F$5+G2*Prislapp!$G$5+H2*Prislapp!$H$5+I2*Prislapp!$I$5+J2*Prislapp!$J$5+K2*Prislapp!$K$5+L2*Prislapp!$L$5+M2*Prislapp!$M$5+N2*Prislapp!$N$5</f>
        <v>5800</v>
      </c>
      <c r="R2" s="9">
        <f>VLOOKUP(A2,'Ansvar kurs'!$A$2:$B$847,2,FALSE)</f>
        <v>1620</v>
      </c>
      <c r="S2" s="159"/>
      <c r="T2" s="159"/>
      <c r="U2" s="159"/>
      <c r="V2" s="159"/>
      <c r="W2" s="159"/>
      <c r="X2" s="159"/>
      <c r="Y2" s="159"/>
      <c r="Z2" s="159"/>
    </row>
    <row r="3" spans="1:26" x14ac:dyDescent="0.25">
      <c r="A3" s="31" t="s">
        <v>1388</v>
      </c>
      <c r="B3" s="31" t="s">
        <v>1389</v>
      </c>
      <c r="D3" s="31">
        <v>1</v>
      </c>
      <c r="O3" s="42">
        <f>C3*Prislapp!$C$2+D3*Prislapp!$D$2+E3*Prislapp!$E$2+F3*Prislapp!$F$2+G3*Prislapp!$G$2+H3*Prislapp!$H$2+I3*Prislapp!$I$2+J3*Prislapp!$J$2+K3*Prislapp!$K$2+L3*Prislapp!$L$2+M3*Prislapp!$M$2+N3*Prislapp!$N$2</f>
        <v>18405</v>
      </c>
      <c r="P3" s="42">
        <f>C3*Prislapp!$C$3+D3*Prislapp!$D$3+E3*Prislapp!$E$3+F3*Prislapp!$F$3+G3*Prislapp!$G$3+H3*Prislapp!$H$3+I3*Prislapp!$I$3+J3*Prislapp!$J$3+K3*Prislapp!$K$3+M3*Prislapp!$M$3+N3*Prislapp!$N$3</f>
        <v>15773</v>
      </c>
      <c r="Q3" s="42">
        <f>C3*Prislapp!$C$5+D3*Prislapp!$D$5+E3*Prislapp!$E$5+F3*Prislapp!$F$5+G3*Prislapp!$G$5+H3*Prislapp!$H$5+I3*Prislapp!$I$5+J3*Prislapp!$J$5+K3*Prislapp!$K$5+L3*Prislapp!$L$5+M3*Prislapp!$M$5+N3*Prislapp!$N$5</f>
        <v>5800</v>
      </c>
      <c r="R3" s="9">
        <f>VLOOKUP(A3,'Ansvar kurs'!$A$2:$B$847,2,FALSE)</f>
        <v>1620</v>
      </c>
      <c r="S3" s="159"/>
      <c r="T3" s="159"/>
      <c r="U3" s="159"/>
      <c r="V3" s="159"/>
      <c r="W3" s="159"/>
      <c r="X3" s="159"/>
      <c r="Y3" s="159"/>
      <c r="Z3" s="159"/>
    </row>
    <row r="4" spans="1:26" x14ac:dyDescent="0.25">
      <c r="A4" s="31" t="s">
        <v>1390</v>
      </c>
      <c r="B4" s="31" t="s">
        <v>1391</v>
      </c>
      <c r="D4" s="31">
        <v>1</v>
      </c>
      <c r="O4" s="42">
        <f>C4*Prislapp!$C$2+D4*Prislapp!$D$2+E4*Prislapp!$E$2+F4*Prislapp!$F$2+G4*Prislapp!$G$2+H4*Prislapp!$H$2+I4*Prislapp!$I$2+J4*Prislapp!$J$2+K4*Prislapp!$K$2+L4*Prislapp!$L$2+M4*Prislapp!$M$2+N4*Prislapp!$N$2</f>
        <v>18405</v>
      </c>
      <c r="P4" s="42">
        <f>C4*Prislapp!$C$3+D4*Prislapp!$D$3+E4*Prislapp!$E$3+F4*Prislapp!$F$3+G4*Prislapp!$G$3+H4*Prislapp!$H$3+I4*Prislapp!$I$3+J4*Prislapp!$J$3+K4*Prislapp!$K$3+M4*Prislapp!$M$3+N4*Prislapp!$N$3</f>
        <v>15773</v>
      </c>
      <c r="Q4" s="42">
        <f>C4*Prislapp!$C$5+D4*Prislapp!$D$5+E4*Prislapp!$E$5+F4*Prislapp!$F$5+G4*Prislapp!$G$5+H4*Prislapp!$H$5+I4*Prislapp!$I$5+J4*Prislapp!$J$5+K4*Prislapp!$K$5+L4*Prislapp!$L$5+M4*Prislapp!$M$5+N4*Prislapp!$N$5</f>
        <v>5800</v>
      </c>
      <c r="R4" s="9">
        <f>VLOOKUP(A4,'Ansvar kurs'!$A$2:$B$847,2,FALSE)</f>
        <v>1620</v>
      </c>
      <c r="S4" s="159"/>
      <c r="T4" s="159"/>
      <c r="U4" s="159"/>
      <c r="V4" s="159"/>
      <c r="W4" s="159"/>
      <c r="X4" s="159"/>
      <c r="Y4" s="159"/>
      <c r="Z4" s="159"/>
    </row>
    <row r="5" spans="1:26" x14ac:dyDescent="0.25">
      <c r="A5" s="31" t="s">
        <v>1497</v>
      </c>
      <c r="B5" s="31" t="s">
        <v>1508</v>
      </c>
      <c r="D5" s="31">
        <v>1</v>
      </c>
      <c r="O5" s="42">
        <f>C5*Prislapp!$C$2+D5*Prislapp!$D$2+E5*Prislapp!$E$2+F5*Prislapp!$F$2+G5*Prislapp!$G$2+H5*Prislapp!$H$2+I5*Prislapp!$I$2+J5*Prislapp!$J$2+K5*Prislapp!$K$2+L5*Prislapp!$L$2+M5*Prislapp!$M$2+N5*Prislapp!$N$2</f>
        <v>18405</v>
      </c>
      <c r="P5" s="42">
        <f>C5*Prislapp!$C$3+D5*Prislapp!$D$3+E5*Prislapp!$E$3+F5*Prislapp!$F$3+G5*Prislapp!$G$3+H5*Prislapp!$H$3+I5*Prislapp!$I$3+J5*Prislapp!$J$3+K5*Prislapp!$K$3+M5*Prislapp!$M$3+N5*Prislapp!$N$3</f>
        <v>15773</v>
      </c>
      <c r="Q5" s="42">
        <f>C5*Prislapp!$C$5+D5*Prislapp!$D$5+E5*Prislapp!$E$5+F5*Prislapp!$F$5+G5*Prislapp!$G$5+H5*Prislapp!$H$5+I5*Prislapp!$I$5+J5*Prislapp!$J$5+K5*Prislapp!$K$5+L5*Prislapp!$L$5+M5*Prislapp!$M$5+N5*Prislapp!$N$5</f>
        <v>5800</v>
      </c>
      <c r="R5" s="9">
        <f>VLOOKUP(A5,'Ansvar kurs'!$A$2:$B$847,2,FALSE)</f>
        <v>1620</v>
      </c>
      <c r="S5" s="159"/>
      <c r="T5" s="159"/>
      <c r="U5" s="159"/>
      <c r="V5" s="159"/>
      <c r="W5" s="159"/>
      <c r="X5" s="159"/>
      <c r="Y5" s="159"/>
      <c r="Z5" s="159"/>
    </row>
    <row r="6" spans="1:26" x14ac:dyDescent="0.25">
      <c r="A6" s="31" t="s">
        <v>1498</v>
      </c>
      <c r="B6" s="31" t="s">
        <v>1509</v>
      </c>
      <c r="D6" s="31">
        <v>1</v>
      </c>
      <c r="O6" s="42">
        <f>C6*Prislapp!$C$2+D6*Prislapp!$D$2+E6*Prislapp!$E$2+F6*Prislapp!$F$2+G6*Prislapp!$G$2+H6*Prislapp!$H$2+I6*Prislapp!$I$2+J6*Prislapp!$J$2+K6*Prislapp!$K$2+L6*Prislapp!$L$2+M6*Prislapp!$M$2+N6*Prislapp!$N$2</f>
        <v>18405</v>
      </c>
      <c r="P6" s="42">
        <f>C6*Prislapp!$C$3+D6*Prislapp!$D$3+E6*Prislapp!$E$3+F6*Prislapp!$F$3+G6*Prislapp!$G$3+H6*Prislapp!$H$3+I6*Prislapp!$I$3+J6*Prislapp!$J$3+K6*Prislapp!$K$3+M6*Prislapp!$M$3+N6*Prislapp!$N$3</f>
        <v>15773</v>
      </c>
      <c r="Q6" s="42">
        <f>C6*Prislapp!$C$5+D6*Prislapp!$D$5+E6*Prislapp!$E$5+F6*Prislapp!$F$5+G6*Prislapp!$G$5+H6*Prislapp!$H$5+I6*Prislapp!$I$5+J6*Prislapp!$J$5+K6*Prislapp!$K$5+L6*Prislapp!$L$5+M6*Prislapp!$M$5+N6*Prislapp!$N$5</f>
        <v>5800</v>
      </c>
      <c r="R6" s="9">
        <f>VLOOKUP(A6,'Ansvar kurs'!$A$2:$B$847,2,FALSE)</f>
        <v>1620</v>
      </c>
      <c r="S6" s="159"/>
      <c r="T6" s="159"/>
      <c r="U6" s="159"/>
      <c r="V6" s="159"/>
      <c r="W6" s="159"/>
      <c r="X6" s="159"/>
      <c r="Y6" s="159"/>
      <c r="Z6" s="159"/>
    </row>
    <row r="7" spans="1:26" x14ac:dyDescent="0.25">
      <c r="A7" s="31" t="s">
        <v>1499</v>
      </c>
      <c r="B7" s="31" t="s">
        <v>359</v>
      </c>
      <c r="D7" s="31">
        <v>1</v>
      </c>
      <c r="O7" s="42">
        <f>C7*Prislapp!$C$2+D7*Prislapp!$D$2+E7*Prislapp!$E$2+F7*Prislapp!$F$2+G7*Prislapp!$G$2+H7*Prislapp!$H$2+I7*Prislapp!$I$2+J7*Prislapp!$J$2+K7*Prislapp!$K$2+L7*Prislapp!$L$2+M7*Prislapp!$M$2+N7*Prislapp!$N$2</f>
        <v>18405</v>
      </c>
      <c r="P7" s="42">
        <f>C7*Prislapp!$C$3+D7*Prislapp!$D$3+E7*Prislapp!$E$3+F7*Prislapp!$F$3+G7*Prislapp!$G$3+H7*Prislapp!$H$3+I7*Prislapp!$I$3+J7*Prislapp!$J$3+K7*Prislapp!$K$3+M7*Prislapp!$M$3+N7*Prislapp!$N$3</f>
        <v>15773</v>
      </c>
      <c r="Q7" s="42">
        <f>C7*Prislapp!$C$5+D7*Prislapp!$D$5+E7*Prislapp!$E$5+F7*Prislapp!$F$5+G7*Prislapp!$G$5+H7*Prislapp!$H$5+I7*Prislapp!$I$5+J7*Prislapp!$J$5+K7*Prislapp!$K$5+L7*Prislapp!$L$5+M7*Prislapp!$M$5+N7*Prislapp!$N$5</f>
        <v>5800</v>
      </c>
      <c r="R7" s="9">
        <f>VLOOKUP(A7,'Ansvar kurs'!$A$2:$B$847,2,FALSE)</f>
        <v>1630</v>
      </c>
      <c r="S7" s="159"/>
      <c r="T7" s="159"/>
      <c r="U7" s="159"/>
      <c r="V7" s="159"/>
      <c r="W7" s="159"/>
      <c r="X7" s="159"/>
      <c r="Y7" s="159"/>
      <c r="Z7" s="159"/>
    </row>
    <row r="8" spans="1:26" x14ac:dyDescent="0.25">
      <c r="A8" s="31" t="s">
        <v>1500</v>
      </c>
      <c r="B8" s="31" t="s">
        <v>1510</v>
      </c>
      <c r="D8" s="31">
        <v>1</v>
      </c>
      <c r="O8" s="42">
        <f>C8*Prislapp!$C$2+D8*Prislapp!$D$2+E8*Prislapp!$E$2+F8*Prislapp!$F$2+G8*Prislapp!$G$2+H8*Prislapp!$H$2+I8*Prislapp!$I$2+J8*Prislapp!$J$2+K8*Prislapp!$K$2+L8*Prislapp!$L$2+M8*Prislapp!$M$2+N8*Prislapp!$N$2</f>
        <v>18405</v>
      </c>
      <c r="P8" s="42">
        <f>C8*Prislapp!$C$3+D8*Prislapp!$D$3+E8*Prislapp!$E$3+F8*Prislapp!$F$3+G8*Prislapp!$G$3+H8*Prislapp!$H$3+I8*Prislapp!$I$3+J8*Prislapp!$J$3+K8*Prislapp!$K$3+M8*Prislapp!$M$3+N8*Prislapp!$N$3</f>
        <v>15773</v>
      </c>
      <c r="Q8" s="42">
        <f>C8*Prislapp!$C$5+D8*Prislapp!$D$5+E8*Prislapp!$E$5+F8*Prislapp!$F$5+G8*Prislapp!$G$5+H8*Prislapp!$H$5+I8*Prislapp!$I$5+J8*Prislapp!$J$5+K8*Prislapp!$K$5+L8*Prislapp!$L$5+M8*Prislapp!$M$5+N8*Prislapp!$N$5</f>
        <v>5800</v>
      </c>
      <c r="R8" s="9">
        <f>VLOOKUP(A8,'Ansvar kurs'!$A$2:$B$847,2,FALSE)</f>
        <v>1640</v>
      </c>
      <c r="S8" s="159"/>
      <c r="T8" s="159"/>
      <c r="U8" s="159"/>
      <c r="V8" s="159"/>
      <c r="W8" s="159"/>
      <c r="X8" s="159"/>
      <c r="Y8" s="159"/>
      <c r="Z8" s="159"/>
    </row>
    <row r="9" spans="1:26" x14ac:dyDescent="0.25">
      <c r="A9" s="31" t="s">
        <v>1501</v>
      </c>
      <c r="B9" s="31" t="s">
        <v>1511</v>
      </c>
      <c r="D9" s="31">
        <v>1</v>
      </c>
      <c r="O9" s="42">
        <f>C9*Prislapp!$C$2+D9*Prislapp!$D$2+E9*Prislapp!$E$2+F9*Prislapp!$F$2+G9*Prislapp!$G$2+H9*Prislapp!$H$2+I9*Prislapp!$I$2+J9*Prislapp!$J$2+K9*Prislapp!$K$2+L9*Prislapp!$L$2+M9*Prislapp!$M$2+N9*Prislapp!$N$2</f>
        <v>18405</v>
      </c>
      <c r="P9" s="42">
        <f>C9*Prislapp!$C$3+D9*Prislapp!$D$3+E9*Prislapp!$E$3+F9*Prislapp!$F$3+G9*Prislapp!$G$3+H9*Prislapp!$H$3+I9*Prislapp!$I$3+J9*Prislapp!$J$3+K9*Prislapp!$K$3+M9*Prislapp!$M$3+N9*Prislapp!$N$3</f>
        <v>15773</v>
      </c>
      <c r="Q9" s="42">
        <f>C9*Prislapp!$C$5+D9*Prislapp!$D$5+E9*Prislapp!$E$5+F9*Prislapp!$F$5+G9*Prislapp!$G$5+H9*Prislapp!$H$5+I9*Prislapp!$I$5+J9*Prislapp!$J$5+K9*Prislapp!$K$5+L9*Prislapp!$L$5+M9*Prislapp!$M$5+N9*Prislapp!$N$5</f>
        <v>5800</v>
      </c>
      <c r="R9" s="9">
        <f>VLOOKUP(A9,'Ansvar kurs'!$A$2:$B$847,2,FALSE)</f>
        <v>1620</v>
      </c>
      <c r="S9" s="159"/>
      <c r="T9" s="159"/>
      <c r="U9" s="159"/>
      <c r="V9" s="159"/>
      <c r="W9" s="159"/>
      <c r="X9" s="159"/>
      <c r="Y9" s="159"/>
      <c r="Z9" s="159"/>
    </row>
    <row r="10" spans="1:26" x14ac:dyDescent="0.25">
      <c r="A10" s="31" t="s">
        <v>1502</v>
      </c>
      <c r="B10" s="31" t="s">
        <v>1512</v>
      </c>
      <c r="D10" s="31">
        <v>1</v>
      </c>
      <c r="O10" s="42">
        <f>C10*Prislapp!$C$2+D10*Prislapp!$D$2+E10*Prislapp!$E$2+F10*Prislapp!$F$2+G10*Prislapp!$G$2+H10*Prislapp!$H$2+I10*Prislapp!$I$2+J10*Prislapp!$J$2+K10*Prislapp!$K$2+L10*Prislapp!$L$2+M10*Prislapp!$M$2+N10*Prislapp!$N$2</f>
        <v>18405</v>
      </c>
      <c r="P10" s="42">
        <f>C10*Prislapp!$C$3+D10*Prislapp!$D$3+E10*Prislapp!$E$3+F10*Prislapp!$F$3+G10*Prislapp!$G$3+H10*Prislapp!$H$3+I10*Prislapp!$I$3+J10*Prislapp!$J$3+K10*Prislapp!$K$3+M10*Prislapp!$M$3+N10*Prislapp!$N$3</f>
        <v>15773</v>
      </c>
      <c r="Q10" s="42">
        <f>C10*Prislapp!$C$5+D10*Prislapp!$D$5+E10*Prislapp!$E$5+F10*Prislapp!$F$5+G10*Prislapp!$G$5+H10*Prislapp!$H$5+I10*Prislapp!$I$5+J10*Prislapp!$J$5+K10*Prislapp!$K$5+L10*Prislapp!$L$5+M10*Prislapp!$M$5+N10*Prislapp!$N$5</f>
        <v>5800</v>
      </c>
      <c r="R10" s="9">
        <f>VLOOKUP(A10,'Ansvar kurs'!$A$2:$B$847,2,FALSE)</f>
        <v>1620</v>
      </c>
      <c r="S10" s="159"/>
      <c r="T10" s="159"/>
      <c r="U10" s="159"/>
      <c r="V10" s="159"/>
      <c r="W10" s="159"/>
      <c r="X10" s="159"/>
      <c r="Y10" s="159"/>
      <c r="Z10" s="159"/>
    </row>
    <row r="11" spans="1:26" x14ac:dyDescent="0.25">
      <c r="A11" s="31" t="s">
        <v>1392</v>
      </c>
      <c r="B11" s="31" t="s">
        <v>1393</v>
      </c>
      <c r="D11" s="31">
        <v>1</v>
      </c>
      <c r="O11" s="42">
        <f>C11*Prislapp!$C$2+D11*Prislapp!$D$2+E11*Prislapp!$E$2+F11*Prislapp!$F$2+G11*Prislapp!$G$2+H11*Prislapp!$H$2+I11*Prislapp!$I$2+J11*Prislapp!$J$2+K11*Prislapp!$K$2+L11*Prislapp!$L$2+M11*Prislapp!$M$2+N11*Prislapp!$N$2</f>
        <v>18405</v>
      </c>
      <c r="P11" s="42">
        <f>C11*Prislapp!$C$3+D11*Prislapp!$D$3+E11*Prislapp!$E$3+F11*Prislapp!$F$3+G11*Prislapp!$G$3+H11*Prislapp!$H$3+I11*Prislapp!$I$3+J11*Prislapp!$J$3+K11*Prislapp!$K$3+M11*Prislapp!$M$3+N11*Prislapp!$N$3</f>
        <v>15773</v>
      </c>
      <c r="Q11" s="42">
        <f>C11*Prislapp!$C$5+D11*Prislapp!$D$5+E11*Prislapp!$E$5+F11*Prislapp!$F$5+G11*Prislapp!$G$5+H11*Prislapp!$H$5+I11*Prislapp!$I$5+J11*Prislapp!$J$5+K11*Prislapp!$K$5+L11*Prislapp!$L$5+M11*Prislapp!$M$5+N11*Prislapp!$N$5</f>
        <v>5800</v>
      </c>
      <c r="R11" s="9">
        <f>VLOOKUP(A11,'Ansvar kurs'!$A$2:$B$847,2,FALSE)</f>
        <v>1620</v>
      </c>
      <c r="S11" s="159"/>
      <c r="T11" s="159"/>
      <c r="U11" s="159"/>
      <c r="V11" s="159"/>
      <c r="W11" s="159"/>
      <c r="X11" s="159"/>
      <c r="Y11" s="159"/>
      <c r="Z11" s="159"/>
    </row>
    <row r="12" spans="1:26" x14ac:dyDescent="0.25">
      <c r="A12" s="31" t="s">
        <v>1503</v>
      </c>
      <c r="B12" s="31" t="s">
        <v>1513</v>
      </c>
      <c r="D12" s="31">
        <v>1</v>
      </c>
      <c r="O12" s="42">
        <f>C12*Prislapp!$C$2+D12*Prislapp!$D$2+E12*Prislapp!$E$2+F12*Prislapp!$F$2+G12*Prislapp!$G$2+H12*Prislapp!$H$2+I12*Prislapp!$I$2+J12*Prislapp!$J$2+K12*Prislapp!$K$2+L12*Prislapp!$L$2+M12*Prislapp!$M$2+N12*Prislapp!$N$2</f>
        <v>18405</v>
      </c>
      <c r="P12" s="42">
        <f>C12*Prislapp!$C$3+D12*Prislapp!$D$3+E12*Prislapp!$E$3+F12*Prislapp!$F$3+G12*Prislapp!$G$3+H12*Prislapp!$H$3+I12*Prislapp!$I$3+J12*Prislapp!$J$3+K12*Prislapp!$K$3+M12*Prislapp!$M$3+N12*Prislapp!$N$3</f>
        <v>15773</v>
      </c>
      <c r="Q12" s="42">
        <f>C12*Prislapp!$C$5+D12*Prislapp!$D$5+E12*Prislapp!$E$5+F12*Prislapp!$F$5+G12*Prislapp!$G$5+H12*Prislapp!$H$5+I12*Prislapp!$I$5+J12*Prislapp!$J$5+K12*Prislapp!$K$5+L12*Prislapp!$L$5+M12*Prislapp!$M$5+N12*Prislapp!$N$5</f>
        <v>5800</v>
      </c>
      <c r="R12" s="9">
        <f>VLOOKUP(A12,'Ansvar kurs'!$A$2:$B$847,2,FALSE)</f>
        <v>1620</v>
      </c>
      <c r="S12" s="159"/>
      <c r="T12" s="159"/>
      <c r="U12" s="159"/>
      <c r="V12" s="159"/>
      <c r="W12" s="159"/>
      <c r="X12" s="159"/>
      <c r="Y12" s="159"/>
      <c r="Z12" s="159"/>
    </row>
    <row r="13" spans="1:26" x14ac:dyDescent="0.25">
      <c r="A13" s="31" t="s">
        <v>1394</v>
      </c>
      <c r="B13" s="31" t="s">
        <v>1337</v>
      </c>
      <c r="D13" s="31">
        <v>1</v>
      </c>
      <c r="O13" s="42">
        <f>C13*Prislapp!$C$2+D13*Prislapp!$D$2+E13*Prislapp!$E$2+F13*Prislapp!$F$2+G13*Prislapp!$G$2+H13*Prislapp!$H$2+I13*Prislapp!$I$2+J13*Prislapp!$J$2+K13*Prislapp!$K$2+L13*Prislapp!$L$2+M13*Prislapp!$M$2+N13*Prislapp!$N$2</f>
        <v>18405</v>
      </c>
      <c r="P13" s="42">
        <f>C13*Prislapp!$C$3+D13*Prislapp!$D$3+E13*Prislapp!$E$3+F13*Prislapp!$F$3+G13*Prislapp!$G$3+H13*Prislapp!$H$3+I13*Prislapp!$I$3+J13*Prislapp!$J$3+K13*Prislapp!$K$3+M13*Prislapp!$M$3+N13*Prislapp!$N$3</f>
        <v>15773</v>
      </c>
      <c r="Q13" s="42">
        <f>C13*Prislapp!$C$5+D13*Prislapp!$D$5+E13*Prislapp!$E$5+F13*Prislapp!$F$5+G13*Prislapp!$G$5+H13*Prislapp!$H$5+I13*Prislapp!$I$5+J13*Prislapp!$J$5+K13*Prislapp!$K$5+L13*Prislapp!$L$5+M13*Prislapp!$M$5+N13*Prislapp!$N$5</f>
        <v>5800</v>
      </c>
      <c r="R13" s="9">
        <f>VLOOKUP(A13,'Ansvar kurs'!$A$2:$B$847,2,FALSE)</f>
        <v>1620</v>
      </c>
      <c r="S13" s="159"/>
      <c r="T13" s="159"/>
      <c r="U13" s="159"/>
      <c r="V13" s="159"/>
      <c r="W13" s="159"/>
      <c r="X13" s="159"/>
      <c r="Y13" s="159"/>
      <c r="Z13" s="159"/>
    </row>
    <row r="14" spans="1:26" x14ac:dyDescent="0.25">
      <c r="A14" s="62" t="s">
        <v>2004</v>
      </c>
      <c r="B14" s="62" t="s">
        <v>2012</v>
      </c>
      <c r="E14" s="31">
        <v>0.5</v>
      </c>
      <c r="I14" s="31">
        <v>0.5</v>
      </c>
      <c r="O14" s="42">
        <f>C14*Prislapp!$C$2+D14*Prislapp!$D$2+E14*Prislapp!$E$2+F14*Prislapp!$F$2+G14*Prislapp!$G$2+H14*Prislapp!$H$2+I14*Prislapp!$I$2+J14*Prislapp!$J$2+K14*Prislapp!$K$2+L14*Prislapp!$L$2+M14*Prislapp!$M$2+N14*Prislapp!$N$2</f>
        <v>31719.5</v>
      </c>
      <c r="P14" s="42">
        <f>C14*Prislapp!$C$3+D14*Prislapp!$D$3+E14*Prislapp!$E$3+F14*Prislapp!$F$3+G14*Prislapp!$G$3+H14*Prislapp!$H$3+I14*Prislapp!$I$3+J14*Prislapp!$J$3+K14*Prislapp!$K$3+M14*Prislapp!$M$3+N14*Prislapp!$N$3</f>
        <v>23660</v>
      </c>
      <c r="Q14" s="42">
        <f>C14*Prislapp!$C$5+D14*Prislapp!$D$5+E14*Prislapp!$E$5+F14*Prislapp!$F$5+G14*Prislapp!$G$5+H14*Prislapp!$H$5+I14*Prislapp!$I$5+J14*Prislapp!$J$5+K14*Prislapp!$K$5+L14*Prislapp!$L$5+M14*Prislapp!$M$5+N14*Prislapp!$N$5</f>
        <v>20150</v>
      </c>
      <c r="R14" s="9">
        <f>VLOOKUP(A14,'Ansvar kurs'!$A$2:$B$847,2,FALSE)</f>
        <v>2180</v>
      </c>
      <c r="S14" s="159"/>
      <c r="T14" s="159"/>
      <c r="U14" s="159"/>
      <c r="V14" s="159"/>
      <c r="W14" s="159"/>
      <c r="X14" s="159"/>
      <c r="Y14" s="159"/>
      <c r="Z14" s="159"/>
    </row>
    <row r="15" spans="1:26" x14ac:dyDescent="0.25">
      <c r="A15" s="62" t="s">
        <v>899</v>
      </c>
      <c r="B15" s="62" t="s">
        <v>2011</v>
      </c>
      <c r="H15" s="31">
        <v>1</v>
      </c>
      <c r="O15" s="42">
        <f>C15*Prislapp!$C$2+D15*Prislapp!$D$2+E15*Prislapp!$E$2+F15*Prislapp!$F$2+G15*Prislapp!$G$2+H15*Prislapp!$H$2+I15*Prislapp!$I$2+J15*Prislapp!$J$2+K15*Prislapp!$K$2+L15*Prislapp!$L$2+M15*Prislapp!$M$2+N15*Prislapp!$N$2</f>
        <v>19473</v>
      </c>
      <c r="P15" s="42">
        <f>C15*Prislapp!$C$3+D15*Prislapp!$D$3+E15*Prislapp!$E$3+F15*Prislapp!$F$3+G15*Prislapp!$G$3+H15*Prislapp!$H$3+I15*Prislapp!$I$3+J15*Prislapp!$J$3+K15*Prislapp!$K$3+M15*Prislapp!$M$3+N15*Prislapp!$N$3</f>
        <v>34806</v>
      </c>
      <c r="Q15" s="42">
        <f>C15*Prislapp!$C$5+D15*Prislapp!$D$5+E15*Prislapp!$E$5+F15*Prislapp!$F$5+G15*Prislapp!$G$5+H15*Prislapp!$H$5+I15*Prislapp!$I$5+J15*Prislapp!$J$5+K15*Prislapp!$K$5+L15*Prislapp!$L$5+M15*Prislapp!$M$5+N15*Prislapp!$N$5</f>
        <v>21800</v>
      </c>
      <c r="R15" s="9">
        <f>VLOOKUP(A15,'Ansvar kurs'!$A$2:$B$847,2,FALSE)</f>
        <v>2193</v>
      </c>
      <c r="S15" s="159"/>
      <c r="T15" s="159"/>
      <c r="U15" s="159"/>
      <c r="V15" s="159"/>
      <c r="W15" s="159"/>
      <c r="X15" s="159"/>
      <c r="Y15" s="159"/>
      <c r="Z15" s="159"/>
    </row>
    <row r="16" spans="1:26" x14ac:dyDescent="0.25">
      <c r="A16" s="31" t="s">
        <v>1504</v>
      </c>
      <c r="B16" s="31" t="s">
        <v>1514</v>
      </c>
      <c r="I16" s="31">
        <v>1</v>
      </c>
      <c r="O16" s="42">
        <f>C16*Prislapp!$C$2+D16*Prislapp!$D$2+E16*Prislapp!$E$2+F16*Prislapp!$F$2+G16*Prislapp!$G$2+H16*Prislapp!$H$2+I16*Prislapp!$I$2+J16*Prislapp!$J$2+K16*Prislapp!$K$2+L16*Prislapp!$L$2+M16*Prislapp!$M$2+N16*Prislapp!$N$2</f>
        <v>18405</v>
      </c>
      <c r="P16" s="42">
        <f>C16*Prislapp!$C$3+D16*Prislapp!$D$3+E16*Prislapp!$E$3+F16*Prislapp!$F$3+G16*Prislapp!$G$3+H16*Prislapp!$H$3+I16*Prislapp!$I$3+J16*Prislapp!$J$3+K16*Prislapp!$K$3+M16*Prislapp!$M$3+N16*Prislapp!$N$3</f>
        <v>15773</v>
      </c>
      <c r="Q16" s="42">
        <f>C16*Prislapp!$C$5+D16*Prislapp!$D$5+E16*Prislapp!$E$5+F16*Prislapp!$F$5+G16*Prislapp!$G$5+H16*Prislapp!$H$5+I16*Prislapp!$I$5+J16*Prislapp!$J$5+K16*Prislapp!$K$5+L16*Prislapp!$L$5+M16*Prislapp!$M$5+N16*Prislapp!$N$5</f>
        <v>5800</v>
      </c>
      <c r="R16" s="9">
        <f>VLOOKUP(A16,'Ansvar kurs'!$A$2:$B$847,2,FALSE)</f>
        <v>2340</v>
      </c>
      <c r="S16" s="159"/>
      <c r="T16" s="159"/>
      <c r="U16" s="159"/>
      <c r="V16" s="159"/>
      <c r="W16" s="159"/>
      <c r="X16" s="159"/>
      <c r="Y16" s="159"/>
      <c r="Z16" s="159"/>
    </row>
    <row r="17" spans="1:26" x14ac:dyDescent="0.25">
      <c r="A17" s="31" t="s">
        <v>1008</v>
      </c>
      <c r="B17" s="31" t="s">
        <v>1049</v>
      </c>
      <c r="H17" s="31">
        <v>1</v>
      </c>
      <c r="O17" s="42">
        <f>C17*Prislapp!$C$2+D17*Prislapp!$D$2+E17*Prislapp!$E$2+F17*Prislapp!$F$2+G17*Prislapp!$G$2+H17*Prislapp!$H$2+I17*Prislapp!$I$2+J17*Prislapp!$J$2+K17*Prislapp!$K$2+L17*Prislapp!$L$2+M17*Prislapp!$M$2+N17*Prislapp!$N$2</f>
        <v>19473</v>
      </c>
      <c r="P17" s="42">
        <f>C17*Prislapp!$C$3+D17*Prislapp!$D$3+E17*Prislapp!$E$3+F17*Prislapp!$F$3+G17*Prislapp!$G$3+H17*Prislapp!$H$3+I17*Prislapp!$I$3+J17*Prislapp!$J$3+K17*Prislapp!$K$3+M17*Prislapp!$M$3+N17*Prislapp!$N$3</f>
        <v>34806</v>
      </c>
      <c r="Q17" s="42">
        <f>C17*Prislapp!$C$5+D17*Prislapp!$D$5+E17*Prislapp!$E$5+F17*Prislapp!$F$5+G17*Prislapp!$G$5+H17*Prislapp!$H$5+I17*Prislapp!$I$5+J17*Prislapp!$J$5+K17*Prislapp!$K$5+L17*Prislapp!$L$5+M17*Prislapp!$M$5+N17*Prislapp!$N$5</f>
        <v>21800</v>
      </c>
      <c r="R17" s="9">
        <f>VLOOKUP(A17,'Ansvar kurs'!$A$2:$B$847,2,FALSE)</f>
        <v>5740</v>
      </c>
      <c r="S17" s="159"/>
      <c r="T17" s="159"/>
      <c r="U17" s="159"/>
      <c r="V17" s="159"/>
      <c r="W17" s="159"/>
      <c r="X17" s="159"/>
      <c r="Y17" s="159"/>
      <c r="Z17" s="159"/>
    </row>
    <row r="18" spans="1:26" x14ac:dyDescent="0.25">
      <c r="A18" s="59" t="s">
        <v>1254</v>
      </c>
      <c r="B18" s="62" t="s">
        <v>1268</v>
      </c>
      <c r="H18" s="31">
        <v>1</v>
      </c>
      <c r="O18" s="42">
        <f>C18*Prislapp!$C$2+D18*Prislapp!$D$2+E18*Prislapp!$E$2+F18*Prislapp!$F$2+G18*Prislapp!$G$2+H18*Prislapp!$H$2+I18*Prislapp!$I$2+J18*Prislapp!$J$2+K18*Prislapp!$K$2+L18*Prislapp!$L$2+M18*Prislapp!$M$2+N18*Prislapp!$N$2</f>
        <v>19473</v>
      </c>
      <c r="P18" s="42">
        <f>C18*Prislapp!$C$3+D18*Prislapp!$D$3+E18*Prislapp!$E$3+F18*Prislapp!$F$3+G18*Prislapp!$G$3+H18*Prislapp!$H$3+I18*Prislapp!$I$3+J18*Prislapp!$J$3+K18*Prislapp!$K$3+M18*Prislapp!$M$3+N18*Prislapp!$N$3</f>
        <v>34806</v>
      </c>
      <c r="Q18" s="42">
        <f>C18*Prislapp!$C$5+D18*Prislapp!$D$5+E18*Prislapp!$E$5+F18*Prislapp!$F$5+G18*Prislapp!$G$5+H18*Prislapp!$H$5+I18*Prislapp!$I$5+J18*Prislapp!$J$5+K18*Prislapp!$K$5+L18*Prislapp!$L$5+M18*Prislapp!$M$5+N18*Prislapp!$N$5</f>
        <v>21800</v>
      </c>
      <c r="R18" s="9">
        <f>VLOOKUP(A18,'Ansvar kurs'!$A$2:$B$847,2,FALSE)</f>
        <v>5740</v>
      </c>
      <c r="S18" s="159"/>
      <c r="T18" s="159"/>
      <c r="U18" s="159"/>
      <c r="V18" s="159"/>
      <c r="W18" s="159"/>
      <c r="X18" s="159"/>
      <c r="Y18" s="159"/>
      <c r="Z18" s="159"/>
    </row>
    <row r="19" spans="1:26" x14ac:dyDescent="0.25">
      <c r="A19" s="31" t="s">
        <v>943</v>
      </c>
      <c r="B19" s="31" t="s">
        <v>948</v>
      </c>
      <c r="H19" s="31">
        <v>1</v>
      </c>
      <c r="O19" s="42">
        <f>C19*Prislapp!$C$2+D19*Prislapp!$D$2+E19*Prislapp!$E$2+F19*Prislapp!$F$2+G19*Prislapp!$G$2+H19*Prislapp!$H$2+I19*Prislapp!$I$2+J19*Prislapp!$J$2+K19*Prislapp!$K$2+L19*Prislapp!$L$2+M19*Prislapp!$M$2+N19*Prislapp!$N$2</f>
        <v>19473</v>
      </c>
      <c r="P19" s="42">
        <f>C19*Prislapp!$C$3+D19*Prislapp!$D$3+E19*Prislapp!$E$3+F19*Prislapp!$F$3+G19*Prislapp!$G$3+H19*Prislapp!$H$3+I19*Prislapp!$I$3+J19*Prislapp!$J$3+K19*Prislapp!$K$3+M19*Prislapp!$M$3+N19*Prislapp!$N$3</f>
        <v>34806</v>
      </c>
      <c r="Q19" s="42">
        <f>C19*Prislapp!$C$5+D19*Prislapp!$D$5+E19*Prislapp!$E$5+F19*Prislapp!$F$5+G19*Prislapp!$G$5+H19*Prislapp!$H$5+I19*Prislapp!$I$5+J19*Prislapp!$J$5+K19*Prislapp!$K$5+L19*Prislapp!$L$5+M19*Prislapp!$M$5+N19*Prislapp!$N$5</f>
        <v>21800</v>
      </c>
      <c r="R19" s="9">
        <f>VLOOKUP(A19,'Ansvar kurs'!$A$2:$B$847,2,FALSE)</f>
        <v>5100</v>
      </c>
      <c r="S19" s="159"/>
      <c r="T19" s="159"/>
      <c r="U19" s="159"/>
      <c r="V19" s="159"/>
      <c r="W19" s="159"/>
      <c r="X19" s="159"/>
      <c r="Y19" s="159"/>
      <c r="Z19" s="159"/>
    </row>
    <row r="20" spans="1:26" x14ac:dyDescent="0.25">
      <c r="A20" s="31" t="s">
        <v>1010</v>
      </c>
      <c r="B20" s="31" t="s">
        <v>1050</v>
      </c>
      <c r="H20" s="31">
        <v>1</v>
      </c>
      <c r="O20" s="42">
        <f>C20*Prislapp!$C$2+D20*Prislapp!$D$2+E20*Prislapp!$E$2+F20*Prislapp!$F$2+G20*Prislapp!$G$2+H20*Prislapp!$H$2+I20*Prislapp!$I$2+J20*Prislapp!$J$2+K20*Prislapp!$K$2+L20*Prislapp!$L$2+M20*Prislapp!$M$2+N20*Prislapp!$N$2</f>
        <v>19473</v>
      </c>
      <c r="P20" s="42">
        <f>C20*Prislapp!$C$3+D20*Prislapp!$D$3+E20*Prislapp!$E$3+F20*Prislapp!$F$3+G20*Prislapp!$G$3+H20*Prislapp!$H$3+I20*Prislapp!$I$3+J20*Prislapp!$J$3+K20*Prislapp!$K$3+M20*Prislapp!$M$3+N20*Prislapp!$N$3</f>
        <v>34806</v>
      </c>
      <c r="Q20" s="42">
        <f>C20*Prislapp!$C$5+D20*Prislapp!$D$5+E20*Prislapp!$E$5+F20*Prislapp!$F$5+G20*Prislapp!$G$5+H20*Prislapp!$H$5+I20*Prislapp!$I$5+J20*Prislapp!$J$5+K20*Prislapp!$K$5+L20*Prislapp!$L$5+M20*Prislapp!$M$5+N20*Prislapp!$N$5</f>
        <v>21800</v>
      </c>
      <c r="R20" s="9">
        <f>VLOOKUP(A20,'Ansvar kurs'!$A$2:$B$847,2,FALSE)</f>
        <v>5160</v>
      </c>
      <c r="S20" s="159"/>
      <c r="T20" s="159"/>
      <c r="U20" s="159"/>
      <c r="V20" s="159"/>
      <c r="W20" s="159"/>
      <c r="X20" s="159"/>
      <c r="Y20" s="159"/>
      <c r="Z20" s="159"/>
    </row>
    <row r="21" spans="1:26" x14ac:dyDescent="0.25">
      <c r="A21" s="31" t="s">
        <v>942</v>
      </c>
      <c r="B21" s="31" t="s">
        <v>950</v>
      </c>
      <c r="H21" s="31">
        <v>1</v>
      </c>
      <c r="O21" s="42">
        <f>C21*Prislapp!$C$2+D21*Prislapp!$D$2+E21*Prislapp!$E$2+F21*Prislapp!$F$2+G21*Prislapp!$G$2+H21*Prislapp!$H$2+I21*Prislapp!$I$2+J21*Prislapp!$J$2+K21*Prislapp!$K$2+L21*Prislapp!$L$2+M21*Prislapp!$M$2+N21*Prislapp!$N$2</f>
        <v>19473</v>
      </c>
      <c r="P21" s="42">
        <f>C21*Prislapp!$C$3+D21*Prislapp!$D$3+E21*Prislapp!$E$3+F21*Prislapp!$F$3+G21*Prislapp!$G$3+H21*Prislapp!$H$3+I21*Prislapp!$I$3+J21*Prislapp!$J$3+K21*Prislapp!$K$3+M21*Prislapp!$M$3+N21*Prislapp!$N$3</f>
        <v>34806</v>
      </c>
      <c r="Q21" s="42">
        <f>C21*Prislapp!$C$5+D21*Prislapp!$D$5+E21*Prislapp!$E$5+F21*Prislapp!$F$5+G21*Prislapp!$G$5+H21*Prislapp!$H$5+I21*Prislapp!$I$5+J21*Prislapp!$J$5+K21*Prislapp!$K$5+L21*Prislapp!$L$5+M21*Prislapp!$M$5+N21*Prislapp!$N$5</f>
        <v>21800</v>
      </c>
      <c r="R21" s="9">
        <f>VLOOKUP(A21,'Ansvar kurs'!$A$2:$B$847,2,FALSE)</f>
        <v>5100</v>
      </c>
      <c r="S21" s="159"/>
      <c r="T21" s="159"/>
      <c r="U21" s="159"/>
      <c r="V21" s="159"/>
      <c r="W21" s="159"/>
      <c r="X21" s="159"/>
      <c r="Y21" s="159"/>
      <c r="Z21" s="159"/>
    </row>
    <row r="22" spans="1:26" x14ac:dyDescent="0.25">
      <c r="A22" s="31" t="s">
        <v>944</v>
      </c>
      <c r="B22" s="31" t="s">
        <v>951</v>
      </c>
      <c r="H22" s="31">
        <v>1</v>
      </c>
      <c r="O22" s="42">
        <f>C22*Prislapp!$C$2+D22*Prislapp!$D$2+E22*Prislapp!$E$2+F22*Prislapp!$F$2+G22*Prislapp!$G$2+H22*Prislapp!$H$2+I22*Prislapp!$I$2+J22*Prislapp!$J$2+K22*Prislapp!$K$2+L22*Prislapp!$L$2+M22*Prislapp!$M$2+N22*Prislapp!$N$2</f>
        <v>19473</v>
      </c>
      <c r="P22" s="42">
        <f>C22*Prislapp!$C$3+D22*Prislapp!$D$3+E22*Prislapp!$E$3+F22*Prislapp!$F$3+G22*Prislapp!$G$3+H22*Prislapp!$H$3+I22*Prislapp!$I$3+J22*Prislapp!$J$3+K22*Prislapp!$K$3+M22*Prislapp!$M$3+N22*Prislapp!$N$3</f>
        <v>34806</v>
      </c>
      <c r="Q22" s="42">
        <f>C22*Prislapp!$C$5+D22*Prislapp!$D$5+E22*Prislapp!$E$5+F22*Prislapp!$F$5+G22*Prislapp!$G$5+H22*Prislapp!$H$5+I22*Prislapp!$I$5+J22*Prislapp!$J$5+K22*Prislapp!$K$5+L22*Prislapp!$L$5+M22*Prislapp!$M$5+N22*Prislapp!$N$5</f>
        <v>21800</v>
      </c>
      <c r="R22" s="9">
        <f>VLOOKUP(A22,'Ansvar kurs'!$A$2:$B$847,2,FALSE)</f>
        <v>5100</v>
      </c>
      <c r="S22" s="159"/>
      <c r="T22" s="159"/>
      <c r="U22" s="159"/>
      <c r="V22" s="159"/>
      <c r="W22" s="159"/>
      <c r="X22" s="159"/>
      <c r="Y22" s="159"/>
      <c r="Z22" s="159"/>
    </row>
    <row r="23" spans="1:26" x14ac:dyDescent="0.25">
      <c r="A23" s="62" t="s">
        <v>1572</v>
      </c>
      <c r="B23" s="62" t="s">
        <v>1586</v>
      </c>
      <c r="H23" s="31">
        <v>1</v>
      </c>
      <c r="O23" s="42">
        <f>C23*Prislapp!$C$2+D23*Prislapp!$D$2+E23*Prislapp!$E$2+F23*Prislapp!$F$2+G23*Prislapp!$G$2+H23*Prislapp!$H$2+I23*Prislapp!$I$2+J23*Prislapp!$J$2+K23*Prislapp!$K$2+L23*Prislapp!$L$2+M23*Prislapp!$M$2+N23*Prislapp!$N$2</f>
        <v>19473</v>
      </c>
      <c r="P23" s="42">
        <f>C23*Prislapp!$C$3+D23*Prislapp!$D$3+E23*Prislapp!$E$3+F23*Prislapp!$F$3+G23*Prislapp!$G$3+H23*Prislapp!$H$3+I23*Prislapp!$I$3+J23*Prislapp!$J$3+K23*Prislapp!$K$3+M23*Prislapp!$M$3+N23*Prislapp!$N$3</f>
        <v>34806</v>
      </c>
      <c r="Q23" s="42">
        <f>C23*Prislapp!$C$5+D23*Prislapp!$D$5+E23*Prislapp!$E$5+F23*Prislapp!$F$5+G23*Prislapp!$G$5+H23*Prislapp!$H$5+I23*Prislapp!$I$5+J23*Prislapp!$J$5+K23*Prislapp!$K$5+L23*Prislapp!$L$5+M23*Prislapp!$M$5+N23*Prislapp!$N$5</f>
        <v>21800</v>
      </c>
      <c r="R23" s="9">
        <f>VLOOKUP(A23,'Ansvar kurs'!$A$2:$B$847,2,FALSE)</f>
        <v>5100</v>
      </c>
      <c r="S23" s="159"/>
      <c r="T23" s="159"/>
      <c r="U23" s="159"/>
      <c r="V23" s="159"/>
      <c r="W23" s="159"/>
      <c r="X23" s="159"/>
      <c r="Y23" s="159"/>
      <c r="Z23" s="159"/>
    </row>
    <row r="24" spans="1:26" x14ac:dyDescent="0.25">
      <c r="A24" s="62" t="s">
        <v>1571</v>
      </c>
      <c r="B24" s="62" t="s">
        <v>1587</v>
      </c>
      <c r="H24" s="31">
        <v>0.5</v>
      </c>
      <c r="J24" s="31">
        <v>0.5</v>
      </c>
      <c r="O24" s="42">
        <f>C24*Prislapp!$C$2+D24*Prislapp!$D$2+E24*Prislapp!$E$2+F24*Prislapp!$F$2+G24*Prislapp!$G$2+H24*Prislapp!$H$2+I24*Prislapp!$I$2+J24*Prislapp!$J$2+K24*Prislapp!$K$2+L24*Prislapp!$L$2+M24*Prislapp!$M$2+N24*Prislapp!$N$2</f>
        <v>19473</v>
      </c>
      <c r="P24" s="42">
        <f>C24*Prislapp!$C$3+D24*Prislapp!$D$3+E24*Prislapp!$E$3+F24*Prislapp!$F$3+G24*Prislapp!$G$3+H24*Prislapp!$H$3+I24*Prislapp!$I$3+J24*Prislapp!$J$3+K24*Prislapp!$K$3+M24*Prislapp!$M$3+N24*Prislapp!$N$3</f>
        <v>34806</v>
      </c>
      <c r="Q24" s="42">
        <f>C24*Prislapp!$C$5+D24*Prislapp!$D$5+E24*Prislapp!$E$5+F24*Prislapp!$F$5+G24*Prislapp!$G$5+H24*Prislapp!$H$5+I24*Prislapp!$I$5+J24*Prislapp!$J$5+K24*Prislapp!$K$5+L24*Prislapp!$L$5+M24*Prislapp!$M$5+N24*Prislapp!$N$5</f>
        <v>21800</v>
      </c>
      <c r="R24" s="9">
        <f>VLOOKUP(A24,'Ansvar kurs'!$A$2:$B$847,2,FALSE)</f>
        <v>5100</v>
      </c>
      <c r="S24" s="159"/>
      <c r="T24" s="159"/>
      <c r="U24" s="159"/>
      <c r="V24" s="159"/>
      <c r="W24" s="159"/>
      <c r="X24" s="159"/>
      <c r="Y24" s="159"/>
      <c r="Z24" s="159"/>
    </row>
    <row r="25" spans="1:26" x14ac:dyDescent="0.25">
      <c r="A25" s="62" t="s">
        <v>1553</v>
      </c>
      <c r="B25" s="62" t="s">
        <v>950</v>
      </c>
      <c r="H25" s="31">
        <v>0.5</v>
      </c>
      <c r="J25" s="31">
        <v>0.5</v>
      </c>
      <c r="O25" s="42">
        <f>C25*Prislapp!$C$2+D25*Prislapp!$D$2+E25*Prislapp!$E$2+F25*Prislapp!$F$2+G25*Prislapp!$G$2+H25*Prislapp!$H$2+I25*Prislapp!$I$2+J25*Prislapp!$J$2+K25*Prislapp!$K$2+L25*Prislapp!$L$2+M25*Prislapp!$M$2+N25*Prislapp!$N$2</f>
        <v>19473</v>
      </c>
      <c r="P25" s="42">
        <f>C25*Prislapp!$C$3+D25*Prislapp!$D$3+E25*Prislapp!$E$3+F25*Prislapp!$F$3+G25*Prislapp!$G$3+H25*Prislapp!$H$3+I25*Prislapp!$I$3+J25*Prislapp!$J$3+K25*Prislapp!$K$3+M25*Prislapp!$M$3+N25*Prislapp!$N$3</f>
        <v>34806</v>
      </c>
      <c r="Q25" s="42">
        <f>C25*Prislapp!$C$5+D25*Prislapp!$D$5+E25*Prislapp!$E$5+F25*Prislapp!$F$5+G25*Prislapp!$G$5+H25*Prislapp!$H$5+I25*Prislapp!$I$5+J25*Prislapp!$J$5+K25*Prislapp!$K$5+L25*Prislapp!$L$5+M25*Prislapp!$M$5+N25*Prislapp!$N$5</f>
        <v>21800</v>
      </c>
      <c r="R25" s="9">
        <f>VLOOKUP(A25,'Ansvar kurs'!$A$2:$B$847,2,FALSE)</f>
        <v>5100</v>
      </c>
      <c r="S25" s="159"/>
      <c r="T25" s="159"/>
      <c r="U25" s="159"/>
      <c r="V25" s="159"/>
      <c r="W25" s="159"/>
      <c r="X25" s="159"/>
      <c r="Y25" s="159"/>
      <c r="Z25" s="159"/>
    </row>
    <row r="26" spans="1:26" x14ac:dyDescent="0.25">
      <c r="A26" s="62" t="s">
        <v>1554</v>
      </c>
      <c r="B26" s="62" t="s">
        <v>1582</v>
      </c>
      <c r="H26" s="31">
        <v>1</v>
      </c>
      <c r="O26" s="42">
        <f>C26*Prislapp!$C$2+D26*Prislapp!$D$2+E26*Prislapp!$E$2+F26*Prislapp!$F$2+G26*Prislapp!$G$2+H26*Prislapp!$H$2+I26*Prislapp!$I$2+J26*Prislapp!$J$2+K26*Prislapp!$K$2+L26*Prislapp!$L$2+M26*Prislapp!$M$2+N26*Prislapp!$N$2</f>
        <v>19473</v>
      </c>
      <c r="P26" s="42">
        <f>C26*Prislapp!$C$3+D26*Prislapp!$D$3+E26*Prislapp!$E$3+F26*Prislapp!$F$3+G26*Prislapp!$G$3+H26*Prislapp!$H$3+I26*Prislapp!$I$3+J26*Prislapp!$J$3+K26*Prislapp!$K$3+M26*Prislapp!$M$3+N26*Prislapp!$N$3</f>
        <v>34806</v>
      </c>
      <c r="Q26" s="42">
        <f>C26*Prislapp!$C$5+D26*Prislapp!$D$5+E26*Prislapp!$E$5+F26*Prislapp!$F$5+G26*Prislapp!$G$5+H26*Prislapp!$H$5+I26*Prislapp!$I$5+J26*Prislapp!$J$5+K26*Prislapp!$K$5+L26*Prislapp!$L$5+M26*Prislapp!$M$5+N26*Prislapp!$N$5</f>
        <v>21800</v>
      </c>
      <c r="R26" s="9">
        <f>VLOOKUP(A26,'Ansvar kurs'!$A$2:$B$847,2,FALSE)</f>
        <v>5100</v>
      </c>
      <c r="S26" s="159"/>
      <c r="T26" s="159"/>
      <c r="U26" s="159"/>
      <c r="V26" s="159"/>
      <c r="W26" s="159"/>
      <c r="X26" s="159"/>
      <c r="Y26" s="159"/>
      <c r="Z26" s="159"/>
    </row>
    <row r="27" spans="1:26" x14ac:dyDescent="0.25">
      <c r="A27" s="31" t="s">
        <v>2046</v>
      </c>
      <c r="B27" s="31" t="s">
        <v>949</v>
      </c>
      <c r="H27" s="31">
        <v>1</v>
      </c>
      <c r="O27" s="42">
        <f>C27*Prislapp!$C$2+D27*Prislapp!$D$2+E27*Prislapp!$E$2+F27*Prislapp!$F$2+G27*Prislapp!$G$2+H27*Prislapp!$H$2+I27*Prislapp!$I$2+J27*Prislapp!$J$2+K27*Prislapp!$K$2+L27*Prislapp!$L$2+M27*Prislapp!$M$2+N27*Prislapp!$N$2</f>
        <v>19473</v>
      </c>
      <c r="P27" s="42">
        <f>C27*Prislapp!$C$3+D27*Prislapp!$D$3+E27*Prislapp!$E$3+F27*Prislapp!$F$3+G27*Prislapp!$G$3+H27*Prislapp!$H$3+I27*Prislapp!$I$3+J27*Prislapp!$J$3+K27*Prislapp!$K$3+M27*Prislapp!$M$3+N27*Prislapp!$N$3</f>
        <v>34806</v>
      </c>
      <c r="Q27" s="42">
        <f>C27*Prislapp!$C$5+D27*Prislapp!$D$5+E27*Prislapp!$E$5+F27*Prislapp!$F$5+G27*Prislapp!$G$5+H27*Prislapp!$H$5+I27*Prislapp!$I$5+J27*Prislapp!$J$5+K27*Prislapp!$K$5+L27*Prislapp!$L$5+M27*Prislapp!$M$5+N27*Prislapp!$N$5</f>
        <v>21800</v>
      </c>
      <c r="R27" s="9">
        <f>VLOOKUP(A27,'Ansvar kurs'!$A$2:$B$847,2,FALSE)</f>
        <v>5100</v>
      </c>
      <c r="S27" s="159"/>
      <c r="T27" s="159"/>
      <c r="U27" s="159"/>
      <c r="V27" s="159"/>
      <c r="W27" s="159"/>
      <c r="X27" s="159"/>
      <c r="Y27" s="159"/>
      <c r="Z27" s="159"/>
    </row>
    <row r="28" spans="1:26" x14ac:dyDescent="0.25">
      <c r="A28" s="62" t="s">
        <v>2045</v>
      </c>
      <c r="B28" s="62" t="s">
        <v>948</v>
      </c>
      <c r="H28" s="31">
        <v>1</v>
      </c>
      <c r="O28" s="42">
        <f>C28*Prislapp!$C$2+D28*Prislapp!$D$2+E28*Prislapp!$E$2+F28*Prislapp!$F$2+G28*Prislapp!$G$2+H28*Prislapp!$H$2+I28*Prislapp!$I$2+J28*Prislapp!$J$2+K28*Prislapp!$K$2+L28*Prislapp!$L$2+M28*Prislapp!$M$2+N28*Prislapp!$N$2</f>
        <v>19473</v>
      </c>
      <c r="P28" s="42">
        <f>C28*Prislapp!$C$3+D28*Prislapp!$D$3+E28*Prislapp!$E$3+F28*Prislapp!$F$3+G28*Prislapp!$G$3+H28*Prislapp!$H$3+I28*Prislapp!$I$3+J28*Prislapp!$J$3+K28*Prislapp!$K$3+M28*Prislapp!$M$3+N28*Prislapp!$N$3</f>
        <v>34806</v>
      </c>
      <c r="Q28" s="42">
        <f>C28*Prislapp!$C$5+D28*Prislapp!$D$5+E28*Prislapp!$E$5+F28*Prislapp!$F$5+G28*Prislapp!$G$5+H28*Prislapp!$H$5+I28*Prislapp!$I$5+J28*Prislapp!$J$5+K28*Prislapp!$K$5+L28*Prislapp!$L$5+M28*Prislapp!$M$5+N28*Prislapp!$N$5</f>
        <v>21800</v>
      </c>
      <c r="R28" s="9">
        <f>VLOOKUP(A28,'Ansvar kurs'!$A$2:$B$847,2,FALSE)</f>
        <v>5100</v>
      </c>
      <c r="S28" s="159"/>
      <c r="T28" s="159"/>
      <c r="U28" s="159"/>
      <c r="V28" s="159"/>
      <c r="W28" s="159"/>
      <c r="X28" s="159"/>
      <c r="Y28" s="159"/>
      <c r="Z28" s="159"/>
    </row>
    <row r="29" spans="1:26" x14ac:dyDescent="0.25">
      <c r="A29" s="62" t="s">
        <v>2144</v>
      </c>
      <c r="B29" s="62" t="s">
        <v>2013</v>
      </c>
      <c r="H29" s="31">
        <v>0.5</v>
      </c>
      <c r="J29" s="31">
        <v>0.5</v>
      </c>
      <c r="O29" s="42">
        <f>C29*Prislapp!$C$2+D29*Prislapp!$D$2+E29*Prislapp!$E$2+F29*Prislapp!$F$2+G29*Prislapp!$G$2+H29*Prislapp!$H$2+I29*Prislapp!$I$2+J29*Prislapp!$J$2+K29*Prislapp!$K$2+L29*Prislapp!$L$2+M29*Prislapp!$M$2+N29*Prislapp!$N$2</f>
        <v>19473</v>
      </c>
      <c r="P29" s="42">
        <f>C29*Prislapp!$C$3+D29*Prislapp!$D$3+E29*Prislapp!$E$3+F29*Prislapp!$F$3+G29*Prislapp!$G$3+H29*Prislapp!$H$3+I29*Prislapp!$I$3+J29*Prislapp!$J$3+K29*Prislapp!$K$3+M29*Prislapp!$M$3+N29*Prislapp!$N$3</f>
        <v>34806</v>
      </c>
      <c r="Q29" s="42">
        <f>C29*Prislapp!$C$5+D29*Prislapp!$D$5+E29*Prislapp!$E$5+F29*Prislapp!$F$5+G29*Prislapp!$G$5+H29*Prislapp!$H$5+I29*Prislapp!$I$5+J29*Prislapp!$J$5+K29*Prislapp!$K$5+L29*Prislapp!$L$5+M29*Prislapp!$M$5+N29*Prislapp!$N$5</f>
        <v>21800</v>
      </c>
      <c r="R29" s="9">
        <f>VLOOKUP(A29,'Ansvar kurs'!$A$2:$B$847,2,FALSE)</f>
        <v>5700</v>
      </c>
      <c r="S29" s="159"/>
      <c r="T29" s="159"/>
      <c r="U29" s="159"/>
      <c r="V29" s="159"/>
      <c r="W29" s="159"/>
      <c r="X29" s="159"/>
      <c r="Y29" s="159"/>
      <c r="Z29" s="159"/>
    </row>
    <row r="30" spans="1:26" x14ac:dyDescent="0.25">
      <c r="A30" s="31" t="s">
        <v>1011</v>
      </c>
      <c r="B30" s="31" t="s">
        <v>1516</v>
      </c>
      <c r="J30" s="31">
        <v>1</v>
      </c>
      <c r="O30" s="42">
        <f>C30*Prislapp!$C$2+D30*Prislapp!$D$2+E30*Prislapp!$E$2+F30*Prislapp!$F$2+G30*Prislapp!$G$2+H30*Prislapp!$H$2+I30*Prislapp!$I$2+J30*Prislapp!$J$2+K30*Prislapp!$K$2+L30*Prislapp!$L$2+M30*Prislapp!$M$2+N30*Prislapp!$N$2</f>
        <v>19473</v>
      </c>
      <c r="P30" s="42">
        <f>C30*Prislapp!$C$3+D30*Prislapp!$D$3+E30*Prislapp!$E$3+F30*Prislapp!$F$3+G30*Prislapp!$G$3+H30*Prislapp!$H$3+I30*Prislapp!$I$3+J30*Prislapp!$J$3+K30*Prislapp!$K$3+M30*Prislapp!$M$3+N30*Prislapp!$N$3</f>
        <v>34806</v>
      </c>
      <c r="Q30" s="42">
        <f>C30*Prislapp!$C$5+D30*Prislapp!$D$5+E30*Prislapp!$E$5+F30*Prislapp!$F$5+G30*Prislapp!$G$5+H30*Prislapp!$H$5+I30*Prislapp!$I$5+J30*Prislapp!$J$5+K30*Prislapp!$K$5+L30*Prislapp!$L$5+M30*Prislapp!$M$5+N30*Prislapp!$N$5</f>
        <v>21800</v>
      </c>
      <c r="R30" s="9">
        <f>VLOOKUP(A30,'Ansvar kurs'!$A$2:$B$847,2,FALSE)</f>
        <v>5410</v>
      </c>
      <c r="S30" s="159"/>
      <c r="T30" s="159"/>
      <c r="U30" s="159"/>
      <c r="V30" s="159"/>
      <c r="W30" s="159"/>
      <c r="X30" s="159"/>
      <c r="Y30" s="159"/>
      <c r="Z30" s="159"/>
    </row>
    <row r="31" spans="1:26" x14ac:dyDescent="0.25">
      <c r="A31" s="31" t="s">
        <v>1132</v>
      </c>
      <c r="B31" s="31" t="s">
        <v>1136</v>
      </c>
      <c r="J31" s="31">
        <v>1</v>
      </c>
      <c r="O31" s="42">
        <f>C31*Prislapp!$C$2+D31*Prislapp!$D$2+E31*Prislapp!$E$2+F31*Prislapp!$F$2+G31*Prislapp!$G$2+H31*Prislapp!$H$2+I31*Prislapp!$I$2+J31*Prislapp!$J$2+K31*Prislapp!$K$2+L31*Prislapp!$L$2+M31*Prislapp!$M$2+N31*Prislapp!$N$2</f>
        <v>19473</v>
      </c>
      <c r="P31" s="42">
        <f>C31*Prislapp!$C$3+D31*Prislapp!$D$3+E31*Prislapp!$E$3+F31*Prislapp!$F$3+G31*Prislapp!$G$3+H31*Prislapp!$H$3+I31*Prislapp!$I$3+J31*Prislapp!$J$3+K31*Prislapp!$K$3+M31*Prislapp!$M$3+N31*Prislapp!$N$3</f>
        <v>34806</v>
      </c>
      <c r="Q31" s="42">
        <f>C31*Prislapp!$C$5+D31*Prislapp!$D$5+E31*Prislapp!$E$5+F31*Prislapp!$F$5+G31*Prislapp!$G$5+H31*Prislapp!$H$5+I31*Prislapp!$I$5+J31*Prislapp!$J$5+K31*Prislapp!$K$5+L31*Prislapp!$L$5+M31*Prislapp!$M$5+N31*Prislapp!$N$5</f>
        <v>21800</v>
      </c>
      <c r="R31" s="9">
        <f>VLOOKUP(A31,'Ansvar kurs'!$A$2:$B$847,2,FALSE)</f>
        <v>5400</v>
      </c>
      <c r="S31" s="159"/>
      <c r="T31" s="159"/>
      <c r="U31" s="159"/>
      <c r="V31" s="159"/>
      <c r="W31" s="159"/>
      <c r="X31" s="159"/>
      <c r="Y31" s="159"/>
      <c r="Z31" s="159"/>
    </row>
    <row r="32" spans="1:26" x14ac:dyDescent="0.25">
      <c r="A32" s="31" t="s">
        <v>348</v>
      </c>
      <c r="B32" s="31" t="s">
        <v>351</v>
      </c>
      <c r="J32" s="31">
        <v>1</v>
      </c>
      <c r="O32" s="42">
        <f>C32*Prislapp!$C$2+D32*Prislapp!$D$2+E32*Prislapp!$E$2+F32*Prislapp!$F$2+G32*Prislapp!$G$2+H32*Prislapp!$H$2+I32*Prislapp!$I$2+J32*Prislapp!$J$2+K32*Prislapp!$K$2+L32*Prislapp!$L$2+M32*Prislapp!$M$2+N32*Prislapp!$N$2</f>
        <v>19473</v>
      </c>
      <c r="P32" s="42">
        <f>C32*Prislapp!$C$3+D32*Prislapp!$D$3+E32*Prislapp!$E$3+F32*Prislapp!$F$3+G32*Prislapp!$G$3+H32*Prislapp!$H$3+I32*Prislapp!$I$3+J32*Prislapp!$J$3+K32*Prislapp!$K$3+M32*Prislapp!$M$3+N32*Prislapp!$N$3</f>
        <v>34806</v>
      </c>
      <c r="Q32" s="42">
        <f>C32*Prislapp!$C$5+D32*Prislapp!$D$5+E32*Prislapp!$E$5+F32*Prislapp!$F$5+G32*Prislapp!$G$5+H32*Prislapp!$H$5+I32*Prislapp!$I$5+J32*Prislapp!$J$5+K32*Prislapp!$K$5+L32*Prislapp!$L$5+M32*Prislapp!$M$5+N32*Prislapp!$N$5</f>
        <v>21800</v>
      </c>
      <c r="R32" s="9">
        <f>VLOOKUP(A32,'Ansvar kurs'!$A$2:$B$847,2,FALSE)</f>
        <v>5400</v>
      </c>
      <c r="S32" s="159"/>
      <c r="T32" s="159"/>
      <c r="U32" s="159"/>
      <c r="V32" s="159"/>
      <c r="W32" s="159"/>
      <c r="X32" s="159"/>
      <c r="Y32" s="159"/>
      <c r="Z32" s="159"/>
    </row>
    <row r="33" spans="1:26" x14ac:dyDescent="0.25">
      <c r="A33" s="31" t="s">
        <v>1012</v>
      </c>
      <c r="B33" s="31" t="s">
        <v>1051</v>
      </c>
      <c r="J33" s="31">
        <v>1</v>
      </c>
      <c r="O33" s="42">
        <f>C33*Prislapp!$C$2+D33*Prislapp!$D$2+E33*Prislapp!$E$2+F33*Prislapp!$F$2+G33*Prislapp!$G$2+H33*Prislapp!$H$2+I33*Prislapp!$I$2+J33*Prislapp!$J$2+K33*Prislapp!$K$2+L33*Prislapp!$L$2+M33*Prislapp!$M$2+N33*Prislapp!$N$2</f>
        <v>19473</v>
      </c>
      <c r="P33" s="42">
        <f>C33*Prislapp!$C$3+D33*Prislapp!$D$3+E33*Prislapp!$E$3+F33*Prislapp!$F$3+G33*Prislapp!$G$3+H33*Prislapp!$H$3+I33*Prislapp!$I$3+J33*Prislapp!$J$3+K33*Prislapp!$K$3+M33*Prislapp!$M$3+N33*Prislapp!$N$3</f>
        <v>34806</v>
      </c>
      <c r="Q33" s="42">
        <f>C33*Prislapp!$C$5+D33*Prislapp!$D$5+E33*Prislapp!$E$5+F33*Prislapp!$F$5+G33*Prislapp!$G$5+H33*Prislapp!$H$5+I33*Prislapp!$I$5+J33*Prislapp!$J$5+K33*Prislapp!$K$5+L33*Prislapp!$L$5+M33*Prislapp!$M$5+N33*Prislapp!$N$5</f>
        <v>21800</v>
      </c>
      <c r="R33" s="9">
        <f>VLOOKUP(A33,'Ansvar kurs'!$A$2:$B$847,2,FALSE)</f>
        <v>5400</v>
      </c>
      <c r="S33" s="159"/>
      <c r="T33" s="159"/>
      <c r="U33" s="159"/>
      <c r="V33" s="159"/>
      <c r="W33" s="159"/>
      <c r="X33" s="159"/>
      <c r="Y33" s="159"/>
      <c r="Z33" s="159"/>
    </row>
    <row r="34" spans="1:26" x14ac:dyDescent="0.25">
      <c r="A34" s="31" t="s">
        <v>1505</v>
      </c>
      <c r="B34" s="31" t="s">
        <v>952</v>
      </c>
      <c r="J34" s="31">
        <v>1</v>
      </c>
      <c r="O34" s="42">
        <f>C34*Prislapp!$C$2+D34*Prislapp!$D$2+E34*Prislapp!$E$2+F34*Prislapp!$F$2+G34*Prislapp!$G$2+H34*Prislapp!$H$2+I34*Prislapp!$I$2+J34*Prislapp!$J$2+K34*Prislapp!$K$2+L34*Prislapp!$L$2+M34*Prislapp!$M$2+N34*Prislapp!$N$2</f>
        <v>19473</v>
      </c>
      <c r="P34" s="42">
        <f>C34*Prislapp!$C$3+D34*Prislapp!$D$3+E34*Prislapp!$E$3+F34*Prislapp!$F$3+G34*Prislapp!$G$3+H34*Prislapp!$H$3+I34*Prislapp!$I$3+J34*Prislapp!$J$3+K34*Prislapp!$K$3+M34*Prislapp!$M$3+N34*Prislapp!$N$3</f>
        <v>34806</v>
      </c>
      <c r="Q34" s="42">
        <f>C34*Prislapp!$C$5+D34*Prislapp!$D$5+E34*Prislapp!$E$5+F34*Prislapp!$F$5+G34*Prislapp!$G$5+H34*Prislapp!$H$5+I34*Prislapp!$I$5+J34*Prislapp!$J$5+K34*Prislapp!$K$5+L34*Prislapp!$L$5+M34*Prislapp!$M$5+N34*Prislapp!$N$5</f>
        <v>21800</v>
      </c>
      <c r="R34" s="9">
        <f>VLOOKUP(A34,'Ansvar kurs'!$A$2:$B$847,2,FALSE)</f>
        <v>5400</v>
      </c>
      <c r="S34" s="159"/>
      <c r="T34" s="159"/>
      <c r="U34" s="159"/>
      <c r="V34" s="159"/>
      <c r="W34" s="159"/>
      <c r="X34" s="159"/>
      <c r="Y34" s="159"/>
      <c r="Z34" s="159"/>
    </row>
    <row r="35" spans="1:26" x14ac:dyDescent="0.25">
      <c r="A35" s="31" t="s">
        <v>945</v>
      </c>
      <c r="B35" s="31" t="s">
        <v>952</v>
      </c>
      <c r="J35" s="31">
        <v>1</v>
      </c>
      <c r="O35" s="42">
        <f>C35*Prislapp!$C$2+D35*Prislapp!$D$2+E35*Prislapp!$E$2+F35*Prislapp!$F$2+G35*Prislapp!$G$2+H35*Prislapp!$H$2+I35*Prislapp!$I$2+J35*Prislapp!$J$2+K35*Prislapp!$K$2+L35*Prislapp!$L$2+M35*Prislapp!$M$2+N35*Prislapp!$N$2</f>
        <v>19473</v>
      </c>
      <c r="P35" s="42">
        <f>C35*Prislapp!$C$3+D35*Prislapp!$D$3+E35*Prislapp!$E$3+F35*Prislapp!$F$3+G35*Prislapp!$G$3+H35*Prislapp!$H$3+I35*Prislapp!$I$3+J35*Prislapp!$J$3+K35*Prislapp!$K$3+M35*Prislapp!$M$3+N35*Prislapp!$N$3</f>
        <v>34806</v>
      </c>
      <c r="Q35" s="42">
        <f>C35*Prislapp!$C$5+D35*Prislapp!$D$5+E35*Prislapp!$E$5+F35*Prislapp!$F$5+G35*Prislapp!$G$5+H35*Prislapp!$H$5+I35*Prislapp!$I$5+J35*Prislapp!$J$5+K35*Prislapp!$K$5+L35*Prislapp!$L$5+M35*Prislapp!$M$5+N35*Prislapp!$N$5</f>
        <v>21800</v>
      </c>
      <c r="R35" s="9">
        <f>VLOOKUP(A35,'Ansvar kurs'!$A$2:$B$847,2,FALSE)</f>
        <v>5400</v>
      </c>
      <c r="S35" s="159"/>
      <c r="T35" s="159"/>
      <c r="U35" s="159"/>
      <c r="V35" s="159"/>
      <c r="W35" s="159"/>
      <c r="X35" s="159"/>
      <c r="Y35" s="159"/>
      <c r="Z35" s="159"/>
    </row>
    <row r="36" spans="1:26" x14ac:dyDescent="0.25">
      <c r="A36" s="62" t="s">
        <v>1574</v>
      </c>
      <c r="B36" s="62" t="s">
        <v>350</v>
      </c>
      <c r="J36" s="31">
        <v>1</v>
      </c>
      <c r="O36" s="42">
        <f>C36*Prislapp!$C$2+D36*Prislapp!$D$2+E36*Prislapp!$E$2+F36*Prislapp!$F$2+G36*Prislapp!$G$2+H36*Prislapp!$H$2+I36*Prislapp!$I$2+J36*Prislapp!$J$2+K36*Prislapp!$K$2+L36*Prislapp!$L$2+M36*Prislapp!$M$2+N36*Prislapp!$N$2</f>
        <v>19473</v>
      </c>
      <c r="P36" s="42">
        <f>C36*Prislapp!$C$3+D36*Prislapp!$D$3+E36*Prislapp!$E$3+F36*Prislapp!$F$3+G36*Prislapp!$G$3+H36*Prislapp!$H$3+I36*Prislapp!$I$3+J36*Prislapp!$J$3+K36*Prislapp!$K$3+M36*Prislapp!$M$3+N36*Prislapp!$N$3</f>
        <v>34806</v>
      </c>
      <c r="Q36" s="42">
        <f>C36*Prislapp!$C$5+D36*Prislapp!$D$5+E36*Prislapp!$E$5+F36*Prislapp!$F$5+G36*Prislapp!$G$5+H36*Prislapp!$H$5+I36*Prislapp!$I$5+J36*Prislapp!$J$5+K36*Prislapp!$K$5+L36*Prislapp!$L$5+M36*Prislapp!$M$5+N36*Prislapp!$N$5</f>
        <v>21800</v>
      </c>
      <c r="R36" s="9">
        <f>VLOOKUP(A36,'Ansvar kurs'!$A$2:$B$847,2,FALSE)</f>
        <v>5400</v>
      </c>
      <c r="S36" s="159"/>
      <c r="T36" s="159"/>
      <c r="U36" s="159"/>
      <c r="V36" s="159"/>
      <c r="W36" s="159"/>
      <c r="X36" s="159"/>
      <c r="Y36" s="159"/>
      <c r="Z36" s="159"/>
    </row>
    <row r="37" spans="1:26" x14ac:dyDescent="0.25">
      <c r="A37" s="31" t="s">
        <v>349</v>
      </c>
      <c r="B37" s="31" t="s">
        <v>350</v>
      </c>
      <c r="H37" s="31">
        <v>1</v>
      </c>
      <c r="O37" s="42">
        <f>C37*Prislapp!$C$2+D37*Prislapp!$D$2+E37*Prislapp!$E$2+F37*Prislapp!$F$2+G37*Prislapp!$G$2+H37*Prislapp!$H$2+I37*Prislapp!$I$2+J37*Prislapp!$J$2+K37*Prislapp!$K$2+L37*Prislapp!$L$2+M37*Prislapp!$M$2+N37*Prislapp!$N$2</f>
        <v>19473</v>
      </c>
      <c r="P37" s="42">
        <f>C37*Prislapp!$C$3+D37*Prislapp!$D$3+E37*Prislapp!$E$3+F37*Prislapp!$F$3+G37*Prislapp!$G$3+H37*Prislapp!$H$3+I37*Prislapp!$I$3+J37*Prislapp!$J$3+K37*Prislapp!$K$3+M37*Prislapp!$M$3+N37*Prislapp!$N$3</f>
        <v>34806</v>
      </c>
      <c r="Q37" s="42">
        <f>C37*Prislapp!$C$5+D37*Prislapp!$D$5+E37*Prislapp!$E$5+F37*Prislapp!$F$5+G37*Prislapp!$G$5+H37*Prislapp!$H$5+I37*Prislapp!$I$5+J37*Prislapp!$J$5+K37*Prislapp!$K$5+L37*Prislapp!$L$5+M37*Prislapp!$M$5+N37*Prislapp!$N$5</f>
        <v>21800</v>
      </c>
      <c r="R37" s="9">
        <f>VLOOKUP(A37,'Ansvar kurs'!$A$2:$B$847,2,FALSE)</f>
        <v>5400</v>
      </c>
      <c r="S37" s="159"/>
      <c r="T37" s="159"/>
      <c r="U37" s="159"/>
      <c r="V37" s="159"/>
      <c r="W37" s="159"/>
      <c r="X37" s="159"/>
      <c r="Y37" s="159"/>
      <c r="Z37" s="159"/>
    </row>
    <row r="38" spans="1:26" x14ac:dyDescent="0.25">
      <c r="A38" s="31" t="s">
        <v>1797</v>
      </c>
      <c r="B38" s="31" t="s">
        <v>1806</v>
      </c>
      <c r="J38" s="31">
        <v>1</v>
      </c>
      <c r="O38" s="42">
        <f>C38*Prislapp!$C$2+D38*Prislapp!$D$2+E38*Prislapp!$E$2+F38*Prislapp!$F$2+G38*Prislapp!$G$2+H38*Prislapp!$H$2+I38*Prislapp!$I$2+J38*Prislapp!$J$2+K38*Prislapp!$K$2+L38*Prislapp!$L$2+M38*Prislapp!$M$2+N38*Prislapp!$N$2</f>
        <v>19473</v>
      </c>
      <c r="P38" s="42">
        <f>C38*Prislapp!$C$3+D38*Prislapp!$D$3+E38*Prislapp!$E$3+F38*Prislapp!$F$3+G38*Prislapp!$G$3+H38*Prislapp!$H$3+I38*Prislapp!$I$3+J38*Prislapp!$J$3+K38*Prislapp!$K$3+M38*Prislapp!$M$3+N38*Prislapp!$N$3</f>
        <v>34806</v>
      </c>
      <c r="Q38" s="42">
        <f>C38*Prislapp!$C$5+D38*Prislapp!$D$5+E38*Prislapp!$E$5+F38*Prislapp!$F$5+G38*Prislapp!$G$5+H38*Prislapp!$H$5+I38*Prislapp!$I$5+J38*Prislapp!$J$5+K38*Prislapp!$K$5+L38*Prislapp!$L$5+M38*Prislapp!$M$5+N38*Prislapp!$N$5</f>
        <v>21800</v>
      </c>
      <c r="R38" s="9">
        <f>VLOOKUP(A38,'Ansvar kurs'!$A$2:$B$847,2,FALSE)</f>
        <v>5400</v>
      </c>
      <c r="S38" s="159"/>
      <c r="T38" s="159"/>
      <c r="U38" s="159"/>
      <c r="V38" s="159"/>
      <c r="W38" s="159"/>
      <c r="X38" s="159"/>
      <c r="Y38" s="159"/>
      <c r="Z38" s="159"/>
    </row>
    <row r="39" spans="1:26" x14ac:dyDescent="0.25">
      <c r="A39" s="31" t="s">
        <v>1013</v>
      </c>
      <c r="B39" s="31" t="s">
        <v>1052</v>
      </c>
      <c r="H39" s="31">
        <v>1</v>
      </c>
      <c r="O39" s="42">
        <f>C39*Prislapp!$C$2+D39*Prislapp!$D$2+E39*Prislapp!$E$2+F39*Prislapp!$F$2+G39*Prislapp!$G$2+H39*Prislapp!$H$2+I39*Prislapp!$I$2+J39*Prislapp!$J$2+K39*Prislapp!$K$2+L39*Prislapp!$L$2+M39*Prislapp!$M$2+N39*Prislapp!$N$2</f>
        <v>19473</v>
      </c>
      <c r="P39" s="42">
        <f>C39*Prislapp!$C$3+D39*Prislapp!$D$3+E39*Prislapp!$E$3+F39*Prislapp!$F$3+G39*Prislapp!$G$3+H39*Prislapp!$H$3+I39*Prislapp!$I$3+J39*Prislapp!$J$3+K39*Prislapp!$K$3+M39*Prislapp!$M$3+N39*Prislapp!$N$3</f>
        <v>34806</v>
      </c>
      <c r="Q39" s="42">
        <f>C39*Prislapp!$C$5+D39*Prislapp!$D$5+E39*Prislapp!$E$5+F39*Prislapp!$F$5+G39*Prislapp!$G$5+H39*Prislapp!$H$5+I39*Prislapp!$I$5+J39*Prislapp!$J$5+K39*Prislapp!$K$5+L39*Prislapp!$L$5+M39*Prislapp!$M$5+N39*Prislapp!$N$5</f>
        <v>21800</v>
      </c>
      <c r="R39" s="9">
        <f>VLOOKUP(A39,'Ansvar kurs'!$A$2:$B$847,2,FALSE)</f>
        <v>5400</v>
      </c>
      <c r="S39" s="159"/>
      <c r="T39" s="159"/>
      <c r="U39" s="159"/>
      <c r="V39" s="159"/>
      <c r="W39" s="159"/>
      <c r="X39" s="159"/>
      <c r="Y39" s="159"/>
      <c r="Z39" s="159"/>
    </row>
    <row r="40" spans="1:26" x14ac:dyDescent="0.25">
      <c r="A40" s="31" t="s">
        <v>1014</v>
      </c>
      <c r="B40" s="31" t="s">
        <v>1053</v>
      </c>
      <c r="H40" s="31">
        <v>1</v>
      </c>
      <c r="O40" s="42">
        <f>C40*Prislapp!$C$2+D40*Prislapp!$D$2+E40*Prislapp!$E$2+F40*Prislapp!$F$2+G40*Prislapp!$G$2+H40*Prislapp!$H$2+I40*Prislapp!$I$2+J40*Prislapp!$J$2+K40*Prislapp!$K$2+L40*Prislapp!$L$2+M40*Prislapp!$M$2+N40*Prislapp!$N$2</f>
        <v>19473</v>
      </c>
      <c r="P40" s="42">
        <f>C40*Prislapp!$C$3+D40*Prislapp!$D$3+E40*Prislapp!$E$3+F40*Prislapp!$F$3+G40*Prislapp!$G$3+H40*Prislapp!$H$3+I40*Prislapp!$I$3+J40*Prislapp!$J$3+K40*Prislapp!$K$3+M40*Prislapp!$M$3+N40*Prislapp!$N$3</f>
        <v>34806</v>
      </c>
      <c r="Q40" s="42">
        <f>C40*Prislapp!$C$5+D40*Prislapp!$D$5+E40*Prislapp!$E$5+F40*Prislapp!$F$5+G40*Prislapp!$G$5+H40*Prislapp!$H$5+I40*Prislapp!$I$5+J40*Prislapp!$J$5+K40*Prislapp!$K$5+L40*Prislapp!$L$5+M40*Prislapp!$M$5+N40*Prislapp!$N$5</f>
        <v>21800</v>
      </c>
      <c r="R40" s="9">
        <f>VLOOKUP(A40,'Ansvar kurs'!$A$2:$B$847,2,FALSE)</f>
        <v>5400</v>
      </c>
      <c r="S40" s="159"/>
      <c r="T40" s="159"/>
      <c r="U40" s="159"/>
      <c r="V40" s="159"/>
      <c r="W40" s="159"/>
      <c r="X40" s="159"/>
      <c r="Y40" s="159"/>
      <c r="Z40" s="159"/>
    </row>
    <row r="41" spans="1:26" x14ac:dyDescent="0.25">
      <c r="A41" s="31" t="s">
        <v>1133</v>
      </c>
      <c r="B41" s="31" t="s">
        <v>1137</v>
      </c>
      <c r="H41" s="31">
        <v>1</v>
      </c>
      <c r="O41" s="42">
        <f>C41*Prislapp!$C$2+D41*Prislapp!$D$2+E41*Prislapp!$E$2+F41*Prislapp!$F$2+G41*Prislapp!$G$2+H41*Prislapp!$H$2+I41*Prislapp!$I$2+J41*Prislapp!$J$2+K41*Prislapp!$K$2+L41*Prislapp!$L$2+M41*Prislapp!$M$2+N41*Prislapp!$N$2</f>
        <v>19473</v>
      </c>
      <c r="P41" s="42">
        <f>C41*Prislapp!$C$3+D41*Prislapp!$D$3+E41*Prislapp!$E$3+F41*Prislapp!$F$3+G41*Prislapp!$G$3+H41*Prislapp!$H$3+I41*Prislapp!$I$3+J41*Prislapp!$J$3+K41*Prislapp!$K$3+M41*Prislapp!$M$3+N41*Prislapp!$N$3</f>
        <v>34806</v>
      </c>
      <c r="Q41" s="42">
        <f>C41*Prislapp!$C$5+D41*Prislapp!$D$5+E41*Prislapp!$E$5+F41*Prislapp!$F$5+G41*Prislapp!$G$5+H41*Prislapp!$H$5+I41*Prislapp!$I$5+J41*Prislapp!$J$5+K41*Prislapp!$K$5+L41*Prislapp!$L$5+M41*Prislapp!$M$5+N41*Prislapp!$N$5</f>
        <v>21800</v>
      </c>
      <c r="R41" s="9">
        <f>VLOOKUP(A41,'Ansvar kurs'!$A$2:$B$847,2,FALSE)</f>
        <v>5400</v>
      </c>
      <c r="S41" s="159"/>
      <c r="T41" s="159"/>
      <c r="U41" s="159"/>
      <c r="V41" s="159"/>
      <c r="W41" s="159"/>
      <c r="X41" s="159"/>
      <c r="Y41" s="159"/>
      <c r="Z41" s="159"/>
    </row>
    <row r="42" spans="1:26" x14ac:dyDescent="0.25">
      <c r="A42" s="31" t="s">
        <v>1015</v>
      </c>
      <c r="B42" s="31" t="s">
        <v>1054</v>
      </c>
      <c r="J42" s="31">
        <v>1</v>
      </c>
      <c r="O42" s="42">
        <f>C42*Prislapp!$C$2+D42*Prislapp!$D$2+E42*Prislapp!$E$2+F42*Prislapp!$F$2+G42*Prislapp!$G$2+H42*Prislapp!$H$2+I42*Prislapp!$I$2+J42*Prislapp!$J$2+K42*Prislapp!$K$2+L42*Prislapp!$L$2+M42*Prislapp!$M$2+N42*Prislapp!$N$2</f>
        <v>19473</v>
      </c>
      <c r="P42" s="42">
        <f>C42*Prislapp!$C$3+D42*Prislapp!$D$3+E42*Prislapp!$E$3+F42*Prislapp!$F$3+G42*Prislapp!$G$3+H42*Prislapp!$H$3+I42*Prislapp!$I$3+J42*Prislapp!$J$3+K42*Prislapp!$K$3+M42*Prislapp!$M$3+N42*Prislapp!$N$3</f>
        <v>34806</v>
      </c>
      <c r="Q42" s="42">
        <f>C42*Prislapp!$C$5+D42*Prislapp!$D$5+E42*Prislapp!$E$5+F42*Prislapp!$F$5+G42*Prislapp!$G$5+H42*Prislapp!$H$5+I42*Prislapp!$I$5+J42*Prislapp!$J$5+K42*Prislapp!$K$5+L42*Prislapp!$L$5+M42*Prislapp!$M$5+N42*Prislapp!$N$5</f>
        <v>21800</v>
      </c>
      <c r="R42" s="9">
        <f>VLOOKUP(A42,'Ansvar kurs'!$A$2:$B$847,2,FALSE)</f>
        <v>5400</v>
      </c>
      <c r="S42" s="159"/>
      <c r="T42" s="159"/>
      <c r="U42" s="159"/>
      <c r="V42" s="159"/>
      <c r="W42" s="159"/>
      <c r="X42" s="159"/>
      <c r="Y42" s="159"/>
      <c r="Z42" s="159"/>
    </row>
    <row r="43" spans="1:26" x14ac:dyDescent="0.25">
      <c r="A43" s="31" t="s">
        <v>1798</v>
      </c>
      <c r="B43" s="31" t="s">
        <v>1807</v>
      </c>
      <c r="H43" s="31">
        <v>0.5</v>
      </c>
      <c r="J43" s="31">
        <v>0.5</v>
      </c>
      <c r="O43" s="42">
        <f>C43*Prislapp!$C$2+D43*Prislapp!$D$2+E43*Prislapp!$E$2+F43*Prislapp!$F$2+G43*Prislapp!$G$2+H43*Prislapp!$H$2+I43*Prislapp!$I$2+J43*Prislapp!$J$2+K43*Prislapp!$K$2+L43*Prislapp!$L$2+M43*Prislapp!$M$2+N43*Prislapp!$N$2</f>
        <v>19473</v>
      </c>
      <c r="P43" s="42">
        <f>C43*Prislapp!$C$3+D43*Prislapp!$D$3+E43*Prislapp!$E$3+F43*Prislapp!$F$3+G43*Prislapp!$G$3+H43*Prislapp!$H$3+I43*Prislapp!$I$3+J43*Prislapp!$J$3+K43*Prislapp!$K$3+M43*Prislapp!$M$3+N43*Prislapp!$N$3</f>
        <v>34806</v>
      </c>
      <c r="Q43" s="42">
        <f>C43*Prislapp!$C$5+D43*Prislapp!$D$5+E43*Prislapp!$E$5+F43*Prislapp!$F$5+G43*Prislapp!$G$5+H43*Prislapp!$H$5+I43*Prislapp!$I$5+J43*Prislapp!$J$5+K43*Prislapp!$K$5+L43*Prislapp!$L$5+M43*Prislapp!$M$5+N43*Prislapp!$N$5</f>
        <v>21800</v>
      </c>
      <c r="R43" s="9">
        <f>VLOOKUP(A43,'Ansvar kurs'!$A$2:$B$847,2,FALSE)</f>
        <v>5400</v>
      </c>
      <c r="S43" s="159"/>
      <c r="T43" s="159"/>
      <c r="U43" s="159"/>
      <c r="V43" s="159"/>
      <c r="W43" s="159"/>
      <c r="X43" s="159"/>
      <c r="Y43" s="159"/>
      <c r="Z43" s="159"/>
    </row>
    <row r="44" spans="1:26" x14ac:dyDescent="0.25">
      <c r="A44" s="31" t="s">
        <v>1074</v>
      </c>
      <c r="B44" s="31" t="s">
        <v>1083</v>
      </c>
      <c r="H44" s="31">
        <v>0.5</v>
      </c>
      <c r="J44" s="31">
        <v>0.5</v>
      </c>
      <c r="O44" s="42">
        <f>C44*Prislapp!$C$2+D44*Prislapp!$D$2+E44*Prislapp!$E$2+F44*Prislapp!$F$2+G44*Prislapp!$G$2+H44*Prislapp!$H$2+I44*Prislapp!$I$2+J44*Prislapp!$J$2+K44*Prislapp!$K$2+L44*Prislapp!$L$2+M44*Prislapp!$M$2+N44*Prislapp!$N$2</f>
        <v>19473</v>
      </c>
      <c r="P44" s="42">
        <f>C44*Prislapp!$C$3+D44*Prislapp!$D$3+E44*Prislapp!$E$3+F44*Prislapp!$F$3+G44*Prislapp!$G$3+H44*Prislapp!$H$3+I44*Prislapp!$I$3+J44*Prislapp!$J$3+K44*Prislapp!$K$3+M44*Prislapp!$M$3+N44*Prislapp!$N$3</f>
        <v>34806</v>
      </c>
      <c r="Q44" s="42">
        <f>C44*Prislapp!$C$5+D44*Prislapp!$D$5+E44*Prislapp!$E$5+F44*Prislapp!$F$5+G44*Prislapp!$G$5+H44*Prislapp!$H$5+I44*Prislapp!$I$5+J44*Prislapp!$J$5+K44*Prislapp!$K$5+L44*Prislapp!$L$5+M44*Prislapp!$M$5+N44*Prislapp!$N$5</f>
        <v>21800</v>
      </c>
      <c r="R44" s="9">
        <f>VLOOKUP(A44,'Ansvar kurs'!$A$2:$B$847,2,FALSE)</f>
        <v>5400</v>
      </c>
      <c r="S44" s="159"/>
      <c r="T44" s="159"/>
      <c r="U44" s="159"/>
      <c r="V44" s="159"/>
      <c r="W44" s="159"/>
      <c r="X44" s="159"/>
      <c r="Y44" s="159"/>
      <c r="Z44" s="159"/>
    </row>
    <row r="45" spans="1:26" x14ac:dyDescent="0.25">
      <c r="A45" s="62" t="s">
        <v>1252</v>
      </c>
      <c r="B45" s="62" t="s">
        <v>1253</v>
      </c>
      <c r="H45" s="31">
        <v>0.5</v>
      </c>
      <c r="J45" s="31">
        <v>0.5</v>
      </c>
      <c r="O45" s="42">
        <f>C45*Prislapp!$C$2+D45*Prislapp!$D$2+E45*Prislapp!$E$2+F45*Prislapp!$F$2+G45*Prislapp!$G$2+H45*Prislapp!$H$2+I45*Prislapp!$I$2+J45*Prislapp!$J$2+K45*Prislapp!$K$2+L45*Prislapp!$L$2+M45*Prislapp!$M$2+N45*Prislapp!$N$2</f>
        <v>19473</v>
      </c>
      <c r="P45" s="42">
        <f>C45*Prislapp!$C$3+D45*Prislapp!$D$3+E45*Prislapp!$E$3+F45*Prislapp!$F$3+G45*Prislapp!$G$3+H45*Prislapp!$H$3+I45*Prislapp!$I$3+J45*Prislapp!$J$3+K45*Prislapp!$K$3+M45*Prislapp!$M$3+N45*Prislapp!$N$3</f>
        <v>34806</v>
      </c>
      <c r="Q45" s="42">
        <f>C45*Prislapp!$C$5+D45*Prislapp!$D$5+E45*Prislapp!$E$5+F45*Prislapp!$F$5+G45*Prislapp!$G$5+H45*Prislapp!$H$5+I45*Prislapp!$I$5+J45*Prislapp!$J$5+K45*Prislapp!$K$5+L45*Prislapp!$L$5+M45*Prislapp!$M$5+N45*Prislapp!$N$5</f>
        <v>21800</v>
      </c>
      <c r="R45" s="9">
        <f>VLOOKUP(A45,'Ansvar kurs'!$A$2:$B$847,2,FALSE)</f>
        <v>5400</v>
      </c>
      <c r="S45" s="159"/>
      <c r="T45" s="159"/>
      <c r="U45" s="159"/>
      <c r="V45" s="159"/>
      <c r="W45" s="159"/>
      <c r="X45" s="159"/>
      <c r="Y45" s="159"/>
      <c r="Z45" s="159"/>
    </row>
    <row r="46" spans="1:26" x14ac:dyDescent="0.25">
      <c r="A46" s="31" t="s">
        <v>1134</v>
      </c>
      <c r="B46" s="31" t="s">
        <v>1138</v>
      </c>
      <c r="H46" s="31">
        <v>0.5</v>
      </c>
      <c r="J46" s="31">
        <v>0.5</v>
      </c>
      <c r="O46" s="42">
        <f>C46*Prislapp!$C$2+D46*Prislapp!$D$2+E46*Prislapp!$E$2+F46*Prislapp!$F$2+G46*Prislapp!$G$2+H46*Prislapp!$H$2+I46*Prislapp!$I$2+J46*Prislapp!$J$2+K46*Prislapp!$K$2+L46*Prislapp!$L$2+M46*Prislapp!$M$2+N46*Prislapp!$N$2</f>
        <v>19473</v>
      </c>
      <c r="P46" s="42">
        <f>C46*Prislapp!$C$3+D46*Prislapp!$D$3+E46*Prislapp!$E$3+F46*Prislapp!$F$3+G46*Prislapp!$G$3+H46*Prislapp!$H$3+I46*Prislapp!$I$3+J46*Prislapp!$J$3+K46*Prislapp!$K$3+M46*Prislapp!$M$3+N46*Prislapp!$N$3</f>
        <v>34806</v>
      </c>
      <c r="Q46" s="42">
        <f>C46*Prislapp!$C$5+D46*Prislapp!$D$5+E46*Prislapp!$E$5+F46*Prislapp!$F$5+G46*Prislapp!$G$5+H46*Prislapp!$H$5+I46*Prislapp!$I$5+J46*Prislapp!$J$5+K46*Prislapp!$K$5+L46*Prislapp!$L$5+M46*Prislapp!$M$5+N46*Prislapp!$N$5</f>
        <v>21800</v>
      </c>
      <c r="R46" s="9">
        <f>VLOOKUP(A46,'Ansvar kurs'!$A$2:$B$847,2,FALSE)</f>
        <v>5400</v>
      </c>
      <c r="S46" s="159"/>
      <c r="T46" s="159"/>
      <c r="U46" s="159"/>
      <c r="V46" s="159"/>
      <c r="W46" s="159"/>
      <c r="X46" s="159"/>
      <c r="Y46" s="159"/>
      <c r="Z46" s="159"/>
    </row>
    <row r="47" spans="1:26" x14ac:dyDescent="0.25">
      <c r="A47" s="31" t="s">
        <v>1135</v>
      </c>
      <c r="B47" s="31" t="s">
        <v>1139</v>
      </c>
      <c r="H47" s="31">
        <v>0.5</v>
      </c>
      <c r="J47" s="31">
        <v>0.5</v>
      </c>
      <c r="O47" s="42">
        <f>C47*Prislapp!$C$2+D47*Prislapp!$D$2+E47*Prislapp!$E$2+F47*Prislapp!$F$2+G47*Prislapp!$G$2+H47*Prislapp!$H$2+I47*Prislapp!$I$2+J47*Prislapp!$J$2+K47*Prislapp!$K$2+L47*Prislapp!$L$2+M47*Prislapp!$M$2+N47*Prislapp!$N$2</f>
        <v>19473</v>
      </c>
      <c r="P47" s="42">
        <f>C47*Prislapp!$C$3+D47*Prislapp!$D$3+E47*Prislapp!$E$3+F47*Prislapp!$F$3+G47*Prislapp!$G$3+H47*Prislapp!$H$3+I47*Prislapp!$I$3+J47*Prislapp!$J$3+K47*Prislapp!$K$3+M47*Prislapp!$M$3+N47*Prislapp!$N$3</f>
        <v>34806</v>
      </c>
      <c r="Q47" s="42">
        <f>C47*Prislapp!$C$5+D47*Prislapp!$D$5+E47*Prislapp!$E$5+F47*Prislapp!$F$5+G47*Prislapp!$G$5+H47*Prislapp!$H$5+I47*Prislapp!$I$5+J47*Prislapp!$J$5+K47*Prislapp!$K$5+L47*Prislapp!$L$5+M47*Prislapp!$M$5+N47*Prislapp!$N$5</f>
        <v>21800</v>
      </c>
      <c r="R47" s="9">
        <f>VLOOKUP(A47,'Ansvar kurs'!$A$2:$B$847,2,FALSE)</f>
        <v>5400</v>
      </c>
      <c r="S47" s="159"/>
      <c r="T47" s="159"/>
      <c r="U47" s="159"/>
      <c r="V47" s="159"/>
      <c r="W47" s="159"/>
      <c r="X47" s="159"/>
      <c r="Y47" s="159"/>
      <c r="Z47" s="159"/>
    </row>
    <row r="48" spans="1:26" x14ac:dyDescent="0.25">
      <c r="A48" s="31" t="s">
        <v>1726</v>
      </c>
      <c r="B48" s="31" t="s">
        <v>1052</v>
      </c>
      <c r="H48" s="31">
        <v>0.5</v>
      </c>
      <c r="J48" s="31">
        <v>0.5</v>
      </c>
      <c r="O48" s="42">
        <f>C48*Prislapp!$C$2+D48*Prislapp!$D$2+E48*Prislapp!$E$2+F48*Prislapp!$F$2+G48*Prislapp!$G$2+H48*Prislapp!$H$2+I48*Prislapp!$I$2+J48*Prislapp!$J$2+K48*Prislapp!$K$2+L48*Prislapp!$L$2+M48*Prislapp!$M$2+N48*Prislapp!$N$2</f>
        <v>19473</v>
      </c>
      <c r="P48" s="42">
        <f>C48*Prislapp!$C$3+D48*Prislapp!$D$3+E48*Prislapp!$E$3+F48*Prislapp!$F$3+G48*Prislapp!$G$3+H48*Prislapp!$H$3+I48*Prislapp!$I$3+J48*Prislapp!$J$3+K48*Prislapp!$K$3+M48*Prislapp!$M$3+N48*Prislapp!$N$3</f>
        <v>34806</v>
      </c>
      <c r="Q48" s="42">
        <f>C48*Prislapp!$C$5+D48*Prislapp!$D$5+E48*Prislapp!$E$5+F48*Prislapp!$F$5+G48*Prislapp!$G$5+H48*Prislapp!$H$5+I48*Prislapp!$I$5+J48*Prislapp!$J$5+K48*Prislapp!$K$5+L48*Prislapp!$L$5+M48*Prislapp!$M$5+N48*Prislapp!$N$5</f>
        <v>21800</v>
      </c>
      <c r="R48" s="9">
        <f>VLOOKUP(A48,'Ansvar kurs'!$A$2:$B$847,2,FALSE)</f>
        <v>5400</v>
      </c>
      <c r="S48" s="159"/>
      <c r="T48" s="159"/>
      <c r="U48" s="159"/>
      <c r="V48" s="159"/>
      <c r="W48" s="159"/>
      <c r="X48" s="159"/>
      <c r="Y48" s="159"/>
      <c r="Z48" s="159"/>
    </row>
    <row r="49" spans="1:26" x14ac:dyDescent="0.25">
      <c r="A49" s="62" t="s">
        <v>1588</v>
      </c>
      <c r="B49" s="59" t="s">
        <v>1589</v>
      </c>
      <c r="H49" s="31">
        <v>0.5</v>
      </c>
      <c r="J49" s="31">
        <v>0.5</v>
      </c>
      <c r="O49" s="42">
        <f>C49*Prislapp!$C$2+D49*Prislapp!$D$2+E49*Prislapp!$E$2+F49*Prislapp!$F$2+G49*Prislapp!$G$2+H49*Prislapp!$H$2+I49*Prislapp!$I$2+J49*Prislapp!$J$2+K49*Prislapp!$K$2+L49*Prislapp!$L$2+M49*Prislapp!$M$2+N49*Prislapp!$N$2</f>
        <v>19473</v>
      </c>
      <c r="P49" s="42">
        <f>C49*Prislapp!$C$3+D49*Prislapp!$D$3+E49*Prislapp!$E$3+F49*Prislapp!$F$3+G49*Prislapp!$G$3+H49*Prislapp!$H$3+I49*Prislapp!$I$3+J49*Prislapp!$J$3+K49*Prislapp!$K$3+M49*Prislapp!$M$3+N49*Prislapp!$N$3</f>
        <v>34806</v>
      </c>
      <c r="Q49" s="42">
        <f>C49*Prislapp!$C$5+D49*Prislapp!$D$5+E49*Prislapp!$E$5+F49*Prislapp!$F$5+G49*Prislapp!$G$5+H49*Prislapp!$H$5+I49*Prislapp!$I$5+J49*Prislapp!$J$5+K49*Prislapp!$K$5+L49*Prislapp!$L$5+M49*Prislapp!$M$5+N49*Prislapp!$N$5</f>
        <v>21800</v>
      </c>
      <c r="R49" s="9">
        <f>VLOOKUP(A49,'Ansvar kurs'!$A$2:$B$847,2,FALSE)</f>
        <v>5400</v>
      </c>
      <c r="S49" s="159"/>
      <c r="T49" s="159"/>
      <c r="U49" s="159"/>
      <c r="V49" s="159"/>
      <c r="W49" s="159"/>
      <c r="X49" s="159"/>
      <c r="Y49" s="159"/>
      <c r="Z49" s="159"/>
    </row>
    <row r="50" spans="1:26" x14ac:dyDescent="0.25">
      <c r="A50" s="62" t="s">
        <v>2142</v>
      </c>
      <c r="B50" s="59" t="s">
        <v>1083</v>
      </c>
      <c r="H50" s="31">
        <v>0.5</v>
      </c>
      <c r="J50" s="31">
        <v>0.5</v>
      </c>
      <c r="O50" s="42">
        <f>C50*Prislapp!$C$2+D50*Prislapp!$D$2+E50*Prislapp!$E$2+F50*Prislapp!$F$2+G50*Prislapp!$G$2+H50*Prislapp!$H$2+I50*Prislapp!$I$2+J50*Prislapp!$J$2+K50*Prislapp!$K$2+L50*Prislapp!$L$2+M50*Prislapp!$M$2+N50*Prislapp!$N$2</f>
        <v>19473</v>
      </c>
      <c r="P50" s="42">
        <f>C50*Prislapp!$C$3+D50*Prislapp!$D$3+E50*Prislapp!$E$3+F50*Prislapp!$F$3+G50*Prislapp!$G$3+H50*Prislapp!$H$3+I50*Prislapp!$I$3+J50*Prislapp!$J$3+K50*Prislapp!$K$3+M50*Prislapp!$M$3+N50*Prislapp!$N$3</f>
        <v>34806</v>
      </c>
      <c r="Q50" s="42">
        <f>C50*Prislapp!$C$5+D50*Prislapp!$D$5+E50*Prislapp!$E$5+F50*Prislapp!$F$5+G50*Prislapp!$G$5+H50*Prislapp!$H$5+I50*Prislapp!$I$5+J50*Prislapp!$J$5+K50*Prislapp!$K$5+L50*Prislapp!$L$5+M50*Prislapp!$M$5+N50*Prislapp!$N$5</f>
        <v>21800</v>
      </c>
      <c r="R50" s="9">
        <f>VLOOKUP(A50,'Ansvar kurs'!$A$2:$B$847,2,FALSE)</f>
        <v>5400</v>
      </c>
      <c r="S50" s="159"/>
      <c r="T50" s="159"/>
      <c r="U50" s="159"/>
      <c r="V50" s="159"/>
      <c r="W50" s="159"/>
      <c r="X50" s="159"/>
      <c r="Y50" s="159"/>
      <c r="Z50" s="159"/>
    </row>
    <row r="51" spans="1:26" x14ac:dyDescent="0.25">
      <c r="A51" s="31" t="s">
        <v>2143</v>
      </c>
      <c r="B51" s="31" t="s">
        <v>1082</v>
      </c>
      <c r="H51" s="31">
        <v>0.5</v>
      </c>
      <c r="J51" s="31">
        <v>0.5</v>
      </c>
      <c r="O51" s="42">
        <f>C51*Prislapp!$C$2+D51*Prislapp!$D$2+E51*Prislapp!$E$2+F51*Prislapp!$F$2+G51*Prislapp!$G$2+H51*Prislapp!$H$2+I51*Prislapp!$I$2+J51*Prislapp!$J$2+K51*Prislapp!$K$2+L51*Prislapp!$L$2+M51*Prislapp!$M$2+N51*Prislapp!$N$2</f>
        <v>19473</v>
      </c>
      <c r="P51" s="42">
        <f>C51*Prislapp!$C$3+D51*Prislapp!$D$3+E51*Prislapp!$E$3+F51*Prislapp!$F$3+G51*Prislapp!$G$3+H51*Prislapp!$H$3+I51*Prislapp!$I$3+J51*Prislapp!$J$3+K51*Prislapp!$K$3+M51*Prislapp!$M$3+N51*Prislapp!$N$3</f>
        <v>34806</v>
      </c>
      <c r="Q51" s="42">
        <f>C51*Prislapp!$C$5+D51*Prislapp!$D$5+E51*Prislapp!$E$5+F51*Prislapp!$F$5+G51*Prislapp!$G$5+H51*Prislapp!$H$5+I51*Prislapp!$I$5+J51*Prislapp!$J$5+K51*Prislapp!$K$5+L51*Prislapp!$L$5+M51*Prislapp!$M$5+N51*Prislapp!$N$5</f>
        <v>21800</v>
      </c>
      <c r="R51" s="9">
        <f>VLOOKUP(A51,'Ansvar kurs'!$A$2:$B$847,2,FALSE)</f>
        <v>5400</v>
      </c>
      <c r="S51" s="159"/>
      <c r="T51" s="159"/>
      <c r="U51" s="159"/>
      <c r="V51" s="159"/>
      <c r="W51" s="159"/>
      <c r="X51" s="159"/>
      <c r="Y51" s="159"/>
      <c r="Z51" s="159"/>
    </row>
    <row r="52" spans="1:26" x14ac:dyDescent="0.25">
      <c r="A52" s="62" t="s">
        <v>2111</v>
      </c>
      <c r="B52" s="59" t="s">
        <v>2112</v>
      </c>
      <c r="H52" s="31">
        <v>0.5</v>
      </c>
      <c r="J52" s="31">
        <v>0.5</v>
      </c>
      <c r="O52" s="42">
        <f>C52*Prislapp!$C$2+D52*Prislapp!$D$2+E52*Prislapp!$E$2+F52*Prislapp!$F$2+G52*Prislapp!$G$2+H52*Prislapp!$H$2+I52*Prislapp!$I$2+J52*Prislapp!$J$2+K52*Prislapp!$K$2+L52*Prislapp!$L$2+M52*Prislapp!$M$2+N52*Prislapp!$N$2</f>
        <v>19473</v>
      </c>
      <c r="P52" s="42">
        <f>C52*Prislapp!$C$3+D52*Prislapp!$D$3+E52*Prislapp!$E$3+F52*Prislapp!$F$3+G52*Prislapp!$G$3+H52*Prislapp!$H$3+I52*Prislapp!$I$3+J52*Prislapp!$J$3+K52*Prislapp!$K$3+M52*Prislapp!$M$3+N52*Prislapp!$N$3</f>
        <v>34806</v>
      </c>
      <c r="Q52" s="42">
        <f>C52*Prislapp!$C$5+D52*Prislapp!$D$5+E52*Prislapp!$E$5+F52*Prislapp!$F$5+G52*Prislapp!$G$5+H52*Prislapp!$H$5+I52*Prislapp!$I$5+J52*Prislapp!$J$5+K52*Prislapp!$K$5+L52*Prislapp!$L$5+M52*Prislapp!$M$5+N52*Prislapp!$N$5</f>
        <v>21800</v>
      </c>
      <c r="R52" s="9">
        <f>VLOOKUP(A52,'Ansvar kurs'!$A$2:$B$847,2,FALSE)</f>
        <v>5400</v>
      </c>
      <c r="S52" s="159"/>
      <c r="T52" s="159"/>
      <c r="U52" s="159"/>
      <c r="V52" s="159"/>
      <c r="W52" s="159"/>
      <c r="X52" s="159"/>
      <c r="Y52" s="159"/>
      <c r="Z52" s="159"/>
    </row>
    <row r="53" spans="1:26" x14ac:dyDescent="0.25">
      <c r="A53" s="31" t="s">
        <v>1016</v>
      </c>
      <c r="B53" s="31" t="s">
        <v>1055</v>
      </c>
      <c r="J53" s="31">
        <v>1</v>
      </c>
      <c r="O53" s="42">
        <f>C53*Prislapp!$C$2+D53*Prislapp!$D$2+E53*Prislapp!$E$2+F53*Prislapp!$F$2+G53*Prislapp!$G$2+H53*Prislapp!$H$2+I53*Prislapp!$I$2+J53*Prislapp!$J$2+K53*Prislapp!$K$2+L53*Prislapp!$L$2+M53*Prislapp!$M$2+N53*Prislapp!$N$2</f>
        <v>19473</v>
      </c>
      <c r="P53" s="42">
        <f>C53*Prislapp!$C$3+D53*Prislapp!$D$3+E53*Prislapp!$E$3+F53*Prislapp!$F$3+G53*Prislapp!$G$3+H53*Prislapp!$H$3+I53*Prislapp!$I$3+J53*Prislapp!$J$3+K53*Prislapp!$K$3+M53*Prislapp!$M$3+N53*Prislapp!$N$3</f>
        <v>34806</v>
      </c>
      <c r="Q53" s="42">
        <f>C53*Prislapp!$C$5+D53*Prislapp!$D$5+E53*Prislapp!$E$5+F53*Prislapp!$F$5+G53*Prislapp!$G$5+H53*Prislapp!$H$5+I53*Prislapp!$I$5+J53*Prislapp!$J$5+K53*Prislapp!$K$5+L53*Prislapp!$L$5+M53*Prislapp!$M$5+N53*Prislapp!$N$5</f>
        <v>21800</v>
      </c>
      <c r="R53" s="9">
        <f>VLOOKUP(A53,'Ansvar kurs'!$A$2:$B$847,2,FALSE)</f>
        <v>5500</v>
      </c>
      <c r="S53" s="159"/>
      <c r="T53" s="159"/>
      <c r="U53" s="159"/>
      <c r="V53" s="159"/>
      <c r="W53" s="159"/>
      <c r="X53" s="159"/>
      <c r="Y53" s="159"/>
      <c r="Z53" s="159"/>
    </row>
    <row r="54" spans="1:26" x14ac:dyDescent="0.25">
      <c r="A54" s="31" t="s">
        <v>946</v>
      </c>
      <c r="B54" s="31" t="s">
        <v>352</v>
      </c>
      <c r="J54" s="31">
        <v>1</v>
      </c>
      <c r="O54" s="42">
        <f>C54*Prislapp!$C$2+D54*Prislapp!$D$2+E54*Prislapp!$E$2+F54*Prislapp!$F$2+G54*Prislapp!$G$2+H54*Prislapp!$H$2+I54*Prislapp!$I$2+J54*Prislapp!$J$2+K54*Prislapp!$K$2+L54*Prislapp!$L$2+M54*Prislapp!$M$2+N54*Prislapp!$N$2</f>
        <v>19473</v>
      </c>
      <c r="P54" s="42">
        <f>C54*Prislapp!$C$3+D54*Prislapp!$D$3+E54*Prislapp!$E$3+F54*Prislapp!$F$3+G54*Prislapp!$G$3+H54*Prislapp!$H$3+I54*Prislapp!$I$3+J54*Prislapp!$J$3+K54*Prislapp!$K$3+M54*Prislapp!$M$3+N54*Prislapp!$N$3</f>
        <v>34806</v>
      </c>
      <c r="Q54" s="42">
        <f>C54*Prislapp!$C$5+D54*Prislapp!$D$5+E54*Prislapp!$E$5+F54*Prislapp!$F$5+G54*Prislapp!$G$5+H54*Prislapp!$H$5+I54*Prislapp!$I$5+J54*Prislapp!$J$5+K54*Prislapp!$K$5+L54*Prislapp!$L$5+M54*Prislapp!$M$5+N54*Prislapp!$N$5</f>
        <v>21800</v>
      </c>
      <c r="R54" s="9">
        <f>VLOOKUP(A54,'Ansvar kurs'!$A$2:$B$847,2,FALSE)</f>
        <v>5500</v>
      </c>
      <c r="S54" s="159"/>
      <c r="T54" s="159"/>
      <c r="U54" s="159"/>
      <c r="V54" s="159"/>
      <c r="W54" s="159"/>
      <c r="X54" s="159"/>
      <c r="Y54" s="159"/>
      <c r="Z54" s="159"/>
    </row>
    <row r="55" spans="1:26" x14ac:dyDescent="0.25">
      <c r="A55" s="59" t="s">
        <v>1799</v>
      </c>
      <c r="B55" s="62" t="s">
        <v>1267</v>
      </c>
      <c r="J55" s="31">
        <v>1</v>
      </c>
      <c r="O55" s="42">
        <f>C55*Prislapp!$C$2+D55*Prislapp!$D$2+E55*Prislapp!$E$2+F55*Prislapp!$F$2+G55*Prislapp!$G$2+H55*Prislapp!$H$2+I55*Prislapp!$I$2+J55*Prislapp!$J$2+K55*Prislapp!$K$2+L55*Prislapp!$L$2+M55*Prislapp!$M$2+N55*Prislapp!$N$2</f>
        <v>19473</v>
      </c>
      <c r="P55" s="42">
        <f>C55*Prislapp!$C$3+D55*Prislapp!$D$3+E55*Prislapp!$E$3+F55*Prislapp!$F$3+G55*Prislapp!$G$3+H55*Prislapp!$H$3+I55*Prislapp!$I$3+J55*Prislapp!$J$3+K55*Prislapp!$K$3+M55*Prislapp!$M$3+N55*Prislapp!$N$3</f>
        <v>34806</v>
      </c>
      <c r="Q55" s="42">
        <f>C55*Prislapp!$C$5+D55*Prislapp!$D$5+E55*Prislapp!$E$5+F55*Prislapp!$F$5+G55*Prislapp!$G$5+H55*Prislapp!$H$5+I55*Prislapp!$I$5+J55*Prislapp!$J$5+K55*Prislapp!$K$5+L55*Prislapp!$L$5+M55*Prislapp!$M$5+N55*Prislapp!$N$5</f>
        <v>21800</v>
      </c>
      <c r="R55" s="9">
        <f>VLOOKUP(A55,'Ansvar kurs'!$A$2:$B$847,2,FALSE)</f>
        <v>5500</v>
      </c>
      <c r="S55" s="159"/>
      <c r="T55" s="159"/>
      <c r="U55" s="159"/>
      <c r="V55" s="159"/>
      <c r="W55" s="159"/>
      <c r="X55" s="159"/>
      <c r="Y55" s="159"/>
      <c r="Z55" s="159"/>
    </row>
    <row r="56" spans="1:26" x14ac:dyDescent="0.25">
      <c r="A56" s="59" t="s">
        <v>1850</v>
      </c>
      <c r="B56" s="62" t="s">
        <v>1869</v>
      </c>
      <c r="H56" s="31">
        <v>1</v>
      </c>
      <c r="O56" s="42">
        <f>C56*Prislapp!$C$2+D56*Prislapp!$D$2+E56*Prislapp!$E$2+F56*Prislapp!$F$2+G56*Prislapp!$G$2+H56*Prislapp!$H$2+I56*Prislapp!$I$2+J56*Prislapp!$J$2+K56*Prislapp!$K$2+L56*Prislapp!$L$2+M56*Prislapp!$M$2+N56*Prislapp!$N$2</f>
        <v>19473</v>
      </c>
      <c r="P56" s="42">
        <f>C56*Prislapp!$C$3+D56*Prislapp!$D$3+E56*Prislapp!$E$3+F56*Prislapp!$F$3+G56*Prislapp!$G$3+H56*Prislapp!$H$3+I56*Prislapp!$I$3+J56*Prislapp!$J$3+K56*Prislapp!$K$3+M56*Prislapp!$M$3+N56*Prislapp!$N$3</f>
        <v>34806</v>
      </c>
      <c r="Q56" s="42">
        <f>C56*Prislapp!$C$5+D56*Prislapp!$D$5+E56*Prislapp!$E$5+F56*Prislapp!$F$5+G56*Prislapp!$G$5+H56*Prislapp!$H$5+I56*Prislapp!$I$5+J56*Prislapp!$J$5+K56*Prislapp!$K$5+L56*Prislapp!$L$5+M56*Prislapp!$M$5+N56*Prislapp!$N$5</f>
        <v>21800</v>
      </c>
      <c r="R56" s="9">
        <f>VLOOKUP(A56,'Ansvar kurs'!$A$2:$B$847,2,FALSE)</f>
        <v>5500</v>
      </c>
      <c r="S56" s="159"/>
      <c r="T56" s="159"/>
      <c r="U56" s="159"/>
      <c r="V56" s="159"/>
      <c r="W56" s="159"/>
      <c r="X56" s="159"/>
      <c r="Y56" s="159"/>
      <c r="Z56" s="159"/>
    </row>
    <row r="57" spans="1:26" x14ac:dyDescent="0.25">
      <c r="A57" s="59" t="s">
        <v>1851</v>
      </c>
      <c r="B57" s="62" t="s">
        <v>1868</v>
      </c>
      <c r="H57" s="31">
        <v>1</v>
      </c>
      <c r="O57" s="42">
        <f>C57*Prislapp!$C$2+D57*Prislapp!$D$2+E57*Prislapp!$E$2+F57*Prislapp!$F$2+G57*Prislapp!$G$2+H57*Prislapp!$H$2+I57*Prislapp!$I$2+J57*Prislapp!$J$2+K57*Prislapp!$K$2+L57*Prislapp!$L$2+M57*Prislapp!$M$2+N57*Prislapp!$N$2</f>
        <v>19473</v>
      </c>
      <c r="P57" s="42">
        <f>C57*Prislapp!$C$3+D57*Prislapp!$D$3+E57*Prislapp!$E$3+F57*Prislapp!$F$3+G57*Prislapp!$G$3+H57*Prislapp!$H$3+I57*Prislapp!$I$3+J57*Prislapp!$J$3+K57*Prislapp!$K$3+M57*Prislapp!$M$3+N57*Prislapp!$N$3</f>
        <v>34806</v>
      </c>
      <c r="Q57" s="42">
        <f>C57*Prislapp!$C$5+D57*Prislapp!$D$5+E57*Prislapp!$E$5+F57*Prislapp!$F$5+G57*Prislapp!$G$5+H57*Prislapp!$H$5+I57*Prislapp!$I$5+J57*Prislapp!$J$5+K57*Prislapp!$K$5+L57*Prislapp!$L$5+M57*Prislapp!$M$5+N57*Prislapp!$N$5</f>
        <v>21800</v>
      </c>
      <c r="R57" s="9">
        <f>VLOOKUP(A57,'Ansvar kurs'!$A$2:$B$847,2,FALSE)</f>
        <v>5500</v>
      </c>
      <c r="S57" s="159"/>
      <c r="T57" s="159"/>
      <c r="U57" s="159"/>
      <c r="V57" s="159"/>
      <c r="W57" s="159"/>
      <c r="X57" s="159"/>
      <c r="Y57" s="159"/>
      <c r="Z57" s="159"/>
    </row>
    <row r="58" spans="1:26" x14ac:dyDescent="0.25">
      <c r="A58" s="31" t="s">
        <v>1017</v>
      </c>
      <c r="B58" s="31" t="s">
        <v>1056</v>
      </c>
      <c r="J58" s="31">
        <v>1</v>
      </c>
      <c r="O58" s="42">
        <f>C58*Prislapp!$C$2+D58*Prislapp!$D$2+E58*Prislapp!$E$2+F58*Prislapp!$F$2+G58*Prislapp!$G$2+H58*Prislapp!$H$2+I58*Prislapp!$I$2+J58*Prislapp!$J$2+K58*Prislapp!$K$2+L58*Prislapp!$L$2+M58*Prislapp!$M$2+N58*Prislapp!$N$2</f>
        <v>19473</v>
      </c>
      <c r="P58" s="42">
        <f>C58*Prislapp!$C$3+D58*Prislapp!$D$3+E58*Prislapp!$E$3+F58*Prislapp!$F$3+G58*Prislapp!$G$3+H58*Prislapp!$H$3+I58*Prislapp!$I$3+J58*Prislapp!$J$3+K58*Prislapp!$K$3+M58*Prislapp!$M$3+N58*Prislapp!$N$3</f>
        <v>34806</v>
      </c>
      <c r="Q58" s="42">
        <f>C58*Prislapp!$C$5+D58*Prislapp!$D$5+E58*Prislapp!$E$5+F58*Prislapp!$F$5+G58*Prislapp!$G$5+H58*Prislapp!$H$5+I58*Prislapp!$I$5+J58*Prislapp!$J$5+K58*Prislapp!$K$5+L58*Prislapp!$L$5+M58*Prislapp!$M$5+N58*Prislapp!$N$5</f>
        <v>21800</v>
      </c>
      <c r="R58" s="9">
        <f>VLOOKUP(A58,'Ansvar kurs'!$A$2:$B$847,2,FALSE)</f>
        <v>5500</v>
      </c>
      <c r="S58" s="159"/>
      <c r="T58" s="159"/>
      <c r="U58" s="159"/>
      <c r="V58" s="159"/>
      <c r="W58" s="159"/>
      <c r="X58" s="159"/>
      <c r="Y58" s="159"/>
      <c r="Z58" s="159"/>
    </row>
    <row r="59" spans="1:26" x14ac:dyDescent="0.25">
      <c r="A59" s="31" t="s">
        <v>947</v>
      </c>
      <c r="B59" s="31" t="s">
        <v>953</v>
      </c>
      <c r="H59" s="31">
        <v>1</v>
      </c>
      <c r="O59" s="42">
        <f>C59*Prislapp!$C$2+D59*Prislapp!$D$2+E59*Prislapp!$E$2+F59*Prislapp!$F$2+G59*Prislapp!$G$2+H59*Prislapp!$H$2+I59*Prislapp!$I$2+J59*Prislapp!$J$2+K59*Prislapp!$K$2+L59*Prislapp!$L$2+M59*Prislapp!$M$2+N59*Prislapp!$N$2</f>
        <v>19473</v>
      </c>
      <c r="P59" s="42">
        <f>C59*Prislapp!$C$3+D59*Prislapp!$D$3+E59*Prislapp!$E$3+F59*Prislapp!$F$3+G59*Prislapp!$G$3+H59*Prislapp!$H$3+I59*Prislapp!$I$3+J59*Prislapp!$J$3+K59*Prislapp!$K$3+M59*Prislapp!$M$3+N59*Prislapp!$N$3</f>
        <v>34806</v>
      </c>
      <c r="Q59" s="42">
        <f>C59*Prislapp!$C$5+D59*Prislapp!$D$5+E59*Prislapp!$E$5+F59*Prislapp!$F$5+G59*Prislapp!$G$5+H59*Prislapp!$H$5+I59*Prislapp!$I$5+J59*Prislapp!$J$5+K59*Prislapp!$K$5+L59*Prislapp!$L$5+M59*Prislapp!$M$5+N59*Prislapp!$N$5</f>
        <v>21800</v>
      </c>
      <c r="R59" s="9">
        <f>VLOOKUP(A59,'Ansvar kurs'!$A$2:$B$847,2,FALSE)</f>
        <v>5500</v>
      </c>
      <c r="S59" s="159"/>
      <c r="T59" s="159"/>
      <c r="U59" s="159"/>
      <c r="V59" s="159"/>
      <c r="W59" s="159"/>
      <c r="X59" s="159"/>
      <c r="Y59" s="159"/>
      <c r="Z59" s="159"/>
    </row>
    <row r="60" spans="1:26" x14ac:dyDescent="0.25">
      <c r="A60" s="31" t="s">
        <v>2145</v>
      </c>
      <c r="B60" s="31" t="s">
        <v>2150</v>
      </c>
      <c r="H60" s="31">
        <v>1</v>
      </c>
      <c r="O60" s="42">
        <f>C60*Prislapp!$C$2+D60*Prislapp!$D$2+E60*Prislapp!$E$2+F60*Prislapp!$F$2+G60*Prislapp!$G$2+H60*Prislapp!$H$2+I60*Prislapp!$I$2+J60*Prislapp!$J$2+K60*Prislapp!$K$2+L60*Prislapp!$L$2+M60*Prislapp!$M$2+N60*Prislapp!$N$2</f>
        <v>19473</v>
      </c>
      <c r="P60" s="42">
        <f>C60*Prislapp!$C$3+D60*Prislapp!$D$3+E60*Prislapp!$E$3+F60*Prislapp!$F$3+G60*Prislapp!$G$3+H60*Prislapp!$H$3+I60*Prislapp!$I$3+J60*Prislapp!$J$3+K60*Prislapp!$K$3+M60*Prislapp!$M$3+N60*Prislapp!$N$3</f>
        <v>34806</v>
      </c>
      <c r="Q60" s="42">
        <f>C60*Prislapp!$C$5+D60*Prislapp!$D$5+E60*Prislapp!$E$5+F60*Prislapp!$F$5+G60*Prislapp!$G$5+H60*Prislapp!$H$5+I60*Prislapp!$I$5+J60*Prislapp!$J$5+K60*Prislapp!$K$5+L60*Prislapp!$L$5+M60*Prislapp!$M$5+N60*Prislapp!$N$5</f>
        <v>21800</v>
      </c>
      <c r="R60" s="9">
        <f>VLOOKUP(A60,'Ansvar kurs'!$A$2:$B$847,2,FALSE)</f>
        <v>5500</v>
      </c>
      <c r="S60" s="159"/>
      <c r="T60" s="159"/>
      <c r="U60" s="159"/>
      <c r="V60" s="159"/>
      <c r="W60" s="159"/>
      <c r="X60" s="159"/>
      <c r="Y60" s="159"/>
      <c r="Z60" s="159"/>
    </row>
    <row r="61" spans="1:26" x14ac:dyDescent="0.25">
      <c r="A61" s="31" t="s">
        <v>1298</v>
      </c>
      <c r="B61" s="31" t="s">
        <v>1299</v>
      </c>
      <c r="H61" s="31">
        <v>1</v>
      </c>
      <c r="O61" s="42">
        <f>C61*Prislapp!$C$2+D61*Prislapp!$D$2+E61*Prislapp!$E$2+F61*Prislapp!$F$2+G61*Prislapp!$G$2+H61*Prislapp!$H$2+I61*Prislapp!$I$2+J61*Prislapp!$J$2+K61*Prislapp!$K$2+L61*Prislapp!$L$2+M61*Prislapp!$M$2+N61*Prislapp!$N$2</f>
        <v>19473</v>
      </c>
      <c r="P61" s="42">
        <f>C61*Prislapp!$C$3+D61*Prislapp!$D$3+E61*Prislapp!$E$3+F61*Prislapp!$F$3+G61*Prislapp!$G$3+H61*Prislapp!$H$3+I61*Prislapp!$I$3+J61*Prislapp!$J$3+K61*Prislapp!$K$3+M61*Prislapp!$M$3+N61*Prislapp!$N$3</f>
        <v>34806</v>
      </c>
      <c r="Q61" s="42">
        <f>C61*Prislapp!$C$5+D61*Prislapp!$D$5+E61*Prislapp!$E$5+F61*Prislapp!$F$5+G61*Prislapp!$G$5+H61*Prislapp!$H$5+I61*Prislapp!$I$5+J61*Prislapp!$J$5+K61*Prislapp!$K$5+L61*Prislapp!$L$5+M61*Prislapp!$M$5+N61*Prislapp!$N$5</f>
        <v>21800</v>
      </c>
      <c r="R61" s="9">
        <f>VLOOKUP(A61,'Ansvar kurs'!$A$2:$B$847,2,FALSE)</f>
        <v>5500</v>
      </c>
      <c r="S61" s="159"/>
      <c r="T61" s="159"/>
      <c r="U61" s="159"/>
      <c r="V61" s="159"/>
      <c r="W61" s="159"/>
      <c r="X61" s="159"/>
      <c r="Y61" s="159"/>
      <c r="Z61" s="159"/>
    </row>
    <row r="62" spans="1:26" x14ac:dyDescent="0.25">
      <c r="A62" s="31" t="s">
        <v>1852</v>
      </c>
      <c r="B62" s="31" t="s">
        <v>1870</v>
      </c>
      <c r="H62" s="31">
        <v>0.5</v>
      </c>
      <c r="J62" s="31">
        <v>0.5</v>
      </c>
      <c r="O62" s="42">
        <f>C62*Prislapp!$C$2+D62*Prislapp!$D$2+E62*Prislapp!$E$2+F62*Prislapp!$F$2+G62*Prislapp!$G$2+H62*Prislapp!$H$2+I62*Prislapp!$I$2+J62*Prislapp!$J$2+K62*Prislapp!$K$2+L62*Prislapp!$L$2+M62*Prislapp!$M$2+N62*Prislapp!$N$2</f>
        <v>19473</v>
      </c>
      <c r="P62" s="42">
        <f>C62*Prislapp!$C$3+D62*Prislapp!$D$3+E62*Prislapp!$E$3+F62*Prislapp!$F$3+G62*Prislapp!$G$3+H62*Prislapp!$H$3+I62*Prislapp!$I$3+J62*Prislapp!$J$3+K62*Prislapp!$K$3+M62*Prislapp!$M$3+N62*Prislapp!$N$3</f>
        <v>34806</v>
      </c>
      <c r="Q62" s="42">
        <f>C62*Prislapp!$C$5+D62*Prislapp!$D$5+E62*Prislapp!$E$5+F62*Prislapp!$F$5+G62*Prislapp!$G$5+H62*Prislapp!$H$5+I62*Prislapp!$I$5+J62*Prislapp!$J$5+K62*Prislapp!$K$5+L62*Prislapp!$L$5+M62*Prislapp!$M$5+N62*Prislapp!$N$5</f>
        <v>21800</v>
      </c>
      <c r="R62" s="9">
        <f>VLOOKUP(A62,'Ansvar kurs'!$A$2:$B$847,2,FALSE)</f>
        <v>5500</v>
      </c>
      <c r="S62" s="159"/>
      <c r="T62" s="159"/>
      <c r="U62" s="159"/>
      <c r="V62" s="159"/>
      <c r="W62" s="159"/>
      <c r="X62" s="159"/>
      <c r="Y62" s="159"/>
      <c r="Z62" s="159"/>
    </row>
    <row r="63" spans="1:26" x14ac:dyDescent="0.25">
      <c r="A63" s="31" t="s">
        <v>1951</v>
      </c>
      <c r="B63" s="31" t="s">
        <v>1966</v>
      </c>
      <c r="H63" s="31">
        <v>0.5</v>
      </c>
      <c r="J63" s="31">
        <v>0.5</v>
      </c>
      <c r="O63" s="42">
        <f>C63*Prislapp!$C$2+D63*Prislapp!$D$2+E63*Prislapp!$E$2+F63*Prislapp!$F$2+G63*Prislapp!$G$2+H63*Prislapp!$H$2+I63*Prislapp!$I$2+J63*Prislapp!$J$2+K63*Prislapp!$K$2+L63*Prislapp!$L$2+M63*Prislapp!$M$2+N63*Prislapp!$N$2</f>
        <v>19473</v>
      </c>
      <c r="P63" s="42">
        <f>C63*Prislapp!$C$3+D63*Prislapp!$D$3+E63*Prislapp!$E$3+F63*Prislapp!$F$3+G63*Prislapp!$G$3+H63*Prislapp!$H$3+I63*Prislapp!$I$3+J63*Prislapp!$J$3+K63*Prislapp!$K$3+M63*Prislapp!$M$3+N63*Prislapp!$N$3</f>
        <v>34806</v>
      </c>
      <c r="Q63" s="42">
        <f>C63*Prislapp!$C$5+D63*Prislapp!$D$5+E63*Prislapp!$E$5+F63*Prislapp!$F$5+G63*Prislapp!$G$5+H63*Prislapp!$H$5+I63*Prislapp!$I$5+J63*Prislapp!$J$5+K63*Prislapp!$K$5+L63*Prislapp!$L$5+M63*Prislapp!$M$5+N63*Prislapp!$N$5</f>
        <v>21800</v>
      </c>
      <c r="R63" s="9">
        <f>VLOOKUP(A63,'Ansvar kurs'!$A$2:$B$847,2,FALSE)</f>
        <v>5500</v>
      </c>
      <c r="S63" s="159"/>
      <c r="T63" s="159"/>
      <c r="U63" s="159"/>
      <c r="V63" s="159"/>
      <c r="W63" s="159"/>
      <c r="X63" s="159"/>
      <c r="Y63" s="159"/>
      <c r="Z63" s="159"/>
    </row>
    <row r="64" spans="1:26" x14ac:dyDescent="0.25">
      <c r="A64" s="62" t="s">
        <v>2113</v>
      </c>
      <c r="B64" s="62" t="s">
        <v>2114</v>
      </c>
      <c r="H64" s="31">
        <v>1</v>
      </c>
      <c r="O64" s="42">
        <f>C64*Prislapp!$C$2+D64*Prislapp!$D$2+E64*Prislapp!$E$2+F64*Prislapp!$F$2+G64*Prislapp!$G$2+H64*Prislapp!$H$2+I64*Prislapp!$I$2+J64*Prislapp!$J$2+K64*Prislapp!$K$2+L64*Prislapp!$L$2+M64*Prislapp!$M$2+N64*Prislapp!$N$2</f>
        <v>19473</v>
      </c>
      <c r="P64" s="42">
        <f>C64*Prislapp!$C$3+D64*Prislapp!$D$3+E64*Prislapp!$E$3+F64*Prislapp!$F$3+G64*Prislapp!$G$3+H64*Prislapp!$H$3+I64*Prislapp!$I$3+J64*Prislapp!$J$3+K64*Prislapp!$K$3+M64*Prislapp!$M$3+N64*Prislapp!$N$3</f>
        <v>34806</v>
      </c>
      <c r="Q64" s="42">
        <f>C64*Prislapp!$C$5+D64*Prislapp!$D$5+E64*Prislapp!$E$5+F64*Prislapp!$F$5+G64*Prislapp!$G$5+H64*Prislapp!$H$5+I64*Prislapp!$I$5+J64*Prislapp!$J$5+K64*Prislapp!$K$5+L64*Prislapp!$L$5+M64*Prislapp!$M$5+N64*Prislapp!$N$5</f>
        <v>21800</v>
      </c>
      <c r="R64" s="9">
        <f>VLOOKUP(A64,'Ansvar kurs'!$A$2:$B$847,2,FALSE)</f>
        <v>5500</v>
      </c>
      <c r="S64" s="159"/>
      <c r="T64" s="159"/>
      <c r="U64" s="159"/>
      <c r="V64" s="159"/>
      <c r="W64" s="159"/>
      <c r="X64" s="159"/>
      <c r="Y64" s="159"/>
      <c r="Z64" s="159"/>
    </row>
    <row r="65" spans="1:26" x14ac:dyDescent="0.25">
      <c r="A65" s="62" t="s">
        <v>1573</v>
      </c>
      <c r="B65" s="62" t="s">
        <v>1591</v>
      </c>
      <c r="H65" s="31">
        <v>0.5</v>
      </c>
      <c r="J65" s="31">
        <v>0.5</v>
      </c>
      <c r="O65" s="42">
        <f>C65*Prislapp!$C$2+D65*Prislapp!$D$2+E65*Prislapp!$E$2+F65*Prislapp!$F$2+G65*Prislapp!$G$2+H65*Prislapp!$H$2+I65*Prislapp!$I$2+J65*Prislapp!$J$2+K65*Prislapp!$K$2+L65*Prislapp!$L$2+M65*Prislapp!$M$2+N65*Prislapp!$N$2</f>
        <v>19473</v>
      </c>
      <c r="P65" s="42">
        <f>C65*Prislapp!$C$3+D65*Prislapp!$D$3+E65*Prislapp!$E$3+F65*Prislapp!$F$3+G65*Prislapp!$G$3+H65*Prislapp!$H$3+I65*Prislapp!$I$3+J65*Prislapp!$J$3+K65*Prislapp!$K$3+M65*Prislapp!$M$3+N65*Prislapp!$N$3</f>
        <v>34806</v>
      </c>
      <c r="Q65" s="42">
        <f>C65*Prislapp!$C$5+D65*Prislapp!$D$5+E65*Prislapp!$E$5+F65*Prislapp!$F$5+G65*Prislapp!$G$5+H65*Prislapp!$H$5+I65*Prislapp!$I$5+J65*Prislapp!$J$5+K65*Prislapp!$K$5+L65*Prislapp!$L$5+M65*Prislapp!$M$5+N65*Prislapp!$N$5</f>
        <v>21800</v>
      </c>
      <c r="R65" s="9">
        <f>VLOOKUP(A65,'Ansvar kurs'!$A$2:$B$847,2,FALSE)</f>
        <v>5730</v>
      </c>
      <c r="S65" s="159"/>
      <c r="T65" s="159"/>
      <c r="U65" s="159"/>
      <c r="V65" s="159"/>
      <c r="W65" s="159"/>
      <c r="X65" s="159"/>
      <c r="Y65" s="159"/>
      <c r="Z65" s="159"/>
    </row>
    <row r="66" spans="1:26" x14ac:dyDescent="0.25">
      <c r="A66" s="62" t="s">
        <v>2115</v>
      </c>
      <c r="B66" s="62" t="s">
        <v>431</v>
      </c>
      <c r="H66" s="31">
        <v>0.5</v>
      </c>
      <c r="J66" s="31">
        <v>0.5</v>
      </c>
      <c r="O66" s="42">
        <f>C66*Prislapp!$C$2+D66*Prislapp!$D$2+E66*Prislapp!$E$2+F66*Prislapp!$F$2+G66*Prislapp!$G$2+H66*Prislapp!$H$2+I66*Prislapp!$I$2+J66*Prislapp!$J$2+K66*Prislapp!$K$2+L66*Prislapp!$L$2+M66*Prislapp!$M$2+N66*Prislapp!$N$2</f>
        <v>19473</v>
      </c>
      <c r="P66" s="42">
        <f>C66*Prislapp!$C$3+D66*Prislapp!$D$3+E66*Prislapp!$E$3+F66*Prislapp!$F$3+G66*Prislapp!$G$3+H66*Prislapp!$H$3+I66*Prislapp!$I$3+J66*Prislapp!$J$3+K66*Prislapp!$K$3+M66*Prislapp!$M$3+N66*Prislapp!$N$3</f>
        <v>34806</v>
      </c>
      <c r="Q66" s="42">
        <f>C66*Prislapp!$C$5+D66*Prislapp!$D$5+E66*Prislapp!$E$5+F66*Prislapp!$F$5+G66*Prislapp!$G$5+H66*Prislapp!$H$5+I66*Prislapp!$I$5+J66*Prislapp!$J$5+K66*Prislapp!$K$5+L66*Prislapp!$L$5+M66*Prislapp!$M$5+N66*Prislapp!$N$5</f>
        <v>21800</v>
      </c>
      <c r="R66" s="9">
        <f>VLOOKUP(A66,'Ansvar kurs'!$A$2:$B$847,2,FALSE)</f>
        <v>5730</v>
      </c>
      <c r="S66" s="159"/>
      <c r="T66" s="159"/>
      <c r="U66" s="159"/>
      <c r="V66" s="159"/>
      <c r="W66" s="159"/>
      <c r="X66" s="159"/>
      <c r="Y66" s="159"/>
      <c r="Z66" s="159"/>
    </row>
    <row r="67" spans="1:26" x14ac:dyDescent="0.25">
      <c r="A67" s="31" t="s">
        <v>1522</v>
      </c>
      <c r="B67" s="31" t="s">
        <v>1533</v>
      </c>
      <c r="H67" s="31">
        <v>0.5</v>
      </c>
      <c r="J67" s="31">
        <v>0.5</v>
      </c>
      <c r="O67" s="42">
        <f>C67*Prislapp!$C$2+D67*Prislapp!$D$2+E67*Prislapp!$E$2+F67*Prislapp!$F$2+G67*Prislapp!$G$2+H67*Prislapp!$H$2+I67*Prislapp!$I$2+J67*Prislapp!$J$2+K67*Prislapp!$K$2+L67*Prislapp!$L$2+M67*Prislapp!$M$2+N67*Prislapp!$N$2</f>
        <v>19473</v>
      </c>
      <c r="P67" s="42">
        <f>C67*Prislapp!$C$3+D67*Prislapp!$D$3+E67*Prislapp!$E$3+F67*Prislapp!$F$3+G67*Prislapp!$G$3+H67*Prislapp!$H$3+I67*Prislapp!$I$3+J67*Prislapp!$J$3+K67*Prislapp!$K$3+M67*Prislapp!$M$3+N67*Prislapp!$N$3</f>
        <v>34806</v>
      </c>
      <c r="Q67" s="42">
        <f>C67*Prislapp!$C$5+D67*Prislapp!$D$5+E67*Prislapp!$E$5+F67*Prislapp!$F$5+G67*Prislapp!$G$5+H67*Prislapp!$H$5+I67*Prislapp!$I$5+J67*Prislapp!$J$5+K67*Prislapp!$K$5+L67*Prislapp!$L$5+M67*Prislapp!$M$5+N67*Prislapp!$N$5</f>
        <v>21800</v>
      </c>
      <c r="R67" s="9">
        <f>VLOOKUP(A67,'Ansvar kurs'!$A$2:$B$847,2,FALSE)</f>
        <v>5730</v>
      </c>
      <c r="S67" s="159"/>
      <c r="T67" s="159"/>
      <c r="U67" s="159"/>
      <c r="V67" s="159"/>
      <c r="W67" s="159"/>
      <c r="X67" s="159"/>
      <c r="Y67" s="159"/>
      <c r="Z67" s="159"/>
    </row>
    <row r="68" spans="1:26" x14ac:dyDescent="0.25">
      <c r="A68" s="62" t="s">
        <v>2189</v>
      </c>
      <c r="B68" s="62" t="s">
        <v>1947</v>
      </c>
      <c r="H68" s="31">
        <v>0.5</v>
      </c>
      <c r="J68" s="31">
        <v>0.5</v>
      </c>
      <c r="O68" s="42">
        <f>C68*Prislapp!$C$2+D68*Prislapp!$D$2+E68*Prislapp!$E$2+F68*Prislapp!$F$2+G68*Prislapp!$G$2+H68*Prislapp!$H$2+I68*Prislapp!$I$2+J68*Prislapp!$J$2+K68*Prislapp!$K$2+L68*Prislapp!$L$2+M68*Prislapp!$M$2+N68*Prislapp!$N$2</f>
        <v>19473</v>
      </c>
      <c r="P68" s="42">
        <f>C68*Prislapp!$C$3+D68*Prislapp!$D$3+E68*Prislapp!$E$3+F68*Prislapp!$F$3+G68*Prislapp!$G$3+H68*Prislapp!$H$3+I68*Prislapp!$I$3+J68*Prislapp!$J$3+K68*Prislapp!$K$3+M68*Prislapp!$M$3+N68*Prislapp!$N$3</f>
        <v>34806</v>
      </c>
      <c r="Q68" s="42">
        <f>C68*Prislapp!$C$5+D68*Prislapp!$D$5+E68*Prislapp!$E$5+F68*Prislapp!$F$5+G68*Prislapp!$G$5+H68*Prislapp!$H$5+I68*Prislapp!$I$5+J68*Prislapp!$J$5+K68*Prislapp!$K$5+L68*Prislapp!$L$5+M68*Prislapp!$M$5+N68*Prislapp!$N$5</f>
        <v>21800</v>
      </c>
      <c r="R68" s="9">
        <f>VLOOKUP(A68,'Ansvar kurs'!$A$2:$B$847,2,FALSE)</f>
        <v>5730</v>
      </c>
      <c r="S68" s="159"/>
      <c r="T68" s="159"/>
      <c r="U68" s="159"/>
      <c r="V68" s="159"/>
      <c r="W68" s="159"/>
      <c r="X68" s="159"/>
      <c r="Y68" s="159"/>
      <c r="Z68" s="159"/>
    </row>
    <row r="69" spans="1:26" x14ac:dyDescent="0.25">
      <c r="A69" s="31" t="s">
        <v>1523</v>
      </c>
      <c r="B69" s="31" t="s">
        <v>1534</v>
      </c>
      <c r="H69" s="31">
        <v>0.5</v>
      </c>
      <c r="J69" s="31">
        <v>0.5</v>
      </c>
      <c r="O69" s="42">
        <f>C69*Prislapp!$C$2+D69*Prislapp!$D$2+E69*Prislapp!$E$2+F69*Prislapp!$F$2+G69*Prislapp!$G$2+H69*Prislapp!$H$2+I69*Prislapp!$I$2+J69*Prislapp!$J$2+K69*Prislapp!$K$2+L69*Prislapp!$L$2+M69*Prislapp!$M$2+N69*Prislapp!$N$2</f>
        <v>19473</v>
      </c>
      <c r="P69" s="42">
        <f>C69*Prislapp!$C$3+D69*Prislapp!$D$3+E69*Prislapp!$E$3+F69*Prislapp!$F$3+G69*Prislapp!$G$3+H69*Prislapp!$H$3+I69*Prislapp!$I$3+J69*Prislapp!$J$3+K69*Prislapp!$K$3+M69*Prislapp!$M$3+N69*Prislapp!$N$3</f>
        <v>34806</v>
      </c>
      <c r="Q69" s="42">
        <f>C69*Prislapp!$C$5+D69*Prislapp!$D$5+E69*Prislapp!$E$5+F69*Prislapp!$F$5+G69*Prislapp!$G$5+H69*Prislapp!$H$5+I69*Prislapp!$I$5+J69*Prislapp!$J$5+K69*Prislapp!$K$5+L69*Prislapp!$L$5+M69*Prislapp!$M$5+N69*Prislapp!$N$5</f>
        <v>21800</v>
      </c>
      <c r="R69" s="9">
        <f>VLOOKUP(A69,'Ansvar kurs'!$A$2:$B$847,2,FALSE)</f>
        <v>5730</v>
      </c>
      <c r="S69" s="159"/>
      <c r="T69" s="159"/>
      <c r="U69" s="159"/>
      <c r="V69" s="159"/>
      <c r="W69" s="159"/>
      <c r="X69" s="159"/>
      <c r="Y69" s="159"/>
      <c r="Z69" s="159"/>
    </row>
    <row r="70" spans="1:26" x14ac:dyDescent="0.25">
      <c r="A70" s="31" t="s">
        <v>1018</v>
      </c>
      <c r="B70" s="31" t="s">
        <v>1049</v>
      </c>
      <c r="H70" s="31">
        <v>1</v>
      </c>
      <c r="O70" s="42">
        <f>C70*Prislapp!$C$2+D70*Prislapp!$D$2+E70*Prislapp!$E$2+F70*Prislapp!$F$2+G70*Prislapp!$G$2+H70*Prislapp!$H$2+I70*Prislapp!$I$2+J70*Prislapp!$J$2+K70*Prislapp!$K$2+L70*Prislapp!$L$2+M70*Prislapp!$M$2+N70*Prislapp!$N$2</f>
        <v>19473</v>
      </c>
      <c r="P70" s="42">
        <f>C70*Prislapp!$C$3+D70*Prislapp!$D$3+E70*Prislapp!$E$3+F70*Prislapp!$F$3+G70*Prislapp!$G$3+H70*Prislapp!$H$3+I70*Prislapp!$I$3+J70*Prislapp!$J$3+K70*Prislapp!$K$3+M70*Prislapp!$M$3+N70*Prislapp!$N$3</f>
        <v>34806</v>
      </c>
      <c r="Q70" s="42">
        <f>C70*Prislapp!$C$5+D70*Prislapp!$D$5+E70*Prislapp!$E$5+F70*Prislapp!$F$5+G70*Prislapp!$G$5+H70*Prislapp!$H$5+I70*Prislapp!$I$5+J70*Prislapp!$J$5+K70*Prislapp!$K$5+L70*Prislapp!$L$5+M70*Prislapp!$M$5+N70*Prislapp!$N$5</f>
        <v>21800</v>
      </c>
      <c r="R70" s="9">
        <f>VLOOKUP(A70,'Ansvar kurs'!$A$2:$B$847,2,FALSE)</f>
        <v>5740</v>
      </c>
      <c r="S70" s="159"/>
      <c r="T70" s="159"/>
      <c r="U70" s="159"/>
      <c r="V70" s="159"/>
      <c r="W70" s="159"/>
      <c r="X70" s="159"/>
      <c r="Y70" s="159"/>
      <c r="Z70" s="159"/>
    </row>
    <row r="71" spans="1:26" x14ac:dyDescent="0.25">
      <c r="A71" s="62" t="s">
        <v>1478</v>
      </c>
      <c r="B71" s="62" t="s">
        <v>1479</v>
      </c>
      <c r="H71" s="31">
        <v>1</v>
      </c>
      <c r="O71" s="42">
        <f>C71*Prislapp!$C$2+D71*Prislapp!$D$2+E71*Prislapp!$E$2+F71*Prislapp!$F$2+G71*Prislapp!$G$2+H71*Prislapp!$H$2+I71*Prislapp!$I$2+J71*Prislapp!$J$2+K71*Prislapp!$K$2+L71*Prislapp!$L$2+M71*Prislapp!$M$2+N71*Prislapp!$N$2</f>
        <v>19473</v>
      </c>
      <c r="P71" s="42">
        <f>C71*Prislapp!$C$3+D71*Prislapp!$D$3+E71*Prislapp!$E$3+F71*Prislapp!$F$3+G71*Prislapp!$G$3+H71*Prislapp!$H$3+I71*Prislapp!$I$3+J71*Prislapp!$J$3+K71*Prislapp!$K$3+M71*Prislapp!$M$3+N71*Prislapp!$N$3</f>
        <v>34806</v>
      </c>
      <c r="Q71" s="42">
        <f>C71*Prislapp!$C$5+D71*Prislapp!$D$5+E71*Prislapp!$E$5+F71*Prislapp!$F$5+G71*Prislapp!$G$5+H71*Prislapp!$H$5+I71*Prislapp!$I$5+J71*Prislapp!$J$5+K71*Prislapp!$K$5+L71*Prislapp!$L$5+M71*Prislapp!$M$5+N71*Prislapp!$N$5</f>
        <v>21800</v>
      </c>
      <c r="R71" s="9">
        <f>VLOOKUP(A71,'Ansvar kurs'!$A$2:$B$847,2,FALSE)</f>
        <v>5740</v>
      </c>
      <c r="S71" s="159"/>
      <c r="T71" s="159"/>
      <c r="U71" s="159"/>
      <c r="V71" s="159"/>
      <c r="W71" s="159"/>
      <c r="X71" s="159"/>
      <c r="Y71" s="159"/>
      <c r="Z71" s="159"/>
    </row>
    <row r="72" spans="1:26" x14ac:dyDescent="0.25">
      <c r="A72" s="62" t="s">
        <v>1953</v>
      </c>
      <c r="B72" s="62" t="s">
        <v>1967</v>
      </c>
      <c r="K72" s="31">
        <v>1</v>
      </c>
      <c r="O72" s="42">
        <f>C72*Prislapp!$C$2+D72*Prislapp!$D$2+E72*Prislapp!$E$2+F72*Prislapp!$F$2+G72*Prislapp!$G$2+H72*Prislapp!$H$2+I72*Prislapp!$I$2+J72*Prislapp!$J$2+K72*Prislapp!$K$2+L72*Prislapp!$L$2+M72*Prislapp!$M$2+N72*Prislapp!$N$2</f>
        <v>21634</v>
      </c>
      <c r="P72" s="42">
        <f>C72*Prislapp!$C$3+D72*Prislapp!$D$3+E72*Prislapp!$E$3+F72*Prislapp!$F$3+G72*Prislapp!$G$3+H72*Prislapp!$H$3+I72*Prislapp!$I$3+J72*Prislapp!$J$3+K72*Prislapp!$K$3+M72*Prislapp!$M$3+N72*Prislapp!$N$3</f>
        <v>26986</v>
      </c>
      <c r="Q72" s="42">
        <f>C72*Prislapp!$C$5+D72*Prislapp!$D$5+E72*Prislapp!$E$5+F72*Prislapp!$F$5+G72*Prislapp!$G$5+H72*Prislapp!$H$5+I72*Prislapp!$I$5+J72*Prislapp!$J$5+K72*Prislapp!$K$5+L72*Prislapp!$L$5+M72*Prislapp!$M$5+N72*Prislapp!$N$5</f>
        <v>3400</v>
      </c>
      <c r="R72" s="9">
        <f>VLOOKUP(A72,'Ansvar kurs'!$A$2:$B$847,2,FALSE)</f>
        <v>5740</v>
      </c>
      <c r="S72" s="159"/>
      <c r="T72" s="159"/>
      <c r="U72" s="159"/>
      <c r="V72" s="159"/>
      <c r="W72" s="159"/>
      <c r="X72" s="159"/>
      <c r="Y72" s="159"/>
      <c r="Z72" s="159"/>
    </row>
    <row r="73" spans="1:26" x14ac:dyDescent="0.25">
      <c r="A73" s="62" t="s">
        <v>1942</v>
      </c>
      <c r="B73" s="62" t="s">
        <v>1948</v>
      </c>
      <c r="H73" s="31">
        <v>1</v>
      </c>
      <c r="O73" s="42">
        <f>C73*Prislapp!$C$2+D73*Prislapp!$D$2+E73*Prislapp!$E$2+F73*Prislapp!$F$2+G73*Prislapp!$G$2+H73*Prislapp!$H$2+I73*Prislapp!$I$2+J73*Prislapp!$J$2+K73*Prislapp!$K$2+L73*Prislapp!$L$2+M73*Prislapp!$M$2+N73*Prislapp!$N$2</f>
        <v>19473</v>
      </c>
      <c r="P73" s="42">
        <f>C73*Prislapp!$C$3+D73*Prislapp!$D$3+E73*Prislapp!$E$3+F73*Prislapp!$F$3+G73*Prislapp!$G$3+H73*Prislapp!$H$3+I73*Prislapp!$I$3+J73*Prislapp!$J$3+K73*Prislapp!$K$3+M73*Prislapp!$M$3+N73*Prislapp!$N$3</f>
        <v>34806</v>
      </c>
      <c r="Q73" s="42">
        <f>C73*Prislapp!$C$5+D73*Prislapp!$D$5+E73*Prislapp!$E$5+F73*Prislapp!$F$5+G73*Prislapp!$G$5+H73*Prislapp!$H$5+I73*Prislapp!$I$5+J73*Prislapp!$J$5+K73*Prislapp!$K$5+L73*Prislapp!$L$5+M73*Prislapp!$M$5+N73*Prislapp!$N$5</f>
        <v>21800</v>
      </c>
      <c r="R73" s="9">
        <f>VLOOKUP(A73,'Ansvar kurs'!$A$2:$B$847,2,FALSE)</f>
        <v>5100</v>
      </c>
      <c r="S73" s="159"/>
      <c r="T73" s="159"/>
      <c r="U73" s="159"/>
      <c r="V73" s="159"/>
      <c r="W73" s="159"/>
      <c r="X73" s="159"/>
      <c r="Y73" s="159"/>
      <c r="Z73" s="159"/>
    </row>
    <row r="74" spans="1:26" x14ac:dyDescent="0.25">
      <c r="A74" s="62" t="s">
        <v>1933</v>
      </c>
      <c r="B74" s="62" t="s">
        <v>1944</v>
      </c>
      <c r="H74" s="31">
        <v>1</v>
      </c>
      <c r="O74" s="42">
        <f>C74*Prislapp!$C$2+D74*Prislapp!$D$2+E74*Prislapp!$E$2+F74*Prislapp!$F$2+G74*Prislapp!$G$2+H74*Prislapp!$H$2+I74*Prislapp!$I$2+J74*Prislapp!$J$2+K74*Prislapp!$K$2+L74*Prislapp!$L$2+M74*Prislapp!$M$2+N74*Prislapp!$N$2</f>
        <v>19473</v>
      </c>
      <c r="P74" s="42">
        <f>C74*Prislapp!$C$3+D74*Prislapp!$D$3+E74*Prislapp!$E$3+F74*Prislapp!$F$3+G74*Prislapp!$G$3+H74*Prislapp!$H$3+I74*Prislapp!$I$3+J74*Prislapp!$J$3+K74*Prislapp!$K$3+M74*Prislapp!$M$3+N74*Prislapp!$N$3</f>
        <v>34806</v>
      </c>
      <c r="Q74" s="42">
        <f>C74*Prislapp!$C$5+D74*Prislapp!$D$5+E74*Prislapp!$E$5+F74*Prislapp!$F$5+G74*Prislapp!$G$5+H74*Prislapp!$H$5+I74*Prislapp!$I$5+J74*Prislapp!$J$5+K74*Prislapp!$K$5+L74*Prislapp!$L$5+M74*Prislapp!$M$5+N74*Prislapp!$N$5</f>
        <v>21800</v>
      </c>
      <c r="R74" s="9">
        <f>VLOOKUP(A74,'Ansvar kurs'!$A$2:$B$847,2,FALSE)</f>
        <v>5100</v>
      </c>
      <c r="S74" s="159"/>
      <c r="T74" s="159"/>
      <c r="U74" s="159"/>
      <c r="V74" s="159"/>
      <c r="W74" s="159"/>
      <c r="X74" s="159"/>
      <c r="Y74" s="159"/>
      <c r="Z74" s="159"/>
    </row>
    <row r="75" spans="1:26" x14ac:dyDescent="0.25">
      <c r="A75" s="245" t="s">
        <v>1488</v>
      </c>
      <c r="B75" s="31" t="s">
        <v>1112</v>
      </c>
      <c r="H75" s="31">
        <v>1</v>
      </c>
      <c r="O75" s="42">
        <f>C75*Prislapp!$C$2+D75*Prislapp!$D$2+E75*Prislapp!$E$2+F75*Prislapp!$F$2+G75*Prislapp!$G$2+H75*Prislapp!$H$2+I75*Prislapp!$I$2+J75*Prislapp!$J$2+K75*Prislapp!$K$2+L75*Prislapp!$L$2+M75*Prislapp!$M$2+N75*Prislapp!$N$2</f>
        <v>19473</v>
      </c>
      <c r="P75" s="42">
        <f>C75*Prislapp!$C$3+D75*Prislapp!$D$3+E75*Prislapp!$E$3+F75*Prislapp!$F$3+G75*Prislapp!$G$3+H75*Prislapp!$H$3+I75*Prislapp!$I$3+J75*Prislapp!$J$3+K75*Prislapp!$K$3+M75*Prislapp!$M$3+N75*Prislapp!$N$3</f>
        <v>34806</v>
      </c>
      <c r="Q75" s="42">
        <f>C75*Prislapp!$C$5+D75*Prislapp!$D$5+E75*Prislapp!$E$5+F75*Prislapp!$F$5+G75*Prislapp!$G$5+H75*Prislapp!$H$5+I75*Prislapp!$I$5+J75*Prislapp!$J$5+K75*Prislapp!$K$5+L75*Prislapp!$L$5+M75*Prislapp!$M$5+N75*Prislapp!$N$5</f>
        <v>21800</v>
      </c>
      <c r="R75" s="9">
        <f>VLOOKUP(A75,'Ansvar kurs'!$A$2:$B$847,2,FALSE)</f>
        <v>5740</v>
      </c>
      <c r="S75" s="159" t="s">
        <v>1287</v>
      </c>
    </row>
    <row r="76" spans="1:26" x14ac:dyDescent="0.25">
      <c r="A76" s="245" t="s">
        <v>1489</v>
      </c>
      <c r="B76" s="31" t="s">
        <v>1147</v>
      </c>
      <c r="H76" s="31">
        <v>1</v>
      </c>
      <c r="O76" s="42">
        <f>C76*Prislapp!$C$2+D76*Prislapp!$D$2+E76*Prislapp!$E$2+F76*Prislapp!$F$2+G76*Prislapp!$G$2+H76*Prislapp!$H$2+I76*Prislapp!$I$2+J76*Prislapp!$J$2+K76*Prislapp!$K$2+L76*Prislapp!$L$2+M76*Prislapp!$M$2+N76*Prislapp!$N$2</f>
        <v>19473</v>
      </c>
      <c r="P76" s="42">
        <f>C76*Prislapp!$C$3+D76*Prislapp!$D$3+E76*Prislapp!$E$3+F76*Prislapp!$F$3+G76*Prislapp!$G$3+H76*Prislapp!$H$3+I76*Prislapp!$I$3+J76*Prislapp!$J$3+K76*Prislapp!$K$3+M76*Prislapp!$M$3+N76*Prislapp!$N$3</f>
        <v>34806</v>
      </c>
      <c r="Q76" s="42">
        <f>C76*Prislapp!$C$5+D76*Prislapp!$D$5+E76*Prislapp!$E$5+F76*Prislapp!$F$5+G76*Prislapp!$G$5+H76*Prislapp!$H$5+I76*Prislapp!$I$5+J76*Prislapp!$J$5+K76*Prislapp!$K$5+L76*Prislapp!$L$5+M76*Prislapp!$M$5+N76*Prislapp!$N$5</f>
        <v>21800</v>
      </c>
      <c r="R76" s="9">
        <f>VLOOKUP(A76,'Ansvar kurs'!$A$2:$B$847,2,FALSE)</f>
        <v>5740</v>
      </c>
      <c r="S76" s="159" t="s">
        <v>1287</v>
      </c>
    </row>
    <row r="77" spans="1:26" x14ac:dyDescent="0.25">
      <c r="A77" s="245" t="s">
        <v>1490</v>
      </c>
      <c r="B77" s="31" t="s">
        <v>1148</v>
      </c>
      <c r="H77" s="31">
        <v>1</v>
      </c>
      <c r="O77" s="42">
        <f>C77*Prislapp!$C$2+D77*Prislapp!$D$2+E77*Prislapp!$E$2+F77*Prislapp!$F$2+G77*Prislapp!$G$2+H77*Prislapp!$H$2+I77*Prislapp!$I$2+J77*Prislapp!$J$2+K77*Prislapp!$K$2+L77*Prislapp!$L$2+M77*Prislapp!$M$2+N77*Prislapp!$N$2</f>
        <v>19473</v>
      </c>
      <c r="P77" s="42">
        <f>C77*Prislapp!$C$3+D77*Prislapp!$D$3+E77*Prislapp!$E$3+F77*Prislapp!$F$3+G77*Prislapp!$G$3+H77*Prislapp!$H$3+I77*Prislapp!$I$3+J77*Prislapp!$J$3+K77*Prislapp!$K$3+M77*Prislapp!$M$3+N77*Prislapp!$N$3</f>
        <v>34806</v>
      </c>
      <c r="Q77" s="42">
        <f>C77*Prislapp!$C$5+D77*Prislapp!$D$5+E77*Prislapp!$E$5+F77*Prislapp!$F$5+G77*Prislapp!$G$5+H77*Prislapp!$H$5+I77*Prislapp!$I$5+J77*Prislapp!$J$5+K77*Prislapp!$K$5+L77*Prislapp!$L$5+M77*Prislapp!$M$5+N77*Prislapp!$N$5</f>
        <v>21800</v>
      </c>
      <c r="R77" s="9">
        <f>VLOOKUP(A77,'Ansvar kurs'!$A$2:$B$847,2,FALSE)</f>
        <v>5740</v>
      </c>
      <c r="S77" s="159" t="s">
        <v>1287</v>
      </c>
    </row>
    <row r="78" spans="1:26" x14ac:dyDescent="0.25">
      <c r="A78" s="62" t="s">
        <v>1395</v>
      </c>
      <c r="B78" s="62" t="s">
        <v>1399</v>
      </c>
      <c r="F78" s="31">
        <v>1</v>
      </c>
      <c r="O78" s="42">
        <f>C78*Prislapp!$C$2+D78*Prislapp!$D$2+E78*Prislapp!$E$2+F78*Prislapp!$F$2+G78*Prislapp!$G$2+H78*Prislapp!$H$2+I78*Prislapp!$I$2+J78*Prislapp!$J$2+K78*Prislapp!$K$2+L78*Prislapp!$L$2+M78*Prislapp!$M$2+N78*Prislapp!$N$2</f>
        <v>23641</v>
      </c>
      <c r="P78" s="42">
        <f>C78*Prislapp!$C$3+D78*Prislapp!$D$3+E78*Prislapp!$E$3+F78*Prislapp!$F$3+G78*Prislapp!$G$3+H78*Prislapp!$H$3+I78*Prislapp!$I$3+J78*Prislapp!$J$3+K78*Prislapp!$K$3+M78*Prislapp!$M$3+N78*Prislapp!$N$3</f>
        <v>28786</v>
      </c>
      <c r="Q78" s="42">
        <f>C78*Prislapp!$C$5+D78*Prislapp!$D$5+E78*Prislapp!$E$5+F78*Prislapp!$F$5+G78*Prislapp!$G$5+H78*Prislapp!$H$5+I78*Prislapp!$I$5+J78*Prislapp!$J$5+K78*Prislapp!$K$5+L78*Prislapp!$L$5+M78*Prislapp!$M$5+N78*Prislapp!$N$5</f>
        <v>5800</v>
      </c>
      <c r="R78" s="9">
        <f>VLOOKUP(A78,'Ansvar kurs'!$A$2:$B$847,2,FALSE)</f>
        <v>5740</v>
      </c>
      <c r="S78" s="159"/>
      <c r="T78" s="159"/>
      <c r="U78" s="159"/>
      <c r="V78" s="159"/>
      <c r="W78" s="159"/>
      <c r="X78" s="159"/>
      <c r="Y78" s="159"/>
      <c r="Z78" s="159"/>
    </row>
    <row r="79" spans="1:26" x14ac:dyDescent="0.25">
      <c r="A79" s="62" t="s">
        <v>1396</v>
      </c>
      <c r="B79" s="62" t="s">
        <v>1400</v>
      </c>
      <c r="F79" s="31">
        <v>1</v>
      </c>
      <c r="O79" s="42">
        <f>C79*Prislapp!$C$2+D79*Prislapp!$D$2+E79*Prislapp!$E$2+F79*Prislapp!$F$2+G79*Prislapp!$G$2+H79*Prislapp!$H$2+I79*Prislapp!$I$2+J79*Prislapp!$J$2+K79*Prislapp!$K$2+L79*Prislapp!$L$2+M79*Prislapp!$M$2+N79*Prislapp!$N$2</f>
        <v>23641</v>
      </c>
      <c r="P79" s="42">
        <f>C79*Prislapp!$C$3+D79*Prislapp!$D$3+E79*Prislapp!$E$3+F79*Prislapp!$F$3+G79*Prislapp!$G$3+H79*Prislapp!$H$3+I79*Prislapp!$I$3+J79*Prislapp!$J$3+K79*Prislapp!$K$3+M79*Prislapp!$M$3+N79*Prislapp!$N$3</f>
        <v>28786</v>
      </c>
      <c r="Q79" s="42">
        <f>C79*Prislapp!$C$5+D79*Prislapp!$D$5+E79*Prislapp!$E$5+F79*Prislapp!$F$5+G79*Prislapp!$G$5+H79*Prislapp!$H$5+I79*Prislapp!$I$5+J79*Prislapp!$J$5+K79*Prislapp!$K$5+L79*Prislapp!$L$5+M79*Prislapp!$M$5+N79*Prislapp!$N$5</f>
        <v>5800</v>
      </c>
      <c r="R79" s="9">
        <f>VLOOKUP(A79,'Ansvar kurs'!$A$2:$B$847,2,FALSE)</f>
        <v>5740</v>
      </c>
      <c r="S79" s="159"/>
      <c r="T79" s="159"/>
      <c r="U79" s="159"/>
      <c r="V79" s="159"/>
      <c r="W79" s="159"/>
      <c r="X79" s="159"/>
      <c r="Y79" s="159"/>
      <c r="Z79" s="159"/>
    </row>
    <row r="80" spans="1:26" x14ac:dyDescent="0.25">
      <c r="A80" s="62" t="s">
        <v>1397</v>
      </c>
      <c r="B80" s="62" t="s">
        <v>1401</v>
      </c>
      <c r="F80" s="31">
        <v>1</v>
      </c>
      <c r="O80" s="42">
        <f>C80*Prislapp!$C$2+D80*Prislapp!$D$2+E80*Prislapp!$E$2+F80*Prislapp!$F$2+G80*Prislapp!$G$2+H80*Prislapp!$H$2+I80*Prislapp!$I$2+J80*Prislapp!$J$2+K80*Prislapp!$K$2+L80*Prislapp!$L$2+M80*Prislapp!$M$2+N80*Prislapp!$N$2</f>
        <v>23641</v>
      </c>
      <c r="P80" s="42">
        <f>C80*Prislapp!$C$3+D80*Prislapp!$D$3+E80*Prislapp!$E$3+F80*Prislapp!$F$3+G80*Prislapp!$G$3+H80*Prislapp!$H$3+I80*Prislapp!$I$3+J80*Prislapp!$J$3+K80*Prislapp!$K$3+M80*Prislapp!$M$3+N80*Prislapp!$N$3</f>
        <v>28786</v>
      </c>
      <c r="Q80" s="42">
        <f>C80*Prislapp!$C$5+D80*Prislapp!$D$5+E80*Prislapp!$E$5+F80*Prislapp!$F$5+G80*Prislapp!$G$5+H80*Prislapp!$H$5+I80*Prislapp!$I$5+J80*Prislapp!$J$5+K80*Prislapp!$K$5+L80*Prislapp!$L$5+M80*Prislapp!$M$5+N80*Prislapp!$N$5</f>
        <v>5800</v>
      </c>
      <c r="R80" s="9">
        <f>VLOOKUP(A80,'Ansvar kurs'!$A$2:$B$847,2,FALSE)</f>
        <v>5740</v>
      </c>
      <c r="S80" s="159"/>
      <c r="T80" s="159"/>
      <c r="U80" s="159"/>
      <c r="V80" s="159"/>
      <c r="W80" s="159"/>
      <c r="X80" s="159"/>
      <c r="Y80" s="159"/>
      <c r="Z80" s="159"/>
    </row>
    <row r="81" spans="1:26" x14ac:dyDescent="0.25">
      <c r="A81" s="62" t="s">
        <v>1398</v>
      </c>
      <c r="B81" s="62" t="s">
        <v>1402</v>
      </c>
      <c r="F81" s="31">
        <v>1</v>
      </c>
      <c r="O81" s="42">
        <f>C81*Prislapp!$C$2+D81*Prislapp!$D$2+E81*Prislapp!$E$2+F81*Prislapp!$F$2+G81*Prislapp!$G$2+H81*Prislapp!$H$2+I81*Prislapp!$I$2+J81*Prislapp!$J$2+K81*Prislapp!$K$2+L81*Prislapp!$L$2+M81*Prislapp!$M$2+N81*Prislapp!$N$2</f>
        <v>23641</v>
      </c>
      <c r="P81" s="42">
        <f>C81*Prislapp!$C$3+D81*Prislapp!$D$3+E81*Prislapp!$E$3+F81*Prislapp!$F$3+G81*Prislapp!$G$3+H81*Prislapp!$H$3+I81*Prislapp!$I$3+J81*Prislapp!$J$3+K81*Prislapp!$K$3+M81*Prislapp!$M$3+N81*Prislapp!$N$3</f>
        <v>28786</v>
      </c>
      <c r="Q81" s="42">
        <f>C81*Prislapp!$C$5+D81*Prislapp!$D$5+E81*Prislapp!$E$5+F81*Prislapp!$F$5+G81*Prislapp!$G$5+H81*Prislapp!$H$5+I81*Prislapp!$I$5+J81*Prislapp!$J$5+K81*Prislapp!$K$5+L81*Prislapp!$L$5+M81*Prislapp!$M$5+N81*Prislapp!$N$5</f>
        <v>5800</v>
      </c>
      <c r="R81" s="9">
        <f>VLOOKUP(A81,'Ansvar kurs'!$A$2:$B$847,2,FALSE)</f>
        <v>5740</v>
      </c>
      <c r="S81" s="159"/>
      <c r="T81" s="159"/>
      <c r="U81" s="159"/>
      <c r="V81" s="159"/>
      <c r="W81" s="159"/>
      <c r="X81" s="159"/>
      <c r="Y81" s="159"/>
      <c r="Z81" s="159"/>
    </row>
    <row r="82" spans="1:26" x14ac:dyDescent="0.25">
      <c r="A82" s="62" t="s">
        <v>1989</v>
      </c>
      <c r="B82" s="62" t="s">
        <v>2013</v>
      </c>
      <c r="H82" s="31">
        <v>0.5</v>
      </c>
      <c r="J82" s="59">
        <v>0.5</v>
      </c>
      <c r="O82" s="42">
        <f>C82*Prislapp!$C$2+D82*Prislapp!$D$2+E82*Prislapp!$E$2+F82*Prislapp!$F$2+G82*Prislapp!$G$2+H82*Prislapp!$H$2+I82*Prislapp!$I$2+J82*Prislapp!$J$2+K82*Prislapp!$K$2+L82*Prislapp!$L$2+M82*Prislapp!$M$2+N82*Prislapp!$N$2</f>
        <v>19473</v>
      </c>
      <c r="P82" s="42">
        <f>C82*Prislapp!$C$3+D82*Prislapp!$D$3+E82*Prislapp!$E$3+F82*Prislapp!$F$3+G82*Prislapp!$G$3+H82*Prislapp!$H$3+I82*Prislapp!$I$3+J82*Prislapp!$J$3+K82*Prislapp!$K$3+M82*Prislapp!$M$3+N82*Prislapp!$N$3</f>
        <v>34806</v>
      </c>
      <c r="Q82" s="42">
        <f>C82*Prislapp!$C$5+D82*Prislapp!$D$5+E82*Prislapp!$E$5+F82*Prislapp!$F$5+G82*Prislapp!$G$5+H82*Prislapp!$H$5+I82*Prislapp!$I$5+J82*Prislapp!$J$5+K82*Prislapp!$K$5+L82*Prislapp!$L$5+M82*Prislapp!$M$5+N82*Prislapp!$N$5</f>
        <v>21800</v>
      </c>
      <c r="R82" s="9">
        <f>VLOOKUP(A82,'Ansvar kurs'!$A$2:$B$847,2,FALSE)</f>
        <v>5700</v>
      </c>
      <c r="S82" s="182"/>
      <c r="T82" s="159"/>
      <c r="U82" s="159"/>
      <c r="V82" s="159"/>
      <c r="W82" s="159"/>
      <c r="X82" s="159"/>
      <c r="Y82" s="159"/>
      <c r="Z82" s="159"/>
    </row>
    <row r="83" spans="1:26" x14ac:dyDescent="0.25">
      <c r="A83" s="31" t="s">
        <v>66</v>
      </c>
      <c r="B83" s="31" t="s">
        <v>659</v>
      </c>
      <c r="D83" s="31">
        <v>0.5</v>
      </c>
      <c r="K83" s="31">
        <v>0.5</v>
      </c>
      <c r="O83" s="42">
        <f>C83*Prislapp!$C$2+D83*Prislapp!$D$2+E83*Prislapp!$E$2+F83*Prislapp!$F$2+G83*Prislapp!$G$2+H83*Prislapp!$H$2+I83*Prislapp!$I$2+J83*Prislapp!$J$2+K83*Prislapp!$K$2+L83*Prislapp!$L$2+M83*Prislapp!$M$2+N83*Prislapp!$N$2</f>
        <v>20019.5</v>
      </c>
      <c r="P83" s="42">
        <f>C83*Prislapp!$C$3+D83*Prislapp!$D$3+E83*Prislapp!$E$3+F83*Prislapp!$F$3+G83*Prislapp!$G$3+H83*Prislapp!$H$3+I83*Prislapp!$I$3+J83*Prislapp!$J$3+K83*Prislapp!$K$3+M83*Prislapp!$M$3+N83*Prislapp!$N$3</f>
        <v>21379.5</v>
      </c>
      <c r="Q83" s="42">
        <f>C83*Prislapp!$C$5+D83*Prislapp!$D$5+E83*Prislapp!$E$5+F83*Prislapp!$F$5+G83*Prislapp!$G$5+H83*Prislapp!$H$5+I83*Prislapp!$I$5+J83*Prislapp!$J$5+K83*Prislapp!$K$5+L83*Prislapp!$L$5+M83*Prislapp!$M$5+N83*Prislapp!$N$5</f>
        <v>4600</v>
      </c>
      <c r="R83" s="9">
        <f>VLOOKUP(A83,'Ansvar kurs'!$A$2:$B$847,2,FALSE)</f>
        <v>1620</v>
      </c>
      <c r="S83" s="159"/>
      <c r="T83" s="159"/>
      <c r="U83" s="159"/>
      <c r="V83" s="159"/>
      <c r="W83" s="159"/>
      <c r="X83" s="159"/>
      <c r="Y83" s="159"/>
      <c r="Z83" s="159"/>
    </row>
    <row r="84" spans="1:26" x14ac:dyDescent="0.25">
      <c r="A84" s="31" t="s">
        <v>89</v>
      </c>
      <c r="B84" s="31" t="s">
        <v>660</v>
      </c>
      <c r="D84" s="31">
        <v>0.5</v>
      </c>
      <c r="K84" s="31">
        <v>0.5</v>
      </c>
      <c r="O84" s="42">
        <f>C84*Prislapp!$C$2+D84*Prislapp!$D$2+E84*Prislapp!$E$2+F84*Prislapp!$F$2+G84*Prislapp!$G$2+H84*Prislapp!$H$2+I84*Prislapp!$I$2+J84*Prislapp!$J$2+K84*Prislapp!$K$2+L84*Prislapp!$L$2+M84*Prislapp!$M$2+N84*Prislapp!$N$2</f>
        <v>20019.5</v>
      </c>
      <c r="P84" s="42">
        <f>C84*Prislapp!$C$3+D84*Prislapp!$D$3+E84*Prislapp!$E$3+F84*Prislapp!$F$3+G84*Prislapp!$G$3+H84*Prislapp!$H$3+I84*Prislapp!$I$3+J84*Prislapp!$J$3+K84*Prislapp!$K$3+M84*Prislapp!$M$3+N84*Prislapp!$N$3</f>
        <v>21379.5</v>
      </c>
      <c r="Q84" s="42">
        <f>C84*Prislapp!$C$5+D84*Prislapp!$D$5+E84*Prislapp!$E$5+F84*Prislapp!$F$5+G84*Prislapp!$G$5+H84*Prislapp!$H$5+I84*Prislapp!$I$5+J84*Prislapp!$J$5+K84*Prislapp!$K$5+L84*Prislapp!$L$5+M84*Prislapp!$M$5+N84*Prislapp!$N$5</f>
        <v>4600</v>
      </c>
      <c r="R84" s="9">
        <f>VLOOKUP(A84,'Ansvar kurs'!$A$2:$B$847,2,FALSE)</f>
        <v>1620</v>
      </c>
      <c r="S84" s="159"/>
      <c r="T84" s="159"/>
      <c r="U84" s="159"/>
      <c r="V84" s="159"/>
      <c r="W84" s="159"/>
      <c r="X84" s="159"/>
      <c r="Y84" s="159"/>
      <c r="Z84" s="159"/>
    </row>
    <row r="85" spans="1:26" x14ac:dyDescent="0.25">
      <c r="A85" s="31" t="s">
        <v>487</v>
      </c>
      <c r="B85" s="31" t="s">
        <v>661</v>
      </c>
      <c r="D85" s="31">
        <v>1</v>
      </c>
      <c r="O85" s="42">
        <f>C85*Prislapp!$C$2+D85*Prislapp!$D$2+E85*Prislapp!$E$2+F85*Prislapp!$F$2+G85*Prislapp!$G$2+H85*Prislapp!$H$2+I85*Prislapp!$I$2+J85*Prislapp!$J$2+K85*Prislapp!$K$2+L85*Prislapp!$L$2+M85*Prislapp!$M$2+N85*Prislapp!$N$2</f>
        <v>18405</v>
      </c>
      <c r="P85" s="42">
        <f>C85*Prislapp!$C$3+D85*Prislapp!$D$3+E85*Prislapp!$E$3+F85*Prislapp!$F$3+G85*Prislapp!$G$3+H85*Prislapp!$H$3+I85*Prislapp!$I$3+J85*Prislapp!$J$3+K85*Prislapp!$K$3+M85*Prislapp!$M$3+N85*Prislapp!$N$3</f>
        <v>15773</v>
      </c>
      <c r="Q85" s="42">
        <f>C85*Prislapp!$C$5+D85*Prislapp!$D$5+E85*Prislapp!$E$5+F85*Prislapp!$F$5+G85*Prislapp!$G$5+H85*Prislapp!$H$5+I85*Prislapp!$I$5+J85*Prislapp!$J$5+K85*Prislapp!$K$5+L85*Prislapp!$L$5+M85*Prislapp!$M$5+N85*Prislapp!$N$5</f>
        <v>5800</v>
      </c>
      <c r="R85" s="9">
        <f>VLOOKUP(A85,'Ansvar kurs'!$A$2:$B$847,2,FALSE)</f>
        <v>1620</v>
      </c>
      <c r="S85" s="159" t="s">
        <v>1304</v>
      </c>
      <c r="T85" s="159"/>
      <c r="U85" s="159"/>
      <c r="V85" s="159"/>
      <c r="W85" s="159"/>
      <c r="X85" s="159"/>
      <c r="Y85" s="159"/>
      <c r="Z85" s="159"/>
    </row>
    <row r="86" spans="1:26" x14ac:dyDescent="0.25">
      <c r="A86" s="31" t="s">
        <v>488</v>
      </c>
      <c r="B86" s="31" t="s">
        <v>662</v>
      </c>
      <c r="D86" s="31">
        <v>1</v>
      </c>
      <c r="O86" s="42">
        <f>C86*Prislapp!$C$2+D86*Prislapp!$D$2+E86*Prislapp!$E$2+F86*Prislapp!$F$2+G86*Prislapp!$G$2+H86*Prislapp!$H$2+I86*Prislapp!$I$2+J86*Prislapp!$J$2+K86*Prislapp!$K$2+L86*Prislapp!$L$2+M86*Prislapp!$M$2+N86*Prislapp!$N$2</f>
        <v>18405</v>
      </c>
      <c r="P86" s="42">
        <f>C86*Prislapp!$C$3+D86*Prislapp!$D$3+E86*Prislapp!$E$3+F86*Prislapp!$F$3+G86*Prislapp!$G$3+H86*Prislapp!$H$3+I86*Prislapp!$I$3+J86*Prislapp!$J$3+K86*Prislapp!$K$3+M86*Prislapp!$M$3+N86*Prislapp!$N$3</f>
        <v>15773</v>
      </c>
      <c r="Q86" s="42">
        <f>C86*Prislapp!$C$5+D86*Prislapp!$D$5+E86*Prislapp!$E$5+F86*Prislapp!$F$5+G86*Prislapp!$G$5+H86*Prislapp!$H$5+I86*Prislapp!$I$5+J86*Prislapp!$J$5+K86*Prislapp!$K$5+L86*Prislapp!$L$5+M86*Prislapp!$M$5+N86*Prislapp!$N$5</f>
        <v>5800</v>
      </c>
      <c r="R86" s="9">
        <f>VLOOKUP(A86,'Ansvar kurs'!$A$2:$B$847,2,FALSE)</f>
        <v>1620</v>
      </c>
      <c r="S86" s="159" t="s">
        <v>1304</v>
      </c>
      <c r="T86" s="159"/>
      <c r="U86" s="159"/>
      <c r="V86" s="159"/>
      <c r="W86" s="159"/>
      <c r="X86" s="159"/>
      <c r="Y86" s="159"/>
      <c r="Z86" s="159"/>
    </row>
    <row r="87" spans="1:26" x14ac:dyDescent="0.25">
      <c r="A87" s="244" t="s">
        <v>489</v>
      </c>
      <c r="B87" s="31" t="s">
        <v>544</v>
      </c>
      <c r="D87" s="31">
        <v>1</v>
      </c>
      <c r="O87" s="42">
        <f>C87*Prislapp!$C$2+D87*Prislapp!$D$2+E87*Prislapp!$E$2+F87*Prislapp!$F$2+G87*Prislapp!$G$2+H87*Prislapp!$H$2+I87*Prislapp!$I$2+J87*Prislapp!$J$2+K87*Prislapp!$K$2+L87*Prislapp!$L$2+M87*Prislapp!$M$2+N87*Prislapp!$N$2</f>
        <v>18405</v>
      </c>
      <c r="P87" s="42">
        <f>C87*Prislapp!$C$3+D87*Prislapp!$D$3+E87*Prislapp!$E$3+F87*Prislapp!$F$3+G87*Prislapp!$G$3+H87*Prislapp!$H$3+I87*Prislapp!$I$3+J87*Prislapp!$J$3+K87*Prislapp!$K$3+M87*Prislapp!$M$3+N87*Prislapp!$N$3</f>
        <v>15773</v>
      </c>
      <c r="Q87" s="42">
        <f>C87*Prislapp!$C$5+D87*Prislapp!$D$5+E87*Prislapp!$E$5+F87*Prislapp!$F$5+G87*Prislapp!$G$5+H87*Prislapp!$H$5+I87*Prislapp!$I$5+J87*Prislapp!$J$5+K87*Prislapp!$K$5+L87*Prislapp!$L$5+M87*Prislapp!$M$5+N87*Prislapp!$N$5</f>
        <v>5800</v>
      </c>
      <c r="R87" s="9">
        <f>VLOOKUP(A87,'Ansvar kurs'!$A$2:$B$847,2,FALSE)</f>
        <v>1620</v>
      </c>
      <c r="S87" s="159" t="s">
        <v>1304</v>
      </c>
      <c r="T87" s="159"/>
      <c r="U87" s="159"/>
      <c r="V87" s="159"/>
      <c r="W87" s="159"/>
      <c r="X87" s="159"/>
      <c r="Y87" s="159"/>
      <c r="Z87" s="159"/>
    </row>
    <row r="88" spans="1:26" x14ac:dyDescent="0.25">
      <c r="A88" s="244" t="s">
        <v>490</v>
      </c>
      <c r="B88" s="31" t="s">
        <v>546</v>
      </c>
      <c r="D88" s="31">
        <v>1</v>
      </c>
      <c r="O88" s="42">
        <f>C88*Prislapp!$C$2+D88*Prislapp!$D$2+E88*Prislapp!$E$2+F88*Prislapp!$F$2+G88*Prislapp!$G$2+H88*Prislapp!$H$2+I88*Prislapp!$I$2+J88*Prislapp!$J$2+K88*Prislapp!$K$2+L88*Prislapp!$L$2+M88*Prislapp!$M$2+N88*Prislapp!$N$2</f>
        <v>18405</v>
      </c>
      <c r="P88" s="42">
        <f>C88*Prislapp!$C$3+D88*Prislapp!$D$3+E88*Prislapp!$E$3+F88*Prislapp!$F$3+G88*Prislapp!$G$3+H88*Prislapp!$H$3+I88*Prislapp!$I$3+J88*Prislapp!$J$3+K88*Prislapp!$K$3+M88*Prislapp!$M$3+N88*Prislapp!$N$3</f>
        <v>15773</v>
      </c>
      <c r="Q88" s="42">
        <f>C88*Prislapp!$C$5+D88*Prislapp!$D$5+E88*Prislapp!$E$5+F88*Prislapp!$F$5+G88*Prislapp!$G$5+H88*Prislapp!$H$5+I88*Prislapp!$I$5+J88*Prislapp!$J$5+K88*Prislapp!$K$5+L88*Prislapp!$L$5+M88*Prislapp!$M$5+N88*Prislapp!$N$5</f>
        <v>5800</v>
      </c>
      <c r="R88" s="9">
        <f>VLOOKUP(A88,'Ansvar kurs'!$A$2:$B$847,2,FALSE)</f>
        <v>1620</v>
      </c>
      <c r="S88" s="159" t="s">
        <v>1304</v>
      </c>
      <c r="T88" s="159"/>
      <c r="U88" s="159"/>
      <c r="V88" s="159"/>
      <c r="W88" s="159"/>
      <c r="X88" s="159"/>
      <c r="Y88" s="159"/>
      <c r="Z88" s="159"/>
    </row>
    <row r="89" spans="1:26" x14ac:dyDescent="0.25">
      <c r="A89" s="244" t="s">
        <v>580</v>
      </c>
      <c r="B89" s="31" t="s">
        <v>608</v>
      </c>
      <c r="D89" s="31">
        <v>1</v>
      </c>
      <c r="O89" s="42">
        <f>C89*Prislapp!$C$2+D89*Prislapp!$D$2+E89*Prislapp!$E$2+F89*Prislapp!$F$2+G89*Prislapp!$G$2+H89*Prislapp!$H$2+I89*Prislapp!$I$2+J89*Prislapp!$J$2+K89*Prislapp!$K$2+L89*Prislapp!$L$2+M89*Prislapp!$M$2+N89*Prislapp!$N$2</f>
        <v>18405</v>
      </c>
      <c r="P89" s="42">
        <f>C89*Prislapp!$C$3+D89*Prislapp!$D$3+E89*Prislapp!$E$3+F89*Prislapp!$F$3+G89*Prislapp!$G$3+H89*Prislapp!$H$3+I89*Prislapp!$I$3+J89*Prislapp!$J$3+K89*Prislapp!$K$3+M89*Prislapp!$M$3+N89*Prislapp!$N$3</f>
        <v>15773</v>
      </c>
      <c r="Q89" s="42">
        <f>C89*Prislapp!$C$5+D89*Prislapp!$D$5+E89*Prislapp!$E$5+F89*Prislapp!$F$5+G89*Prislapp!$G$5+H89*Prislapp!$H$5+I89*Prislapp!$I$5+J89*Prislapp!$J$5+K89*Prislapp!$K$5+L89*Prislapp!$L$5+M89*Prislapp!$M$5+N89*Prislapp!$N$5</f>
        <v>5800</v>
      </c>
      <c r="R89" s="9">
        <f>VLOOKUP(A89,'Ansvar kurs'!$A$2:$B$847,2,FALSE)</f>
        <v>1620</v>
      </c>
      <c r="S89" s="159" t="s">
        <v>1304</v>
      </c>
      <c r="T89" s="159"/>
      <c r="U89" s="159"/>
      <c r="V89" s="159"/>
      <c r="W89" s="159"/>
      <c r="X89" s="159"/>
      <c r="Y89" s="159"/>
      <c r="Z89" s="159"/>
    </row>
    <row r="90" spans="1:26" x14ac:dyDescent="0.25">
      <c r="A90" s="31" t="s">
        <v>491</v>
      </c>
      <c r="B90" s="31" t="s">
        <v>663</v>
      </c>
      <c r="D90" s="31">
        <v>1</v>
      </c>
      <c r="O90" s="42">
        <f>C90*Prislapp!$C$2+D90*Prislapp!$D$2+E90*Prislapp!$E$2+F90*Prislapp!$F$2+G90*Prislapp!$G$2+H90*Prislapp!$H$2+I90*Prislapp!$I$2+J90*Prislapp!$J$2+K90*Prislapp!$K$2+L90*Prislapp!$L$2+M90*Prislapp!$M$2+N90*Prislapp!$N$2</f>
        <v>18405</v>
      </c>
      <c r="P90" s="42">
        <f>C90*Prislapp!$C$3+D90*Prislapp!$D$3+E90*Prislapp!$E$3+F90*Prislapp!$F$3+G90*Prislapp!$G$3+H90*Prislapp!$H$3+I90*Prislapp!$I$3+J90*Prislapp!$J$3+K90*Prislapp!$K$3+M90*Prislapp!$M$3+N90*Prislapp!$N$3</f>
        <v>15773</v>
      </c>
      <c r="Q90" s="42">
        <f>C90*Prislapp!$C$5+D90*Prislapp!$D$5+E90*Prislapp!$E$5+F90*Prislapp!$F$5+G90*Prislapp!$G$5+H90*Prislapp!$H$5+I90*Prislapp!$I$5+J90*Prislapp!$J$5+K90*Prislapp!$K$5+L90*Prislapp!$L$5+M90*Prislapp!$M$5+N90*Prislapp!$N$5</f>
        <v>5800</v>
      </c>
      <c r="R90" s="9">
        <f>VLOOKUP(A90,'Ansvar kurs'!$A$2:$B$847,2,FALSE)</f>
        <v>1620</v>
      </c>
      <c r="S90" s="159" t="s">
        <v>1304</v>
      </c>
      <c r="T90" s="159"/>
      <c r="U90" s="159"/>
      <c r="V90" s="159"/>
      <c r="W90" s="159"/>
      <c r="X90" s="159"/>
      <c r="Y90" s="159"/>
      <c r="Z90" s="159"/>
    </row>
    <row r="91" spans="1:26" x14ac:dyDescent="0.25">
      <c r="A91" s="31" t="s">
        <v>492</v>
      </c>
      <c r="B91" s="31" t="s">
        <v>664</v>
      </c>
      <c r="D91" s="31">
        <v>1</v>
      </c>
      <c r="O91" s="42">
        <f>C91*Prislapp!$C$2+D91*Prislapp!$D$2+E91*Prislapp!$E$2+F91*Prislapp!$F$2+G91*Prislapp!$G$2+H91*Prislapp!$H$2+I91*Prislapp!$I$2+J91*Prislapp!$J$2+K91*Prislapp!$K$2+L91*Prislapp!$L$2+M91*Prislapp!$M$2+N91*Prislapp!$N$2</f>
        <v>18405</v>
      </c>
      <c r="P91" s="42">
        <f>C91*Prislapp!$C$3+D91*Prislapp!$D$3+E91*Prislapp!$E$3+F91*Prislapp!$F$3+G91*Prislapp!$G$3+H91*Prislapp!$H$3+I91*Prislapp!$I$3+J91*Prislapp!$J$3+K91*Prislapp!$K$3+M91*Prislapp!$M$3+N91*Prislapp!$N$3</f>
        <v>15773</v>
      </c>
      <c r="Q91" s="42">
        <f>C91*Prislapp!$C$5+D91*Prislapp!$D$5+E91*Prislapp!$E$5+F91*Prislapp!$F$5+G91*Prislapp!$G$5+H91*Prislapp!$H$5+I91*Prislapp!$I$5+J91*Prislapp!$J$5+K91*Prislapp!$K$5+L91*Prislapp!$L$5+M91*Prislapp!$M$5+N91*Prislapp!$N$5</f>
        <v>5800</v>
      </c>
      <c r="R91" s="9">
        <f>VLOOKUP(A91,'Ansvar kurs'!$A$2:$B$847,2,FALSE)</f>
        <v>1620</v>
      </c>
      <c r="S91" s="159" t="s">
        <v>1304</v>
      </c>
      <c r="T91" s="159"/>
      <c r="U91" s="159"/>
      <c r="V91" s="159"/>
      <c r="W91" s="159"/>
      <c r="X91" s="159"/>
      <c r="Y91" s="159"/>
      <c r="Z91" s="159"/>
    </row>
    <row r="92" spans="1:26" x14ac:dyDescent="0.25">
      <c r="A92" s="31" t="s">
        <v>581</v>
      </c>
      <c r="B92" s="31" t="s">
        <v>1153</v>
      </c>
      <c r="D92" s="31">
        <v>1</v>
      </c>
      <c r="O92" s="42">
        <f>C92*Prislapp!$C$2+D92*Prislapp!$D$2+E92*Prislapp!$E$2+F92*Prislapp!$F$2+G92*Prislapp!$G$2+H92*Prislapp!$H$2+I92*Prislapp!$I$2+J92*Prislapp!$J$2+K92*Prislapp!$K$2+L92*Prislapp!$L$2+M92*Prislapp!$M$2+N92*Prislapp!$N$2</f>
        <v>18405</v>
      </c>
      <c r="P92" s="42">
        <f>C92*Prislapp!$C$3+D92*Prislapp!$D$3+E92*Prislapp!$E$3+F92*Prislapp!$F$3+G92*Prislapp!$G$3+H92*Prislapp!$H$3+I92*Prislapp!$I$3+J92*Prislapp!$J$3+K92*Prislapp!$K$3+M92*Prislapp!$M$3+N92*Prislapp!$N$3</f>
        <v>15773</v>
      </c>
      <c r="Q92" s="42">
        <f>C92*Prislapp!$C$5+D92*Prislapp!$D$5+E92*Prislapp!$E$5+F92*Prislapp!$F$5+G92*Prislapp!$G$5+H92*Prislapp!$H$5+I92*Prislapp!$I$5+J92*Prislapp!$J$5+K92*Prislapp!$K$5+L92*Prislapp!$L$5+M92*Prislapp!$M$5+N92*Prislapp!$N$5</f>
        <v>5800</v>
      </c>
      <c r="R92" s="9">
        <f>VLOOKUP(A92,'Ansvar kurs'!$A$2:$B$847,2,FALSE)</f>
        <v>1620</v>
      </c>
      <c r="S92" s="159" t="s">
        <v>1304</v>
      </c>
      <c r="T92" s="159"/>
      <c r="U92" s="159"/>
      <c r="V92" s="159"/>
      <c r="W92" s="159"/>
      <c r="X92" s="159"/>
      <c r="Y92" s="159"/>
      <c r="Z92" s="159"/>
    </row>
    <row r="93" spans="1:26" x14ac:dyDescent="0.25">
      <c r="A93" s="31" t="s">
        <v>1020</v>
      </c>
      <c r="B93" s="31" t="s">
        <v>1154</v>
      </c>
      <c r="K93" s="31">
        <v>1</v>
      </c>
      <c r="O93" s="42">
        <f>C93*Prislapp!$C$2+D93*Prislapp!$D$2+E93*Prislapp!$E$2+F93*Prislapp!$F$2+G93*Prislapp!$G$2+H93*Prislapp!$H$2+I93*Prislapp!$I$2+J93*Prislapp!$J$2+K93*Prislapp!$K$2+L93*Prislapp!$L$2+M93*Prislapp!$M$2+N93*Prislapp!$N$2</f>
        <v>21634</v>
      </c>
      <c r="P93" s="42">
        <f>C93*Prislapp!$C$3+D93*Prislapp!$D$3+E93*Prislapp!$E$3+F93*Prislapp!$F$3+G93*Prislapp!$G$3+H93*Prislapp!$H$3+I93*Prislapp!$I$3+J93*Prislapp!$J$3+K93*Prislapp!$K$3+M93*Prislapp!$M$3+N93*Prislapp!$N$3</f>
        <v>26986</v>
      </c>
      <c r="Q93" s="42">
        <f>C93*Prislapp!$C$5+D93*Prislapp!$D$5+E93*Prislapp!$E$5+F93*Prislapp!$F$5+G93*Prislapp!$G$5+H93*Prislapp!$H$5+I93*Prislapp!$I$5+J93*Prislapp!$J$5+K93*Prislapp!$K$5+L93*Prislapp!$L$5+M93*Prislapp!$M$5+N93*Prislapp!$N$5</f>
        <v>3400</v>
      </c>
      <c r="R93" s="9">
        <f>VLOOKUP(A93,'Ansvar kurs'!$A$2:$B$847,2,FALSE)</f>
        <v>1620</v>
      </c>
      <c r="S93" s="159"/>
      <c r="T93" s="159"/>
      <c r="U93" s="159"/>
      <c r="V93" s="159"/>
      <c r="W93" s="159"/>
      <c r="X93" s="159"/>
      <c r="Y93" s="159"/>
      <c r="Z93" s="159"/>
    </row>
    <row r="94" spans="1:26" x14ac:dyDescent="0.25">
      <c r="A94" s="31" t="s">
        <v>1728</v>
      </c>
      <c r="B94" s="31" t="s">
        <v>1736</v>
      </c>
      <c r="D94" s="31">
        <v>1</v>
      </c>
      <c r="O94" s="42">
        <f>C94*Prislapp!$C$2+D94*Prislapp!$D$2+E94*Prislapp!$E$2+F94*Prislapp!$F$2+G94*Prislapp!$G$2+H94*Prislapp!$H$2+I94*Prislapp!$I$2+J94*Prislapp!$J$2+K94*Prislapp!$K$2+L94*Prislapp!$L$2+M94*Prislapp!$M$2+N94*Prislapp!$N$2</f>
        <v>18405</v>
      </c>
      <c r="P94" s="42">
        <f>C94*Prislapp!$C$3+D94*Prislapp!$D$3+E94*Prislapp!$E$3+F94*Prislapp!$F$3+G94*Prislapp!$G$3+H94*Prislapp!$H$3+I94*Prislapp!$I$3+J94*Prislapp!$J$3+K94*Prislapp!$K$3+M94*Prislapp!$M$3+N94*Prislapp!$N$3</f>
        <v>15773</v>
      </c>
      <c r="Q94" s="42">
        <f>C94*Prislapp!$C$5+D94*Prislapp!$D$5+E94*Prislapp!$E$5+F94*Prislapp!$F$5+G94*Prislapp!$G$5+H94*Prislapp!$H$5+I94*Prislapp!$I$5+J94*Prislapp!$J$5+K94*Prislapp!$K$5+L94*Prislapp!$L$5+M94*Prislapp!$M$5+N94*Prislapp!$N$5</f>
        <v>5800</v>
      </c>
      <c r="R94" s="9">
        <f>VLOOKUP(A94,'Ansvar kurs'!$A$2:$B$847,2,FALSE)</f>
        <v>1620</v>
      </c>
      <c r="S94" s="159"/>
      <c r="T94" s="159"/>
      <c r="U94" s="159"/>
      <c r="V94" s="159"/>
      <c r="W94" s="159"/>
      <c r="X94" s="159"/>
      <c r="Y94" s="159"/>
      <c r="Z94" s="159"/>
    </row>
    <row r="95" spans="1:26" x14ac:dyDescent="0.25">
      <c r="A95" s="31" t="s">
        <v>1729</v>
      </c>
      <c r="B95" s="31" t="s">
        <v>1737</v>
      </c>
      <c r="D95" s="31">
        <v>1</v>
      </c>
      <c r="O95" s="42">
        <f>C95*Prislapp!$C$2+D95*Prislapp!$D$2+E95*Prislapp!$E$2+F95*Prislapp!$F$2+G95*Prislapp!$G$2+H95*Prislapp!$H$2+I95*Prislapp!$I$2+J95*Prislapp!$J$2+K95*Prislapp!$K$2+L95*Prislapp!$L$2+M95*Prislapp!$M$2+N95*Prislapp!$N$2</f>
        <v>18405</v>
      </c>
      <c r="P95" s="42">
        <f>C95*Prislapp!$C$3+D95*Prislapp!$D$3+E95*Prislapp!$E$3+F95*Prislapp!$F$3+G95*Prislapp!$G$3+H95*Prislapp!$H$3+I95*Prislapp!$I$3+J95*Prislapp!$J$3+K95*Prislapp!$K$3+M95*Prislapp!$M$3+N95*Prislapp!$N$3</f>
        <v>15773</v>
      </c>
      <c r="Q95" s="42">
        <f>C95*Prislapp!$C$5+D95*Prislapp!$D$5+E95*Prislapp!$E$5+F95*Prislapp!$F$5+G95*Prislapp!$G$5+H95*Prislapp!$H$5+I95*Prislapp!$I$5+J95*Prislapp!$J$5+K95*Prislapp!$K$5+L95*Prislapp!$L$5+M95*Prislapp!$M$5+N95*Prislapp!$N$5</f>
        <v>5800</v>
      </c>
      <c r="R95" s="9">
        <f>VLOOKUP(A95,'Ansvar kurs'!$A$2:$B$847,2,FALSE)</f>
        <v>1620</v>
      </c>
      <c r="S95" s="159"/>
      <c r="T95" s="159"/>
      <c r="U95" s="159"/>
      <c r="V95" s="159"/>
      <c r="W95" s="159"/>
      <c r="X95" s="159"/>
      <c r="Y95" s="159"/>
      <c r="Z95" s="159"/>
    </row>
    <row r="96" spans="1:26" x14ac:dyDescent="0.25">
      <c r="A96" s="244" t="s">
        <v>1895</v>
      </c>
      <c r="B96" s="31" t="s">
        <v>1890</v>
      </c>
      <c r="K96" s="31">
        <v>1</v>
      </c>
      <c r="O96" s="42">
        <f>C96*Prislapp!$C$2+D96*Prislapp!$D$2+E96*Prislapp!$E$2+F96*Prislapp!$F$2+G96*Prislapp!$G$2+H96*Prislapp!$H$2+I96*Prislapp!$I$2+J96*Prislapp!$J$2+K96*Prislapp!$K$2+L96*Prislapp!$L$2+M96*Prislapp!$M$2+N96*Prislapp!$N$2</f>
        <v>21634</v>
      </c>
      <c r="P96" s="42">
        <f>C96*Prislapp!$C$3+D96*Prislapp!$D$3+E96*Prislapp!$E$3+F96*Prislapp!$F$3+G96*Prislapp!$G$3+H96*Prislapp!$H$3+I96*Prislapp!$I$3+J96*Prislapp!$J$3+K96*Prislapp!$K$3+M96*Prislapp!$M$3+N96*Prislapp!$N$3</f>
        <v>26986</v>
      </c>
      <c r="Q96" s="42">
        <f>C96*Prislapp!$C$5+D96*Prislapp!$D$5+E96*Prislapp!$E$5+F96*Prislapp!$F$5+G96*Prislapp!$G$5+H96*Prislapp!$H$5+I96*Prislapp!$I$5+J96*Prislapp!$J$5+K96*Prislapp!$K$5+L96*Prislapp!$L$5+M96*Prislapp!$M$5+N96*Prislapp!$N$5</f>
        <v>3400</v>
      </c>
      <c r="R96" s="9">
        <f>VLOOKUP(A96,'Ansvar kurs'!$A$2:$B$847,2,FALSE)</f>
        <v>1620</v>
      </c>
      <c r="S96" s="159"/>
      <c r="T96" s="159"/>
      <c r="U96" s="159"/>
      <c r="V96" s="159"/>
      <c r="W96" s="159"/>
      <c r="X96" s="159"/>
      <c r="Y96" s="159"/>
      <c r="Z96" s="159"/>
    </row>
    <row r="97" spans="1:26" x14ac:dyDescent="0.25">
      <c r="A97" s="31" t="s">
        <v>1912</v>
      </c>
      <c r="B97" s="31" t="s">
        <v>543</v>
      </c>
      <c r="D97" s="31">
        <v>1</v>
      </c>
      <c r="O97" s="42">
        <f>C97*Prislapp!$C$2+D97*Prislapp!$D$2+E97*Prislapp!$E$2+F97*Prislapp!$F$2+G97*Prislapp!$G$2+H97*Prislapp!$H$2+I97*Prislapp!$I$2+J97*Prislapp!$J$2+K97*Prislapp!$K$2+L97*Prislapp!$L$2+M97*Prislapp!$M$2+N97*Prislapp!$N$2</f>
        <v>18405</v>
      </c>
      <c r="P97" s="42">
        <f>C97*Prislapp!$C$3+D97*Prislapp!$D$3+E97*Prislapp!$E$3+F97*Prislapp!$F$3+G97*Prislapp!$G$3+H97*Prislapp!$H$3+I97*Prislapp!$I$3+J97*Prislapp!$J$3+K97*Prislapp!$K$3+M97*Prislapp!$M$3+N97*Prislapp!$N$3</f>
        <v>15773</v>
      </c>
      <c r="Q97" s="42">
        <f>C97*Prislapp!$C$5+D97*Prislapp!$D$5+E97*Prislapp!$E$5+F97*Prislapp!$F$5+G97*Prislapp!$G$5+H97*Prislapp!$H$5+I97*Prislapp!$I$5+J97*Prislapp!$J$5+K97*Prislapp!$K$5+L97*Prislapp!$L$5+M97*Prislapp!$M$5+N97*Prislapp!$N$5</f>
        <v>5800</v>
      </c>
      <c r="R97" s="9">
        <f>VLOOKUP(A97,'Ansvar kurs'!$A$2:$B$847,2,FALSE)</f>
        <v>1620</v>
      </c>
      <c r="S97" s="159" t="s">
        <v>1304</v>
      </c>
      <c r="T97" s="159"/>
      <c r="U97" s="159"/>
      <c r="V97" s="159"/>
      <c r="W97" s="159"/>
      <c r="X97" s="159"/>
      <c r="Y97" s="159"/>
      <c r="Z97" s="159"/>
    </row>
    <row r="98" spans="1:26" x14ac:dyDescent="0.25">
      <c r="A98" s="31" t="s">
        <v>1913</v>
      </c>
      <c r="B98" s="31" t="s">
        <v>545</v>
      </c>
      <c r="D98" s="31">
        <v>1</v>
      </c>
      <c r="O98" s="42">
        <f>C98*Prislapp!$C$2+D98*Prislapp!$D$2+E98*Prislapp!$E$2+F98*Prislapp!$F$2+G98*Prislapp!$G$2+H98*Prislapp!$H$2+I98*Prislapp!$I$2+J98*Prislapp!$J$2+K98*Prislapp!$K$2+L98*Prislapp!$L$2+M98*Prislapp!$M$2+N98*Prislapp!$N$2</f>
        <v>18405</v>
      </c>
      <c r="P98" s="42">
        <f>C98*Prislapp!$C$3+D98*Prislapp!$D$3+E98*Prislapp!$E$3+F98*Prislapp!$F$3+G98*Prislapp!$G$3+H98*Prislapp!$H$3+I98*Prislapp!$I$3+J98*Prislapp!$J$3+K98*Prislapp!$K$3+M98*Prislapp!$M$3+N98*Prislapp!$N$3</f>
        <v>15773</v>
      </c>
      <c r="Q98" s="42">
        <f>C98*Prislapp!$C$5+D98*Prislapp!$D$5+E98*Prislapp!$E$5+F98*Prislapp!$F$5+G98*Prislapp!$G$5+H98*Prislapp!$H$5+I98*Prislapp!$I$5+J98*Prislapp!$J$5+K98*Prislapp!$K$5+L98*Prislapp!$L$5+M98*Prislapp!$M$5+N98*Prislapp!$N$5</f>
        <v>5800</v>
      </c>
      <c r="R98" s="9">
        <f>VLOOKUP(A98,'Ansvar kurs'!$A$2:$B$847,2,FALSE)</f>
        <v>1620</v>
      </c>
      <c r="S98" s="159" t="s">
        <v>1304</v>
      </c>
      <c r="T98" s="159"/>
      <c r="U98" s="159"/>
      <c r="V98" s="159"/>
      <c r="W98" s="159"/>
      <c r="X98" s="159"/>
      <c r="Y98" s="159"/>
      <c r="Z98" s="159"/>
    </row>
    <row r="99" spans="1:26" x14ac:dyDescent="0.25">
      <c r="A99" s="31" t="s">
        <v>1985</v>
      </c>
      <c r="B99" s="31" t="s">
        <v>544</v>
      </c>
      <c r="D99" s="31">
        <v>1</v>
      </c>
      <c r="O99" s="42">
        <f>C99*Prislapp!$C$2+D99*Prislapp!$D$2+E99*Prislapp!$E$2+F99*Prislapp!$F$2+G99*Prislapp!$G$2+H99*Prislapp!$H$2+I99*Prislapp!$I$2+J99*Prislapp!$J$2+K99*Prislapp!$K$2+L99*Prislapp!$L$2+M99*Prislapp!$M$2+N99*Prislapp!$N$2</f>
        <v>18405</v>
      </c>
      <c r="P99" s="42">
        <f>C99*Prislapp!$C$3+D99*Prislapp!$D$3+E99*Prislapp!$E$3+F99*Prislapp!$F$3+G99*Prislapp!$G$3+H99*Prislapp!$H$3+I99*Prislapp!$I$3+J99*Prislapp!$J$3+K99*Prislapp!$K$3+M99*Prislapp!$M$3+N99*Prislapp!$N$3</f>
        <v>15773</v>
      </c>
      <c r="Q99" s="42">
        <f>C99*Prislapp!$C$5+D99*Prislapp!$D$5+E99*Prislapp!$E$5+F99*Prislapp!$F$5+G99*Prislapp!$G$5+H99*Prislapp!$H$5+I99*Prislapp!$I$5+J99*Prislapp!$J$5+K99*Prislapp!$K$5+L99*Prislapp!$L$5+M99*Prislapp!$M$5+N99*Prislapp!$N$5</f>
        <v>5800</v>
      </c>
      <c r="R99" s="9">
        <f>VLOOKUP(A99,'Ansvar kurs'!$A$2:$B$847,2,FALSE)</f>
        <v>1620</v>
      </c>
      <c r="S99" s="159"/>
      <c r="T99" s="159"/>
      <c r="U99" s="159"/>
      <c r="V99" s="159"/>
      <c r="W99" s="159"/>
      <c r="X99" s="159"/>
      <c r="Y99" s="159"/>
      <c r="Z99" s="159"/>
    </row>
    <row r="100" spans="1:26" x14ac:dyDescent="0.25">
      <c r="A100" s="31" t="s">
        <v>1986</v>
      </c>
      <c r="B100" s="31" t="s">
        <v>546</v>
      </c>
      <c r="D100" s="31">
        <v>1</v>
      </c>
      <c r="O100" s="42">
        <f>C100*Prislapp!$C$2+D100*Prislapp!$D$2+E100*Prislapp!$E$2+F100*Prislapp!$F$2+G100*Prislapp!$G$2+H100*Prislapp!$H$2+I100*Prislapp!$I$2+J100*Prislapp!$J$2+K100*Prislapp!$K$2+L100*Prislapp!$L$2+M100*Prislapp!$M$2+N100*Prislapp!$N$2</f>
        <v>18405</v>
      </c>
      <c r="P100" s="42">
        <f>C100*Prislapp!$C$3+D100*Prislapp!$D$3+E100*Prislapp!$E$3+F100*Prislapp!$F$3+G100*Prislapp!$G$3+H100*Prislapp!$H$3+I100*Prislapp!$I$3+J100*Prislapp!$J$3+K100*Prislapp!$K$3+M100*Prislapp!$M$3+N100*Prislapp!$N$3</f>
        <v>15773</v>
      </c>
      <c r="Q100" s="42">
        <f>C100*Prislapp!$C$5+D100*Prislapp!$D$5+E100*Prislapp!$E$5+F100*Prislapp!$F$5+G100*Prislapp!$G$5+H100*Prislapp!$H$5+I100*Prislapp!$I$5+J100*Prislapp!$J$5+K100*Prislapp!$K$5+L100*Prislapp!$L$5+M100*Prislapp!$M$5+N100*Prislapp!$N$5</f>
        <v>5800</v>
      </c>
      <c r="R100" s="9">
        <f>VLOOKUP(A100,'Ansvar kurs'!$A$2:$B$847,2,FALSE)</f>
        <v>1620</v>
      </c>
      <c r="S100" s="159"/>
      <c r="T100" s="159"/>
      <c r="U100" s="159"/>
      <c r="V100" s="159"/>
      <c r="W100" s="159"/>
      <c r="X100" s="159"/>
      <c r="Y100" s="159"/>
      <c r="Z100" s="159"/>
    </row>
    <row r="101" spans="1:26" x14ac:dyDescent="0.25">
      <c r="A101" s="31" t="s">
        <v>1987</v>
      </c>
      <c r="B101" s="31" t="s">
        <v>608</v>
      </c>
      <c r="D101" s="31">
        <v>1</v>
      </c>
      <c r="O101" s="42">
        <f>C101*Prislapp!$C$2+D101*Prislapp!$D$2+E101*Prislapp!$E$2+F101*Prislapp!$F$2+G101*Prislapp!$G$2+H101*Prislapp!$H$2+I101*Prislapp!$I$2+J101*Prislapp!$J$2+K101*Prislapp!$K$2+L101*Prislapp!$L$2+M101*Prislapp!$M$2+N101*Prislapp!$N$2</f>
        <v>18405</v>
      </c>
      <c r="P101" s="42">
        <f>C101*Prislapp!$C$3+D101*Prislapp!$D$3+E101*Prislapp!$E$3+F101*Prislapp!$F$3+G101*Prislapp!$G$3+H101*Prislapp!$H$3+I101*Prislapp!$I$3+J101*Prislapp!$J$3+K101*Prislapp!$K$3+M101*Prislapp!$M$3+N101*Prislapp!$N$3</f>
        <v>15773</v>
      </c>
      <c r="Q101" s="42">
        <f>C101*Prislapp!$C$5+D101*Prislapp!$D$5+E101*Prislapp!$E$5+F101*Prislapp!$F$5+G101*Prislapp!$G$5+H101*Prislapp!$H$5+I101*Prislapp!$I$5+J101*Prislapp!$J$5+K101*Prislapp!$K$5+L101*Prislapp!$L$5+M101*Prislapp!$M$5+N101*Prislapp!$N$5</f>
        <v>5800</v>
      </c>
      <c r="R101" s="9">
        <f>VLOOKUP(A101,'Ansvar kurs'!$A$2:$B$847,2,FALSE)</f>
        <v>1620</v>
      </c>
      <c r="S101" s="159"/>
      <c r="T101" s="159"/>
      <c r="U101" s="159"/>
      <c r="V101" s="159"/>
      <c r="W101" s="159"/>
      <c r="X101" s="159"/>
      <c r="Y101" s="159"/>
      <c r="Z101" s="159"/>
    </row>
    <row r="102" spans="1:26" x14ac:dyDescent="0.25">
      <c r="A102" s="9" t="s">
        <v>2155</v>
      </c>
      <c r="B102" s="39" t="s">
        <v>2157</v>
      </c>
      <c r="D102" s="436">
        <v>1</v>
      </c>
      <c r="O102" s="42">
        <f>C102*Prislapp!$C$2+D102*Prislapp!$D$2+E102*Prislapp!$E$2+F102*Prislapp!$F$2+G102*Prislapp!$G$2+H102*Prislapp!$H$2+I102*Prislapp!$I$2+J102*Prislapp!$J$2+K102*Prislapp!$K$2+L102*Prislapp!$L$2+M102*Prislapp!$M$2+N102*Prislapp!$N$2</f>
        <v>18405</v>
      </c>
      <c r="P102" s="42">
        <f>C102*Prislapp!$C$3+D102*Prislapp!$D$3+E102*Prislapp!$E$3+F102*Prislapp!$F$3+G102*Prislapp!$G$3+H102*Prislapp!$H$3+I102*Prislapp!$I$3+J102*Prislapp!$J$3+K102*Prislapp!$K$3+M102*Prislapp!$M$3+N102*Prislapp!$N$3</f>
        <v>15773</v>
      </c>
      <c r="Q102" s="42">
        <f>C102*Prislapp!$C$5+D102*Prislapp!$D$5+E102*Prislapp!$E$5+F102*Prislapp!$F$5+G102*Prislapp!$G$5+H102*Prislapp!$H$5+I102*Prislapp!$I$5+J102*Prislapp!$J$5+K102*Prislapp!$K$5+L102*Prislapp!$L$5+M102*Prislapp!$M$5+N102*Prislapp!$N$5</f>
        <v>5800</v>
      </c>
      <c r="R102" s="9">
        <f>VLOOKUP(A102,'Ansvar kurs'!$A$2:$B$847,2,FALSE)</f>
        <v>1620</v>
      </c>
      <c r="S102" s="182" t="s">
        <v>2010</v>
      </c>
      <c r="T102" s="182"/>
      <c r="U102" s="159"/>
      <c r="V102" s="159"/>
      <c r="W102" s="159"/>
      <c r="X102" s="159"/>
      <c r="Y102" s="159"/>
      <c r="Z102" s="159"/>
    </row>
    <row r="103" spans="1:26" x14ac:dyDescent="0.25">
      <c r="A103" s="62" t="s">
        <v>1257</v>
      </c>
      <c r="B103" s="62" t="s">
        <v>1269</v>
      </c>
      <c r="F103" s="31">
        <v>1</v>
      </c>
      <c r="L103" s="31">
        <v>0</v>
      </c>
      <c r="O103" s="42">
        <f>C103*Prislapp!$C$2+D103*Prislapp!$D$2+E103*Prislapp!$E$2+F103*Prislapp!$F$2+G103*Prislapp!$G$2+H103*Prislapp!$H$2+I103*Prislapp!$I$2+J103*Prislapp!$J$2+K103*Prislapp!$K$2+L103*Prislapp!$L$2+M103*Prislapp!$M$2+N103*Prislapp!$N$2</f>
        <v>23641</v>
      </c>
      <c r="P103" s="42">
        <f>C103*Prislapp!$C$3+D103*Prislapp!$D$3+E103*Prislapp!$E$3+F103*Prislapp!$F$3+G103*Prislapp!$G$3+H103*Prislapp!$H$3+I103*Prislapp!$I$3+J103*Prislapp!$J$3+K103*Prislapp!$K$3+M103*Prislapp!$M$3+N103*Prislapp!$N$3</f>
        <v>28786</v>
      </c>
      <c r="Q103" s="42">
        <f>C103*Prislapp!$C$5+D103*Prislapp!$D$5+E103*Prislapp!$E$5+F103*Prislapp!$F$5+G103*Prislapp!$G$5+H103*Prislapp!$H$5+I103*Prislapp!$I$5+J103*Prislapp!$J$5+K103*Prislapp!$K$5+L103*Prislapp!$L$5+M103*Prislapp!$M$5+N103*Prislapp!$N$5</f>
        <v>5800</v>
      </c>
      <c r="R103" s="9">
        <f>VLOOKUP(A103,'Ansvar kurs'!$A$2:$B$847,2,FALSE)</f>
        <v>1620</v>
      </c>
      <c r="S103" s="159"/>
      <c r="T103" s="159"/>
      <c r="U103" s="159"/>
      <c r="V103" s="159"/>
      <c r="W103" s="159"/>
      <c r="X103" s="159"/>
      <c r="Y103" s="159"/>
      <c r="Z103" s="159"/>
    </row>
    <row r="104" spans="1:26" x14ac:dyDescent="0.25">
      <c r="A104" s="31" t="s">
        <v>67</v>
      </c>
      <c r="B104" s="31" t="s">
        <v>665</v>
      </c>
      <c r="C104" s="31">
        <v>0.75</v>
      </c>
      <c r="K104" s="159"/>
      <c r="L104" s="159"/>
      <c r="M104" s="159">
        <v>0.25</v>
      </c>
      <c r="O104" s="42">
        <f>C104*Prislapp!$C$2+D104*Prislapp!$D$2+E104*Prislapp!$E$2+F104*Prislapp!$F$2+G104*Prislapp!$G$2+H104*Prislapp!$H$2+I104*Prislapp!$I$2+J104*Prislapp!$J$2+K104*Prislapp!$K$2+L104*Prislapp!$L$2+M104*Prislapp!$M$2+N104*Prislapp!$N$2</f>
        <v>39929.25</v>
      </c>
      <c r="P104" s="42">
        <f>C104*Prislapp!$C$3+D104*Prislapp!$D$3+E104*Prislapp!$E$3+F104*Prislapp!$F$3+G104*Prislapp!$G$3+H104*Prislapp!$H$3+I104*Prislapp!$I$3+J104*Prislapp!$J$3+K104*Prislapp!$K$3+M104*Prislapp!$M$3+N104*Prislapp!$N$3</f>
        <v>49486</v>
      </c>
      <c r="Q104" s="42">
        <f>C104*Prislapp!$C$5+D104*Prislapp!$D$5+E104*Prislapp!$E$5+F104*Prislapp!$F$5+G104*Prislapp!$G$5+H104*Prislapp!$H$5+I104*Prislapp!$I$5+J104*Prislapp!$J$5+K104*Prislapp!$K$5+L104*Prislapp!$L$5+M104*Prislapp!$M$5+N104*Prislapp!$N$5</f>
        <v>56075</v>
      </c>
      <c r="R104" s="9">
        <f>VLOOKUP(A104,'Ansvar kurs'!$A$2:$B$847,2,FALSE)</f>
        <v>1650</v>
      </c>
      <c r="S104" s="159"/>
      <c r="T104" s="159"/>
      <c r="U104" s="159"/>
      <c r="V104" s="159"/>
      <c r="W104" s="159"/>
      <c r="X104" s="159"/>
      <c r="Y104" s="159"/>
      <c r="Z104" s="159"/>
    </row>
    <row r="105" spans="1:26" x14ac:dyDescent="0.25">
      <c r="A105" s="31" t="s">
        <v>83</v>
      </c>
      <c r="B105" s="31" t="s">
        <v>666</v>
      </c>
      <c r="C105" s="31">
        <v>1</v>
      </c>
      <c r="K105" s="159"/>
      <c r="L105" s="159"/>
      <c r="M105" s="159"/>
      <c r="O105" s="42">
        <f>C105*Prislapp!$C$2+D105*Prislapp!$D$2+E105*Prislapp!$E$2+F105*Prislapp!$F$2+G105*Prislapp!$G$2+H105*Prislapp!$H$2+I105*Prislapp!$I$2+J105*Prislapp!$J$2+K105*Prislapp!$K$2+L105*Prislapp!$L$2+M105*Prislapp!$M$2+N105*Prislapp!$N$2</f>
        <v>47957</v>
      </c>
      <c r="P105" s="42">
        <f>C105*Prislapp!$C$3+D105*Prislapp!$D$3+E105*Prislapp!$E$3+F105*Prislapp!$F$3+G105*Prislapp!$G$3+H105*Prislapp!$H$3+I105*Prislapp!$I$3+J105*Prislapp!$J$3+K105*Prislapp!$K$3+M105*Prislapp!$M$3+N105*Prislapp!$N$3</f>
        <v>57006</v>
      </c>
      <c r="Q105" s="42">
        <f>C105*Prislapp!$C$5+D105*Prislapp!$D$5+E105*Prislapp!$E$5+F105*Prislapp!$F$5+G105*Prislapp!$G$5+H105*Prislapp!$H$5+I105*Prislapp!$I$5+J105*Prislapp!$J$5+K105*Prislapp!$K$5+L105*Prislapp!$L$5+M105*Prislapp!$M$5+N105*Prislapp!$N$5</f>
        <v>69000</v>
      </c>
      <c r="R105" s="9">
        <f>VLOOKUP(A105,'Ansvar kurs'!$A$2:$B$847,2,FALSE)</f>
        <v>1650</v>
      </c>
      <c r="S105" s="159"/>
      <c r="T105" s="159"/>
      <c r="U105" s="159"/>
      <c r="V105" s="159"/>
      <c r="W105" s="159"/>
      <c r="X105" s="159"/>
      <c r="Y105" s="159"/>
      <c r="Z105" s="159"/>
    </row>
    <row r="106" spans="1:26" x14ac:dyDescent="0.25">
      <c r="A106" s="31" t="s">
        <v>336</v>
      </c>
      <c r="B106" s="31" t="s">
        <v>667</v>
      </c>
      <c r="C106" s="31">
        <v>0.75</v>
      </c>
      <c r="M106" s="31">
        <v>0.25</v>
      </c>
      <c r="O106" s="42">
        <f>C106*Prislapp!$C$2+D106*Prislapp!$D$2+E106*Prislapp!$E$2+F106*Prislapp!$F$2+G106*Prislapp!$G$2+H106*Prislapp!$H$2+I106*Prislapp!$I$2+J106*Prislapp!$J$2+K106*Prislapp!$K$2+L106*Prislapp!$L$2+M106*Prislapp!$M$2+N106*Prislapp!$N$2</f>
        <v>39929.25</v>
      </c>
      <c r="P106" s="42">
        <f>C106*Prislapp!$C$3+D106*Prislapp!$D$3+E106*Prislapp!$E$3+F106*Prislapp!$F$3+G106*Prislapp!$G$3+H106*Prislapp!$H$3+I106*Prislapp!$I$3+J106*Prislapp!$J$3+K106*Prislapp!$K$3+M106*Prislapp!$M$3+N106*Prislapp!$N$3</f>
        <v>49486</v>
      </c>
      <c r="Q106" s="42">
        <f>C106*Prislapp!$C$5+D106*Prislapp!$D$5+E106*Prislapp!$E$5+F106*Prislapp!$F$5+G106*Prislapp!$G$5+H106*Prislapp!$H$5+I106*Prislapp!$I$5+J106*Prislapp!$J$5+K106*Prislapp!$K$5+L106*Prislapp!$L$5+M106*Prislapp!$M$5+N106*Prislapp!$N$5</f>
        <v>56075</v>
      </c>
      <c r="R106" s="9">
        <f>VLOOKUP(A106,'Ansvar kurs'!$A$2:$B$847,2,FALSE)</f>
        <v>1650</v>
      </c>
      <c r="S106" s="159"/>
      <c r="T106" s="159"/>
      <c r="U106" s="159"/>
      <c r="V106" s="159"/>
      <c r="W106" s="159"/>
      <c r="X106" s="159"/>
      <c r="Y106" s="159"/>
      <c r="Z106" s="159"/>
    </row>
    <row r="107" spans="1:26" x14ac:dyDescent="0.25">
      <c r="A107" s="31" t="s">
        <v>65</v>
      </c>
      <c r="B107" s="31" t="s">
        <v>125</v>
      </c>
      <c r="I107" s="31">
        <v>1</v>
      </c>
      <c r="O107" s="42">
        <f>C107*Prislapp!$C$2+D107*Prislapp!$D$2+E107*Prislapp!$E$2+F107*Prislapp!$F$2+G107*Prislapp!$G$2+H107*Prislapp!$H$2+I107*Prislapp!$I$2+J107*Prislapp!$J$2+K107*Prislapp!$K$2+L107*Prislapp!$L$2+M107*Prislapp!$M$2+N107*Prislapp!$N$2</f>
        <v>18405</v>
      </c>
      <c r="P107" s="42">
        <f>C107*Prislapp!$C$3+D107*Prislapp!$D$3+E107*Prislapp!$E$3+F107*Prislapp!$F$3+G107*Prislapp!$G$3+H107*Prislapp!$H$3+I107*Prislapp!$I$3+J107*Prislapp!$J$3+K107*Prislapp!$K$3+M107*Prislapp!$M$3+N107*Prislapp!$N$3</f>
        <v>15773</v>
      </c>
      <c r="Q107" s="42">
        <f>C107*Prislapp!$C$5+D107*Prislapp!$D$5+E107*Prislapp!$E$5+F107*Prislapp!$F$5+G107*Prislapp!$G$5+H107*Prislapp!$H$5+I107*Prislapp!$I$5+J107*Prislapp!$J$5+K107*Prislapp!$K$5+L107*Prislapp!$L$5+M107*Prislapp!$M$5+N107*Prislapp!$N$5</f>
        <v>5800</v>
      </c>
      <c r="R107" s="9">
        <f>VLOOKUP(A107,'Ansvar kurs'!$A$2:$B$847,2,FALSE)</f>
        <v>1650</v>
      </c>
      <c r="S107" s="159"/>
      <c r="T107" s="159"/>
      <c r="U107" s="159"/>
      <c r="V107" s="159"/>
      <c r="W107" s="159"/>
      <c r="X107" s="159"/>
      <c r="Y107" s="159"/>
      <c r="Z107" s="159"/>
    </row>
    <row r="108" spans="1:26" x14ac:dyDescent="0.25">
      <c r="A108" s="31" t="s">
        <v>400</v>
      </c>
      <c r="B108" s="31" t="s">
        <v>668</v>
      </c>
      <c r="C108" s="31">
        <v>0.75</v>
      </c>
      <c r="D108" s="31">
        <v>0.25</v>
      </c>
      <c r="F108" s="31">
        <v>0</v>
      </c>
      <c r="O108" s="42">
        <f>C108*Prislapp!$C$2+D108*Prislapp!$D$2+E108*Prislapp!$E$2+F108*Prislapp!$F$2+G108*Prislapp!$G$2+H108*Prislapp!$H$2+I108*Prislapp!$I$2+J108*Prislapp!$J$2+K108*Prislapp!$K$2+L108*Prislapp!$L$2+M108*Prislapp!$M$2+N108*Prislapp!$N$2</f>
        <v>40569</v>
      </c>
      <c r="P108" s="42">
        <f>C108*Prislapp!$C$3+D108*Prislapp!$D$3+E108*Prislapp!$E$3+F108*Prislapp!$F$3+G108*Prislapp!$G$3+H108*Prislapp!$H$3+I108*Prislapp!$I$3+J108*Prislapp!$J$3+K108*Prislapp!$K$3+M108*Prislapp!$M$3+N108*Prislapp!$N$3</f>
        <v>46697.75</v>
      </c>
      <c r="Q108" s="42">
        <f>C108*Prislapp!$C$5+D108*Prislapp!$D$5+E108*Prislapp!$E$5+F108*Prislapp!$F$5+G108*Prislapp!$G$5+H108*Prislapp!$H$5+I108*Prislapp!$I$5+J108*Prislapp!$J$5+K108*Prislapp!$K$5+L108*Prislapp!$L$5+M108*Prislapp!$M$5+N108*Prislapp!$N$5</f>
        <v>53200</v>
      </c>
      <c r="R108" s="9">
        <f>VLOOKUP(A108,'Ansvar kurs'!$A$2:$B$847,2,FALSE)</f>
        <v>1650</v>
      </c>
      <c r="S108" s="182" t="s">
        <v>1429</v>
      </c>
      <c r="T108" s="159"/>
      <c r="U108" s="159"/>
      <c r="V108" s="159"/>
      <c r="W108" s="159"/>
      <c r="X108" s="159"/>
      <c r="Y108" s="159"/>
      <c r="Z108" s="159"/>
    </row>
    <row r="109" spans="1:26" x14ac:dyDescent="0.25">
      <c r="A109" s="31" t="s">
        <v>476</v>
      </c>
      <c r="B109" s="31" t="s">
        <v>669</v>
      </c>
      <c r="C109" s="31">
        <v>1</v>
      </c>
      <c r="O109" s="42">
        <f>C109*Prislapp!$C$2+D109*Prislapp!$D$2+E109*Prislapp!$E$2+F109*Prislapp!$F$2+G109*Prislapp!$G$2+H109*Prislapp!$H$2+I109*Prislapp!$I$2+J109*Prislapp!$J$2+K109*Prislapp!$K$2+L109*Prislapp!$L$2+M109*Prislapp!$M$2+N109*Prislapp!$N$2</f>
        <v>47957</v>
      </c>
      <c r="P109" s="42">
        <f>C109*Prislapp!$C$3+D109*Prislapp!$D$3+E109*Prislapp!$E$3+F109*Prislapp!$F$3+G109*Prislapp!$G$3+H109*Prislapp!$H$3+I109*Prislapp!$I$3+J109*Prislapp!$J$3+K109*Prislapp!$K$3+M109*Prislapp!$M$3+N109*Prislapp!$N$3</f>
        <v>57006</v>
      </c>
      <c r="Q109" s="42">
        <f>C109*Prislapp!$C$5+D109*Prislapp!$D$5+E109*Prislapp!$E$5+F109*Prislapp!$F$5+G109*Prislapp!$G$5+H109*Prislapp!$H$5+I109*Prislapp!$I$5+J109*Prislapp!$J$5+K109*Prislapp!$K$5+L109*Prislapp!$L$5+M109*Prislapp!$M$5+N109*Prislapp!$N$5</f>
        <v>69000</v>
      </c>
      <c r="R109" s="9">
        <f>VLOOKUP(A109,'Ansvar kurs'!$A$2:$B$847,2,FALSE)</f>
        <v>1650</v>
      </c>
      <c r="S109" s="159"/>
      <c r="T109" s="159"/>
      <c r="U109" s="159"/>
      <c r="V109" s="159"/>
      <c r="W109" s="159"/>
      <c r="X109" s="159"/>
      <c r="Y109" s="159"/>
      <c r="Z109" s="159"/>
    </row>
    <row r="110" spans="1:26" x14ac:dyDescent="0.25">
      <c r="A110" s="31" t="s">
        <v>525</v>
      </c>
      <c r="B110" s="31" t="s">
        <v>540</v>
      </c>
      <c r="C110" s="31">
        <v>1</v>
      </c>
      <c r="O110" s="42">
        <f>C110*Prislapp!$C$2+D110*Prislapp!$D$2+E110*Prislapp!$E$2+F110*Prislapp!$F$2+G110*Prislapp!$G$2+H110*Prislapp!$H$2+I110*Prislapp!$I$2+J110*Prislapp!$J$2+K110*Prislapp!$K$2+L110*Prislapp!$L$2+M110*Prislapp!$M$2+N110*Prislapp!$N$2</f>
        <v>47957</v>
      </c>
      <c r="P110" s="42">
        <f>C110*Prislapp!$C$3+D110*Prislapp!$D$3+E110*Prislapp!$E$3+F110*Prislapp!$F$3+G110*Prislapp!$G$3+H110*Prislapp!$H$3+I110*Prislapp!$I$3+J110*Prislapp!$J$3+K110*Prislapp!$K$3+M110*Prislapp!$M$3+N110*Prislapp!$N$3</f>
        <v>57006</v>
      </c>
      <c r="Q110" s="42">
        <f>C110*Prislapp!$C$5+D110*Prislapp!$D$5+E110*Prislapp!$E$5+F110*Prislapp!$F$5+G110*Prislapp!$G$5+H110*Prislapp!$H$5+I110*Prislapp!$I$5+J110*Prislapp!$J$5+K110*Prislapp!$K$5+L110*Prislapp!$L$5+M110*Prislapp!$M$5+N110*Prislapp!$N$5</f>
        <v>69000</v>
      </c>
      <c r="R110" s="9">
        <f>VLOOKUP(A110,'Ansvar kurs'!$A$2:$B$847,2,FALSE)</f>
        <v>1650</v>
      </c>
      <c r="S110" s="159"/>
      <c r="T110" s="159"/>
      <c r="U110" s="159"/>
      <c r="V110" s="159"/>
      <c r="W110" s="159"/>
      <c r="X110" s="159"/>
      <c r="Y110" s="159"/>
      <c r="Z110" s="159"/>
    </row>
    <row r="111" spans="1:26" x14ac:dyDescent="0.25">
      <c r="A111" s="31" t="s">
        <v>493</v>
      </c>
      <c r="B111" s="31" t="s">
        <v>537</v>
      </c>
      <c r="C111" s="31">
        <v>1</v>
      </c>
      <c r="O111" s="42">
        <f>C111*Prislapp!$C$2+D111*Prislapp!$D$2+E111*Prislapp!$E$2+F111*Prislapp!$F$2+G111*Prislapp!$G$2+H111*Prislapp!$H$2+I111*Prislapp!$I$2+J111*Prislapp!$J$2+K111*Prislapp!$K$2+L111*Prislapp!$L$2+M111*Prislapp!$M$2+N111*Prislapp!$N$2</f>
        <v>47957</v>
      </c>
      <c r="P111" s="42">
        <f>C111*Prislapp!$C$3+D111*Prislapp!$D$3+E111*Prislapp!$E$3+F111*Prislapp!$F$3+G111*Prislapp!$G$3+H111*Prislapp!$H$3+I111*Prislapp!$I$3+J111*Prislapp!$J$3+K111*Prislapp!$K$3+M111*Prislapp!$M$3+N111*Prislapp!$N$3</f>
        <v>57006</v>
      </c>
      <c r="Q111" s="42">
        <f>C111*Prislapp!$C$5+D111*Prislapp!$D$5+E111*Prislapp!$E$5+F111*Prislapp!$F$5+G111*Prislapp!$G$5+H111*Prislapp!$H$5+I111*Prislapp!$I$5+J111*Prislapp!$J$5+K111*Prislapp!$K$5+L111*Prislapp!$L$5+M111*Prislapp!$M$5+N111*Prislapp!$N$5</f>
        <v>69000</v>
      </c>
      <c r="R111" s="9">
        <f>VLOOKUP(A111,'Ansvar kurs'!$A$2:$B$847,2,FALSE)</f>
        <v>1650</v>
      </c>
      <c r="S111" s="159"/>
      <c r="T111" s="159"/>
      <c r="U111" s="159"/>
      <c r="V111" s="159"/>
      <c r="W111" s="159"/>
      <c r="X111" s="159"/>
      <c r="Y111" s="159"/>
      <c r="Z111" s="159"/>
    </row>
    <row r="112" spans="1:26" x14ac:dyDescent="0.25">
      <c r="A112" s="31" t="s">
        <v>494</v>
      </c>
      <c r="B112" s="31" t="s">
        <v>538</v>
      </c>
      <c r="C112" s="31">
        <v>1</v>
      </c>
      <c r="O112" s="42">
        <f>C112*Prislapp!$C$2+D112*Prislapp!$D$2+E112*Prislapp!$E$2+F112*Prislapp!$F$2+G112*Prislapp!$G$2+H112*Prislapp!$H$2+I112*Prislapp!$I$2+J112*Prislapp!$J$2+K112*Prislapp!$K$2+L112*Prislapp!$L$2+M112*Prislapp!$M$2+N112*Prislapp!$N$2</f>
        <v>47957</v>
      </c>
      <c r="P112" s="42">
        <f>C112*Prislapp!$C$3+D112*Prislapp!$D$3+E112*Prislapp!$E$3+F112*Prislapp!$F$3+G112*Prislapp!$G$3+H112*Prislapp!$H$3+I112*Prislapp!$I$3+J112*Prislapp!$J$3+K112*Prislapp!$K$3+M112*Prislapp!$M$3+N112*Prislapp!$N$3</f>
        <v>57006</v>
      </c>
      <c r="Q112" s="42">
        <f>C112*Prislapp!$C$5+D112*Prislapp!$D$5+E112*Prislapp!$E$5+F112*Prislapp!$F$5+G112*Prislapp!$G$5+H112*Prislapp!$H$5+I112*Prislapp!$I$5+J112*Prislapp!$J$5+K112*Prislapp!$K$5+L112*Prislapp!$L$5+M112*Prislapp!$M$5+N112*Prislapp!$N$5</f>
        <v>69000</v>
      </c>
      <c r="R112" s="9">
        <f>VLOOKUP(A112,'Ansvar kurs'!$A$2:$B$847,2,FALSE)</f>
        <v>1650</v>
      </c>
      <c r="S112" s="159"/>
      <c r="T112" s="159"/>
      <c r="U112" s="159"/>
      <c r="V112" s="159"/>
      <c r="W112" s="159"/>
      <c r="X112" s="159"/>
      <c r="Y112" s="159"/>
      <c r="Z112" s="159"/>
    </row>
    <row r="113" spans="1:26" x14ac:dyDescent="0.25">
      <c r="A113" s="244" t="s">
        <v>582</v>
      </c>
      <c r="B113" s="31" t="s">
        <v>609</v>
      </c>
      <c r="C113" s="31">
        <v>1</v>
      </c>
      <c r="O113" s="42">
        <f>C113*Prislapp!$C$2+D113*Prislapp!$D$2+E113*Prislapp!$E$2+F113*Prislapp!$F$2+G113*Prislapp!$G$2+H113*Prislapp!$H$2+I113*Prislapp!$I$2+J113*Prislapp!$J$2+K113*Prislapp!$K$2+L113*Prislapp!$L$2+M113*Prislapp!$M$2+N113*Prislapp!$N$2</f>
        <v>47957</v>
      </c>
      <c r="P113" s="42">
        <f>C113*Prislapp!$C$3+D113*Prislapp!$D$3+E113*Prislapp!$E$3+F113*Prislapp!$F$3+G113*Prislapp!$G$3+H113*Prislapp!$H$3+I113*Prislapp!$I$3+J113*Prislapp!$J$3+K113*Prislapp!$K$3+M113*Prislapp!$M$3+N113*Prislapp!$N$3</f>
        <v>57006</v>
      </c>
      <c r="Q113" s="42">
        <f>C113*Prislapp!$C$5+D113*Prislapp!$D$5+E113*Prislapp!$E$5+F113*Prislapp!$F$5+G113*Prislapp!$G$5+H113*Prislapp!$H$5+I113*Prislapp!$I$5+J113*Prislapp!$J$5+K113*Prislapp!$K$5+L113*Prislapp!$L$5+M113*Prislapp!$M$5+N113*Prislapp!$N$5</f>
        <v>69000</v>
      </c>
      <c r="R113" s="9">
        <f>VLOOKUP(A113,'Ansvar kurs'!$A$2:$B$847,2,FALSE)</f>
        <v>1650</v>
      </c>
      <c r="S113" s="159"/>
      <c r="T113" s="159"/>
      <c r="U113" s="159"/>
      <c r="V113" s="159"/>
      <c r="W113" s="159"/>
      <c r="X113" s="159"/>
      <c r="Y113" s="159"/>
      <c r="Z113" s="159"/>
    </row>
    <row r="114" spans="1:26" x14ac:dyDescent="0.25">
      <c r="A114" s="244" t="s">
        <v>1021</v>
      </c>
      <c r="B114" s="31" t="s">
        <v>1057</v>
      </c>
      <c r="K114" s="31">
        <v>1</v>
      </c>
      <c r="O114" s="42">
        <f>C114*Prislapp!$C$2+D114*Prislapp!$D$2+E114*Prislapp!$E$2+F114*Prislapp!$F$2+G114*Prislapp!$G$2+H114*Prislapp!$H$2+I114*Prislapp!$I$2+J114*Prislapp!$J$2+K114*Prislapp!$K$2+L114*Prislapp!$L$2+M114*Prislapp!$M$2+N114*Prislapp!$N$2</f>
        <v>21634</v>
      </c>
      <c r="P114" s="42">
        <f>C114*Prislapp!$C$3+D114*Prislapp!$D$3+E114*Prislapp!$E$3+F114*Prislapp!$F$3+G114*Prislapp!$G$3+H114*Prislapp!$H$3+I114*Prislapp!$I$3+J114*Prislapp!$J$3+K114*Prislapp!$K$3+M114*Prislapp!$M$3+N114*Prislapp!$N$3</f>
        <v>26986</v>
      </c>
      <c r="Q114" s="42">
        <f>C114*Prislapp!$C$5+D114*Prislapp!$D$5+E114*Prislapp!$E$5+F114*Prislapp!$F$5+G114*Prislapp!$G$5+H114*Prislapp!$H$5+I114*Prislapp!$I$5+J114*Prislapp!$J$5+K114*Prislapp!$K$5+L114*Prislapp!$L$5+M114*Prislapp!$M$5+N114*Prislapp!$N$5</f>
        <v>3400</v>
      </c>
      <c r="R114" s="9">
        <f>VLOOKUP(A114,'Ansvar kurs'!$A$2:$B$847,2,FALSE)</f>
        <v>1650</v>
      </c>
      <c r="S114" s="159" t="s">
        <v>1287</v>
      </c>
      <c r="T114" s="159" t="s">
        <v>1106</v>
      </c>
      <c r="U114" s="159"/>
      <c r="V114" s="159"/>
      <c r="W114" s="159"/>
      <c r="X114" s="159"/>
      <c r="Y114" s="159"/>
      <c r="Z114" s="159"/>
    </row>
    <row r="115" spans="1:26" x14ac:dyDescent="0.25">
      <c r="A115" s="244" t="s">
        <v>1022</v>
      </c>
      <c r="B115" s="31" t="s">
        <v>1155</v>
      </c>
      <c r="D115" s="31">
        <v>1</v>
      </c>
      <c r="O115" s="42">
        <f>C115*Prislapp!$C$2+D115*Prislapp!$D$2+E115*Prislapp!$E$2+F115*Prislapp!$F$2+G115*Prislapp!$G$2+H115*Prislapp!$H$2+I115*Prislapp!$I$2+J115*Prislapp!$J$2+K115*Prislapp!$K$2+L115*Prislapp!$L$2+M115*Prislapp!$M$2+N115*Prislapp!$N$2</f>
        <v>18405</v>
      </c>
      <c r="P115" s="42">
        <f>C115*Prislapp!$C$3+D115*Prislapp!$D$3+E115*Prislapp!$E$3+F115*Prislapp!$F$3+G115*Prislapp!$G$3+H115*Prislapp!$H$3+I115*Prislapp!$I$3+J115*Prislapp!$J$3+K115*Prislapp!$K$3+M115*Prislapp!$M$3+N115*Prislapp!$N$3</f>
        <v>15773</v>
      </c>
      <c r="Q115" s="42">
        <f>C115*Prislapp!$C$5+D115*Prislapp!$D$5+E115*Prislapp!$E$5+F115*Prislapp!$F$5+G115*Prislapp!$G$5+H115*Prislapp!$H$5+I115*Prislapp!$I$5+J115*Prislapp!$J$5+K115*Prislapp!$K$5+L115*Prislapp!$L$5+M115*Prislapp!$M$5+N115*Prislapp!$N$5</f>
        <v>5800</v>
      </c>
      <c r="R115" s="9">
        <f>VLOOKUP(A115,'Ansvar kurs'!$A$2:$B$847,2,FALSE)</f>
        <v>1650</v>
      </c>
      <c r="S115" s="159" t="s">
        <v>1304</v>
      </c>
      <c r="T115" s="159"/>
      <c r="U115" s="159"/>
      <c r="V115" s="159"/>
      <c r="W115" s="159"/>
      <c r="X115" s="159"/>
      <c r="Y115" s="159"/>
      <c r="Z115" s="159"/>
    </row>
    <row r="116" spans="1:26" x14ac:dyDescent="0.25">
      <c r="A116" s="245" t="s">
        <v>1258</v>
      </c>
      <c r="B116" s="62" t="s">
        <v>1270</v>
      </c>
      <c r="L116" s="31">
        <v>1</v>
      </c>
      <c r="O116" s="42">
        <f>C116*Prislapp!$C$2+D116*Prislapp!$D$2+E116*Prislapp!$E$2+F116*Prislapp!$F$2+G116*Prislapp!$G$2+H116*Prislapp!$H$2+I116*Prislapp!$I$2+J116*Prislapp!$J$2+K116*Prislapp!$K$2+L116*Prislapp!$L$2+M116*Prislapp!$M$2+N116*Prislapp!$N$2</f>
        <v>18505</v>
      </c>
      <c r="P116" s="42">
        <f>C116*Prislapp!$C$3+D116*Prislapp!$D$3+E116*Prislapp!$E$3+F116*Prislapp!$F$3+G116*Prislapp!$G$3+H116*Prislapp!$H$3+I116*Prislapp!$I$3+J116*Prislapp!$J$3+K116*Prislapp!$K$3+M116*Prislapp!$M$3+N116*Prislapp!$N$3</f>
        <v>0</v>
      </c>
      <c r="Q116" s="42">
        <f>C116*Prislapp!$C$5+D116*Prislapp!$D$5+E116*Prislapp!$E$5+F116*Prislapp!$F$5+G116*Prislapp!$G$5+H116*Prislapp!$H$5+I116*Prislapp!$I$5+J116*Prislapp!$J$5+K116*Prislapp!$K$5+L116*Prislapp!$L$5+M116*Prislapp!$M$5+N116*Prislapp!$N$5</f>
        <v>5700</v>
      </c>
      <c r="R116" s="9">
        <f>VLOOKUP(A116,'Ansvar kurs'!$A$2:$B$847,2,FALSE)</f>
        <v>1650</v>
      </c>
      <c r="S116" s="159"/>
      <c r="T116" s="159"/>
      <c r="U116" s="159"/>
      <c r="V116" s="159"/>
      <c r="W116" s="159"/>
      <c r="X116" s="159"/>
      <c r="Y116" s="159"/>
      <c r="Z116" s="159"/>
    </row>
    <row r="117" spans="1:26" x14ac:dyDescent="0.25">
      <c r="A117" s="31" t="s">
        <v>583</v>
      </c>
      <c r="B117" s="31" t="s">
        <v>1156</v>
      </c>
      <c r="K117" s="31">
        <v>1</v>
      </c>
      <c r="O117" s="42">
        <f>C117*Prislapp!$C$2+D117*Prislapp!$D$2+E117*Prislapp!$E$2+F117*Prislapp!$F$2+G117*Prislapp!$G$2+H117*Prislapp!$H$2+I117*Prislapp!$I$2+J117*Prislapp!$J$2+K117*Prislapp!$K$2+L117*Prislapp!$L$2+M117*Prislapp!$M$2+N117*Prislapp!$N$2</f>
        <v>21634</v>
      </c>
      <c r="P117" s="42">
        <f>C117*Prislapp!$C$3+D117*Prislapp!$D$3+E117*Prislapp!$E$3+F117*Prislapp!$F$3+G117*Prislapp!$G$3+H117*Prislapp!$H$3+I117*Prislapp!$I$3+J117*Prislapp!$J$3+K117*Prislapp!$K$3+M117*Prislapp!$M$3+N117*Prislapp!$N$3</f>
        <v>26986</v>
      </c>
      <c r="Q117" s="42">
        <f>C117*Prislapp!$C$5+D117*Prislapp!$D$5+E117*Prislapp!$E$5+F117*Prislapp!$F$5+G117*Prislapp!$G$5+H117*Prislapp!$H$5+I117*Prislapp!$I$5+J117*Prislapp!$J$5+K117*Prislapp!$K$5+L117*Prislapp!$L$5+M117*Prislapp!$M$5+N117*Prislapp!$N$5</f>
        <v>3400</v>
      </c>
      <c r="R117" s="9">
        <f>VLOOKUP(A117,'Ansvar kurs'!$A$2:$B$847,2,FALSE)</f>
        <v>1650</v>
      </c>
      <c r="S117" s="159"/>
      <c r="T117" s="159"/>
      <c r="U117" s="159"/>
      <c r="V117" s="159"/>
      <c r="W117" s="159"/>
      <c r="X117" s="159"/>
      <c r="Y117" s="159"/>
      <c r="Z117" s="159"/>
    </row>
    <row r="118" spans="1:26" x14ac:dyDescent="0.25">
      <c r="A118" s="62" t="s">
        <v>827</v>
      </c>
      <c r="B118" s="31" t="s">
        <v>830</v>
      </c>
      <c r="M118" s="31">
        <v>1</v>
      </c>
      <c r="O118" s="42">
        <f>C118*Prislapp!$C$2+D118*Prislapp!$D$2+E118*Prislapp!$E$2+F118*Prislapp!$F$2+G118*Prislapp!$G$2+H118*Prislapp!$H$2+I118*Prislapp!$I$2+J118*Prislapp!$J$2+K118*Prislapp!$K$2+L118*Prislapp!$L$2+M118*Prislapp!$M$2+N118*Prislapp!$N$2</f>
        <v>15846</v>
      </c>
      <c r="P118" s="42">
        <f>C118*Prislapp!$C$3+D118*Prislapp!$D$3+E118*Prislapp!$E$3+F118*Prislapp!$F$3+G118*Prislapp!$G$3+H118*Prislapp!$H$3+I118*Prislapp!$I$3+J118*Prislapp!$J$3+K118*Prislapp!$K$3+M118*Prislapp!$M$3+N118*Prislapp!$N$3</f>
        <v>26926</v>
      </c>
      <c r="Q118" s="42">
        <f>C118*Prislapp!$C$5+D118*Prislapp!$D$5+E118*Prislapp!$E$5+F118*Prislapp!$F$5+G118*Prislapp!$G$5+H118*Prislapp!$H$5+I118*Prislapp!$I$5+J118*Prislapp!$J$5+K118*Prislapp!$K$5+L118*Prislapp!$L$5+M118*Prislapp!$M$5+N118*Prislapp!$N$5</f>
        <v>17300</v>
      </c>
      <c r="R118" s="9">
        <f>VLOOKUP(A118,'Ansvar kurs'!$A$2:$B$847,2,FALSE)</f>
        <v>1650</v>
      </c>
      <c r="S118" s="159"/>
      <c r="T118" s="159"/>
      <c r="U118" s="159"/>
      <c r="V118" s="159"/>
      <c r="W118" s="159"/>
      <c r="X118" s="159"/>
      <c r="Y118" s="159"/>
      <c r="Z118" s="159"/>
    </row>
    <row r="119" spans="1:26" x14ac:dyDescent="0.25">
      <c r="A119" s="62" t="s">
        <v>828</v>
      </c>
      <c r="B119" s="31" t="s">
        <v>831</v>
      </c>
      <c r="M119" s="31">
        <v>1</v>
      </c>
      <c r="O119" s="42">
        <f>C119*Prislapp!$C$2+D119*Prislapp!$D$2+E119*Prislapp!$E$2+F119*Prislapp!$F$2+G119*Prislapp!$G$2+H119*Prislapp!$H$2+I119*Prislapp!$I$2+J119*Prislapp!$J$2+K119*Prislapp!$K$2+L119*Prislapp!$L$2+M119*Prislapp!$M$2+N119*Prislapp!$N$2</f>
        <v>15846</v>
      </c>
      <c r="P119" s="42">
        <f>C119*Prislapp!$C$3+D119*Prislapp!$D$3+E119*Prislapp!$E$3+F119*Prislapp!$F$3+G119*Prislapp!$G$3+H119*Prislapp!$H$3+I119*Prislapp!$I$3+J119*Prislapp!$J$3+K119*Prislapp!$K$3+M119*Prislapp!$M$3+N119*Prislapp!$N$3</f>
        <v>26926</v>
      </c>
      <c r="Q119" s="42">
        <f>C119*Prislapp!$C$5+D119*Prislapp!$D$5+E119*Prislapp!$E$5+F119*Prislapp!$F$5+G119*Prislapp!$G$5+H119*Prislapp!$H$5+I119*Prislapp!$I$5+J119*Prislapp!$J$5+K119*Prislapp!$K$5+L119*Prislapp!$L$5+M119*Prislapp!$M$5+N119*Prislapp!$N$5</f>
        <v>17300</v>
      </c>
      <c r="R119" s="9">
        <f>VLOOKUP(A119,'Ansvar kurs'!$A$2:$B$847,2,FALSE)</f>
        <v>1650</v>
      </c>
      <c r="S119" s="159"/>
      <c r="T119" s="159"/>
      <c r="U119" s="159"/>
      <c r="V119" s="159"/>
      <c r="W119" s="159"/>
      <c r="X119" s="159"/>
      <c r="Y119" s="159"/>
      <c r="Z119" s="159"/>
    </row>
    <row r="120" spans="1:26" x14ac:dyDescent="0.25">
      <c r="A120" s="59" t="s">
        <v>854</v>
      </c>
      <c r="B120" s="31" t="s">
        <v>885</v>
      </c>
      <c r="M120" s="31">
        <v>1</v>
      </c>
      <c r="O120" s="42">
        <f>C120*Prislapp!$C$2+D120*Prislapp!$D$2+E120*Prislapp!$E$2+F120*Prislapp!$F$2+G120*Prislapp!$G$2+H120*Prislapp!$H$2+I120*Prislapp!$I$2+J120*Prislapp!$J$2+K120*Prislapp!$K$2+L120*Prislapp!$L$2+M120*Prislapp!$M$2+N120*Prislapp!$N$2</f>
        <v>15846</v>
      </c>
      <c r="P120" s="42">
        <f>C120*Prislapp!$C$3+D120*Prislapp!$D$3+E120*Prislapp!$E$3+F120*Prislapp!$F$3+G120*Prislapp!$G$3+H120*Prislapp!$H$3+I120*Prislapp!$I$3+J120*Prislapp!$J$3+K120*Prislapp!$K$3+M120*Prislapp!$M$3+N120*Prislapp!$N$3</f>
        <v>26926</v>
      </c>
      <c r="Q120" s="42">
        <f>C120*Prislapp!$C$5+D120*Prislapp!$D$5+E120*Prislapp!$E$5+F120*Prislapp!$F$5+G120*Prislapp!$G$5+H120*Prislapp!$H$5+I120*Prislapp!$I$5+J120*Prislapp!$J$5+K120*Prislapp!$K$5+L120*Prislapp!$L$5+M120*Prislapp!$M$5+N120*Prislapp!$N$5</f>
        <v>17300</v>
      </c>
      <c r="R120" s="9">
        <f>VLOOKUP(A120,'Ansvar kurs'!$A$2:$B$847,2,FALSE)</f>
        <v>1650</v>
      </c>
      <c r="S120" s="159"/>
      <c r="T120" s="159"/>
      <c r="U120" s="159"/>
      <c r="V120" s="159"/>
      <c r="W120" s="159"/>
      <c r="X120" s="159"/>
      <c r="Y120" s="159"/>
      <c r="Z120" s="159"/>
    </row>
    <row r="121" spans="1:26" x14ac:dyDescent="0.25">
      <c r="A121" s="59" t="s">
        <v>855</v>
      </c>
      <c r="B121" s="31" t="s">
        <v>890</v>
      </c>
      <c r="M121" s="31">
        <v>1</v>
      </c>
      <c r="O121" s="42">
        <f>C121*Prislapp!$C$2+D121*Prislapp!$D$2+E121*Prislapp!$E$2+F121*Prislapp!$F$2+G121*Prislapp!$G$2+H121*Prislapp!$H$2+I121*Prislapp!$I$2+J121*Prislapp!$J$2+K121*Prislapp!$K$2+L121*Prislapp!$L$2+M121*Prislapp!$M$2+N121*Prislapp!$N$2</f>
        <v>15846</v>
      </c>
      <c r="P121" s="42">
        <f>C121*Prislapp!$C$3+D121*Prislapp!$D$3+E121*Prislapp!$E$3+F121*Prislapp!$F$3+G121*Prislapp!$G$3+H121*Prislapp!$H$3+I121*Prislapp!$I$3+J121*Prislapp!$J$3+K121*Prislapp!$K$3+M121*Prislapp!$M$3+N121*Prislapp!$N$3</f>
        <v>26926</v>
      </c>
      <c r="Q121" s="42">
        <f>C121*Prislapp!$C$5+D121*Prislapp!$D$5+E121*Prislapp!$E$5+F121*Prislapp!$F$5+G121*Prislapp!$G$5+H121*Prislapp!$H$5+I121*Prislapp!$I$5+J121*Prislapp!$J$5+K121*Prislapp!$K$5+L121*Prislapp!$L$5+M121*Prislapp!$M$5+N121*Prislapp!$N$5</f>
        <v>17300</v>
      </c>
      <c r="R121" s="9">
        <f>VLOOKUP(A121,'Ansvar kurs'!$A$2:$B$847,2,FALSE)</f>
        <v>1650</v>
      </c>
      <c r="S121" s="159"/>
      <c r="T121" s="159"/>
      <c r="U121" s="159"/>
      <c r="V121" s="159"/>
      <c r="W121" s="159"/>
      <c r="X121" s="159"/>
      <c r="Y121" s="159"/>
      <c r="Z121" s="159"/>
    </row>
    <row r="122" spans="1:26" x14ac:dyDescent="0.25">
      <c r="A122" s="59" t="s">
        <v>1023</v>
      </c>
      <c r="B122" s="31" t="s">
        <v>1123</v>
      </c>
      <c r="C122" s="31">
        <v>1</v>
      </c>
      <c r="O122" s="42">
        <f>C122*Prislapp!$C$2+D122*Prislapp!$D$2+E122*Prislapp!$E$2+F122*Prislapp!$F$2+G122*Prislapp!$G$2+H122*Prislapp!$H$2+I122*Prislapp!$I$2+J122*Prislapp!$J$2+K122*Prislapp!$K$2+L122*Prislapp!$L$2+M122*Prislapp!$M$2+N122*Prislapp!$N$2</f>
        <v>47957</v>
      </c>
      <c r="P122" s="42">
        <f>C122*Prislapp!$C$3+D122*Prislapp!$D$3+E122*Prislapp!$E$3+F122*Prislapp!$F$3+G122*Prislapp!$G$3+H122*Prislapp!$H$3+I122*Prislapp!$I$3+J122*Prislapp!$J$3+K122*Prislapp!$K$3+M122*Prislapp!$M$3+N122*Prislapp!$N$3</f>
        <v>57006</v>
      </c>
      <c r="Q122" s="42">
        <f>C122*Prislapp!$C$5+D122*Prislapp!$D$5+E122*Prislapp!$E$5+F122*Prislapp!$F$5+G122*Prislapp!$G$5+H122*Prislapp!$H$5+I122*Prislapp!$I$5+J122*Prislapp!$J$5+K122*Prislapp!$K$5+L122*Prislapp!$L$5+M122*Prislapp!$M$5+N122*Prislapp!$N$5</f>
        <v>69000</v>
      </c>
      <c r="R122" s="9">
        <f>VLOOKUP(A122,'Ansvar kurs'!$A$2:$B$847,2,FALSE)</f>
        <v>1650</v>
      </c>
      <c r="S122" s="159"/>
      <c r="T122" s="159"/>
      <c r="U122" s="159"/>
      <c r="V122" s="159"/>
      <c r="W122" s="159"/>
      <c r="X122" s="159"/>
      <c r="Y122" s="159"/>
      <c r="Z122" s="159"/>
    </row>
    <row r="123" spans="1:26" x14ac:dyDescent="0.25">
      <c r="A123" s="59" t="s">
        <v>1024</v>
      </c>
      <c r="B123" s="59" t="s">
        <v>1058</v>
      </c>
      <c r="C123" s="31">
        <v>1</v>
      </c>
      <c r="D123" s="31">
        <v>0</v>
      </c>
      <c r="O123" s="42">
        <f>C123*Prislapp!$C$2+D123*Prislapp!$D$2+E123*Prislapp!$E$2+F123*Prislapp!$F$2+G123*Prislapp!$G$2+H123*Prislapp!$H$2+I123*Prislapp!$I$2+J123*Prislapp!$J$2+K123*Prislapp!$K$2+L123*Prislapp!$L$2+M123*Prislapp!$M$2+N123*Prislapp!$N$2</f>
        <v>47957</v>
      </c>
      <c r="P123" s="42">
        <f>C123*Prislapp!$C$3+D123*Prislapp!$D$3+E123*Prislapp!$E$3+F123*Prislapp!$F$3+G123*Prislapp!$G$3+H123*Prislapp!$H$3+I123*Prislapp!$I$3+J123*Prislapp!$J$3+K123*Prislapp!$K$3+M123*Prislapp!$M$3+N123*Prislapp!$N$3</f>
        <v>57006</v>
      </c>
      <c r="Q123" s="42">
        <f>C123*Prislapp!$C$5+D123*Prislapp!$D$5+E123*Prislapp!$E$5+F123*Prislapp!$F$5+G123*Prislapp!$G$5+H123*Prislapp!$H$5+I123*Prislapp!$I$5+J123*Prislapp!$J$5+K123*Prislapp!$K$5+L123*Prislapp!$L$5+M123*Prislapp!$M$5+N123*Prislapp!$N$5</f>
        <v>69000</v>
      </c>
      <c r="R123" s="9">
        <f>VLOOKUP(A123,'Ansvar kurs'!$A$2:$B$847,2,FALSE)</f>
        <v>1650</v>
      </c>
      <c r="S123" s="159" t="s">
        <v>1353</v>
      </c>
      <c r="T123" s="159"/>
      <c r="U123" s="159"/>
      <c r="V123" s="159"/>
      <c r="W123" s="159"/>
      <c r="X123" s="159"/>
      <c r="Y123" s="159"/>
      <c r="Z123" s="159"/>
    </row>
    <row r="124" spans="1:26" x14ac:dyDescent="0.25">
      <c r="A124" s="31" t="s">
        <v>495</v>
      </c>
      <c r="B124" s="31" t="s">
        <v>670</v>
      </c>
      <c r="M124" s="31">
        <v>1</v>
      </c>
      <c r="O124" s="42">
        <f>C124*Prislapp!$C$2+D124*Prislapp!$D$2+E124*Prislapp!$E$2+F124*Prislapp!$F$2+G124*Prislapp!$G$2+H124*Prislapp!$H$2+I124*Prislapp!$I$2+J124*Prislapp!$J$2+K124*Prislapp!$K$2+L124*Prislapp!$L$2+M124*Prislapp!$M$2+N124*Prislapp!$N$2</f>
        <v>15846</v>
      </c>
      <c r="P124" s="42">
        <f>C124*Prislapp!$C$3+D124*Prislapp!$D$3+E124*Prislapp!$E$3+F124*Prislapp!$F$3+G124*Prislapp!$G$3+H124*Prislapp!$H$3+I124*Prislapp!$I$3+J124*Prislapp!$J$3+K124*Prislapp!$K$3+M124*Prislapp!$M$3+N124*Prislapp!$N$3</f>
        <v>26926</v>
      </c>
      <c r="Q124" s="42">
        <f>C124*Prislapp!$C$5+D124*Prislapp!$D$5+E124*Prislapp!$E$5+F124*Prislapp!$F$5+G124*Prislapp!$G$5+H124*Prislapp!$H$5+I124*Prislapp!$I$5+J124*Prislapp!$J$5+K124*Prislapp!$K$5+L124*Prislapp!$L$5+M124*Prislapp!$M$5+N124*Prislapp!$N$5</f>
        <v>17300</v>
      </c>
      <c r="R124" s="9">
        <f>VLOOKUP(A124,'Ansvar kurs'!$A$2:$B$847,2,FALSE)</f>
        <v>1650</v>
      </c>
      <c r="S124" s="159"/>
      <c r="T124" s="159"/>
      <c r="U124" s="159"/>
      <c r="V124" s="159"/>
      <c r="W124" s="159"/>
      <c r="X124" s="159"/>
      <c r="Y124" s="159"/>
      <c r="Z124" s="159"/>
    </row>
    <row r="125" spans="1:26" x14ac:dyDescent="0.25">
      <c r="A125" s="31" t="s">
        <v>566</v>
      </c>
      <c r="B125" s="31" t="s">
        <v>671</v>
      </c>
      <c r="C125" s="31">
        <v>1</v>
      </c>
      <c r="O125" s="42">
        <f>C125*Prislapp!$C$2+D125*Prislapp!$D$2+E125*Prislapp!$E$2+F125*Prislapp!$F$2+G125*Prislapp!$G$2+H125*Prislapp!$H$2+I125*Prislapp!$I$2+J125*Prislapp!$J$2+K125*Prislapp!$K$2+L125*Prislapp!$L$2+M125*Prislapp!$M$2+N125*Prislapp!$N$2</f>
        <v>47957</v>
      </c>
      <c r="P125" s="42">
        <f>C125*Prislapp!$C$3+D125*Prislapp!$D$3+E125*Prislapp!$E$3+F125*Prislapp!$F$3+G125*Prislapp!$G$3+H125*Prislapp!$H$3+I125*Prislapp!$I$3+J125*Prislapp!$J$3+K125*Prislapp!$K$3+M125*Prislapp!$M$3+N125*Prislapp!$N$3</f>
        <v>57006</v>
      </c>
      <c r="Q125" s="42">
        <f>C125*Prislapp!$C$5+D125*Prislapp!$D$5+E125*Prislapp!$E$5+F125*Prislapp!$F$5+G125*Prislapp!$G$5+H125*Prislapp!$H$5+I125*Prislapp!$I$5+J125*Prislapp!$J$5+K125*Prislapp!$K$5+L125*Prislapp!$L$5+M125*Prislapp!$M$5+N125*Prislapp!$N$5</f>
        <v>69000</v>
      </c>
      <c r="R125" s="9">
        <f>VLOOKUP(A125,'Ansvar kurs'!$A$2:$B$847,2,FALSE)</f>
        <v>1650</v>
      </c>
      <c r="S125" s="159"/>
      <c r="T125" s="159"/>
      <c r="U125" s="159"/>
      <c r="V125" s="159"/>
      <c r="W125" s="159"/>
      <c r="X125" s="159"/>
      <c r="Y125" s="159"/>
      <c r="Z125" s="159"/>
    </row>
    <row r="126" spans="1:26" x14ac:dyDescent="0.25">
      <c r="A126" s="31" t="s">
        <v>657</v>
      </c>
      <c r="B126" s="31" t="s">
        <v>360</v>
      </c>
      <c r="D126" s="31">
        <v>1</v>
      </c>
      <c r="F126" s="31">
        <v>0</v>
      </c>
      <c r="O126" s="42">
        <f>C126*Prislapp!$C$2+D126*Prislapp!$D$2+E126*Prislapp!$E$2+F126*Prislapp!$F$2+G126*Prislapp!$G$2+H126*Prislapp!$H$2+I126*Prislapp!$I$2+J126*Prislapp!$J$2+K126*Prislapp!$K$2+L126*Prislapp!$L$2+M126*Prislapp!$M$2+N126*Prislapp!$N$2</f>
        <v>18405</v>
      </c>
      <c r="P126" s="42">
        <f>C126*Prislapp!$C$3+D126*Prislapp!$D$3+E126*Prislapp!$E$3+F126*Prislapp!$F$3+G126*Prislapp!$G$3+H126*Prislapp!$H$3+I126*Prislapp!$I$3+J126*Prislapp!$J$3+K126*Prislapp!$K$3+M126*Prislapp!$M$3+N126*Prislapp!$N$3</f>
        <v>15773</v>
      </c>
      <c r="Q126" s="42">
        <f>C126*Prislapp!$C$5+D126*Prislapp!$D$5+E126*Prislapp!$E$5+F126*Prislapp!$F$5+G126*Prislapp!$G$5+H126*Prislapp!$H$5+I126*Prislapp!$I$5+J126*Prislapp!$J$5+K126*Prislapp!$K$5+L126*Prislapp!$L$5+M126*Prislapp!$M$5+N126*Prislapp!$N$5</f>
        <v>5800</v>
      </c>
      <c r="R126" s="9">
        <f>VLOOKUP(A126,'Ansvar kurs'!$A$2:$B$847,2,FALSE)</f>
        <v>1650</v>
      </c>
      <c r="S126" s="182" t="s">
        <v>1429</v>
      </c>
      <c r="T126" s="159"/>
      <c r="U126" s="159"/>
      <c r="V126" s="159"/>
      <c r="W126" s="159"/>
      <c r="X126" s="159"/>
      <c r="Y126" s="159"/>
      <c r="Z126" s="159"/>
    </row>
    <row r="127" spans="1:26" x14ac:dyDescent="0.25">
      <c r="A127" s="31" t="s">
        <v>658</v>
      </c>
      <c r="B127" s="31" t="s">
        <v>1157</v>
      </c>
      <c r="D127" s="31">
        <v>1</v>
      </c>
      <c r="F127" s="31">
        <v>0</v>
      </c>
      <c r="O127" s="42">
        <f>C127*Prislapp!$C$2+D127*Prislapp!$D$2+E127*Prislapp!$E$2+F127*Prislapp!$F$2+G127*Prislapp!$G$2+H127*Prislapp!$H$2+I127*Prislapp!$I$2+J127*Prislapp!$J$2+K127*Prislapp!$K$2+L127*Prislapp!$L$2+M127*Prislapp!$M$2+N127*Prislapp!$N$2</f>
        <v>18405</v>
      </c>
      <c r="P127" s="42">
        <f>C127*Prislapp!$C$3+D127*Prislapp!$D$3+E127*Prislapp!$E$3+F127*Prislapp!$F$3+G127*Prislapp!$G$3+H127*Prislapp!$H$3+I127*Prislapp!$I$3+J127*Prislapp!$J$3+K127*Prislapp!$K$3+M127*Prislapp!$M$3+N127*Prislapp!$N$3</f>
        <v>15773</v>
      </c>
      <c r="Q127" s="42">
        <f>C127*Prislapp!$C$5+D127*Prislapp!$D$5+E127*Prislapp!$E$5+F127*Prislapp!$F$5+G127*Prislapp!$G$5+H127*Prislapp!$H$5+I127*Prislapp!$I$5+J127*Prislapp!$J$5+K127*Prislapp!$K$5+L127*Prislapp!$L$5+M127*Prislapp!$M$5+N127*Prislapp!$N$5</f>
        <v>5800</v>
      </c>
      <c r="R127" s="9">
        <f>VLOOKUP(A127,'Ansvar kurs'!$A$2:$B$847,2,FALSE)</f>
        <v>1650</v>
      </c>
      <c r="S127" s="182" t="s">
        <v>1429</v>
      </c>
      <c r="T127" s="159"/>
      <c r="U127" s="159"/>
      <c r="V127" s="159"/>
      <c r="W127" s="159"/>
      <c r="X127" s="159"/>
      <c r="Y127" s="159"/>
      <c r="Z127" s="159"/>
    </row>
    <row r="128" spans="1:26" x14ac:dyDescent="0.25">
      <c r="A128" s="244" t="s">
        <v>907</v>
      </c>
      <c r="B128" s="31" t="s">
        <v>908</v>
      </c>
      <c r="D128" s="31">
        <v>1</v>
      </c>
      <c r="O128" s="42">
        <f>C128*Prislapp!$C$2+D128*Prislapp!$D$2+E128*Prislapp!$E$2+F128*Prislapp!$F$2+G128*Prislapp!$G$2+H128*Prislapp!$H$2+I128*Prislapp!$I$2+J128*Prislapp!$J$2+K128*Prislapp!$K$2+L128*Prislapp!$L$2+M128*Prislapp!$M$2+N128*Prislapp!$N$2</f>
        <v>18405</v>
      </c>
      <c r="P128" s="42">
        <f>C128*Prislapp!$C$3+D128*Prislapp!$D$3+E128*Prislapp!$E$3+F128*Prislapp!$F$3+G128*Prislapp!$G$3+H128*Prislapp!$H$3+I128*Prislapp!$I$3+J128*Prislapp!$J$3+K128*Prislapp!$K$3+M128*Prislapp!$M$3+N128*Prislapp!$N$3</f>
        <v>15773</v>
      </c>
      <c r="Q128" s="42">
        <f>C128*Prislapp!$C$5+D128*Prislapp!$D$5+E128*Prislapp!$E$5+F128*Prislapp!$F$5+G128*Prislapp!$G$5+H128*Prislapp!$H$5+I128*Prislapp!$I$5+J128*Prislapp!$J$5+K128*Prislapp!$K$5+L128*Prislapp!$L$5+M128*Prislapp!$M$5+N128*Prislapp!$N$5</f>
        <v>5800</v>
      </c>
      <c r="R128" s="9">
        <f>VLOOKUP(A128,'Ansvar kurs'!$A$2:$B$847,2,FALSE)</f>
        <v>1650</v>
      </c>
      <c r="S128" s="159"/>
      <c r="T128" s="159"/>
      <c r="U128" s="159"/>
      <c r="V128" s="159"/>
      <c r="W128" s="159"/>
      <c r="X128" s="159"/>
      <c r="Y128" s="159"/>
      <c r="Z128" s="159"/>
    </row>
    <row r="129" spans="1:26" x14ac:dyDescent="0.25">
      <c r="A129" s="245" t="s">
        <v>1351</v>
      </c>
      <c r="B129" s="62" t="s">
        <v>1352</v>
      </c>
      <c r="C129" s="31">
        <v>1</v>
      </c>
      <c r="D129" s="31">
        <v>0</v>
      </c>
      <c r="L129" s="31">
        <v>0</v>
      </c>
      <c r="O129" s="42">
        <f>C129*Prislapp!$C$2+D129*Prislapp!$D$2+E129*Prislapp!$E$2+F129*Prislapp!$F$2+G129*Prislapp!$G$2+H129*Prislapp!$H$2+I129*Prislapp!$I$2+J129*Prislapp!$J$2+K129*Prislapp!$K$2+L129*Prislapp!$L$2+M129*Prislapp!$M$2+N129*Prislapp!$N$2</f>
        <v>47957</v>
      </c>
      <c r="P129" s="42">
        <f>C129*Prislapp!$C$3+D129*Prislapp!$D$3+E129*Prislapp!$E$3+F129*Prislapp!$F$3+G129*Prislapp!$G$3+H129*Prislapp!$H$3+I129*Prislapp!$I$3+J129*Prislapp!$J$3+K129*Prislapp!$K$3+M129*Prislapp!$M$3+N129*Prislapp!$N$3</f>
        <v>57006</v>
      </c>
      <c r="Q129" s="42">
        <f>C129*Prislapp!$C$5+D129*Prislapp!$D$5+E129*Prislapp!$E$5+F129*Prislapp!$F$5+G129*Prislapp!$G$5+H129*Prislapp!$H$5+I129*Prislapp!$I$5+J129*Prislapp!$J$5+K129*Prislapp!$K$5+L129*Prislapp!$L$5+M129*Prislapp!$M$5+N129*Prislapp!$N$5</f>
        <v>69000</v>
      </c>
      <c r="R129" s="9">
        <f>VLOOKUP(A129,'Ansvar kurs'!$A$2:$B$847,2,FALSE)</f>
        <v>1650</v>
      </c>
      <c r="S129" s="182" t="s">
        <v>1517</v>
      </c>
      <c r="T129" s="182"/>
      <c r="U129" s="159"/>
      <c r="V129" s="159"/>
      <c r="W129" s="159"/>
      <c r="X129" s="159"/>
      <c r="Y129" s="159"/>
      <c r="Z129" s="159"/>
    </row>
    <row r="130" spans="1:26" x14ac:dyDescent="0.25">
      <c r="A130" s="245" t="s">
        <v>1370</v>
      </c>
      <c r="B130" s="62" t="s">
        <v>1202</v>
      </c>
      <c r="K130" s="31">
        <v>1</v>
      </c>
      <c r="O130" s="42">
        <f>C130*Prislapp!$C$2+D130*Prislapp!$D$2+E130*Prislapp!$E$2+F130*Prislapp!$F$2+G130*Prislapp!$G$2+H130*Prislapp!$H$2+I130*Prislapp!$I$2+J130*Prislapp!$J$2+K130*Prislapp!$K$2+L130*Prislapp!$L$2+M130*Prislapp!$M$2+N130*Prislapp!$N$2</f>
        <v>21634</v>
      </c>
      <c r="P130" s="42">
        <f>C130*Prislapp!$C$3+D130*Prislapp!$D$3+E130*Prislapp!$E$3+F130*Prislapp!$F$3+G130*Prislapp!$G$3+H130*Prislapp!$H$3+I130*Prislapp!$I$3+J130*Prislapp!$J$3+K130*Prislapp!$K$3+M130*Prislapp!$M$3+N130*Prislapp!$N$3</f>
        <v>26986</v>
      </c>
      <c r="Q130" s="42">
        <f>C130*Prislapp!$C$5+D130*Prislapp!$D$5+E130*Prislapp!$E$5+F130*Prislapp!$F$5+G130*Prislapp!$G$5+H130*Prislapp!$H$5+I130*Prislapp!$I$5+J130*Prislapp!$J$5+K130*Prislapp!$K$5+L130*Prislapp!$L$5+M130*Prislapp!$M$5+N130*Prislapp!$N$5</f>
        <v>3400</v>
      </c>
      <c r="R130" s="9">
        <f>VLOOKUP(A130,'Ansvar kurs'!$A$2:$B$847,2,FALSE)</f>
        <v>1650</v>
      </c>
      <c r="S130" s="182" t="s">
        <v>1369</v>
      </c>
      <c r="T130" s="159"/>
      <c r="U130" s="159"/>
      <c r="V130" s="159"/>
      <c r="W130" s="159"/>
      <c r="X130" s="159"/>
      <c r="Y130" s="159"/>
      <c r="Z130" s="159"/>
    </row>
    <row r="131" spans="1:26" x14ac:dyDescent="0.25">
      <c r="A131" s="245" t="s">
        <v>1371</v>
      </c>
      <c r="B131" s="59" t="s">
        <v>1203</v>
      </c>
      <c r="K131" s="31">
        <v>1</v>
      </c>
      <c r="O131" s="42">
        <f>C131*Prislapp!$C$2+D131*Prislapp!$D$2+E131*Prislapp!$E$2+F131*Prislapp!$F$2+G131*Prislapp!$G$2+H131*Prislapp!$H$2+I131*Prislapp!$I$2+J131*Prislapp!$J$2+K131*Prislapp!$K$2+L131*Prislapp!$L$2+M131*Prislapp!$M$2+N131*Prislapp!$N$2</f>
        <v>21634</v>
      </c>
      <c r="P131" s="42">
        <f>C131*Prislapp!$C$3+D131*Prislapp!$D$3+E131*Prislapp!$E$3+F131*Prislapp!$F$3+G131*Prislapp!$G$3+H131*Prislapp!$H$3+I131*Prislapp!$I$3+J131*Prislapp!$J$3+K131*Prislapp!$K$3+M131*Prislapp!$M$3+N131*Prislapp!$N$3</f>
        <v>26986</v>
      </c>
      <c r="Q131" s="42">
        <f>C131*Prislapp!$C$5+D131*Prislapp!$D$5+E131*Prislapp!$E$5+F131*Prislapp!$F$5+G131*Prislapp!$G$5+H131*Prislapp!$H$5+I131*Prislapp!$I$5+J131*Prislapp!$J$5+K131*Prislapp!$K$5+L131*Prislapp!$L$5+M131*Prislapp!$M$5+N131*Prislapp!$N$5</f>
        <v>3400</v>
      </c>
      <c r="R131" s="9">
        <f>VLOOKUP(A131,'Ansvar kurs'!$A$2:$B$847,2,FALSE)</f>
        <v>1650</v>
      </c>
      <c r="S131" s="182" t="s">
        <v>1369</v>
      </c>
      <c r="T131" s="159"/>
      <c r="U131" s="159"/>
      <c r="V131" s="159"/>
      <c r="W131" s="159"/>
      <c r="X131" s="159"/>
      <c r="Y131" s="159"/>
      <c r="Z131" s="159"/>
    </row>
    <row r="132" spans="1:26" x14ac:dyDescent="0.25">
      <c r="A132" s="245" t="s">
        <v>1372</v>
      </c>
      <c r="B132" s="59" t="s">
        <v>1210</v>
      </c>
      <c r="F132" s="31">
        <v>1</v>
      </c>
      <c r="O132" s="42">
        <f>C132*Prislapp!$C$2+D132*Prislapp!$D$2+E132*Prislapp!$E$2+F132*Prislapp!$F$2+G132*Prislapp!$G$2+H132*Prislapp!$H$2+I132*Prislapp!$I$2+J132*Prislapp!$J$2+K132*Prislapp!$K$2+L132*Prislapp!$L$2+M132*Prislapp!$M$2+N132*Prislapp!$N$2</f>
        <v>23641</v>
      </c>
      <c r="P132" s="42">
        <f>C132*Prislapp!$C$3+D132*Prislapp!$D$3+E132*Prislapp!$E$3+F132*Prislapp!$F$3+G132*Prislapp!$G$3+H132*Prislapp!$H$3+I132*Prislapp!$I$3+J132*Prislapp!$J$3+K132*Prislapp!$K$3+M132*Prislapp!$M$3+N132*Prislapp!$N$3</f>
        <v>28786</v>
      </c>
      <c r="Q132" s="42">
        <f>C132*Prislapp!$C$5+D132*Prislapp!$D$5+E132*Prislapp!$E$5+F132*Prislapp!$F$5+G132*Prislapp!$G$5+H132*Prislapp!$H$5+I132*Prislapp!$I$5+J132*Prislapp!$J$5+K132*Prislapp!$K$5+L132*Prislapp!$L$5+M132*Prislapp!$M$5+N132*Prislapp!$N$5</f>
        <v>5800</v>
      </c>
      <c r="R132" s="9">
        <f>VLOOKUP(A132,'Ansvar kurs'!$A$2:$B$847,2,FALSE)</f>
        <v>1650</v>
      </c>
      <c r="S132" s="182" t="s">
        <v>1369</v>
      </c>
      <c r="T132" s="159"/>
      <c r="U132" s="159"/>
      <c r="V132" s="159"/>
      <c r="W132" s="159"/>
      <c r="X132" s="159"/>
      <c r="Y132" s="159"/>
      <c r="Z132" s="159"/>
    </row>
    <row r="133" spans="1:26" x14ac:dyDescent="0.25">
      <c r="A133" t="s">
        <v>1617</v>
      </c>
      <c r="B133" s="62" t="s">
        <v>1333</v>
      </c>
      <c r="C133" s="31">
        <v>1</v>
      </c>
      <c r="O133" s="42">
        <f>C133*Prislapp!$C$2+D133*Prislapp!$D$2+E133*Prislapp!$E$2+F133*Prislapp!$F$2+G133*Prislapp!$G$2+H133*Prislapp!$H$2+I133*Prislapp!$I$2+J133*Prislapp!$J$2+K133*Prislapp!$K$2+L133*Prislapp!$L$2+M133*Prislapp!$M$2+N133*Prislapp!$N$2</f>
        <v>47957</v>
      </c>
      <c r="P133" s="42">
        <f>C133*Prislapp!$C$3+D133*Prislapp!$D$3+E133*Prislapp!$E$3+F133*Prislapp!$F$3+G133*Prislapp!$G$3+H133*Prislapp!$H$3+I133*Prislapp!$I$3+J133*Prislapp!$J$3+K133*Prislapp!$K$3+M133*Prislapp!$M$3+N133*Prislapp!$N$3</f>
        <v>57006</v>
      </c>
      <c r="Q133" s="42">
        <f>C133*Prislapp!$C$5+D133*Prislapp!$D$5+E133*Prislapp!$E$5+F133*Prislapp!$F$5+G133*Prislapp!$G$5+H133*Prislapp!$H$5+I133*Prislapp!$I$5+J133*Prislapp!$J$5+K133*Prislapp!$K$5+L133*Prislapp!$L$5+M133*Prislapp!$M$5+N133*Prislapp!$N$5</f>
        <v>69000</v>
      </c>
      <c r="R133" s="9">
        <f>VLOOKUP(A133,'Ansvar kurs'!$A$2:$B$847,2,FALSE)</f>
        <v>1650</v>
      </c>
      <c r="S133" s="159" t="s">
        <v>1902</v>
      </c>
      <c r="T133" s="159"/>
      <c r="U133" s="159"/>
      <c r="V133" s="159"/>
      <c r="W133" s="159"/>
      <c r="X133" s="159"/>
      <c r="Y133" s="159"/>
      <c r="Z133" s="159"/>
    </row>
    <row r="134" spans="1:26" x14ac:dyDescent="0.25">
      <c r="A134" s="245" t="s">
        <v>1618</v>
      </c>
      <c r="B134" s="62" t="s">
        <v>1650</v>
      </c>
      <c r="D134" s="31">
        <v>1</v>
      </c>
      <c r="O134" s="42">
        <f>C134*Prislapp!$C$2+D134*Prislapp!$D$2+E134*Prislapp!$E$2+F134*Prislapp!$F$2+G134*Prislapp!$G$2+H134*Prislapp!$H$2+I134*Prislapp!$I$2+J134*Prislapp!$J$2+K134*Prislapp!$K$2+L134*Prislapp!$L$2+M134*Prislapp!$M$2+N134*Prislapp!$N$2</f>
        <v>18405</v>
      </c>
      <c r="P134" s="42">
        <f>C134*Prislapp!$C$3+D134*Prislapp!$D$3+E134*Prislapp!$E$3+F134*Prislapp!$F$3+G134*Prislapp!$G$3+H134*Prislapp!$H$3+I134*Prislapp!$I$3+J134*Prislapp!$J$3+K134*Prislapp!$K$3+M134*Prislapp!$M$3+N134*Prislapp!$N$3</f>
        <v>15773</v>
      </c>
      <c r="Q134" s="42">
        <f>C134*Prislapp!$C$5+D134*Prislapp!$D$5+E134*Prislapp!$E$5+F134*Prislapp!$F$5+G134*Prislapp!$G$5+H134*Prislapp!$H$5+I134*Prislapp!$I$5+J134*Prislapp!$J$5+K134*Prislapp!$K$5+L134*Prislapp!$L$5+M134*Prislapp!$M$5+N134*Prislapp!$N$5</f>
        <v>5800</v>
      </c>
      <c r="R134" s="9">
        <f>VLOOKUP(A134,'Ansvar kurs'!$A$2:$B$847,2,FALSE)</f>
        <v>1650</v>
      </c>
      <c r="S134" s="159"/>
      <c r="T134" s="159"/>
      <c r="U134" s="159"/>
      <c r="V134" s="159"/>
      <c r="W134" s="159"/>
      <c r="X134" s="159"/>
      <c r="Y134" s="159"/>
      <c r="Z134" s="159"/>
    </row>
    <row r="135" spans="1:26" x14ac:dyDescent="0.25">
      <c r="A135" s="59" t="s">
        <v>1559</v>
      </c>
      <c r="B135" s="59" t="s">
        <v>1592</v>
      </c>
      <c r="M135" s="31">
        <v>1</v>
      </c>
      <c r="O135" s="42">
        <f>C135*Prislapp!$C$2+D135*Prislapp!$D$2+E135*Prislapp!$E$2+F135*Prislapp!$F$2+G135*Prislapp!$G$2+H135*Prislapp!$H$2+I135*Prislapp!$I$2+J135*Prislapp!$J$2+K135*Prislapp!$K$2+L135*Prislapp!$L$2+M135*Prislapp!$M$2+N135*Prislapp!$N$2</f>
        <v>15846</v>
      </c>
      <c r="P135" s="42">
        <f>C135*Prislapp!$C$3+D135*Prislapp!$D$3+E135*Prislapp!$E$3+F135*Prislapp!$F$3+G135*Prislapp!$G$3+H135*Prislapp!$H$3+I135*Prislapp!$I$3+J135*Prislapp!$J$3+K135*Prislapp!$K$3+M135*Prislapp!$M$3+N135*Prislapp!$N$3</f>
        <v>26926</v>
      </c>
      <c r="Q135" s="42">
        <f>C135*Prislapp!$C$5+D135*Prislapp!$D$5+E135*Prislapp!$E$5+F135*Prislapp!$F$5+G135*Prislapp!$G$5+H135*Prislapp!$H$5+I135*Prislapp!$I$5+J135*Prislapp!$J$5+K135*Prislapp!$K$5+L135*Prislapp!$L$5+M135*Prislapp!$M$5+N135*Prislapp!$N$5</f>
        <v>17300</v>
      </c>
      <c r="R135" s="9">
        <f>VLOOKUP(A135,'Ansvar kurs'!$A$2:$B$847,2,FALSE)</f>
        <v>1650</v>
      </c>
    </row>
    <row r="136" spans="1:26" x14ac:dyDescent="0.25">
      <c r="A136" s="245" t="s">
        <v>1459</v>
      </c>
      <c r="B136" s="307" t="s">
        <v>1462</v>
      </c>
      <c r="D136" s="31">
        <v>0</v>
      </c>
      <c r="M136" s="31">
        <v>1</v>
      </c>
      <c r="O136" s="42">
        <f>C136*Prislapp!$C$2+D136*Prislapp!$D$2+E136*Prislapp!$E$2+F136*Prislapp!$F$2+G136*Prislapp!$G$2+H136*Prislapp!$H$2+I136*Prislapp!$I$2+J136*Prislapp!$J$2+K136*Prislapp!$K$2+L136*Prislapp!$L$2+M136*Prislapp!$M$2+N136*Prislapp!$N$2</f>
        <v>15846</v>
      </c>
      <c r="P136" s="42">
        <f>C136*Prislapp!$C$3+D136*Prislapp!$D$3+E136*Prislapp!$E$3+F136*Prislapp!$F$3+G136*Prislapp!$G$3+H136*Prislapp!$H$3+I136*Prislapp!$I$3+J136*Prislapp!$J$3+K136*Prislapp!$K$3+M136*Prislapp!$M$3+N136*Prislapp!$N$3</f>
        <v>26926</v>
      </c>
      <c r="Q136" s="42">
        <f>C136*Prislapp!$C$5+D136*Prislapp!$D$5+E136*Prislapp!$E$5+F136*Prislapp!$F$5+G136*Prislapp!$G$5+H136*Prislapp!$H$5+I136*Prislapp!$I$5+J136*Prislapp!$J$5+K136*Prislapp!$K$5+L136*Prislapp!$L$5+M136*Prislapp!$M$5+N136*Prislapp!$N$5</f>
        <v>17300</v>
      </c>
      <c r="R136" s="9">
        <f>VLOOKUP(A136,'Ansvar kurs'!$A$2:$B$847,2,FALSE)</f>
        <v>1650</v>
      </c>
      <c r="S136" s="182" t="s">
        <v>1702</v>
      </c>
      <c r="T136" s="159"/>
      <c r="U136" s="159"/>
      <c r="V136" s="159"/>
      <c r="W136" s="159"/>
      <c r="X136" s="159"/>
      <c r="Y136" s="159"/>
      <c r="Z136" s="159"/>
    </row>
    <row r="137" spans="1:26" x14ac:dyDescent="0.25">
      <c r="A137" s="245" t="s">
        <v>1460</v>
      </c>
      <c r="B137" s="307" t="s">
        <v>1463</v>
      </c>
      <c r="M137" s="31">
        <v>1</v>
      </c>
      <c r="O137" s="42">
        <f>C137*Prislapp!$C$2+D137*Prislapp!$D$2+E137*Prislapp!$E$2+F137*Prislapp!$F$2+G137*Prislapp!$G$2+H137*Prislapp!$H$2+I137*Prislapp!$I$2+J137*Prislapp!$J$2+K137*Prislapp!$K$2+L137*Prislapp!$L$2+M137*Prislapp!$M$2+N137*Prislapp!$N$2</f>
        <v>15846</v>
      </c>
      <c r="P137" s="42">
        <f>C137*Prislapp!$C$3+D137*Prislapp!$D$3+E137*Prislapp!$E$3+F137*Prislapp!$F$3+G137*Prislapp!$G$3+H137*Prislapp!$H$3+I137*Prislapp!$I$3+J137*Prislapp!$J$3+K137*Prislapp!$K$3+M137*Prislapp!$M$3+N137*Prislapp!$N$3</f>
        <v>26926</v>
      </c>
      <c r="Q137" s="42">
        <f>C137*Prislapp!$C$5+D137*Prislapp!$D$5+E137*Prislapp!$E$5+F137*Prislapp!$F$5+G137*Prislapp!$G$5+H137*Prislapp!$H$5+I137*Prislapp!$I$5+J137*Prislapp!$J$5+K137*Prislapp!$K$5+L137*Prislapp!$L$5+M137*Prislapp!$M$5+N137*Prislapp!$N$5</f>
        <v>17300</v>
      </c>
      <c r="R137" s="9">
        <f>VLOOKUP(A137,'Ansvar kurs'!$A$2:$B$847,2,FALSE)</f>
        <v>1650</v>
      </c>
      <c r="S137" s="182"/>
      <c r="T137" s="159"/>
      <c r="U137" s="159"/>
      <c r="V137" s="159"/>
      <c r="W137" s="159"/>
      <c r="X137" s="159"/>
      <c r="Y137" s="159"/>
      <c r="Z137" s="159"/>
    </row>
    <row r="138" spans="1:26" x14ac:dyDescent="0.25">
      <c r="A138" s="245" t="s">
        <v>1461</v>
      </c>
      <c r="B138" s="307" t="s">
        <v>1424</v>
      </c>
      <c r="D138" s="31">
        <v>0</v>
      </c>
      <c r="M138" s="31">
        <v>1</v>
      </c>
      <c r="O138" s="42">
        <f>C138*Prislapp!$C$2+D138*Prislapp!$D$2+E138*Prislapp!$E$2+F138*Prislapp!$F$2+G138*Prislapp!$G$2+H138*Prislapp!$H$2+I138*Prislapp!$I$2+J138*Prislapp!$J$2+K138*Prislapp!$K$2+L138*Prislapp!$L$2+M138*Prislapp!$M$2+N138*Prislapp!$N$2</f>
        <v>15846</v>
      </c>
      <c r="P138" s="42">
        <f>C138*Prislapp!$C$3+D138*Prislapp!$D$3+E138*Prislapp!$E$3+F138*Prislapp!$F$3+G138*Prislapp!$G$3+H138*Prislapp!$H$3+I138*Prislapp!$I$3+J138*Prislapp!$J$3+K138*Prislapp!$K$3+M138*Prislapp!$M$3+N138*Prislapp!$N$3</f>
        <v>26926</v>
      </c>
      <c r="Q138" s="42">
        <f>C138*Prislapp!$C$5+D138*Prislapp!$D$5+E138*Prislapp!$E$5+F138*Prislapp!$F$5+G138*Prislapp!$G$5+H138*Prislapp!$H$5+I138*Prislapp!$I$5+J138*Prislapp!$J$5+K138*Prislapp!$K$5+L138*Prislapp!$L$5+M138*Prislapp!$M$5+N138*Prislapp!$N$5</f>
        <v>17300</v>
      </c>
      <c r="R138" s="9">
        <f>VLOOKUP(A138,'Ansvar kurs'!$A$2:$B$847,2,FALSE)</f>
        <v>1650</v>
      </c>
      <c r="S138" s="182" t="s">
        <v>1702</v>
      </c>
      <c r="T138" s="159"/>
      <c r="U138" s="159"/>
      <c r="V138" s="159"/>
      <c r="W138" s="159"/>
      <c r="X138" s="159"/>
      <c r="Y138" s="159"/>
      <c r="Z138" s="159"/>
    </row>
    <row r="139" spans="1:26" x14ac:dyDescent="0.25">
      <c r="A139" s="245" t="s">
        <v>1615</v>
      </c>
      <c r="B139" s="62" t="s">
        <v>1846</v>
      </c>
      <c r="D139" s="31">
        <v>1</v>
      </c>
      <c r="O139" s="42">
        <f>C139*Prislapp!$C$2+D139*Prislapp!$D$2+E139*Prislapp!$E$2+F139*Prislapp!$F$2+G139*Prislapp!$G$2+H139*Prislapp!$H$2+I139*Prislapp!$I$2+J139*Prislapp!$J$2+K139*Prislapp!$K$2+L139*Prislapp!$L$2+M139*Prislapp!$M$2+N139*Prislapp!$N$2</f>
        <v>18405</v>
      </c>
      <c r="P139" s="42">
        <f>C139*Prislapp!$C$3+D139*Prislapp!$D$3+E139*Prislapp!$E$3+F139*Prislapp!$F$3+G139*Prislapp!$G$3+H139*Prislapp!$H$3+I139*Prislapp!$I$3+J139*Prislapp!$J$3+K139*Prislapp!$K$3+M139*Prislapp!$M$3+N139*Prislapp!$N$3</f>
        <v>15773</v>
      </c>
      <c r="Q139" s="42">
        <f>C139*Prislapp!$C$5+D139*Prislapp!$D$5+E139*Prislapp!$E$5+F139*Prislapp!$F$5+G139*Prislapp!$G$5+H139*Prislapp!$H$5+I139*Prislapp!$I$5+J139*Prislapp!$J$5+K139*Prislapp!$K$5+L139*Prislapp!$L$5+M139*Prislapp!$M$5+N139*Prislapp!$N$5</f>
        <v>5800</v>
      </c>
      <c r="R139" s="9">
        <f>VLOOKUP(A139,'Ansvar kurs'!$A$2:$B$847,2,FALSE)</f>
        <v>1650</v>
      </c>
      <c r="S139" s="182"/>
      <c r="T139" s="159"/>
      <c r="U139" s="159"/>
      <c r="V139" s="159"/>
      <c r="W139" s="159"/>
      <c r="X139" s="159"/>
      <c r="Y139" s="159"/>
      <c r="Z139" s="159"/>
    </row>
    <row r="140" spans="1:26" x14ac:dyDescent="0.25">
      <c r="A140" s="245" t="s">
        <v>1703</v>
      </c>
      <c r="B140" s="307" t="s">
        <v>1427</v>
      </c>
      <c r="M140" s="31">
        <v>1</v>
      </c>
      <c r="O140" s="42">
        <f>C140*Prislapp!$C$2+D140*Prislapp!$D$2+E140*Prislapp!$E$2+F140*Prislapp!$F$2+G140*Prislapp!$G$2+H140*Prislapp!$H$2+I140*Prislapp!$I$2+J140*Prislapp!$J$2+K140*Prislapp!$K$2+L140*Prislapp!$L$2+M140*Prislapp!$M$2+N140*Prislapp!$N$2</f>
        <v>15846</v>
      </c>
      <c r="P140" s="42">
        <f>C140*Prislapp!$C$3+D140*Prislapp!$D$3+E140*Prislapp!$E$3+F140*Prislapp!$F$3+G140*Prislapp!$G$3+H140*Prislapp!$H$3+I140*Prislapp!$I$3+J140*Prislapp!$J$3+K140*Prislapp!$K$3+M140*Prislapp!$M$3+N140*Prislapp!$N$3</f>
        <v>26926</v>
      </c>
      <c r="Q140" s="42">
        <f>C140*Prislapp!$C$5+D140*Prislapp!$D$5+E140*Prislapp!$E$5+F140*Prislapp!$F$5+G140*Prislapp!$G$5+H140*Prislapp!$H$5+I140*Prislapp!$I$5+J140*Prislapp!$J$5+K140*Prislapp!$K$5+L140*Prislapp!$L$5+M140*Prislapp!$M$5+N140*Prislapp!$N$5</f>
        <v>17300</v>
      </c>
      <c r="R140" s="9">
        <f>VLOOKUP(A140,'Ansvar kurs'!$A$2:$B$847,2,FALSE)</f>
        <v>1650</v>
      </c>
      <c r="S140" s="182" t="s">
        <v>1702</v>
      </c>
      <c r="T140" s="159"/>
      <c r="U140" s="159"/>
      <c r="V140" s="159"/>
      <c r="W140" s="159"/>
      <c r="X140" s="159"/>
      <c r="Y140" s="159"/>
      <c r="Z140" s="159"/>
    </row>
    <row r="141" spans="1:26" x14ac:dyDescent="0.25">
      <c r="A141" s="245" t="s">
        <v>1651</v>
      </c>
      <c r="B141" s="62" t="s">
        <v>1652</v>
      </c>
      <c r="D141" s="31">
        <v>1</v>
      </c>
      <c r="O141" s="42">
        <f>C141*Prislapp!$C$2+D141*Prislapp!$D$2+E141*Prislapp!$E$2+F141*Prislapp!$F$2+G141*Prislapp!$G$2+H141*Prislapp!$H$2+I141*Prislapp!$I$2+J141*Prislapp!$J$2+K141*Prislapp!$K$2+L141*Prislapp!$L$2+M141*Prislapp!$M$2+N141*Prislapp!$N$2</f>
        <v>18405</v>
      </c>
      <c r="P141" s="42">
        <f>C141*Prislapp!$C$3+D141*Prislapp!$D$3+E141*Prislapp!$E$3+F141*Prislapp!$F$3+G141*Prislapp!$G$3+H141*Prislapp!$H$3+I141*Prislapp!$I$3+J141*Prislapp!$J$3+K141*Prislapp!$K$3+M141*Prislapp!$M$3+N141*Prislapp!$N$3</f>
        <v>15773</v>
      </c>
      <c r="Q141" s="42">
        <f>C141*Prislapp!$C$5+D141*Prislapp!$D$5+E141*Prislapp!$E$5+F141*Prislapp!$F$5+G141*Prislapp!$G$5+H141*Prislapp!$H$5+I141*Prislapp!$I$5+J141*Prislapp!$J$5+K141*Prislapp!$K$5+L141*Prislapp!$L$5+M141*Prislapp!$M$5+N141*Prislapp!$N$5</f>
        <v>5800</v>
      </c>
      <c r="R141" s="9">
        <f>VLOOKUP(A141,'Ansvar kurs'!$A$2:$B$847,2,FALSE)</f>
        <v>1650</v>
      </c>
      <c r="S141" s="182"/>
      <c r="T141" s="159"/>
      <c r="U141" s="159"/>
      <c r="V141" s="159"/>
      <c r="W141" s="159"/>
      <c r="X141" s="159"/>
      <c r="Y141" s="159"/>
      <c r="Z141" s="159"/>
    </row>
    <row r="142" spans="1:26" x14ac:dyDescent="0.25">
      <c r="A142" s="245" t="s">
        <v>1716</v>
      </c>
      <c r="B142" t="s">
        <v>1717</v>
      </c>
      <c r="D142" s="31">
        <v>1</v>
      </c>
      <c r="O142" s="42">
        <f>C142*Prislapp!$C$2+D142*Prislapp!$D$2+E142*Prislapp!$E$2+F142*Prislapp!$F$2+G142*Prislapp!$G$2+H142*Prislapp!$H$2+I142*Prislapp!$I$2+J142*Prislapp!$J$2+K142*Prislapp!$K$2+L142*Prislapp!$L$2+M142*Prislapp!$M$2+N142*Prislapp!$N$2</f>
        <v>18405</v>
      </c>
      <c r="P142" s="42">
        <f>C142*Prislapp!$C$3+D142*Prislapp!$D$3+E142*Prislapp!$E$3+F142*Prislapp!$F$3+G142*Prislapp!$G$3+H142*Prislapp!$H$3+I142*Prislapp!$I$3+J142*Prislapp!$J$3+K142*Prislapp!$K$3+M142*Prislapp!$M$3+N142*Prislapp!$N$3</f>
        <v>15773</v>
      </c>
      <c r="Q142" s="42">
        <f>C142*Prislapp!$C$5+D142*Prislapp!$D$5+E142*Prislapp!$E$5+F142*Prislapp!$F$5+G142*Prislapp!$G$5+H142*Prislapp!$H$5+I142*Prislapp!$I$5+J142*Prislapp!$J$5+K142*Prislapp!$K$5+L142*Prislapp!$L$5+M142*Prislapp!$M$5+N142*Prislapp!$N$5</f>
        <v>5800</v>
      </c>
      <c r="R142" s="9">
        <f>VLOOKUP(A142,'Ansvar kurs'!$A$2:$B$847,2,FALSE)</f>
        <v>1650</v>
      </c>
      <c r="S142" s="159"/>
      <c r="T142" s="159"/>
      <c r="U142" s="159"/>
      <c r="V142" s="159"/>
      <c r="W142" s="159"/>
      <c r="X142" s="159"/>
      <c r="Y142" s="159"/>
      <c r="Z142" s="159"/>
    </row>
    <row r="143" spans="1:26" x14ac:dyDescent="0.25">
      <c r="A143" s="245" t="s">
        <v>1709</v>
      </c>
      <c r="B143" s="62" t="s">
        <v>1711</v>
      </c>
      <c r="K143" s="31">
        <v>1</v>
      </c>
      <c r="O143" s="42">
        <f>C143*Prislapp!$C$2+D143*Prislapp!$D$2+E143*Prislapp!$E$2+F143*Prislapp!$F$2+G143*Prislapp!$G$2+H143*Prislapp!$H$2+I143*Prislapp!$I$2+J143*Prislapp!$J$2+K143*Prislapp!$K$2+L143*Prislapp!$L$2+M143*Prislapp!$M$2+N143*Prislapp!$N$2</f>
        <v>21634</v>
      </c>
      <c r="P143" s="42">
        <f>C143*Prislapp!$C$3+D143*Prislapp!$D$3+E143*Prislapp!$E$3+F143*Prislapp!$F$3+G143*Prislapp!$G$3+H143*Prislapp!$H$3+I143*Prislapp!$I$3+J143*Prislapp!$J$3+K143*Prislapp!$K$3+M143*Prislapp!$M$3+N143*Prislapp!$N$3</f>
        <v>26986</v>
      </c>
      <c r="Q143" s="42">
        <f>C143*Prislapp!$C$5+D143*Prislapp!$D$5+E143*Prislapp!$E$5+F143*Prislapp!$F$5+G143*Prislapp!$G$5+H143*Prislapp!$H$5+I143*Prislapp!$I$5+J143*Prislapp!$J$5+K143*Prislapp!$K$5+L143*Prislapp!$L$5+M143*Prislapp!$M$5+N143*Prislapp!$N$5</f>
        <v>3400</v>
      </c>
      <c r="R143" s="9">
        <f>VLOOKUP(A143,'Ansvar kurs'!$A$2:$B$847,2,FALSE)</f>
        <v>1650</v>
      </c>
      <c r="S143" s="182"/>
      <c r="T143" s="159"/>
      <c r="U143" s="159"/>
      <c r="V143" s="159"/>
      <c r="W143" s="159"/>
      <c r="X143" s="159"/>
      <c r="Y143" s="159"/>
      <c r="Z143" s="159"/>
    </row>
    <row r="144" spans="1:26" x14ac:dyDescent="0.25">
      <c r="A144" s="245" t="s">
        <v>1734</v>
      </c>
      <c r="B144" s="62" t="s">
        <v>1742</v>
      </c>
      <c r="M144" s="31">
        <v>1</v>
      </c>
      <c r="O144" s="42">
        <f>C144*Prislapp!$C$2+D144*Prislapp!$D$2+E144*Prislapp!$E$2+F144*Prislapp!$F$2+G144*Prislapp!$G$2+H144*Prislapp!$H$2+I144*Prislapp!$I$2+J144*Prislapp!$J$2+K144*Prislapp!$K$2+L144*Prislapp!$L$2+M144*Prislapp!$M$2+N144*Prislapp!$N$2</f>
        <v>15846</v>
      </c>
      <c r="P144" s="42">
        <f>C144*Prislapp!$C$3+D144*Prislapp!$D$3+E144*Prislapp!$E$3+F144*Prislapp!$F$3+G144*Prislapp!$G$3+H144*Prislapp!$H$3+I144*Prislapp!$I$3+J144*Prislapp!$J$3+K144*Prislapp!$K$3+M144*Prislapp!$M$3+N144*Prislapp!$N$3</f>
        <v>26926</v>
      </c>
      <c r="Q144" s="42">
        <f>C144*Prislapp!$C$5+D144*Prislapp!$D$5+E144*Prislapp!$E$5+F144*Prislapp!$F$5+G144*Prislapp!$G$5+H144*Prislapp!$H$5+I144*Prislapp!$I$5+J144*Prislapp!$J$5+K144*Prislapp!$K$5+L144*Prislapp!$L$5+M144*Prislapp!$M$5+N144*Prislapp!$N$5</f>
        <v>17300</v>
      </c>
      <c r="R144" s="9">
        <f>VLOOKUP(A144,'Ansvar kurs'!$A$2:$B$847,2,FALSE)</f>
        <v>1650</v>
      </c>
      <c r="S144" s="182"/>
      <c r="T144" s="159"/>
      <c r="U144" s="159"/>
      <c r="V144" s="159"/>
      <c r="W144" s="159"/>
      <c r="X144" s="159"/>
      <c r="Y144" s="159"/>
      <c r="Z144" s="159"/>
    </row>
    <row r="145" spans="1:26" x14ac:dyDescent="0.25">
      <c r="A145" s="245" t="s">
        <v>1820</v>
      </c>
      <c r="B145" s="62" t="s">
        <v>1830</v>
      </c>
      <c r="C145" s="31">
        <v>1</v>
      </c>
      <c r="D145" s="31">
        <v>0</v>
      </c>
      <c r="O145" s="42">
        <f>C145*Prislapp!$C$2+D145*Prislapp!$D$2+E145*Prislapp!$E$2+F145*Prislapp!$F$2+G145*Prislapp!$G$2+H145*Prislapp!$H$2+I145*Prislapp!$I$2+J145*Prislapp!$J$2+K145*Prislapp!$K$2+L145*Prislapp!$L$2+M145*Prislapp!$M$2+N145*Prislapp!$N$2</f>
        <v>47957</v>
      </c>
      <c r="P145" s="42">
        <f>C145*Prislapp!$C$3+D145*Prislapp!$D$3+E145*Prislapp!$E$3+F145*Prislapp!$F$3+G145*Prislapp!$G$3+H145*Prislapp!$H$3+I145*Prislapp!$I$3+J145*Prislapp!$J$3+K145*Prislapp!$K$3+M145*Prislapp!$M$3+N145*Prislapp!$N$3</f>
        <v>57006</v>
      </c>
      <c r="Q145" s="42">
        <f>C145*Prislapp!$C$5+D145*Prislapp!$D$5+E145*Prislapp!$E$5+F145*Prislapp!$F$5+G145*Prislapp!$G$5+H145*Prislapp!$H$5+I145*Prislapp!$I$5+J145*Prislapp!$J$5+K145*Prislapp!$K$5+L145*Prislapp!$L$5+M145*Prislapp!$M$5+N145*Prislapp!$N$5</f>
        <v>69000</v>
      </c>
      <c r="R145" s="9">
        <f>VLOOKUP(A145,'Ansvar kurs'!$A$2:$B$847,2,FALSE)</f>
        <v>1650</v>
      </c>
      <c r="S145" s="159" t="s">
        <v>1906</v>
      </c>
      <c r="T145" s="159"/>
      <c r="U145" s="159"/>
      <c r="V145" s="159"/>
      <c r="W145" s="159"/>
      <c r="X145" s="159"/>
      <c r="Y145" s="159"/>
      <c r="Z145" s="159"/>
    </row>
    <row r="146" spans="1:26" x14ac:dyDescent="0.25">
      <c r="A146" s="421" t="s">
        <v>1853</v>
      </c>
      <c r="B146" s="62" t="s">
        <v>1872</v>
      </c>
      <c r="C146" s="31">
        <v>1</v>
      </c>
      <c r="O146" s="42">
        <f>C146*Prislapp!$C$2+D146*Prislapp!$D$2+E146*Prislapp!$E$2+F146*Prislapp!$F$2+G146*Prislapp!$G$2+H146*Prislapp!$H$2+I146*Prislapp!$I$2+J146*Prislapp!$J$2+K146*Prislapp!$K$2+L146*Prislapp!$L$2+M146*Prislapp!$M$2+N146*Prislapp!$N$2</f>
        <v>47957</v>
      </c>
      <c r="P146" s="42">
        <f>C146*Prislapp!$C$3+D146*Prislapp!$D$3+E146*Prislapp!$E$3+F146*Prislapp!$F$3+G146*Prislapp!$G$3+H146*Prislapp!$H$3+I146*Prislapp!$I$3+J146*Prislapp!$J$3+K146*Prislapp!$K$3+M146*Prislapp!$M$3+N146*Prislapp!$N$3</f>
        <v>57006</v>
      </c>
      <c r="Q146" s="42">
        <f>C146*Prislapp!$C$5+D146*Prislapp!$D$5+E146*Prislapp!$E$5+F146*Prislapp!$F$5+G146*Prislapp!$G$5+H146*Prislapp!$H$5+I146*Prislapp!$I$5+J146*Prislapp!$J$5+K146*Prislapp!$K$5+L146*Prislapp!$L$5+M146*Prislapp!$M$5+N146*Prislapp!$N$5</f>
        <v>69000</v>
      </c>
      <c r="R146" s="9">
        <f>VLOOKUP(A146,'Ansvar kurs'!$A$2:$B$847,2,FALSE)</f>
        <v>1650</v>
      </c>
      <c r="S146" s="159"/>
      <c r="T146" s="159"/>
      <c r="U146" s="159"/>
      <c r="V146" s="159"/>
      <c r="W146" s="159"/>
      <c r="X146" s="159"/>
      <c r="Y146" s="159"/>
      <c r="Z146" s="159"/>
    </row>
    <row r="147" spans="1:26" x14ac:dyDescent="0.25">
      <c r="A147" s="159" t="s">
        <v>1881</v>
      </c>
      <c r="B147" s="31" t="s">
        <v>1847</v>
      </c>
      <c r="D147" s="31">
        <v>1</v>
      </c>
      <c r="O147" s="42">
        <f>C147*Prislapp!$C$2+D147*Prislapp!$D$2+E147*Prislapp!$E$2+F147*Prislapp!$F$2+G147*Prislapp!$G$2+H147*Prislapp!$H$2+I147*Prislapp!$I$2+J147*Prislapp!$J$2+K147*Prislapp!$K$2+L147*Prislapp!$L$2+M147*Prislapp!$M$2+N147*Prislapp!$N$2</f>
        <v>18405</v>
      </c>
      <c r="P147" s="42">
        <f>C147*Prislapp!$C$3+D147*Prislapp!$D$3+E147*Prislapp!$E$3+F147*Prislapp!$F$3+G147*Prislapp!$G$3+H147*Prislapp!$H$3+I147*Prislapp!$I$3+J147*Prislapp!$J$3+K147*Prislapp!$K$3+M147*Prislapp!$M$3+N147*Prislapp!$N$3</f>
        <v>15773</v>
      </c>
      <c r="Q147" s="42">
        <f>C147*Prislapp!$C$5+D147*Prislapp!$D$5+E147*Prislapp!$E$5+F147*Prislapp!$F$5+G147*Prislapp!$G$5+H147*Prislapp!$H$5+I147*Prislapp!$I$5+J147*Prislapp!$J$5+K147*Prislapp!$K$5+L147*Prislapp!$L$5+M147*Prislapp!$M$5+N147*Prislapp!$N$5</f>
        <v>5800</v>
      </c>
      <c r="R147" s="9">
        <f>VLOOKUP(A147,'Ansvar kurs'!$A$2:$B$847,2,FALSE)</f>
        <v>1650</v>
      </c>
      <c r="S147" s="159"/>
      <c r="T147" s="159"/>
      <c r="U147" s="159"/>
      <c r="V147" s="159"/>
      <c r="W147" s="159"/>
      <c r="X147" s="159"/>
      <c r="Y147" s="159"/>
      <c r="Z147" s="159"/>
    </row>
    <row r="148" spans="1:26" x14ac:dyDescent="0.25">
      <c r="A148" s="159" t="s">
        <v>1879</v>
      </c>
      <c r="B148" s="31" t="s">
        <v>1840</v>
      </c>
      <c r="C148" s="31">
        <v>1</v>
      </c>
      <c r="O148" s="42">
        <f>C148*Prislapp!$C$2+D148*Prislapp!$D$2+E148*Prislapp!$E$2+F148*Prislapp!$F$2+G148*Prislapp!$G$2+H148*Prislapp!$H$2+I148*Prislapp!$I$2+J148*Prislapp!$J$2+K148*Prislapp!$K$2+L148*Prislapp!$L$2+M148*Prislapp!$M$2+N148*Prislapp!$N$2</f>
        <v>47957</v>
      </c>
      <c r="P148" s="42">
        <f>C148*Prislapp!$C$3+D148*Prislapp!$D$3+E148*Prislapp!$E$3+F148*Prislapp!$F$3+G148*Prislapp!$G$3+H148*Prislapp!$H$3+I148*Prislapp!$I$3+J148*Prislapp!$J$3+K148*Prislapp!$K$3+M148*Prislapp!$M$3+N148*Prislapp!$N$3</f>
        <v>57006</v>
      </c>
      <c r="Q148" s="42">
        <f>C148*Prislapp!$C$5+D148*Prislapp!$D$5+E148*Prislapp!$E$5+F148*Prislapp!$F$5+G148*Prislapp!$G$5+H148*Prislapp!$H$5+I148*Prislapp!$I$5+J148*Prislapp!$J$5+K148*Prislapp!$K$5+L148*Prislapp!$L$5+M148*Prislapp!$M$5+N148*Prislapp!$N$5</f>
        <v>69000</v>
      </c>
      <c r="R148" s="9">
        <f>VLOOKUP(A148,'Ansvar kurs'!$A$2:$B$847,2,FALSE)</f>
        <v>1650</v>
      </c>
      <c r="S148" s="159"/>
      <c r="T148" s="159"/>
      <c r="U148" s="159"/>
      <c r="V148" s="159"/>
      <c r="W148" s="159"/>
      <c r="X148" s="159"/>
      <c r="Y148" s="159"/>
      <c r="Z148" s="159"/>
    </row>
    <row r="149" spans="1:26" x14ac:dyDescent="0.25">
      <c r="A149" s="159" t="s">
        <v>1880</v>
      </c>
      <c r="B149" s="31" t="s">
        <v>1841</v>
      </c>
      <c r="C149" s="31">
        <v>1</v>
      </c>
      <c r="O149" s="42">
        <f>C149*Prislapp!$C$2+D149*Prislapp!$D$2+E149*Prislapp!$E$2+F149*Prislapp!$F$2+G149*Prislapp!$G$2+H149*Prislapp!$H$2+I149*Prislapp!$I$2+J149*Prislapp!$J$2+K149*Prislapp!$K$2+L149*Prislapp!$L$2+M149*Prislapp!$M$2+N149*Prislapp!$N$2</f>
        <v>47957</v>
      </c>
      <c r="P149" s="42">
        <f>C149*Prislapp!$C$3+D149*Prislapp!$D$3+E149*Prislapp!$E$3+F149*Prislapp!$F$3+G149*Prislapp!$G$3+H149*Prislapp!$H$3+I149*Prislapp!$I$3+J149*Prislapp!$J$3+K149*Prislapp!$K$3+M149*Prislapp!$M$3+N149*Prislapp!$N$3</f>
        <v>57006</v>
      </c>
      <c r="Q149" s="42">
        <f>C149*Prislapp!$C$5+D149*Prislapp!$D$5+E149*Prislapp!$E$5+F149*Prislapp!$F$5+G149*Prislapp!$G$5+H149*Prislapp!$H$5+I149*Prislapp!$I$5+J149*Prislapp!$J$5+K149*Prislapp!$K$5+L149*Prislapp!$L$5+M149*Prislapp!$M$5+N149*Prislapp!$N$5</f>
        <v>69000</v>
      </c>
      <c r="R149" s="9">
        <f>VLOOKUP(A149,'Ansvar kurs'!$A$2:$B$847,2,FALSE)</f>
        <v>1650</v>
      </c>
      <c r="S149" s="159"/>
      <c r="T149" s="159"/>
      <c r="U149" s="159"/>
      <c r="V149" s="159"/>
      <c r="W149" s="159"/>
      <c r="X149" s="159"/>
      <c r="Y149" s="159"/>
      <c r="Z149" s="159"/>
    </row>
    <row r="150" spans="1:26" x14ac:dyDescent="0.25">
      <c r="A150" s="182" t="s">
        <v>2001</v>
      </c>
      <c r="B150" s="59" t="s">
        <v>2023</v>
      </c>
      <c r="D150" s="31">
        <v>1</v>
      </c>
      <c r="O150" s="42">
        <f>C150*Prislapp!$C$2+D150*Prislapp!$D$2+E150*Prislapp!$E$2+F150*Prislapp!$F$2+G150*Prislapp!$G$2+H150*Prislapp!$H$2+I150*Prislapp!$I$2+J150*Prislapp!$J$2+K150*Prislapp!$K$2+L150*Prislapp!$L$2+M150*Prislapp!$M$2+N150*Prislapp!$N$2</f>
        <v>18405</v>
      </c>
      <c r="P150" s="42">
        <f>C150*Prislapp!$C$3+D150*Prislapp!$D$3+E150*Prislapp!$E$3+F150*Prislapp!$F$3+G150*Prislapp!$G$3+H150*Prislapp!$H$3+I150*Prislapp!$I$3+J150*Prislapp!$J$3+K150*Prislapp!$K$3+M150*Prislapp!$M$3+N150*Prislapp!$N$3</f>
        <v>15773</v>
      </c>
      <c r="Q150" s="42">
        <f>C150*Prislapp!$C$5+D150*Prislapp!$D$5+E150*Prislapp!$E$5+F150*Prislapp!$F$5+G150*Prislapp!$G$5+H150*Prislapp!$H$5+I150*Prislapp!$I$5+J150*Prislapp!$J$5+K150*Prislapp!$K$5+L150*Prislapp!$L$5+M150*Prislapp!$M$5+N150*Prislapp!$N$5</f>
        <v>5800</v>
      </c>
      <c r="R150" s="9">
        <f>VLOOKUP(A150,'Ansvar kurs'!$A$2:$B$847,2,FALSE)</f>
        <v>1650</v>
      </c>
      <c r="S150" s="182" t="s">
        <v>2035</v>
      </c>
      <c r="T150" s="159"/>
      <c r="U150" s="159"/>
      <c r="V150" s="159"/>
      <c r="W150" s="159"/>
      <c r="X150" s="159"/>
      <c r="Y150" s="159"/>
      <c r="Z150" s="159"/>
    </row>
    <row r="151" spans="1:26" x14ac:dyDescent="0.25">
      <c r="A151" s="31" t="s">
        <v>2063</v>
      </c>
      <c r="B151" s="31" t="s">
        <v>1871</v>
      </c>
      <c r="C151" s="31">
        <v>1</v>
      </c>
      <c r="O151" s="42">
        <f>C151*Prislapp!$C$2+D151*Prislapp!$D$2+E151*Prislapp!$E$2+F151*Prislapp!$F$2+G151*Prislapp!$G$2+H151*Prislapp!$H$2+I151*Prislapp!$I$2+J151*Prislapp!$J$2+K151*Prislapp!$K$2+L151*Prislapp!$L$2+M151*Prislapp!$M$2+N151*Prislapp!$N$2</f>
        <v>47957</v>
      </c>
      <c r="P151" s="42">
        <f>C151*Prislapp!$C$3+D151*Prislapp!$D$3+E151*Prislapp!$E$3+F151*Prislapp!$F$3+G151*Prislapp!$G$3+H151*Prislapp!$H$3+I151*Prislapp!$I$3+J151*Prislapp!$J$3+K151*Prislapp!$K$3+M151*Prislapp!$M$3+N151*Prislapp!$N$3</f>
        <v>57006</v>
      </c>
      <c r="Q151" s="42">
        <f>C151*Prislapp!$C$5+D151*Prislapp!$D$5+E151*Prislapp!$E$5+F151*Prislapp!$F$5+G151*Prislapp!$G$5+H151*Prislapp!$H$5+I151*Prislapp!$I$5+J151*Prislapp!$J$5+K151*Prislapp!$K$5+L151*Prislapp!$L$5+M151*Prislapp!$M$5+N151*Prislapp!$N$5</f>
        <v>69000</v>
      </c>
      <c r="R151" s="9">
        <f>VLOOKUP(A151,'Ansvar kurs'!$A$2:$B$847,2,FALSE)</f>
        <v>1650</v>
      </c>
      <c r="S151" s="159"/>
      <c r="T151" s="159"/>
      <c r="U151" s="159"/>
      <c r="V151" s="159"/>
      <c r="W151" s="159"/>
      <c r="X151" s="159"/>
      <c r="Y151" s="159"/>
      <c r="Z151" s="159"/>
    </row>
    <row r="152" spans="1:26" x14ac:dyDescent="0.25">
      <c r="A152" s="245" t="s">
        <v>2000</v>
      </c>
      <c r="B152" s="31" t="s">
        <v>1622</v>
      </c>
      <c r="C152" s="31">
        <v>1</v>
      </c>
      <c r="O152" s="42">
        <f>C152*Prislapp!$C$2+D152*Prislapp!$D$2+E152*Prislapp!$E$2+F152*Prislapp!$F$2+G152*Prislapp!$G$2+H152*Prislapp!$H$2+I152*Prislapp!$I$2+J152*Prislapp!$J$2+K152*Prislapp!$K$2+L152*Prislapp!$L$2+M152*Prislapp!$M$2+N152*Prislapp!$N$2</f>
        <v>47957</v>
      </c>
      <c r="P152" s="42">
        <f>C152*Prislapp!$C$3+D152*Prislapp!$D$3+E152*Prislapp!$E$3+F152*Prislapp!$F$3+G152*Prislapp!$G$3+H152*Prislapp!$H$3+I152*Prislapp!$I$3+J152*Prislapp!$J$3+K152*Prislapp!$K$3+M152*Prislapp!$M$3+N152*Prislapp!$N$3</f>
        <v>57006</v>
      </c>
      <c r="Q152" s="42">
        <f>C152*Prislapp!$C$5+D152*Prislapp!$D$5+E152*Prislapp!$E$5+F152*Prislapp!$F$5+G152*Prislapp!$G$5+H152*Prislapp!$H$5+I152*Prislapp!$I$5+J152*Prislapp!$J$5+K152*Prislapp!$K$5+L152*Prislapp!$L$5+M152*Prislapp!$M$5+N152*Prislapp!$N$5</f>
        <v>69000</v>
      </c>
      <c r="R152" s="9">
        <f>VLOOKUP(A152,'Ansvar kurs'!$A$2:$B$847,2,FALSE)</f>
        <v>1650</v>
      </c>
      <c r="S152" s="159" t="s">
        <v>2036</v>
      </c>
      <c r="T152" s="159"/>
      <c r="U152" s="159"/>
      <c r="V152" s="159"/>
      <c r="W152" s="159"/>
      <c r="X152" s="159"/>
      <c r="Y152" s="159"/>
      <c r="Z152" s="159"/>
    </row>
    <row r="153" spans="1:26" x14ac:dyDescent="0.25">
      <c r="A153" s="245" t="s">
        <v>2190</v>
      </c>
      <c r="B153" s="62" t="s">
        <v>671</v>
      </c>
      <c r="C153" s="31">
        <v>1</v>
      </c>
      <c r="O153" s="42">
        <f>C153*Prislapp!$C$2+D153*Prislapp!$D$2+E153*Prislapp!$E$2+F153*Prislapp!$F$2+G153*Prislapp!$G$2+H153*Prislapp!$H$2+I153*Prislapp!$I$2+J153*Prislapp!$J$2+K153*Prislapp!$K$2+L153*Prislapp!$L$2+M153*Prislapp!$M$2+N153*Prislapp!$N$2</f>
        <v>47957</v>
      </c>
      <c r="P153" s="42">
        <f>C153*Prislapp!$C$3+D153*Prislapp!$D$3+E153*Prislapp!$E$3+F153*Prislapp!$F$3+G153*Prislapp!$G$3+H153*Prislapp!$H$3+I153*Prislapp!$I$3+J153*Prislapp!$J$3+K153*Prislapp!$K$3+M153*Prislapp!$M$3+N153*Prislapp!$N$3</f>
        <v>57006</v>
      </c>
      <c r="Q153" s="42">
        <f>C153*Prislapp!$C$5+D153*Prislapp!$D$5+E153*Prislapp!$E$5+F153*Prislapp!$F$5+G153*Prislapp!$G$5+H153*Prislapp!$H$5+I153*Prislapp!$I$5+J153*Prislapp!$J$5+K153*Prislapp!$K$5+L153*Prislapp!$L$5+M153*Prislapp!$M$5+N153*Prislapp!$N$5</f>
        <v>69000</v>
      </c>
      <c r="R153" s="9">
        <f>VLOOKUP(A153,'Ansvar kurs'!$A$2:$B$847,2,FALSE)</f>
        <v>1650</v>
      </c>
      <c r="S153" s="159"/>
      <c r="T153" s="159"/>
      <c r="U153" s="159"/>
      <c r="V153" s="159"/>
      <c r="W153" s="159"/>
      <c r="X153" s="159"/>
      <c r="Y153" s="159"/>
      <c r="Z153" s="159"/>
    </row>
    <row r="154" spans="1:26" x14ac:dyDescent="0.25">
      <c r="A154" s="31" t="s">
        <v>2117</v>
      </c>
      <c r="B154" s="31" t="s">
        <v>763</v>
      </c>
      <c r="C154" s="31">
        <v>1</v>
      </c>
      <c r="O154" s="42">
        <f>C154*Prislapp!$C$2+D154*Prislapp!$D$2+E154*Prislapp!$E$2+F154*Prislapp!$F$2+G154*Prislapp!$G$2+H154*Prislapp!$H$2+I154*Prislapp!$I$2+J154*Prislapp!$J$2+K154*Prislapp!$K$2+L154*Prislapp!$L$2+M154*Prislapp!$M$2+N154*Prislapp!$N$2</f>
        <v>47957</v>
      </c>
      <c r="P154" s="42">
        <f>C154*Prislapp!$C$3+D154*Prislapp!$D$3+E154*Prislapp!$E$3+F154*Prislapp!$F$3+G154*Prislapp!$G$3+H154*Prislapp!$H$3+I154*Prislapp!$I$3+J154*Prislapp!$J$3+K154*Prislapp!$K$3+M154*Prislapp!$M$3+N154*Prislapp!$N$3</f>
        <v>57006</v>
      </c>
      <c r="Q154" s="42">
        <f>C154*Prislapp!$C$5+D154*Prislapp!$D$5+E154*Prislapp!$E$5+F154*Prislapp!$F$5+G154*Prislapp!$G$5+H154*Prislapp!$H$5+I154*Prislapp!$I$5+J154*Prislapp!$J$5+K154*Prislapp!$K$5+L154*Prislapp!$L$5+M154*Prislapp!$M$5+N154*Prislapp!$N$5</f>
        <v>69000</v>
      </c>
      <c r="R154" s="9">
        <f>VLOOKUP(A154,'Ansvar kurs'!$A$2:$B$847,2,FALSE)</f>
        <v>1650</v>
      </c>
      <c r="S154" s="159"/>
      <c r="T154" s="159"/>
      <c r="U154" s="159"/>
      <c r="V154" s="159"/>
      <c r="W154" s="159"/>
      <c r="X154" s="159"/>
      <c r="Y154" s="159"/>
      <c r="Z154" s="159"/>
    </row>
    <row r="155" spans="1:26" x14ac:dyDescent="0.25">
      <c r="A155" s="245" t="s">
        <v>2064</v>
      </c>
      <c r="B155" s="31" t="s">
        <v>537</v>
      </c>
      <c r="C155" s="31">
        <v>1</v>
      </c>
      <c r="O155" s="42">
        <f>C155*Prislapp!$C$2+D155*Prislapp!$D$2+E155*Prislapp!$E$2+F155*Prislapp!$F$2+G155*Prislapp!$G$2+H155*Prislapp!$H$2+I155*Prislapp!$I$2+J155*Prislapp!$J$2+K155*Prislapp!$K$2+L155*Prislapp!$L$2+M155*Prislapp!$M$2+N155*Prislapp!$N$2</f>
        <v>47957</v>
      </c>
      <c r="P155" s="42">
        <f>C155*Prislapp!$C$3+D155*Prislapp!$D$3+E155*Prislapp!$E$3+F155*Prislapp!$F$3+G155*Prislapp!$G$3+H155*Prislapp!$H$3+I155*Prislapp!$I$3+J155*Prislapp!$J$3+K155*Prislapp!$K$3+M155*Prislapp!$M$3+N155*Prislapp!$N$3</f>
        <v>57006</v>
      </c>
      <c r="Q155" s="42">
        <f>C155*Prislapp!$C$5+D155*Prislapp!$D$5+E155*Prislapp!$E$5+F155*Prislapp!$F$5+G155*Prislapp!$G$5+H155*Prislapp!$H$5+I155*Prislapp!$I$5+J155*Prislapp!$J$5+K155*Prislapp!$K$5+L155*Prislapp!$L$5+M155*Prislapp!$M$5+N155*Prislapp!$N$5</f>
        <v>69000</v>
      </c>
      <c r="R155" s="9">
        <f>VLOOKUP(A155,'Ansvar kurs'!$A$2:$B$847,2,FALSE)</f>
        <v>1650</v>
      </c>
      <c r="S155" s="159"/>
      <c r="T155" s="159"/>
      <c r="U155" s="159"/>
      <c r="V155" s="159"/>
      <c r="W155" s="159"/>
      <c r="X155" s="159"/>
      <c r="Y155" s="159"/>
      <c r="Z155" s="159"/>
    </row>
    <row r="156" spans="1:26" x14ac:dyDescent="0.25">
      <c r="A156" s="245" t="s">
        <v>2065</v>
      </c>
      <c r="B156" s="31" t="s">
        <v>538</v>
      </c>
      <c r="C156" s="31">
        <v>1</v>
      </c>
      <c r="O156" s="42">
        <f>C156*Prislapp!$C$2+D156*Prislapp!$D$2+E156*Prislapp!$E$2+F156*Prislapp!$F$2+G156*Prislapp!$G$2+H156*Prislapp!$H$2+I156*Prislapp!$I$2+J156*Prislapp!$J$2+K156*Prislapp!$K$2+L156*Prislapp!$L$2+M156*Prislapp!$M$2+N156*Prislapp!$N$2</f>
        <v>47957</v>
      </c>
      <c r="P156" s="42">
        <f>C156*Prislapp!$C$3+D156*Prislapp!$D$3+E156*Prislapp!$E$3+F156*Prislapp!$F$3+G156*Prislapp!$G$3+H156*Prislapp!$H$3+I156*Prislapp!$I$3+J156*Prislapp!$J$3+K156*Prislapp!$K$3+M156*Prislapp!$M$3+N156*Prislapp!$N$3</f>
        <v>57006</v>
      </c>
      <c r="Q156" s="42">
        <f>C156*Prislapp!$C$5+D156*Prislapp!$D$5+E156*Prislapp!$E$5+F156*Prislapp!$F$5+G156*Prislapp!$G$5+H156*Prislapp!$H$5+I156*Prislapp!$I$5+J156*Prislapp!$J$5+K156*Prislapp!$K$5+L156*Prislapp!$L$5+M156*Prislapp!$M$5+N156*Prislapp!$N$5</f>
        <v>69000</v>
      </c>
      <c r="R156" s="9">
        <f>VLOOKUP(A156,'Ansvar kurs'!$A$2:$B$847,2,FALSE)</f>
        <v>1650</v>
      </c>
      <c r="S156" s="159"/>
      <c r="T156" s="159"/>
      <c r="U156" s="159"/>
      <c r="V156" s="159"/>
      <c r="W156" s="159"/>
      <c r="X156" s="159"/>
      <c r="Y156" s="159"/>
      <c r="Z156" s="159"/>
    </row>
    <row r="157" spans="1:26" x14ac:dyDescent="0.25">
      <c r="A157" s="62" t="s">
        <v>2054</v>
      </c>
      <c r="B157" s="31" t="s">
        <v>1420</v>
      </c>
      <c r="M157" s="31">
        <v>1</v>
      </c>
      <c r="O157" s="42">
        <f>C157*Prislapp!$C$2+D157*Prislapp!$D$2+E157*Prislapp!$E$2+F157*Prislapp!$F$2+G157*Prislapp!$G$2+H157*Prislapp!$H$2+I157*Prislapp!$I$2+J157*Prislapp!$J$2+K157*Prislapp!$K$2+L157*Prislapp!$L$2+M157*Prislapp!$M$2+N157*Prislapp!$N$2</f>
        <v>15846</v>
      </c>
      <c r="P157" s="42">
        <f>C157*Prislapp!$C$3+D157*Prislapp!$D$3+E157*Prislapp!$E$3+F157*Prislapp!$F$3+G157*Prislapp!$G$3+H157*Prislapp!$H$3+I157*Prislapp!$I$3+J157*Prislapp!$J$3+K157*Prislapp!$K$3+M157*Prislapp!$M$3+N157*Prislapp!$N$3</f>
        <v>26926</v>
      </c>
      <c r="Q157" s="42">
        <f>C157*Prislapp!$C$5+D157*Prislapp!$D$5+E157*Prislapp!$E$5+F157*Prislapp!$F$5+G157*Prislapp!$G$5+H157*Prislapp!$H$5+I157*Prislapp!$I$5+J157*Prislapp!$J$5+K157*Prislapp!$K$5+L157*Prislapp!$L$5+M157*Prislapp!$M$5+N157*Prislapp!$N$5</f>
        <v>17300</v>
      </c>
      <c r="R157" s="9">
        <f>VLOOKUP(A157,'Ansvar kurs'!$A$2:$B$847,2,FALSE)</f>
        <v>1650</v>
      </c>
    </row>
    <row r="158" spans="1:26" x14ac:dyDescent="0.25">
      <c r="A158" s="245" t="s">
        <v>2066</v>
      </c>
      <c r="B158" s="31" t="s">
        <v>2069</v>
      </c>
      <c r="K158" s="31">
        <v>1</v>
      </c>
      <c r="O158" s="42">
        <f>C158*Prislapp!$C$2+D158*Prislapp!$D$2+E158*Prislapp!$E$2+F158*Prislapp!$F$2+G158*Prislapp!$G$2+H158*Prislapp!$H$2+I158*Prislapp!$I$2+J158*Prislapp!$J$2+K158*Prislapp!$K$2+L158*Prislapp!$L$2+M158*Prislapp!$M$2+N158*Prislapp!$N$2</f>
        <v>21634</v>
      </c>
      <c r="P158" s="42">
        <f>C158*Prislapp!$C$3+D158*Prislapp!$D$3+E158*Prislapp!$E$3+F158*Prislapp!$F$3+G158*Prislapp!$G$3+H158*Prislapp!$H$3+I158*Prislapp!$I$3+J158*Prislapp!$J$3+K158*Prislapp!$K$3+M158*Prislapp!$M$3+N158*Prislapp!$N$3</f>
        <v>26986</v>
      </c>
      <c r="Q158" s="42">
        <f>C158*Prislapp!$C$5+D158*Prislapp!$D$5+E158*Prislapp!$E$5+F158*Prislapp!$F$5+G158*Prislapp!$G$5+H158*Prislapp!$H$5+I158*Prislapp!$I$5+J158*Prislapp!$J$5+K158*Prislapp!$K$5+L158*Prislapp!$L$5+M158*Prislapp!$M$5+N158*Prislapp!$N$5</f>
        <v>3400</v>
      </c>
      <c r="R158" s="9">
        <f>VLOOKUP(A158,'Ansvar kurs'!$A$2:$B$847,2,FALSE)</f>
        <v>1650</v>
      </c>
    </row>
    <row r="159" spans="1:26" x14ac:dyDescent="0.25">
      <c r="A159" s="245" t="s">
        <v>2067</v>
      </c>
      <c r="B159" s="31" t="s">
        <v>2070</v>
      </c>
      <c r="K159" s="31">
        <v>1</v>
      </c>
      <c r="O159" s="42">
        <f>C159*Prislapp!$C$2+D159*Prislapp!$D$2+E159*Prislapp!$E$2+F159*Prislapp!$F$2+G159*Prislapp!$G$2+H159*Prislapp!$H$2+I159*Prislapp!$I$2+J159*Prislapp!$J$2+K159*Prislapp!$K$2+L159*Prislapp!$L$2+M159*Prislapp!$M$2+N159*Prislapp!$N$2</f>
        <v>21634</v>
      </c>
      <c r="P159" s="42">
        <f>C159*Prislapp!$C$3+D159*Prislapp!$D$3+E159*Prislapp!$E$3+F159*Prislapp!$F$3+G159*Prislapp!$G$3+H159*Prislapp!$H$3+I159*Prislapp!$I$3+J159*Prislapp!$J$3+K159*Prislapp!$K$3+M159*Prislapp!$M$3+N159*Prislapp!$N$3</f>
        <v>26986</v>
      </c>
      <c r="Q159" s="42">
        <f>C159*Prislapp!$C$5+D159*Prislapp!$D$5+E159*Prislapp!$E$5+F159*Prislapp!$F$5+G159*Prislapp!$G$5+H159*Prislapp!$H$5+I159*Prislapp!$I$5+J159*Prislapp!$J$5+K159*Prislapp!$K$5+L159*Prislapp!$L$5+M159*Prislapp!$M$5+N159*Prislapp!$N$5</f>
        <v>3400</v>
      </c>
      <c r="R159" s="9">
        <f>VLOOKUP(A159,'Ansvar kurs'!$A$2:$B$847,2,FALSE)</f>
        <v>1650</v>
      </c>
    </row>
    <row r="160" spans="1:26" x14ac:dyDescent="0.25">
      <c r="A160" s="159" t="s">
        <v>2098</v>
      </c>
      <c r="B160" s="59" t="s">
        <v>2099</v>
      </c>
      <c r="D160" s="448">
        <v>1</v>
      </c>
      <c r="O160" s="42">
        <f>C160*Prislapp!$C$2+D160*Prislapp!$D$2+E160*Prislapp!$E$2+F160*Prislapp!$F$2+G160*Prislapp!$G$2+H160*Prislapp!$H$2+I160*Prislapp!$I$2+J160*Prislapp!$J$2+K160*Prislapp!$K$2+L160*Prislapp!$L$2+M160*Prislapp!$M$2+N160*Prislapp!$N$2</f>
        <v>18405</v>
      </c>
      <c r="P160" s="42">
        <f>C160*Prislapp!$C$3+D160*Prislapp!$D$3+E160*Prislapp!$E$3+F160*Prislapp!$F$3+G160*Prislapp!$G$3+H160*Prislapp!$H$3+I160*Prislapp!$I$3+J160*Prislapp!$J$3+K160*Prislapp!$K$3+M160*Prislapp!$M$3+N160*Prislapp!$N$3</f>
        <v>15773</v>
      </c>
      <c r="Q160" s="42">
        <f>C160*Prislapp!$C$5+D160*Prislapp!$D$5+E160*Prislapp!$E$5+F160*Prislapp!$F$5+G160*Prislapp!$G$5+H160*Prislapp!$H$5+I160*Prislapp!$I$5+J160*Prislapp!$J$5+K160*Prislapp!$K$5+L160*Prislapp!$L$5+M160*Prislapp!$M$5+N160*Prislapp!$N$5</f>
        <v>5800</v>
      </c>
      <c r="R160" s="9">
        <f>VLOOKUP(A160,'Ansvar kurs'!$A$2:$B$847,2,FALSE)</f>
        <v>1650</v>
      </c>
      <c r="S160" s="182" t="s">
        <v>2010</v>
      </c>
      <c r="T160" s="159"/>
      <c r="U160" s="159"/>
      <c r="V160" s="159"/>
      <c r="W160" s="159"/>
      <c r="X160" s="159"/>
      <c r="Y160" s="159"/>
      <c r="Z160" s="159"/>
    </row>
    <row r="161" spans="1:26" x14ac:dyDescent="0.25">
      <c r="A161" s="59" t="s">
        <v>2093</v>
      </c>
      <c r="B161" s="31" t="s">
        <v>539</v>
      </c>
      <c r="C161" s="31">
        <v>1</v>
      </c>
      <c r="O161" s="42">
        <f>C161*Prislapp!$C$2+D161*Prislapp!$D$2+E161*Prislapp!$E$2+F161*Prislapp!$F$2+G161*Prislapp!$G$2+H161*Prislapp!$H$2+I161*Prislapp!$I$2+J161*Prislapp!$J$2+K161*Prislapp!$K$2+L161*Prislapp!$L$2+M161*Prislapp!$M$2+N161*Prislapp!$N$2</f>
        <v>47957</v>
      </c>
      <c r="P161" s="42">
        <f>C161*Prislapp!$C$3+D161*Prislapp!$D$3+E161*Prislapp!$E$3+F161*Prislapp!$F$3+G161*Prislapp!$G$3+H161*Prislapp!$H$3+I161*Prislapp!$I$3+J161*Prislapp!$J$3+K161*Prislapp!$K$3+M161*Prislapp!$M$3+N161*Prislapp!$N$3</f>
        <v>57006</v>
      </c>
      <c r="Q161" s="42">
        <f>C161*Prislapp!$C$5+D161*Prislapp!$D$5+E161*Prislapp!$E$5+F161*Prislapp!$F$5+G161*Prislapp!$G$5+H161*Prislapp!$H$5+I161*Prislapp!$I$5+J161*Prislapp!$J$5+K161*Prislapp!$K$5+L161*Prislapp!$L$5+M161*Prislapp!$M$5+N161*Prislapp!$N$5</f>
        <v>69000</v>
      </c>
      <c r="R161" s="9">
        <f>VLOOKUP(A161,'Ansvar kurs'!$A$2:$B$847,2,FALSE)</f>
        <v>1650</v>
      </c>
      <c r="S161" s="159"/>
      <c r="T161" s="159"/>
      <c r="U161" s="159"/>
      <c r="V161" s="159"/>
      <c r="W161" s="159"/>
      <c r="X161" s="159"/>
      <c r="Y161" s="159"/>
      <c r="Z161" s="159"/>
    </row>
    <row r="162" spans="1:26" x14ac:dyDescent="0.25">
      <c r="A162" s="18" t="s">
        <v>2118</v>
      </c>
      <c r="B162" s="62" t="s">
        <v>1332</v>
      </c>
      <c r="C162" s="31">
        <v>1</v>
      </c>
      <c r="O162" s="42">
        <f>C162*Prislapp!$C$2+D162*Prislapp!$D$2+E162*Prislapp!$E$2+F162*Prislapp!$F$2+G162*Prislapp!$G$2+H162*Prislapp!$H$2+I162*Prislapp!$I$2+J162*Prislapp!$J$2+K162*Prislapp!$K$2+L162*Prislapp!$L$2+M162*Prislapp!$M$2+N162*Prislapp!$N$2</f>
        <v>47957</v>
      </c>
      <c r="P162" s="42">
        <f>C162*Prislapp!$C$3+D162*Prislapp!$D$3+E162*Prislapp!$E$3+F162*Prislapp!$F$3+G162*Prislapp!$G$3+H162*Prislapp!$H$3+I162*Prislapp!$I$3+J162*Prislapp!$J$3+K162*Prislapp!$K$3+M162*Prislapp!$M$3+N162*Prislapp!$N$3</f>
        <v>57006</v>
      </c>
      <c r="Q162" s="42">
        <f>C162*Prislapp!$C$5+D162*Prislapp!$D$5+E162*Prislapp!$E$5+F162*Prislapp!$F$5+G162*Prislapp!$G$5+H162*Prislapp!$H$5+I162*Prislapp!$I$5+J162*Prislapp!$J$5+K162*Prislapp!$K$5+L162*Prislapp!$L$5+M162*Prislapp!$M$5+N162*Prislapp!$N$5</f>
        <v>69000</v>
      </c>
      <c r="R162" s="9">
        <f>VLOOKUP(A162,'Ansvar kurs'!$A$2:$B$847,2,FALSE)</f>
        <v>1650</v>
      </c>
      <c r="S162" s="159"/>
      <c r="T162" s="159"/>
      <c r="U162" s="159"/>
      <c r="V162" s="159"/>
      <c r="W162" s="159"/>
      <c r="X162" s="159"/>
      <c r="Y162" s="159"/>
      <c r="Z162" s="159"/>
    </row>
    <row r="163" spans="1:26" x14ac:dyDescent="0.25">
      <c r="A163" s="159" t="s">
        <v>2103</v>
      </c>
      <c r="B163" s="31" t="s">
        <v>2022</v>
      </c>
      <c r="D163" s="59">
        <v>1</v>
      </c>
      <c r="O163" s="42">
        <f>C163*Prislapp!$C$2+D163*Prislapp!$D$2+E163*Prislapp!$E$2+F163*Prislapp!$F$2+G163*Prislapp!$G$2+H163*Prislapp!$H$2+I163*Prislapp!$I$2+J163*Prislapp!$J$2+K163*Prislapp!$K$2+L163*Prislapp!$L$2+M163*Prislapp!$M$2+N163*Prislapp!$N$2</f>
        <v>18405</v>
      </c>
      <c r="P163" s="42">
        <f>C163*Prislapp!$C$3+D163*Prislapp!$D$3+E163*Prislapp!$E$3+F163*Prislapp!$F$3+G163*Prislapp!$G$3+H163*Prislapp!$H$3+I163*Prislapp!$I$3+J163*Prislapp!$J$3+K163*Prislapp!$K$3+M163*Prislapp!$M$3+N163*Prislapp!$N$3</f>
        <v>15773</v>
      </c>
      <c r="Q163" s="42">
        <f>C163*Prislapp!$C$5+D163*Prislapp!$D$5+E163*Prislapp!$E$5+F163*Prislapp!$F$5+G163*Prislapp!$G$5+H163*Prislapp!$H$5+I163*Prislapp!$I$5+J163*Prislapp!$J$5+K163*Prislapp!$K$5+L163*Prislapp!$L$5+M163*Prislapp!$M$5+N163*Prislapp!$N$5</f>
        <v>5800</v>
      </c>
      <c r="R163" s="9">
        <f>VLOOKUP(A163,'Ansvar kurs'!$A$2:$B$847,2,FALSE)</f>
        <v>1650</v>
      </c>
      <c r="S163" s="182"/>
      <c r="T163" s="159"/>
      <c r="U163" s="159"/>
      <c r="V163" s="159"/>
      <c r="W163" s="159"/>
      <c r="X163" s="159"/>
      <c r="Y163" s="159"/>
      <c r="Z163" s="159"/>
    </row>
    <row r="164" spans="1:26" x14ac:dyDescent="0.25">
      <c r="A164" s="31" t="s">
        <v>2052</v>
      </c>
      <c r="B164" s="31" t="s">
        <v>1979</v>
      </c>
      <c r="C164" s="31">
        <v>1</v>
      </c>
      <c r="O164" s="42">
        <f>C164*Prislapp!$C$2+D164*Prislapp!$D$2+E164*Prislapp!$E$2+F164*Prislapp!$F$2+G164*Prislapp!$G$2+H164*Prislapp!$H$2+I164*Prislapp!$I$2+J164*Prislapp!$J$2+K164*Prislapp!$K$2+L164*Prislapp!$L$2+M164*Prislapp!$M$2+N164*Prislapp!$N$2</f>
        <v>47957</v>
      </c>
      <c r="P164" s="42">
        <f>C164*Prislapp!$C$3+D164*Prislapp!$D$3+E164*Prislapp!$E$3+F164*Prislapp!$F$3+G164*Prislapp!$G$3+H164*Prislapp!$H$3+I164*Prislapp!$I$3+J164*Prislapp!$J$3+K164*Prislapp!$K$3+M164*Prislapp!$M$3+N164*Prislapp!$N$3</f>
        <v>57006</v>
      </c>
      <c r="Q164" s="42">
        <f>C164*Prislapp!$C$5+D164*Prislapp!$D$5+E164*Prislapp!$E$5+F164*Prislapp!$F$5+G164*Prislapp!$G$5+H164*Prislapp!$H$5+I164*Prislapp!$I$5+J164*Prislapp!$J$5+K164*Prislapp!$K$5+L164*Prislapp!$L$5+M164*Prislapp!$M$5+N164*Prislapp!$N$5</f>
        <v>69000</v>
      </c>
      <c r="R164" s="9">
        <f>VLOOKUP(A164,'Ansvar kurs'!$A$2:$B$847,2,FALSE)</f>
        <v>1650</v>
      </c>
      <c r="S164" s="159"/>
      <c r="T164" s="159"/>
      <c r="U164" s="159"/>
      <c r="V164" s="159"/>
      <c r="W164" s="159"/>
      <c r="X164" s="159"/>
      <c r="Y164" s="159"/>
      <c r="Z164" s="159"/>
    </row>
    <row r="165" spans="1:26" x14ac:dyDescent="0.25">
      <c r="A165" s="159" t="s">
        <v>2102</v>
      </c>
      <c r="B165" s="31" t="s">
        <v>2021</v>
      </c>
      <c r="C165" s="31">
        <v>1</v>
      </c>
      <c r="O165" s="42">
        <f>C165*Prislapp!$C$2+D165*Prislapp!$D$2+E165*Prislapp!$E$2+F165*Prislapp!$F$2+G165*Prislapp!$G$2+H165*Prislapp!$H$2+I165*Prislapp!$I$2+J165*Prislapp!$J$2+K165*Prislapp!$K$2+L165*Prislapp!$L$2+M165*Prislapp!$M$2+N165*Prislapp!$N$2</f>
        <v>47957</v>
      </c>
      <c r="P165" s="42">
        <f>C165*Prislapp!$C$3+D165*Prislapp!$D$3+E165*Prislapp!$E$3+F165*Prislapp!$F$3+G165*Prislapp!$G$3+H165*Prislapp!$H$3+I165*Prislapp!$I$3+J165*Prislapp!$J$3+K165*Prislapp!$K$3+M165*Prislapp!$M$3+N165*Prislapp!$N$3</f>
        <v>57006</v>
      </c>
      <c r="Q165" s="42">
        <f>C165*Prislapp!$C$5+D165*Prislapp!$D$5+E165*Prislapp!$E$5+F165*Prislapp!$F$5+G165*Prislapp!$G$5+H165*Prislapp!$H$5+I165*Prislapp!$I$5+J165*Prislapp!$J$5+K165*Prislapp!$K$5+L165*Prislapp!$L$5+M165*Prislapp!$M$5+N165*Prislapp!$N$5</f>
        <v>69000</v>
      </c>
      <c r="R165" s="9">
        <f>VLOOKUP(A165,'Ansvar kurs'!$A$2:$B$847,2,FALSE)</f>
        <v>1650</v>
      </c>
      <c r="S165" s="159"/>
      <c r="T165" s="159"/>
      <c r="U165" s="159"/>
      <c r="V165" s="159"/>
      <c r="W165" s="159"/>
      <c r="X165" s="159"/>
      <c r="Y165" s="159"/>
      <c r="Z165" s="159"/>
    </row>
    <row r="166" spans="1:26" x14ac:dyDescent="0.25">
      <c r="A166" s="159" t="s">
        <v>2116</v>
      </c>
      <c r="B166" s="31" t="s">
        <v>609</v>
      </c>
      <c r="C166" s="31">
        <v>1</v>
      </c>
      <c r="O166" s="42">
        <f>C166*Prislapp!$C$2+D166*Prislapp!$D$2+E166*Prislapp!$E$2+F166*Prislapp!$F$2+G166*Prislapp!$G$2+H166*Prislapp!$H$2+I166*Prislapp!$I$2+J166*Prislapp!$J$2+K166*Prislapp!$K$2+L166*Prislapp!$L$2+M166*Prislapp!$M$2+N166*Prislapp!$N$2</f>
        <v>47957</v>
      </c>
      <c r="P166" s="42">
        <f>C166*Prislapp!$C$3+D166*Prislapp!$D$3+E166*Prislapp!$E$3+F166*Prislapp!$F$3+G166*Prislapp!$G$3+H166*Prislapp!$H$3+I166*Prislapp!$I$3+J166*Prislapp!$J$3+K166*Prislapp!$K$3+M166*Prislapp!$M$3+N166*Prislapp!$N$3</f>
        <v>57006</v>
      </c>
      <c r="Q166" s="42">
        <f>C166*Prislapp!$C$5+D166*Prislapp!$D$5+E166*Prislapp!$E$5+F166*Prislapp!$F$5+G166*Prislapp!$G$5+H166*Prislapp!$H$5+I166*Prislapp!$I$5+J166*Prislapp!$J$5+K166*Prislapp!$K$5+L166*Prislapp!$L$5+M166*Prislapp!$M$5+N166*Prislapp!$N$5</f>
        <v>69000</v>
      </c>
      <c r="R166" s="9">
        <f>VLOOKUP(A166,'Ansvar kurs'!$A$2:$B$847,2,FALSE)</f>
        <v>1650</v>
      </c>
      <c r="S166" s="159"/>
      <c r="T166" s="159"/>
      <c r="U166" s="159"/>
      <c r="V166" s="159"/>
      <c r="W166" s="159"/>
      <c r="X166" s="159"/>
      <c r="Y166" s="159"/>
      <c r="Z166" s="159"/>
    </row>
    <row r="167" spans="1:26" x14ac:dyDescent="0.25">
      <c r="A167" s="533" t="s">
        <v>2191</v>
      </c>
      <c r="B167" s="62" t="s">
        <v>668</v>
      </c>
      <c r="C167" s="31">
        <v>0.75</v>
      </c>
      <c r="D167" s="31">
        <v>0.25</v>
      </c>
      <c r="O167" s="42">
        <f>C167*Prislapp!$C$2+D167*Prislapp!$D$2+E167*Prislapp!$E$2+F167*Prislapp!$F$2+G167*Prislapp!$G$2+H167*Prislapp!$H$2+I167*Prislapp!$I$2+J167*Prislapp!$J$2+K167*Prislapp!$K$2+L167*Prislapp!$L$2+M167*Prislapp!$M$2+N167*Prislapp!$N$2</f>
        <v>40569</v>
      </c>
      <c r="P167" s="42">
        <f>C167*Prislapp!$C$3+D167*Prislapp!$D$3+E167*Prislapp!$E$3+F167*Prislapp!$F$3+G167*Prislapp!$G$3+H167*Prislapp!$H$3+I167*Prislapp!$I$3+J167*Prislapp!$J$3+K167*Prislapp!$K$3+M167*Prislapp!$M$3+N167*Prislapp!$N$3</f>
        <v>46697.75</v>
      </c>
      <c r="Q167" s="42">
        <f>C167*Prislapp!$C$5+D167*Prislapp!$D$5+E167*Prislapp!$E$5+F167*Prislapp!$F$5+G167*Prislapp!$G$5+H167*Prislapp!$H$5+I167*Prislapp!$I$5+J167*Prislapp!$J$5+K167*Prislapp!$K$5+L167*Prislapp!$L$5+M167*Prislapp!$M$5+N167*Prislapp!$N$5</f>
        <v>53200</v>
      </c>
      <c r="R167" s="9">
        <f>VLOOKUP(A167,'Ansvar kurs'!$A$2:$B$847,2,FALSE)</f>
        <v>1650</v>
      </c>
      <c r="S167" s="159"/>
      <c r="T167" s="159"/>
      <c r="U167" s="159"/>
      <c r="V167" s="159"/>
      <c r="W167" s="159"/>
      <c r="X167" s="159"/>
      <c r="Y167" s="159"/>
      <c r="Z167" s="159"/>
    </row>
    <row r="168" spans="1:26" x14ac:dyDescent="0.25">
      <c r="A168" s="421" t="s">
        <v>1259</v>
      </c>
      <c r="B168" s="62" t="s">
        <v>1271</v>
      </c>
      <c r="L168" s="31">
        <v>1</v>
      </c>
      <c r="O168" s="42">
        <f>C168*Prislapp!$C$2+D168*Prislapp!$D$2+E168*Prislapp!$E$2+F168*Prislapp!$F$2+G168*Prislapp!$G$2+H168*Prislapp!$H$2+I168*Prislapp!$I$2+J168*Prislapp!$J$2+K168*Prislapp!$K$2+L168*Prislapp!$L$2+M168*Prislapp!$M$2+N168*Prislapp!$N$2</f>
        <v>18505</v>
      </c>
      <c r="P168" s="42">
        <f>C168*Prislapp!$C$3+D168*Prislapp!$D$3+E168*Prislapp!$E$3+F168*Prislapp!$F$3+G168*Prislapp!$G$3+H168*Prislapp!$H$3+I168*Prislapp!$I$3+J168*Prislapp!$J$3+K168*Prislapp!$K$3+M168*Prislapp!$M$3+N168*Prislapp!$N$3</f>
        <v>0</v>
      </c>
      <c r="Q168" s="42">
        <f>C168*Prislapp!$C$5+D168*Prislapp!$D$5+E168*Prislapp!$E$5+F168*Prislapp!$F$5+G168*Prislapp!$G$5+H168*Prislapp!$H$5+I168*Prislapp!$I$5+J168*Prislapp!$J$5+K168*Prislapp!$K$5+L168*Prislapp!$L$5+M168*Prislapp!$M$5+N168*Prislapp!$N$5</f>
        <v>5700</v>
      </c>
      <c r="R168" s="9">
        <f>VLOOKUP(A168,'Ansvar kurs'!$A$2:$B$847,2,FALSE)</f>
        <v>6000</v>
      </c>
      <c r="S168" s="159"/>
      <c r="T168" s="159"/>
      <c r="U168" s="159"/>
      <c r="V168" s="159"/>
      <c r="W168" s="159"/>
      <c r="X168" s="159"/>
      <c r="Y168" s="159"/>
      <c r="Z168" s="159"/>
    </row>
    <row r="169" spans="1:26" x14ac:dyDescent="0.25">
      <c r="A169" s="245" t="s">
        <v>1800</v>
      </c>
      <c r="B169" s="62" t="s">
        <v>1809</v>
      </c>
      <c r="L169" s="31">
        <v>1</v>
      </c>
      <c r="O169" s="42">
        <f>C169*Prislapp!$C$2+D169*Prislapp!$D$2+E169*Prislapp!$E$2+F169*Prislapp!$F$2+G169*Prislapp!$G$2+H169*Prislapp!$H$2+I169*Prislapp!$I$2+J169*Prislapp!$J$2+K169*Prislapp!$K$2+L169*Prislapp!$L$2+M169*Prislapp!$M$2+N169*Prislapp!$N$2</f>
        <v>18505</v>
      </c>
      <c r="P169" s="42">
        <f>C169*Prislapp!$C$3+D169*Prislapp!$D$3+E169*Prislapp!$E$3+F169*Prislapp!$F$3+G169*Prislapp!$G$3+H169*Prislapp!$H$3+I169*Prislapp!$I$3+J169*Prislapp!$J$3+K169*Prislapp!$K$3+M169*Prislapp!$M$3+N169*Prislapp!$N$3</f>
        <v>0</v>
      </c>
      <c r="Q169" s="42">
        <f>C169*Prislapp!$C$5+D169*Prislapp!$D$5+E169*Prislapp!$E$5+F169*Prislapp!$F$5+G169*Prislapp!$G$5+H169*Prislapp!$H$5+I169*Prislapp!$I$5+J169*Prislapp!$J$5+K169*Prislapp!$K$5+L169*Prislapp!$L$5+M169*Prislapp!$M$5+N169*Prislapp!$N$5</f>
        <v>5700</v>
      </c>
      <c r="R169" s="9">
        <f>VLOOKUP(A169,'Ansvar kurs'!$A$2:$B$847,2,FALSE)</f>
        <v>6000</v>
      </c>
      <c r="S169" s="159"/>
      <c r="T169" s="159"/>
      <c r="U169" s="159"/>
      <c r="V169" s="159"/>
      <c r="W169" s="159"/>
      <c r="X169" s="159"/>
      <c r="Y169" s="159"/>
      <c r="Z169" s="159"/>
    </row>
    <row r="170" spans="1:26" x14ac:dyDescent="0.25">
      <c r="A170" s="244" t="s">
        <v>523</v>
      </c>
      <c r="B170" s="31" t="s">
        <v>330</v>
      </c>
      <c r="F170" s="31">
        <v>1</v>
      </c>
      <c r="O170" s="42">
        <f>C170*Prislapp!$C$2+D170*Prislapp!$D$2+E170*Prislapp!$E$2+F170*Prislapp!$F$2+G170*Prislapp!$G$2+H170*Prislapp!$H$2+I170*Prislapp!$I$2+J170*Prislapp!$J$2+K170*Prislapp!$K$2+L170*Prislapp!$L$2+M170*Prislapp!$M$2+N170*Prislapp!$N$2</f>
        <v>23641</v>
      </c>
      <c r="P170" s="42">
        <f>C170*Prislapp!$C$3+D170*Prislapp!$D$3+E170*Prislapp!$E$3+F170*Prislapp!$F$3+G170*Prislapp!$G$3+H170*Prislapp!$H$3+I170*Prislapp!$I$3+J170*Prislapp!$J$3+K170*Prislapp!$K$3+M170*Prislapp!$M$3+N170*Prislapp!$N$3</f>
        <v>28786</v>
      </c>
      <c r="Q170" s="42">
        <f>C170*Prislapp!$C$5+D170*Prislapp!$D$5+E170*Prislapp!$E$5+F170*Prislapp!$F$5+G170*Prislapp!$G$5+H170*Prislapp!$H$5+I170*Prislapp!$I$5+J170*Prislapp!$J$5+K170*Prislapp!$K$5+L170*Prislapp!$L$5+M170*Prislapp!$M$5+N170*Prislapp!$N$5</f>
        <v>5800</v>
      </c>
      <c r="R170" s="9">
        <f>VLOOKUP(A170,'Ansvar kurs'!$A$2:$B$847,2,FALSE)</f>
        <v>6000</v>
      </c>
      <c r="S170" s="159"/>
      <c r="T170" s="159"/>
      <c r="U170" s="159"/>
      <c r="V170" s="159"/>
      <c r="W170" s="159"/>
      <c r="X170" s="159"/>
      <c r="Y170" s="159"/>
      <c r="Z170" s="159"/>
    </row>
    <row r="171" spans="1:26" x14ac:dyDescent="0.25">
      <c r="A171" s="245" t="s">
        <v>856</v>
      </c>
      <c r="B171" s="31" t="s">
        <v>1158</v>
      </c>
      <c r="D171" s="31">
        <v>0.5</v>
      </c>
      <c r="K171" s="31">
        <v>0.5</v>
      </c>
      <c r="O171" s="42">
        <f>C171*Prislapp!$C$2+D171*Prislapp!$D$2+E171*Prislapp!$E$2+F171*Prislapp!$F$2+G171*Prislapp!$G$2+H171*Prislapp!$H$2+I171*Prislapp!$I$2+J171*Prislapp!$J$2+K171*Prislapp!$K$2+L171*Prislapp!$L$2+M171*Prislapp!$M$2+N171*Prislapp!$N$2</f>
        <v>20019.5</v>
      </c>
      <c r="P171" s="42">
        <f>C171*Prislapp!$C$3+D171*Prislapp!$D$3+E171*Prislapp!$E$3+F171*Prislapp!$F$3+G171*Prislapp!$G$3+H171*Prislapp!$H$3+I171*Prislapp!$I$3+J171*Prislapp!$J$3+K171*Prislapp!$K$3+M171*Prislapp!$M$3+N171*Prislapp!$N$3</f>
        <v>21379.5</v>
      </c>
      <c r="Q171" s="42">
        <f>C171*Prislapp!$C$5+D171*Prislapp!$D$5+E171*Prislapp!$E$5+F171*Prislapp!$F$5+G171*Prislapp!$G$5+H171*Prislapp!$H$5+I171*Prislapp!$I$5+J171*Prislapp!$J$5+K171*Prislapp!$K$5+L171*Prislapp!$L$5+M171*Prislapp!$M$5+N171*Prislapp!$N$5</f>
        <v>4600</v>
      </c>
      <c r="R171" s="9">
        <f>VLOOKUP(A171,'Ansvar kurs'!$A$2:$B$847,2,FALSE)</f>
        <v>1620</v>
      </c>
      <c r="S171" s="159"/>
      <c r="T171" s="159"/>
      <c r="U171" s="159"/>
      <c r="V171" s="159"/>
      <c r="W171" s="159"/>
      <c r="X171" s="159"/>
      <c r="Y171" s="159"/>
      <c r="Z171" s="159"/>
    </row>
    <row r="172" spans="1:26" x14ac:dyDescent="0.25">
      <c r="A172" s="31" t="s">
        <v>88</v>
      </c>
      <c r="B172" s="31" t="s">
        <v>822</v>
      </c>
      <c r="D172" s="31">
        <v>0.5</v>
      </c>
      <c r="K172" s="31">
        <v>0.5</v>
      </c>
      <c r="O172" s="42">
        <f>C172*Prislapp!$C$2+D172*Prislapp!$D$2+E172*Prislapp!$E$2+F172*Prislapp!$F$2+G172*Prislapp!$G$2+H172*Prislapp!$H$2+I172*Prislapp!$I$2+J172*Prislapp!$J$2+K172*Prislapp!$K$2+L172*Prislapp!$L$2+M172*Prislapp!$M$2+N172*Prislapp!$N$2</f>
        <v>20019.5</v>
      </c>
      <c r="P172" s="42">
        <f>C172*Prislapp!$C$3+D172*Prislapp!$D$3+E172*Prislapp!$E$3+F172*Prislapp!$F$3+G172*Prislapp!$G$3+H172*Prislapp!$H$3+I172*Prislapp!$I$3+J172*Prislapp!$J$3+K172*Prislapp!$K$3+M172*Prislapp!$M$3+N172*Prislapp!$N$3</f>
        <v>21379.5</v>
      </c>
      <c r="Q172" s="42">
        <f>C172*Prislapp!$C$5+D172*Prislapp!$D$5+E172*Prislapp!$E$5+F172*Prislapp!$F$5+G172*Prislapp!$G$5+H172*Prislapp!$H$5+I172*Prislapp!$I$5+J172*Prislapp!$J$5+K172*Prislapp!$K$5+L172*Prislapp!$L$5+M172*Prislapp!$M$5+N172*Prislapp!$N$5</f>
        <v>4600</v>
      </c>
      <c r="R172" s="9">
        <f>VLOOKUP(A172,'Ansvar kurs'!$A$2:$B$847,2,FALSE)</f>
        <v>1620</v>
      </c>
      <c r="S172" s="159"/>
      <c r="T172" s="159"/>
      <c r="U172" s="159"/>
      <c r="V172" s="159"/>
      <c r="W172" s="159"/>
      <c r="X172" s="159"/>
      <c r="Y172" s="159"/>
      <c r="Z172" s="159"/>
    </row>
    <row r="173" spans="1:26" x14ac:dyDescent="0.25">
      <c r="A173" s="31" t="s">
        <v>144</v>
      </c>
      <c r="B173" s="31" t="s">
        <v>672</v>
      </c>
      <c r="D173" s="31">
        <v>0.5</v>
      </c>
      <c r="K173" s="31">
        <v>0.5</v>
      </c>
      <c r="O173" s="42">
        <f>C173*Prislapp!$C$2+D173*Prislapp!$D$2+E173*Prislapp!$E$2+F173*Prislapp!$F$2+G173*Prislapp!$G$2+H173*Prislapp!$H$2+I173*Prislapp!$I$2+J173*Prislapp!$J$2+K173*Prislapp!$K$2+L173*Prislapp!$L$2+M173*Prislapp!$M$2+N173*Prislapp!$N$2</f>
        <v>20019.5</v>
      </c>
      <c r="P173" s="42">
        <f>C173*Prislapp!$C$3+D173*Prislapp!$D$3+E173*Prislapp!$E$3+F173*Prislapp!$F$3+G173*Prislapp!$G$3+H173*Prislapp!$H$3+I173*Prislapp!$I$3+J173*Prislapp!$J$3+K173*Prislapp!$K$3+M173*Prislapp!$M$3+N173*Prislapp!$N$3</f>
        <v>21379.5</v>
      </c>
      <c r="Q173" s="42">
        <f>C173*Prislapp!$C$5+D173*Prislapp!$D$5+E173*Prislapp!$E$5+F173*Prislapp!$F$5+G173*Prislapp!$G$5+H173*Prislapp!$H$5+I173*Prislapp!$I$5+J173*Prislapp!$J$5+K173*Prislapp!$K$5+L173*Prislapp!$L$5+M173*Prislapp!$M$5+N173*Prislapp!$N$5</f>
        <v>4600</v>
      </c>
      <c r="R173" s="9">
        <f>VLOOKUP(A173,'Ansvar kurs'!$A$2:$B$847,2,FALSE)</f>
        <v>1620</v>
      </c>
      <c r="S173" s="159"/>
      <c r="T173" s="159"/>
      <c r="U173" s="159"/>
      <c r="V173" s="159"/>
      <c r="W173" s="159"/>
      <c r="X173" s="159"/>
      <c r="Y173" s="159"/>
      <c r="Z173" s="159"/>
    </row>
    <row r="174" spans="1:26" x14ac:dyDescent="0.25">
      <c r="A174" s="245" t="s">
        <v>857</v>
      </c>
      <c r="B174" s="31" t="s">
        <v>1159</v>
      </c>
      <c r="D174" s="31">
        <v>1</v>
      </c>
      <c r="O174" s="42">
        <f>C174*Prislapp!$C$2+D174*Prislapp!$D$2+E174*Prislapp!$E$2+F174*Prislapp!$F$2+G174*Prislapp!$G$2+H174*Prislapp!$H$2+I174*Prislapp!$I$2+J174*Prislapp!$J$2+K174*Prislapp!$K$2+L174*Prislapp!$L$2+M174*Prislapp!$M$2+N174*Prislapp!$N$2</f>
        <v>18405</v>
      </c>
      <c r="P174" s="42">
        <f>C174*Prislapp!$C$3+D174*Prislapp!$D$3+E174*Prislapp!$E$3+F174*Prislapp!$F$3+G174*Prislapp!$G$3+H174*Prislapp!$H$3+I174*Prislapp!$I$3+J174*Prislapp!$J$3+K174*Prislapp!$K$3+M174*Prislapp!$M$3+N174*Prislapp!$N$3</f>
        <v>15773</v>
      </c>
      <c r="Q174" s="42">
        <f>C174*Prislapp!$C$5+D174*Prislapp!$D$5+E174*Prislapp!$E$5+F174*Prislapp!$F$5+G174*Prislapp!$G$5+H174*Prislapp!$H$5+I174*Prislapp!$I$5+J174*Prislapp!$J$5+K174*Prislapp!$K$5+L174*Prislapp!$L$5+M174*Prislapp!$M$5+N174*Prislapp!$N$5</f>
        <v>5800</v>
      </c>
      <c r="R174" s="9">
        <f>VLOOKUP(A174,'Ansvar kurs'!$A$2:$B$847,2,FALSE)</f>
        <v>1620</v>
      </c>
      <c r="S174" s="159"/>
      <c r="T174" s="159"/>
      <c r="U174" s="159"/>
      <c r="V174" s="159"/>
      <c r="W174" s="159"/>
      <c r="X174" s="159"/>
      <c r="Y174" s="159"/>
      <c r="Z174" s="159"/>
    </row>
    <row r="175" spans="1:26" x14ac:dyDescent="0.25">
      <c r="A175" s="245" t="s">
        <v>1025</v>
      </c>
      <c r="B175" s="31" t="s">
        <v>1059</v>
      </c>
      <c r="D175" s="31">
        <v>1</v>
      </c>
      <c r="O175" s="42">
        <f>C175*Prislapp!$C$2+D175*Prislapp!$D$2+E175*Prislapp!$E$2+F175*Prislapp!$F$2+G175*Prislapp!$G$2+H175*Prislapp!$H$2+I175*Prislapp!$I$2+J175*Prislapp!$J$2+K175*Prislapp!$K$2+L175*Prislapp!$L$2+M175*Prislapp!$M$2+N175*Prislapp!$N$2</f>
        <v>18405</v>
      </c>
      <c r="P175" s="42">
        <f>C175*Prislapp!$C$3+D175*Prislapp!$D$3+E175*Prislapp!$E$3+F175*Prislapp!$F$3+G175*Prislapp!$G$3+H175*Prislapp!$H$3+I175*Prislapp!$I$3+J175*Prislapp!$J$3+K175*Prislapp!$K$3+M175*Prislapp!$M$3+N175*Prislapp!$N$3</f>
        <v>15773</v>
      </c>
      <c r="Q175" s="42">
        <f>C175*Prislapp!$C$5+D175*Prislapp!$D$5+E175*Prislapp!$E$5+F175*Prislapp!$F$5+G175*Prislapp!$G$5+H175*Prislapp!$H$5+I175*Prislapp!$I$5+J175*Prislapp!$J$5+K175*Prislapp!$K$5+L175*Prislapp!$L$5+M175*Prislapp!$M$5+N175*Prislapp!$N$5</f>
        <v>5800</v>
      </c>
      <c r="R175" s="9">
        <f>VLOOKUP(A175,'Ansvar kurs'!$A$2:$B$847,2,FALSE)</f>
        <v>1620</v>
      </c>
      <c r="S175" s="159"/>
      <c r="T175" s="159"/>
      <c r="U175" s="159"/>
      <c r="V175" s="159"/>
      <c r="W175" s="159"/>
      <c r="X175" s="159"/>
      <c r="Y175" s="159"/>
      <c r="Z175" s="159"/>
    </row>
    <row r="176" spans="1:26" x14ac:dyDescent="0.25">
      <c r="A176" s="245" t="s">
        <v>1900</v>
      </c>
      <c r="B176" s="31" t="s">
        <v>1901</v>
      </c>
      <c r="K176" s="31">
        <v>1</v>
      </c>
      <c r="O176" s="42">
        <f>C176*Prislapp!$C$2+D176*Prislapp!$D$2+E176*Prislapp!$E$2+F176*Prislapp!$F$2+G176*Prislapp!$G$2+H176*Prislapp!$H$2+I176*Prislapp!$I$2+J176*Prislapp!$J$2+K176*Prislapp!$K$2+L176*Prislapp!$L$2+M176*Prislapp!$M$2+N176*Prislapp!$N$2</f>
        <v>21634</v>
      </c>
      <c r="P176" s="42">
        <f>C176*Prislapp!$C$3+D176*Prislapp!$D$3+E176*Prislapp!$E$3+F176*Prislapp!$F$3+G176*Prislapp!$G$3+H176*Prislapp!$H$3+I176*Prislapp!$I$3+J176*Prislapp!$J$3+K176*Prislapp!$K$3+M176*Prislapp!$M$3+N176*Prislapp!$N$3</f>
        <v>26986</v>
      </c>
      <c r="Q176" s="42">
        <f>C176*Prislapp!$C$5+D176*Prislapp!$D$5+E176*Prislapp!$E$5+F176*Prislapp!$F$5+G176*Prislapp!$G$5+H176*Prislapp!$H$5+I176*Prislapp!$I$5+J176*Prislapp!$J$5+K176*Prislapp!$K$5+L176*Prislapp!$L$5+M176*Prislapp!$M$5+N176*Prislapp!$N$5</f>
        <v>3400</v>
      </c>
      <c r="R176" s="9">
        <f>VLOOKUP(A176,'Ansvar kurs'!$A$2:$B$847,2,FALSE)</f>
        <v>1620</v>
      </c>
      <c r="S176" s="159"/>
      <c r="T176" s="159"/>
      <c r="U176" s="159"/>
      <c r="V176" s="159"/>
      <c r="W176" s="159"/>
      <c r="X176" s="159"/>
      <c r="Y176" s="159"/>
      <c r="Z176" s="159"/>
    </row>
    <row r="177" spans="1:26" x14ac:dyDescent="0.25">
      <c r="A177" s="18" t="s">
        <v>2119</v>
      </c>
      <c r="B177" t="s">
        <v>2120</v>
      </c>
      <c r="D177" s="31">
        <v>1</v>
      </c>
      <c r="O177" s="42">
        <f>C177*Prislapp!$C$2+D177*Prislapp!$D$2+E177*Prislapp!$E$2+F177*Prislapp!$F$2+G177*Prislapp!$G$2+H177*Prislapp!$H$2+I177*Prislapp!$I$2+J177*Prislapp!$J$2+K177*Prislapp!$K$2+L177*Prislapp!$L$2+M177*Prislapp!$M$2+N177*Prislapp!$N$2</f>
        <v>18405</v>
      </c>
      <c r="P177" s="42">
        <f>C177*Prislapp!$C$3+D177*Prislapp!$D$3+E177*Prislapp!$E$3+F177*Prislapp!$F$3+G177*Prislapp!$G$3+H177*Prislapp!$H$3+I177*Prislapp!$I$3+J177*Prislapp!$J$3+K177*Prislapp!$K$3+M177*Prislapp!$M$3+N177*Prislapp!$N$3</f>
        <v>15773</v>
      </c>
      <c r="Q177" s="42">
        <f>C177*Prislapp!$C$5+D177*Prislapp!$D$5+E177*Prislapp!$E$5+F177*Prislapp!$F$5+G177*Prislapp!$G$5+H177*Prislapp!$H$5+I177*Prislapp!$I$5+J177*Prislapp!$J$5+K177*Prislapp!$K$5+L177*Prislapp!$L$5+M177*Prislapp!$M$5+N177*Prislapp!$N$5</f>
        <v>5800</v>
      </c>
      <c r="R177" s="9">
        <f>VLOOKUP(A177,'Ansvar kurs'!$A$2:$B$847,2,FALSE)</f>
        <v>1620</v>
      </c>
      <c r="S177" s="159"/>
      <c r="T177" s="159"/>
      <c r="U177" s="159"/>
      <c r="V177" s="159"/>
      <c r="W177" s="159"/>
      <c r="X177" s="159"/>
      <c r="Y177" s="159"/>
      <c r="Z177" s="159"/>
    </row>
    <row r="178" spans="1:26" x14ac:dyDescent="0.25">
      <c r="A178" s="421" t="s">
        <v>2192</v>
      </c>
      <c r="B178" s="39" t="s">
        <v>2207</v>
      </c>
      <c r="D178" s="31">
        <v>1</v>
      </c>
      <c r="O178" s="42">
        <f>C178*Prislapp!$C$2+D178*Prislapp!$D$2+E178*Prislapp!$E$2+F178*Prislapp!$F$2+G178*Prislapp!$G$2+H178*Prislapp!$H$2+I178*Prislapp!$I$2+J178*Prislapp!$J$2+K178*Prislapp!$K$2+L178*Prislapp!$L$2+M178*Prislapp!$M$2+N178*Prislapp!$N$2</f>
        <v>18405</v>
      </c>
      <c r="P178" s="42">
        <f>C178*Prislapp!$C$3+D178*Prislapp!$D$3+E178*Prislapp!$E$3+F178*Prislapp!$F$3+G178*Prislapp!$G$3+H178*Prislapp!$H$3+I178*Prislapp!$I$3+J178*Prislapp!$J$3+K178*Prislapp!$K$3+M178*Prislapp!$M$3+N178*Prislapp!$N$3</f>
        <v>15773</v>
      </c>
      <c r="Q178" s="42">
        <f>C178*Prislapp!$C$5+D178*Prislapp!$D$5+E178*Prislapp!$E$5+F178*Prislapp!$F$5+G178*Prislapp!$G$5+H178*Prislapp!$H$5+I178*Prislapp!$I$5+J178*Prislapp!$J$5+K178*Prislapp!$K$5+L178*Prislapp!$L$5+M178*Prislapp!$M$5+N178*Prislapp!$N$5</f>
        <v>5800</v>
      </c>
      <c r="R178" s="9">
        <f>VLOOKUP(A178,'Ansvar kurs'!$A$2:$B$847,2,FALSE)</f>
        <v>1620</v>
      </c>
      <c r="S178" s="159"/>
      <c r="T178" s="159"/>
      <c r="U178" s="159"/>
      <c r="V178" s="159"/>
      <c r="W178" s="159"/>
      <c r="X178" s="159"/>
      <c r="Y178" s="159"/>
      <c r="Z178" s="159"/>
    </row>
    <row r="179" spans="1:26" x14ac:dyDescent="0.25">
      <c r="A179" s="421" t="s">
        <v>1793</v>
      </c>
      <c r="B179" s="31" t="s">
        <v>1794</v>
      </c>
      <c r="L179" s="31">
        <v>1</v>
      </c>
      <c r="O179" s="42">
        <f>C179*Prislapp!$C$2+D179*Prislapp!$D$2+E179*Prislapp!$E$2+F179*Prislapp!$F$2+G179*Prislapp!$G$2+H179*Prislapp!$H$2+I179*Prislapp!$I$2+J179*Prislapp!$J$2+K179*Prislapp!$K$2+L179*Prislapp!$L$2+M179*Prislapp!$M$2+N179*Prislapp!$N$2</f>
        <v>18505</v>
      </c>
      <c r="P179" s="42">
        <f>C179*Prislapp!$C$3+D179*Prislapp!$D$3+E179*Prislapp!$E$3+F179*Prislapp!$F$3+G179*Prislapp!$G$3+H179*Prislapp!$H$3+I179*Prislapp!$I$3+J179*Prislapp!$J$3+K179*Prislapp!$K$3+M179*Prislapp!$M$3+N179*Prislapp!$N$3</f>
        <v>0</v>
      </c>
      <c r="Q179" s="42">
        <f>C179*Prislapp!$C$5+D179*Prislapp!$D$5+E179*Prislapp!$E$5+F179*Prislapp!$F$5+G179*Prislapp!$G$5+H179*Prislapp!$H$5+I179*Prislapp!$I$5+J179*Prislapp!$J$5+K179*Prislapp!$K$5+L179*Prislapp!$L$5+M179*Prislapp!$M$5+N179*Prislapp!$N$5</f>
        <v>5700</v>
      </c>
      <c r="R179" s="9">
        <f>VLOOKUP(A179,'Ansvar kurs'!$A$2:$B$847,2,FALSE)</f>
        <v>6000</v>
      </c>
      <c r="S179" s="159"/>
      <c r="T179" s="159"/>
      <c r="U179" s="159"/>
      <c r="V179" s="159"/>
      <c r="W179" s="159"/>
      <c r="X179" s="159"/>
      <c r="Y179" s="159"/>
      <c r="Z179" s="159"/>
    </row>
    <row r="180" spans="1:26" x14ac:dyDescent="0.25">
      <c r="A180" s="245" t="s">
        <v>1843</v>
      </c>
      <c r="B180" s="59" t="s">
        <v>2020</v>
      </c>
      <c r="D180" s="31">
        <v>1</v>
      </c>
      <c r="O180" s="42">
        <f>C180*Prislapp!$C$2+D180*Prislapp!$D$2+E180*Prislapp!$E$2+F180*Prislapp!$F$2+G180*Prislapp!$G$2+H180*Prislapp!$H$2+I180*Prislapp!$I$2+J180*Prislapp!$J$2+K180*Prislapp!$K$2+L180*Prislapp!$L$2+M180*Prislapp!$M$2+N180*Prislapp!$N$2</f>
        <v>18405</v>
      </c>
      <c r="P180" s="42">
        <f>C180*Prislapp!$C$3+D180*Prislapp!$D$3+E180*Prislapp!$E$3+F180*Prislapp!$F$3+G180*Prislapp!$G$3+H180*Prislapp!$H$3+I180*Prislapp!$I$3+J180*Prislapp!$J$3+K180*Prislapp!$K$3+M180*Prislapp!$M$3+N180*Prislapp!$N$3</f>
        <v>15773</v>
      </c>
      <c r="Q180" s="42">
        <f>C180*Prislapp!$C$5+D180*Prislapp!$D$5+E180*Prislapp!$E$5+F180*Prislapp!$F$5+G180*Prislapp!$G$5+H180*Prislapp!$H$5+I180*Prislapp!$I$5+J180*Prislapp!$J$5+K180*Prislapp!$K$5+L180*Prislapp!$L$5+M180*Prislapp!$M$5+N180*Prislapp!$N$5</f>
        <v>5800</v>
      </c>
      <c r="R180" s="9">
        <f>VLOOKUP(A180,'Ansvar kurs'!$A$2:$B$847,2,FALSE)</f>
        <v>1620</v>
      </c>
      <c r="S180" s="159"/>
      <c r="T180" s="159"/>
      <c r="U180" s="159"/>
      <c r="V180" s="159"/>
      <c r="W180" s="159"/>
      <c r="X180" s="159"/>
      <c r="Y180" s="159"/>
      <c r="Z180" s="159"/>
    </row>
    <row r="181" spans="1:26" ht="30" x14ac:dyDescent="0.25">
      <c r="A181" s="245" t="s">
        <v>2027</v>
      </c>
      <c r="B181" s="455" t="s">
        <v>2028</v>
      </c>
      <c r="D181" s="448">
        <v>1</v>
      </c>
      <c r="O181" s="42">
        <f>C181*Prislapp!$C$2+D181*Prislapp!$D$2+E181*Prislapp!$E$2+F181*Prislapp!$F$2+G181*Prislapp!$G$2+H181*Prislapp!$H$2+I181*Prislapp!$I$2+J181*Prislapp!$J$2+K181*Prislapp!$K$2+L181*Prislapp!$L$2+M181*Prislapp!$M$2+N181*Prislapp!$N$2</f>
        <v>18405</v>
      </c>
      <c r="P181" s="42">
        <f>C181*Prislapp!$C$3+D181*Prislapp!$D$3+E181*Prislapp!$E$3+F181*Prislapp!$F$3+G181*Prislapp!$G$3+H181*Prislapp!$H$3+I181*Prislapp!$I$3+J181*Prislapp!$J$3+K181*Prislapp!$K$3+M181*Prislapp!$M$3+N181*Prislapp!$N$3</f>
        <v>15773</v>
      </c>
      <c r="Q181" s="42">
        <f>C181*Prislapp!$C$5+D181*Prislapp!$D$5+E181*Prislapp!$E$5+F181*Prislapp!$F$5+G181*Prislapp!$G$5+H181*Prislapp!$H$5+I181*Prislapp!$I$5+J181*Prislapp!$J$5+K181*Prislapp!$K$5+L181*Prislapp!$L$5+M181*Prislapp!$M$5+N181*Prislapp!$N$5</f>
        <v>5800</v>
      </c>
      <c r="R181" s="9">
        <f>VLOOKUP(A181,'Ansvar kurs'!$A$2:$B$847,2,FALSE)</f>
        <v>1620</v>
      </c>
      <c r="S181" s="182" t="s">
        <v>2010</v>
      </c>
      <c r="T181" s="159"/>
      <c r="U181" s="159"/>
      <c r="V181" s="159"/>
      <c r="W181" s="159"/>
      <c r="X181" s="159"/>
      <c r="Y181" s="159"/>
      <c r="Z181" s="159"/>
    </row>
    <row r="182" spans="1:26" x14ac:dyDescent="0.25">
      <c r="A182" s="245" t="s">
        <v>2081</v>
      </c>
      <c r="B182" s="455" t="s">
        <v>2082</v>
      </c>
      <c r="D182" s="448">
        <v>1</v>
      </c>
      <c r="O182" s="42">
        <f>C182*Prislapp!$C$2+D182*Prislapp!$D$2+E182*Prislapp!$E$2+F182*Prislapp!$F$2+G182*Prislapp!$G$2+H182*Prislapp!$H$2+I182*Prislapp!$I$2+J182*Prislapp!$J$2+K182*Prislapp!$K$2+L182*Prislapp!$L$2+M182*Prislapp!$M$2+N182*Prislapp!$N$2</f>
        <v>18405</v>
      </c>
      <c r="P182" s="42">
        <f>C182*Prislapp!$C$3+D182*Prislapp!$D$3+E182*Prislapp!$E$3+F182*Prislapp!$F$3+G182*Prislapp!$G$3+H182*Prislapp!$H$3+I182*Prislapp!$I$3+J182*Prislapp!$J$3+K182*Prislapp!$K$3+M182*Prislapp!$M$3+N182*Prislapp!$N$3</f>
        <v>15773</v>
      </c>
      <c r="Q182" s="42">
        <f>C182*Prislapp!$C$5+D182*Prislapp!$D$5+E182*Prislapp!$E$5+F182*Prislapp!$F$5+G182*Prislapp!$G$5+H182*Prislapp!$H$5+I182*Prislapp!$I$5+J182*Prislapp!$J$5+K182*Prislapp!$K$5+L182*Prislapp!$L$5+M182*Prislapp!$M$5+N182*Prislapp!$N$5</f>
        <v>5800</v>
      </c>
      <c r="R182" s="9">
        <f>VLOOKUP(A182,'Ansvar kurs'!$A$2:$B$847,2,FALSE)</f>
        <v>1620</v>
      </c>
      <c r="S182" s="182"/>
      <c r="T182" s="159"/>
      <c r="U182" s="159"/>
      <c r="V182" s="159"/>
      <c r="W182" s="159"/>
      <c r="X182" s="159"/>
      <c r="Y182" s="159"/>
      <c r="Z182" s="159"/>
    </row>
    <row r="183" spans="1:26" x14ac:dyDescent="0.25">
      <c r="A183" s="245" t="s">
        <v>1481</v>
      </c>
      <c r="B183" s="62" t="s">
        <v>1480</v>
      </c>
      <c r="H183" s="31">
        <v>1</v>
      </c>
      <c r="O183" s="42">
        <f>C183*Prislapp!$C$2+D183*Prislapp!$D$2+E183*Prislapp!$E$2+F183*Prislapp!$F$2+G183*Prislapp!$G$2+H183*Prislapp!$H$2+I183*Prislapp!$I$2+J183*Prislapp!$J$2+K183*Prislapp!$K$2+L183*Prislapp!$L$2+M183*Prislapp!$M$2+N183*Prislapp!$N$2</f>
        <v>19473</v>
      </c>
      <c r="P183" s="42">
        <f>C183*Prislapp!$C$3+D183*Prislapp!$D$3+E183*Prislapp!$E$3+F183*Prislapp!$F$3+G183*Prislapp!$G$3+H183*Prislapp!$H$3+I183*Prislapp!$I$3+J183*Prislapp!$J$3+K183*Prislapp!$K$3+M183*Prislapp!$M$3+N183*Prislapp!$N$3</f>
        <v>34806</v>
      </c>
      <c r="Q183" s="42">
        <f>C183*Prislapp!$C$5+D183*Prislapp!$D$5+E183*Prislapp!$E$5+F183*Prislapp!$F$5+G183*Prislapp!$G$5+H183*Prislapp!$H$5+I183*Prislapp!$I$5+J183*Prislapp!$J$5+K183*Prislapp!$K$5+L183*Prislapp!$L$5+M183*Prislapp!$M$5+N183*Prislapp!$N$5</f>
        <v>21800</v>
      </c>
      <c r="R183" s="9">
        <f>VLOOKUP(A183,'Ansvar kurs'!$A$2:$B$847,2,FALSE)</f>
        <v>5740</v>
      </c>
      <c r="S183" s="159"/>
      <c r="T183" s="159"/>
      <c r="U183" s="159"/>
      <c r="V183" s="159"/>
      <c r="W183" s="159"/>
      <c r="X183" s="159"/>
      <c r="Y183" s="159"/>
      <c r="Z183" s="159"/>
    </row>
    <row r="184" spans="1:26" x14ac:dyDescent="0.25">
      <c r="A184" s="245" t="s">
        <v>1727</v>
      </c>
      <c r="B184" s="62" t="s">
        <v>1590</v>
      </c>
      <c r="H184" s="31">
        <v>0.5</v>
      </c>
      <c r="J184" s="31">
        <v>0.5</v>
      </c>
      <c r="O184" s="42">
        <f>C184*Prislapp!$C$2+D184*Prislapp!$D$2+E184*Prislapp!$E$2+F184*Prislapp!$F$2+G184*Prislapp!$G$2+H184*Prislapp!$H$2+I184*Prislapp!$I$2+J184*Prislapp!$J$2+K184*Prislapp!$K$2+L184*Prislapp!$L$2+M184*Prislapp!$M$2+N184*Prislapp!$N$2</f>
        <v>19473</v>
      </c>
      <c r="P184" s="42">
        <f>C184*Prislapp!$C$3+D184*Prislapp!$D$3+E184*Prislapp!$E$3+F184*Prislapp!$F$3+G184*Prislapp!$G$3+H184*Prislapp!$H$3+I184*Prislapp!$I$3+J184*Prislapp!$J$3+K184*Prislapp!$K$3+M184*Prislapp!$M$3+N184*Prislapp!$N$3</f>
        <v>34806</v>
      </c>
      <c r="Q184" s="42">
        <f>C184*Prislapp!$C$5+D184*Prislapp!$D$5+E184*Prislapp!$E$5+F184*Prislapp!$F$5+G184*Prislapp!$G$5+H184*Prislapp!$H$5+I184*Prislapp!$I$5+J184*Prislapp!$J$5+K184*Prislapp!$K$5+L184*Prislapp!$L$5+M184*Prislapp!$M$5+N184*Prislapp!$N$5</f>
        <v>21800</v>
      </c>
      <c r="R184" s="9">
        <f>VLOOKUP(A184,'Ansvar kurs'!$A$2:$B$847,2,FALSE)</f>
        <v>5400</v>
      </c>
      <c r="S184" s="159"/>
      <c r="T184" s="159"/>
      <c r="U184" s="159"/>
      <c r="V184" s="159"/>
      <c r="W184" s="159"/>
      <c r="X184" s="159"/>
      <c r="Y184" s="159"/>
      <c r="Z184" s="159"/>
    </row>
    <row r="185" spans="1:26" x14ac:dyDescent="0.25">
      <c r="A185" s="245" t="s">
        <v>1854</v>
      </c>
      <c r="B185" s="62" t="s">
        <v>1873</v>
      </c>
      <c r="H185" s="31">
        <v>1</v>
      </c>
      <c r="O185" s="42">
        <f>C185*Prislapp!$C$2+D185*Prislapp!$D$2+E185*Prislapp!$E$2+F185*Prislapp!$F$2+G185*Prislapp!$G$2+H185*Prislapp!$H$2+I185*Prislapp!$I$2+J185*Prislapp!$J$2+K185*Prislapp!$K$2+L185*Prislapp!$L$2+M185*Prislapp!$M$2+N185*Prislapp!$N$2</f>
        <v>19473</v>
      </c>
      <c r="P185" s="42">
        <f>C185*Prislapp!$C$3+D185*Prislapp!$D$3+E185*Prislapp!$E$3+F185*Prislapp!$F$3+G185*Prislapp!$G$3+H185*Prislapp!$H$3+I185*Prislapp!$I$3+J185*Prislapp!$J$3+K185*Prislapp!$K$3+M185*Prislapp!$M$3+N185*Prislapp!$N$3</f>
        <v>34806</v>
      </c>
      <c r="Q185" s="42">
        <f>C185*Prislapp!$C$5+D185*Prislapp!$D$5+E185*Prislapp!$E$5+F185*Prislapp!$F$5+G185*Prislapp!$G$5+H185*Prislapp!$H$5+I185*Prislapp!$I$5+J185*Prislapp!$J$5+K185*Prislapp!$K$5+L185*Prislapp!$L$5+M185*Prislapp!$M$5+N185*Prislapp!$N$5</f>
        <v>21800</v>
      </c>
      <c r="R185" s="9">
        <f>VLOOKUP(A185,'Ansvar kurs'!$A$2:$B$847,2,FALSE)</f>
        <v>5400</v>
      </c>
      <c r="S185" s="159"/>
      <c r="T185" s="159"/>
      <c r="U185" s="159"/>
      <c r="V185" s="159"/>
      <c r="W185" s="159"/>
      <c r="X185" s="159"/>
      <c r="Y185" s="159"/>
      <c r="Z185" s="159"/>
    </row>
    <row r="186" spans="1:26" x14ac:dyDescent="0.25">
      <c r="A186" s="245" t="s">
        <v>1855</v>
      </c>
      <c r="B186" s="62" t="s">
        <v>1748</v>
      </c>
      <c r="H186" s="31">
        <v>0</v>
      </c>
      <c r="J186" s="31">
        <v>1</v>
      </c>
      <c r="O186" s="42">
        <f>C186*Prislapp!$C$2+D186*Prislapp!$D$2+E186*Prislapp!$E$2+F186*Prislapp!$F$2+G186*Prislapp!$G$2+H186*Prislapp!$H$2+I186*Prislapp!$I$2+J186*Prislapp!$J$2+K186*Prislapp!$K$2+L186*Prislapp!$L$2+M186*Prislapp!$M$2+N186*Prislapp!$N$2</f>
        <v>19473</v>
      </c>
      <c r="P186" s="42">
        <f>C186*Prislapp!$C$3+D186*Prislapp!$D$3+E186*Prislapp!$E$3+F186*Prislapp!$F$3+G186*Prislapp!$G$3+H186*Prislapp!$H$3+I186*Prislapp!$I$3+J186*Prislapp!$J$3+K186*Prislapp!$K$3+M186*Prislapp!$M$3+N186*Prislapp!$N$3</f>
        <v>34806</v>
      </c>
      <c r="Q186" s="42">
        <f>C186*Prislapp!$C$5+D186*Prislapp!$D$5+E186*Prislapp!$E$5+F186*Prislapp!$F$5+G186*Prislapp!$G$5+H186*Prislapp!$H$5+I186*Prislapp!$I$5+J186*Prislapp!$J$5+K186*Prislapp!$K$5+L186*Prislapp!$L$5+M186*Prislapp!$M$5+N186*Prislapp!$N$5</f>
        <v>21800</v>
      </c>
      <c r="R186" s="9">
        <f>VLOOKUP(A186,'Ansvar kurs'!$A$2:$B$847,2,FALSE)</f>
        <v>5400</v>
      </c>
      <c r="S186" s="159" t="s">
        <v>1902</v>
      </c>
      <c r="T186" s="159"/>
      <c r="U186" s="159"/>
      <c r="V186" s="159"/>
      <c r="W186" s="159"/>
      <c r="X186" s="159"/>
      <c r="Y186" s="159"/>
      <c r="Z186" s="159"/>
    </row>
    <row r="187" spans="1:26" x14ac:dyDescent="0.25">
      <c r="A187" s="245" t="s">
        <v>1494</v>
      </c>
      <c r="B187" s="31" t="s">
        <v>1113</v>
      </c>
      <c r="H187" s="31">
        <v>1</v>
      </c>
      <c r="O187" s="42">
        <f>C187*Prislapp!$C$2+D187*Prislapp!$D$2+E187*Prislapp!$E$2+F187*Prislapp!$F$2+G187*Prislapp!$G$2+H187*Prislapp!$H$2+I187*Prislapp!$I$2+J187*Prislapp!$J$2+K187*Prislapp!$K$2+L187*Prislapp!$L$2+M187*Prislapp!$M$2+N187*Prislapp!$N$2</f>
        <v>19473</v>
      </c>
      <c r="P187" s="42">
        <f>C187*Prislapp!$C$3+D187*Prislapp!$D$3+E187*Prislapp!$E$3+F187*Prislapp!$F$3+G187*Prislapp!$G$3+H187*Prislapp!$H$3+I187*Prislapp!$I$3+J187*Prislapp!$J$3+K187*Prislapp!$K$3+M187*Prislapp!$M$3+N187*Prislapp!$N$3</f>
        <v>34806</v>
      </c>
      <c r="Q187" s="42">
        <f>C187*Prislapp!$C$5+D187*Prislapp!$D$5+E187*Prislapp!$E$5+F187*Prislapp!$F$5+G187*Prislapp!$G$5+H187*Prislapp!$H$5+I187*Prislapp!$I$5+J187*Prislapp!$J$5+K187*Prislapp!$K$5+L187*Prislapp!$L$5+M187*Prislapp!$M$5+N187*Prislapp!$N$5</f>
        <v>21800</v>
      </c>
      <c r="R187" s="9">
        <f>VLOOKUP(A187,'Ansvar kurs'!$A$2:$B$847,2,FALSE)</f>
        <v>5740</v>
      </c>
      <c r="S187" s="159" t="s">
        <v>1287</v>
      </c>
    </row>
    <row r="188" spans="1:26" x14ac:dyDescent="0.25">
      <c r="A188" s="245" t="s">
        <v>1495</v>
      </c>
      <c r="B188" s="31" t="s">
        <v>1149</v>
      </c>
      <c r="H188" s="31">
        <v>1</v>
      </c>
      <c r="O188" s="42">
        <f>C188*Prislapp!$C$2+D188*Prislapp!$D$2+E188*Prislapp!$E$2+F188*Prislapp!$F$2+G188*Prislapp!$G$2+H188*Prislapp!$H$2+I188*Prislapp!$I$2+J188*Prislapp!$J$2+K188*Prislapp!$K$2+L188*Prislapp!$L$2+M188*Prislapp!$M$2+N188*Prislapp!$N$2</f>
        <v>19473</v>
      </c>
      <c r="P188" s="42">
        <f>C188*Prislapp!$C$3+D188*Prislapp!$D$3+E188*Prislapp!$E$3+F188*Prislapp!$F$3+G188*Prislapp!$G$3+H188*Prislapp!$H$3+I188*Prislapp!$I$3+J188*Prislapp!$J$3+K188*Prislapp!$K$3+M188*Prislapp!$M$3+N188*Prislapp!$N$3</f>
        <v>34806</v>
      </c>
      <c r="Q188" s="42">
        <f>C188*Prislapp!$C$5+D188*Prislapp!$D$5+E188*Prislapp!$E$5+F188*Prislapp!$F$5+G188*Prislapp!$G$5+H188*Prislapp!$H$5+I188*Prislapp!$I$5+J188*Prislapp!$J$5+K188*Prislapp!$K$5+L188*Prislapp!$L$5+M188*Prislapp!$M$5+N188*Prislapp!$N$5</f>
        <v>21800</v>
      </c>
      <c r="R188" s="9">
        <f>VLOOKUP(A188,'Ansvar kurs'!$A$2:$B$847,2,FALSE)</f>
        <v>5740</v>
      </c>
      <c r="S188" s="159" t="s">
        <v>1287</v>
      </c>
    </row>
    <row r="189" spans="1:26" x14ac:dyDescent="0.25">
      <c r="A189" s="421" t="s">
        <v>1496</v>
      </c>
      <c r="B189" s="31" t="s">
        <v>1150</v>
      </c>
      <c r="H189" s="31">
        <v>1</v>
      </c>
      <c r="O189" s="42">
        <f>C189*Prislapp!$C$2+D189*Prislapp!$D$2+E189*Prislapp!$E$2+F189*Prislapp!$F$2+G189*Prislapp!$G$2+H189*Prislapp!$H$2+I189*Prislapp!$I$2+J189*Prislapp!$J$2+K189*Prislapp!$K$2+L189*Prislapp!$L$2+M189*Prislapp!$M$2+N189*Prislapp!$N$2</f>
        <v>19473</v>
      </c>
      <c r="P189" s="42">
        <f>C189*Prislapp!$C$3+D189*Prislapp!$D$3+E189*Prislapp!$E$3+F189*Prislapp!$F$3+G189*Prislapp!$G$3+H189*Prislapp!$H$3+I189*Prislapp!$I$3+J189*Prislapp!$J$3+K189*Prislapp!$K$3+M189*Prislapp!$M$3+N189*Prislapp!$N$3</f>
        <v>34806</v>
      </c>
      <c r="Q189" s="42">
        <f>C189*Prislapp!$C$5+D189*Prislapp!$D$5+E189*Prislapp!$E$5+F189*Prislapp!$F$5+G189*Prislapp!$G$5+H189*Prislapp!$H$5+I189*Prislapp!$I$5+J189*Prislapp!$J$5+K189*Prislapp!$K$5+L189*Prislapp!$L$5+M189*Prislapp!$M$5+N189*Prislapp!$N$5</f>
        <v>21800</v>
      </c>
      <c r="R189" s="9">
        <f>VLOOKUP(A189,'Ansvar kurs'!$A$2:$B$847,2,FALSE)</f>
        <v>5740</v>
      </c>
      <c r="S189" s="159" t="s">
        <v>1287</v>
      </c>
    </row>
    <row r="190" spans="1:26" x14ac:dyDescent="0.25">
      <c r="A190" s="9" t="s">
        <v>1935</v>
      </c>
      <c r="B190" s="31" t="s">
        <v>1586</v>
      </c>
      <c r="H190" s="31">
        <v>1</v>
      </c>
      <c r="O190" s="42">
        <f>C190*Prislapp!$C$2+D190*Prislapp!$D$2+E190*Prislapp!$E$2+F190*Prislapp!$F$2+G190*Prislapp!$G$2+H190*Prislapp!$H$2+I190*Prislapp!$I$2+J190*Prislapp!$J$2+K190*Prislapp!$K$2+L190*Prislapp!$L$2+M190*Prislapp!$M$2+N190*Prislapp!$N$2</f>
        <v>19473</v>
      </c>
      <c r="P190" s="42">
        <f>C190*Prislapp!$C$3+D190*Prislapp!$D$3+E190*Prislapp!$E$3+F190*Prislapp!$F$3+G190*Prislapp!$G$3+H190*Prislapp!$H$3+I190*Prislapp!$I$3+J190*Prislapp!$J$3+K190*Prislapp!$K$3+M190*Prislapp!$M$3+N190*Prislapp!$N$3</f>
        <v>34806</v>
      </c>
      <c r="Q190" s="42">
        <f>C190*Prislapp!$C$5+D190*Prislapp!$D$5+E190*Prislapp!$E$5+F190*Prislapp!$F$5+G190*Prislapp!$G$5+H190*Prislapp!$H$5+I190*Prislapp!$I$5+J190*Prislapp!$J$5+K190*Prislapp!$K$5+L190*Prislapp!$L$5+M190*Prislapp!$M$5+N190*Prislapp!$N$5</f>
        <v>21800</v>
      </c>
      <c r="R190" s="9">
        <f>VLOOKUP(A190,'Ansvar kurs'!$A$2:$B$847,2,FALSE)</f>
        <v>5100</v>
      </c>
      <c r="S190" s="159"/>
      <c r="T190" s="159"/>
      <c r="U190" s="159"/>
      <c r="V190" s="159"/>
      <c r="W190" s="159"/>
      <c r="X190" s="159"/>
      <c r="Y190" s="159"/>
      <c r="Z190" s="159"/>
    </row>
    <row r="191" spans="1:26" x14ac:dyDescent="0.25">
      <c r="A191" s="421" t="s">
        <v>1856</v>
      </c>
      <c r="B191" s="31" t="s">
        <v>1815</v>
      </c>
      <c r="H191" s="31">
        <v>1</v>
      </c>
      <c r="O191" s="42">
        <f>C191*Prislapp!$C$2+D191*Prislapp!$D$2+E191*Prislapp!$E$2+F191*Prislapp!$F$2+G191*Prislapp!$G$2+H191*Prislapp!$H$2+I191*Prislapp!$I$2+J191*Prislapp!$J$2+K191*Prislapp!$K$2+L191*Prislapp!$L$2+M191*Prislapp!$M$2+N191*Prislapp!$N$2</f>
        <v>19473</v>
      </c>
      <c r="P191" s="42">
        <f>C191*Prislapp!$C$3+D191*Prislapp!$D$3+E191*Prislapp!$E$3+F191*Prislapp!$F$3+G191*Prislapp!$G$3+H191*Prislapp!$H$3+I191*Prislapp!$I$3+J191*Prislapp!$J$3+K191*Prislapp!$K$3+M191*Prislapp!$M$3+N191*Prislapp!$N$3</f>
        <v>34806</v>
      </c>
      <c r="Q191" s="42">
        <f>C191*Prislapp!$C$5+D191*Prislapp!$D$5+E191*Prislapp!$E$5+F191*Prislapp!$F$5+G191*Prislapp!$G$5+H191*Prislapp!$H$5+I191*Prislapp!$I$5+J191*Prislapp!$J$5+K191*Prislapp!$K$5+L191*Prislapp!$L$5+M191*Prislapp!$M$5+N191*Prislapp!$N$5</f>
        <v>21800</v>
      </c>
      <c r="R191" s="9">
        <f>VLOOKUP(A191,'Ansvar kurs'!$A$2:$B$847,2,FALSE)</f>
        <v>5100</v>
      </c>
      <c r="S191" s="159"/>
      <c r="T191" s="159"/>
      <c r="U191" s="159"/>
      <c r="V191" s="159"/>
      <c r="W191" s="159"/>
      <c r="X191" s="159"/>
      <c r="Y191" s="159"/>
      <c r="Z191" s="159"/>
    </row>
    <row r="192" spans="1:26" x14ac:dyDescent="0.25">
      <c r="A192" s="9" t="s">
        <v>1936</v>
      </c>
      <c r="B192" s="31" t="s">
        <v>1818</v>
      </c>
      <c r="H192" s="31">
        <v>1</v>
      </c>
      <c r="O192" s="42">
        <f>C192*Prislapp!$C$2+D192*Prislapp!$D$2+E192*Prislapp!$E$2+F192*Prislapp!$F$2+G192*Prislapp!$G$2+H192*Prislapp!$H$2+I192*Prislapp!$I$2+J192*Prislapp!$J$2+K192*Prislapp!$K$2+L192*Prislapp!$L$2+M192*Prislapp!$M$2+N192*Prislapp!$N$2</f>
        <v>19473</v>
      </c>
      <c r="P192" s="42">
        <f>C192*Prislapp!$C$3+D192*Prislapp!$D$3+E192*Prislapp!$E$3+F192*Prislapp!$F$3+G192*Prislapp!$G$3+H192*Prislapp!$H$3+I192*Prislapp!$I$3+J192*Prislapp!$J$3+K192*Prislapp!$K$3+M192*Prislapp!$M$3+N192*Prislapp!$N$3</f>
        <v>34806</v>
      </c>
      <c r="Q192" s="42">
        <f>C192*Prislapp!$C$5+D192*Prislapp!$D$5+E192*Prislapp!$E$5+F192*Prislapp!$F$5+G192*Prislapp!$G$5+H192*Prislapp!$H$5+I192*Prislapp!$I$5+J192*Prislapp!$J$5+K192*Prislapp!$K$5+L192*Prislapp!$L$5+M192*Prislapp!$M$5+N192*Prislapp!$N$5</f>
        <v>21800</v>
      </c>
      <c r="R192" s="9">
        <f>VLOOKUP(A192,'Ansvar kurs'!$A$2:$B$847,2,FALSE)</f>
        <v>5100</v>
      </c>
      <c r="S192" s="159"/>
      <c r="T192" s="159"/>
      <c r="U192" s="159"/>
      <c r="V192" s="159"/>
      <c r="W192" s="159"/>
      <c r="X192" s="159"/>
      <c r="Y192" s="159"/>
      <c r="Z192" s="159"/>
    </row>
    <row r="193" spans="1:26" x14ac:dyDescent="0.25">
      <c r="A193" s="421" t="s">
        <v>2055</v>
      </c>
      <c r="B193" s="31" t="s">
        <v>1977</v>
      </c>
      <c r="H193" s="31">
        <v>1</v>
      </c>
      <c r="O193" s="42">
        <f>C193*Prislapp!$C$2+D193*Prislapp!$D$2+E193*Prislapp!$E$2+F193*Prislapp!$F$2+G193*Prislapp!$G$2+H193*Prislapp!$H$2+I193*Prislapp!$I$2+J193*Prislapp!$J$2+K193*Prislapp!$K$2+L193*Prislapp!$L$2+M193*Prislapp!$M$2+N193*Prislapp!$N$2</f>
        <v>19473</v>
      </c>
      <c r="P193" s="42">
        <f>C193*Prislapp!$C$3+D193*Prislapp!$D$3+E193*Prislapp!$E$3+F193*Prislapp!$F$3+G193*Prislapp!$G$3+H193*Prislapp!$H$3+I193*Prislapp!$I$3+J193*Prislapp!$J$3+K193*Prislapp!$K$3+M193*Prislapp!$M$3+N193*Prislapp!$N$3</f>
        <v>34806</v>
      </c>
      <c r="Q193" s="42">
        <f>C193*Prislapp!$C$5+D193*Prislapp!$D$5+E193*Prislapp!$E$5+F193*Prislapp!$F$5+G193*Prislapp!$G$5+H193*Prislapp!$H$5+I193*Prislapp!$I$5+J193*Prislapp!$J$5+K193*Prislapp!$K$5+L193*Prislapp!$L$5+M193*Prislapp!$M$5+N193*Prislapp!$N$5</f>
        <v>21800</v>
      </c>
      <c r="R193" s="9">
        <f>VLOOKUP(A193,'Ansvar kurs'!$A$2:$B$847,2,FALSE)</f>
        <v>5100</v>
      </c>
      <c r="S193" s="182"/>
    </row>
    <row r="194" spans="1:26" x14ac:dyDescent="0.25">
      <c r="A194" s="159" t="s">
        <v>95</v>
      </c>
      <c r="B194" s="31" t="s">
        <v>673</v>
      </c>
      <c r="D194" s="31">
        <v>0.75</v>
      </c>
      <c r="K194" s="31">
        <v>0.25</v>
      </c>
      <c r="O194" s="42">
        <f>C194*Prislapp!$C$2+D194*Prislapp!$D$2+E194*Prislapp!$E$2+F194*Prislapp!$F$2+G194*Prislapp!$G$2+H194*Prislapp!$H$2+I194*Prislapp!$I$2+J194*Prislapp!$J$2+K194*Prislapp!$K$2+L194*Prislapp!$L$2+M194*Prislapp!$M$2+N194*Prislapp!$N$2</f>
        <v>19212.25</v>
      </c>
      <c r="P194" s="42">
        <f>C194*Prislapp!$C$3+D194*Prislapp!$D$3+E194*Prislapp!$E$3+F194*Prislapp!$F$3+G194*Prislapp!$G$3+H194*Prislapp!$H$3+I194*Prislapp!$I$3+J194*Prislapp!$J$3+K194*Prislapp!$K$3+M194*Prislapp!$M$3+N194*Prislapp!$N$3</f>
        <v>18576.25</v>
      </c>
      <c r="Q194" s="42">
        <f>C194*Prislapp!$C$5+D194*Prislapp!$D$5+E194*Prislapp!$E$5+F194*Prislapp!$F$5+G194*Prislapp!$G$5+H194*Prislapp!$H$5+I194*Prislapp!$I$5+J194*Prislapp!$J$5+K194*Prislapp!$K$5+L194*Prislapp!$L$5+M194*Prislapp!$M$5+N194*Prislapp!$N$5</f>
        <v>5200</v>
      </c>
      <c r="R194" s="9">
        <f>VLOOKUP(A194,'Ansvar kurs'!$A$2:$B$847,2,FALSE)</f>
        <v>1630</v>
      </c>
      <c r="S194" s="159"/>
      <c r="T194" s="159"/>
      <c r="U194" s="159"/>
      <c r="V194" s="159"/>
      <c r="W194" s="159"/>
      <c r="X194" s="159"/>
      <c r="Y194" s="159"/>
      <c r="Z194" s="159"/>
    </row>
    <row r="195" spans="1:26" x14ac:dyDescent="0.25">
      <c r="A195" s="31" t="s">
        <v>99</v>
      </c>
      <c r="B195" s="31" t="s">
        <v>674</v>
      </c>
      <c r="D195" s="31">
        <v>1</v>
      </c>
      <c r="O195" s="42">
        <f>C195*Prislapp!$C$2+D195*Prislapp!$D$2+E195*Prislapp!$E$2+F195*Prislapp!$F$2+G195*Prislapp!$G$2+H195*Prislapp!$H$2+I195*Prislapp!$I$2+J195*Prislapp!$J$2+K195*Prislapp!$K$2+L195*Prislapp!$L$2+M195*Prislapp!$M$2+N195*Prislapp!$N$2</f>
        <v>18405</v>
      </c>
      <c r="P195" s="42">
        <f>C195*Prislapp!$C$3+D195*Prislapp!$D$3+E195*Prislapp!$E$3+F195*Prislapp!$F$3+G195*Prislapp!$G$3+H195*Prislapp!$H$3+I195*Prislapp!$I$3+J195*Prislapp!$J$3+K195*Prislapp!$K$3+M195*Prislapp!$M$3+N195*Prislapp!$N$3</f>
        <v>15773</v>
      </c>
      <c r="Q195" s="42">
        <f>C195*Prislapp!$C$5+D195*Prislapp!$D$5+E195*Prislapp!$E$5+F195*Prislapp!$F$5+G195*Prislapp!$G$5+H195*Prislapp!$H$5+I195*Prislapp!$I$5+J195*Prislapp!$J$5+K195*Prislapp!$K$5+L195*Prislapp!$L$5+M195*Prislapp!$M$5+N195*Prislapp!$N$5</f>
        <v>5800</v>
      </c>
      <c r="R195" s="9">
        <f>VLOOKUP(A195,'Ansvar kurs'!$A$2:$B$847,2,FALSE)</f>
        <v>1630</v>
      </c>
      <c r="S195" s="159"/>
      <c r="T195" s="159"/>
      <c r="U195" s="159"/>
      <c r="V195" s="159"/>
      <c r="W195" s="159"/>
      <c r="X195" s="159"/>
      <c r="Y195" s="159"/>
      <c r="Z195" s="159"/>
    </row>
    <row r="196" spans="1:26" x14ac:dyDescent="0.25">
      <c r="A196" s="31" t="s">
        <v>391</v>
      </c>
      <c r="B196" s="31" t="s">
        <v>359</v>
      </c>
      <c r="F196" s="31">
        <v>1</v>
      </c>
      <c r="O196" s="42">
        <f>C196*Prislapp!$C$2+D196*Prislapp!$D$2+E196*Prislapp!$E$2+F196*Prislapp!$F$2+G196*Prislapp!$G$2+H196*Prislapp!$H$2+I196*Prislapp!$I$2+J196*Prislapp!$J$2+K196*Prislapp!$K$2+L196*Prislapp!$L$2+M196*Prislapp!$M$2+N196*Prislapp!$N$2</f>
        <v>23641</v>
      </c>
      <c r="P196" s="42">
        <f>C196*Prislapp!$C$3+D196*Prislapp!$D$3+E196*Prislapp!$E$3+F196*Prislapp!$F$3+G196*Prislapp!$G$3+H196*Prislapp!$H$3+I196*Prislapp!$I$3+J196*Prislapp!$J$3+K196*Prislapp!$K$3+M196*Prislapp!$M$3+N196*Prislapp!$N$3</f>
        <v>28786</v>
      </c>
      <c r="Q196" s="42">
        <f>C196*Prislapp!$C$5+D196*Prislapp!$D$5+E196*Prislapp!$E$5+F196*Prislapp!$F$5+G196*Prislapp!$G$5+H196*Prislapp!$H$5+I196*Prislapp!$I$5+J196*Prislapp!$J$5+K196*Prislapp!$K$5+L196*Prislapp!$L$5+M196*Prislapp!$M$5+N196*Prislapp!$N$5</f>
        <v>5800</v>
      </c>
      <c r="R196" s="9">
        <f>VLOOKUP(A196,'Ansvar kurs'!$A$2:$B$847,2,FALSE)</f>
        <v>1630</v>
      </c>
      <c r="S196" s="159"/>
      <c r="T196" s="159"/>
      <c r="U196" s="159"/>
      <c r="V196" s="159"/>
      <c r="W196" s="159"/>
      <c r="X196" s="159"/>
      <c r="Y196" s="159"/>
      <c r="Z196" s="159"/>
    </row>
    <row r="197" spans="1:26" x14ac:dyDescent="0.25">
      <c r="A197" s="62" t="s">
        <v>859</v>
      </c>
      <c r="B197" s="31" t="s">
        <v>1160</v>
      </c>
      <c r="D197" s="31">
        <v>1</v>
      </c>
      <c r="O197" s="42">
        <f>C197*Prislapp!$C$2+D197*Prislapp!$D$2+E197*Prislapp!$E$2+F197*Prislapp!$F$2+G197*Prislapp!$G$2+H197*Prislapp!$H$2+I197*Prislapp!$I$2+J197*Prislapp!$J$2+K197*Prislapp!$K$2+L197*Prislapp!$L$2+M197*Prislapp!$M$2+N197*Prislapp!$N$2</f>
        <v>18405</v>
      </c>
      <c r="P197" s="42">
        <f>C197*Prislapp!$C$3+D197*Prislapp!$D$3+E197*Prislapp!$E$3+F197*Prislapp!$F$3+G197*Prislapp!$G$3+H197*Prislapp!$H$3+I197*Prislapp!$I$3+J197*Prislapp!$J$3+K197*Prislapp!$K$3+M197*Prislapp!$M$3+N197*Prislapp!$N$3</f>
        <v>15773</v>
      </c>
      <c r="Q197" s="42">
        <f>C197*Prislapp!$C$5+D197*Prislapp!$D$5+E197*Prislapp!$E$5+F197*Prislapp!$F$5+G197*Prislapp!$G$5+H197*Prislapp!$H$5+I197*Prislapp!$I$5+J197*Prislapp!$J$5+K197*Prislapp!$K$5+L197*Prislapp!$L$5+M197*Prislapp!$M$5+N197*Prislapp!$N$5</f>
        <v>5800</v>
      </c>
      <c r="R197" s="9">
        <f>VLOOKUP(A197,'Ansvar kurs'!$A$2:$B$847,2,FALSE)</f>
        <v>1630</v>
      </c>
      <c r="S197" s="159"/>
      <c r="T197" s="159"/>
      <c r="U197" s="159"/>
      <c r="V197" s="159"/>
      <c r="W197" s="159"/>
      <c r="X197" s="159"/>
      <c r="Y197" s="159"/>
      <c r="Z197" s="159"/>
    </row>
    <row r="198" spans="1:26" x14ac:dyDescent="0.25">
      <c r="A198" s="31" t="s">
        <v>496</v>
      </c>
      <c r="B198" s="31" t="s">
        <v>547</v>
      </c>
      <c r="D198" s="31">
        <v>1</v>
      </c>
      <c r="O198" s="42">
        <f>C198*Prislapp!$C$2+D198*Prislapp!$D$2+E198*Prislapp!$E$2+F198*Prislapp!$F$2+G198*Prislapp!$G$2+H198*Prislapp!$H$2+I198*Prislapp!$I$2+J198*Prislapp!$J$2+K198*Prislapp!$K$2+L198*Prislapp!$L$2+M198*Prislapp!$M$2+N198*Prislapp!$N$2</f>
        <v>18405</v>
      </c>
      <c r="P198" s="42">
        <f>C198*Prislapp!$C$3+D198*Prislapp!$D$3+E198*Prislapp!$E$3+F198*Prislapp!$F$3+G198*Prislapp!$G$3+H198*Prislapp!$H$3+I198*Prislapp!$I$3+J198*Prislapp!$J$3+K198*Prislapp!$K$3+M198*Prislapp!$M$3+N198*Prislapp!$N$3</f>
        <v>15773</v>
      </c>
      <c r="Q198" s="42">
        <f>C198*Prislapp!$C$5+D198*Prislapp!$D$5+E198*Prislapp!$E$5+F198*Prislapp!$F$5+G198*Prislapp!$G$5+H198*Prislapp!$H$5+I198*Prislapp!$I$5+J198*Prislapp!$J$5+K198*Prislapp!$K$5+L198*Prislapp!$L$5+M198*Prislapp!$M$5+N198*Prislapp!$N$5</f>
        <v>5800</v>
      </c>
      <c r="R198" s="9">
        <f>VLOOKUP(A198,'Ansvar kurs'!$A$2:$B$847,2,FALSE)</f>
        <v>1630</v>
      </c>
      <c r="S198" s="159"/>
      <c r="T198" s="159"/>
      <c r="U198" s="159"/>
      <c r="V198" s="159"/>
      <c r="W198" s="159"/>
      <c r="X198" s="159"/>
      <c r="Y198" s="159"/>
      <c r="Z198" s="159"/>
    </row>
    <row r="199" spans="1:26" x14ac:dyDescent="0.25">
      <c r="A199" s="31" t="s">
        <v>610</v>
      </c>
      <c r="B199" s="31" t="s">
        <v>675</v>
      </c>
      <c r="D199" s="31">
        <v>1</v>
      </c>
      <c r="O199" s="42">
        <f>C199*Prislapp!$C$2+D199*Prislapp!$D$2+E199*Prislapp!$E$2+F199*Prislapp!$F$2+G199*Prislapp!$G$2+H199*Prislapp!$H$2+I199*Prislapp!$I$2+J199*Prislapp!$J$2+K199*Prislapp!$K$2+L199*Prislapp!$L$2+M199*Prislapp!$M$2+N199*Prislapp!$N$2</f>
        <v>18405</v>
      </c>
      <c r="P199" s="42">
        <f>C199*Prislapp!$C$3+D199*Prislapp!$D$3+E199*Prislapp!$E$3+F199*Prislapp!$F$3+G199*Prislapp!$G$3+H199*Prislapp!$H$3+I199*Prislapp!$I$3+J199*Prislapp!$J$3+K199*Prislapp!$K$3+M199*Prislapp!$M$3+N199*Prislapp!$N$3</f>
        <v>15773</v>
      </c>
      <c r="Q199" s="42">
        <f>C199*Prislapp!$C$5+D199*Prislapp!$D$5+E199*Prislapp!$E$5+F199*Prislapp!$F$5+G199*Prislapp!$G$5+H199*Prislapp!$H$5+I199*Prislapp!$I$5+J199*Prislapp!$J$5+K199*Prislapp!$K$5+L199*Prislapp!$L$5+M199*Prislapp!$M$5+N199*Prislapp!$N$5</f>
        <v>5800</v>
      </c>
      <c r="R199" s="9">
        <f>VLOOKUP(A199,'Ansvar kurs'!$A$2:$B$847,2,FALSE)</f>
        <v>1630</v>
      </c>
      <c r="S199" s="159"/>
      <c r="T199" s="159"/>
      <c r="U199" s="159"/>
      <c r="V199" s="159"/>
      <c r="W199" s="159"/>
      <c r="X199" s="159"/>
      <c r="Y199" s="159"/>
      <c r="Z199" s="159"/>
    </row>
    <row r="200" spans="1:26" x14ac:dyDescent="0.25">
      <c r="A200" s="31" t="s">
        <v>775</v>
      </c>
      <c r="B200" s="31" t="s">
        <v>778</v>
      </c>
      <c r="D200" s="31">
        <v>1</v>
      </c>
      <c r="O200" s="42">
        <f>C200*Prislapp!$C$2+D200*Prislapp!$D$2+E200*Prislapp!$E$2+F200*Prislapp!$F$2+G200*Prislapp!$G$2+H200*Prislapp!$H$2+I200*Prislapp!$I$2+J200*Prislapp!$J$2+K200*Prislapp!$K$2+L200*Prislapp!$L$2+M200*Prislapp!$M$2+N200*Prislapp!$N$2</f>
        <v>18405</v>
      </c>
      <c r="P200" s="42">
        <f>C200*Prislapp!$C$3+D200*Prislapp!$D$3+E200*Prislapp!$E$3+F200*Prislapp!$F$3+G200*Prislapp!$G$3+H200*Prislapp!$H$3+I200*Prislapp!$I$3+J200*Prislapp!$J$3+K200*Prislapp!$K$3+M200*Prislapp!$M$3+N200*Prislapp!$N$3</f>
        <v>15773</v>
      </c>
      <c r="Q200" s="42">
        <f>C200*Prislapp!$C$5+D200*Prislapp!$D$5+E200*Prislapp!$E$5+F200*Prislapp!$F$5+G200*Prislapp!$G$5+H200*Prislapp!$H$5+I200*Prislapp!$I$5+J200*Prislapp!$J$5+K200*Prislapp!$K$5+L200*Prislapp!$L$5+M200*Prislapp!$M$5+N200*Prislapp!$N$5</f>
        <v>5800</v>
      </c>
      <c r="R200" s="9">
        <f>VLOOKUP(A200,'Ansvar kurs'!$A$2:$B$847,2,FALSE)</f>
        <v>1630</v>
      </c>
      <c r="S200" s="159"/>
      <c r="T200" s="159"/>
      <c r="U200" s="159"/>
      <c r="V200" s="159"/>
      <c r="W200" s="159"/>
      <c r="X200" s="159"/>
      <c r="Y200" s="159"/>
      <c r="Z200" s="159"/>
    </row>
    <row r="201" spans="1:26" x14ac:dyDescent="0.25">
      <c r="A201" s="31" t="s">
        <v>1260</v>
      </c>
      <c r="B201" s="31" t="s">
        <v>1154</v>
      </c>
      <c r="K201" s="31">
        <v>1</v>
      </c>
      <c r="O201" s="42">
        <f>C201*Prislapp!$C$2+D201*Prislapp!$D$2+E201*Prislapp!$E$2+F201*Prislapp!$F$2+G201*Prislapp!$G$2+H201*Prislapp!$H$2+I201*Prislapp!$I$2+J201*Prislapp!$J$2+K201*Prislapp!$K$2+L201*Prislapp!$L$2+M201*Prislapp!$M$2+N201*Prislapp!$N$2</f>
        <v>21634</v>
      </c>
      <c r="P201" s="42">
        <f>C201*Prislapp!$C$3+D201*Prislapp!$D$3+E201*Prislapp!$E$3+F201*Prislapp!$F$3+G201*Prislapp!$G$3+H201*Prislapp!$H$3+I201*Prislapp!$I$3+J201*Prislapp!$J$3+K201*Prislapp!$K$3+M201*Prislapp!$M$3+N201*Prislapp!$N$3</f>
        <v>26986</v>
      </c>
      <c r="Q201" s="42">
        <f>C201*Prislapp!$C$5+D201*Prislapp!$D$5+E201*Prislapp!$E$5+F201*Prislapp!$F$5+G201*Prislapp!$G$5+H201*Prislapp!$H$5+I201*Prislapp!$I$5+J201*Prislapp!$J$5+K201*Prislapp!$K$5+L201*Prislapp!$L$5+M201*Prislapp!$M$5+N201*Prislapp!$N$5</f>
        <v>3400</v>
      </c>
      <c r="R201" s="9">
        <f>VLOOKUP(A201,'Ansvar kurs'!$A$2:$B$847,2,FALSE)</f>
        <v>1630</v>
      </c>
      <c r="S201" s="159"/>
      <c r="T201" s="159"/>
      <c r="U201" s="159"/>
      <c r="V201" s="159"/>
      <c r="W201" s="159"/>
      <c r="X201" s="159"/>
      <c r="Y201" s="159"/>
      <c r="Z201" s="159"/>
    </row>
    <row r="202" spans="1:26" x14ac:dyDescent="0.25">
      <c r="A202" s="31" t="s">
        <v>1027</v>
      </c>
      <c r="B202" s="31" t="s">
        <v>762</v>
      </c>
      <c r="K202" s="31">
        <v>1</v>
      </c>
      <c r="O202" s="42">
        <f>C202*Prislapp!$C$2+D202*Prislapp!$D$2+E202*Prislapp!$E$2+F202*Prislapp!$F$2+G202*Prislapp!$G$2+H202*Prislapp!$H$2+I202*Prislapp!$I$2+J202*Prislapp!$J$2+K202*Prislapp!$K$2+L202*Prislapp!$L$2+M202*Prislapp!$M$2+N202*Prislapp!$N$2</f>
        <v>21634</v>
      </c>
      <c r="P202" s="42">
        <f>C202*Prislapp!$C$3+D202*Prislapp!$D$3+E202*Prislapp!$E$3+F202*Prislapp!$F$3+G202*Prislapp!$G$3+H202*Prislapp!$H$3+I202*Prislapp!$I$3+J202*Prislapp!$J$3+K202*Prislapp!$K$3+M202*Prislapp!$M$3+N202*Prislapp!$N$3</f>
        <v>26986</v>
      </c>
      <c r="Q202" s="42">
        <f>C202*Prislapp!$C$5+D202*Prislapp!$D$5+E202*Prislapp!$E$5+F202*Prislapp!$F$5+G202*Prislapp!$G$5+H202*Prislapp!$H$5+I202*Prislapp!$I$5+J202*Prislapp!$J$5+K202*Prislapp!$K$5+L202*Prislapp!$L$5+M202*Prislapp!$M$5+N202*Prislapp!$N$5</f>
        <v>3400</v>
      </c>
      <c r="R202" s="9">
        <f>VLOOKUP(A202,'Ansvar kurs'!$A$2:$B$847,2,FALSE)</f>
        <v>1630</v>
      </c>
      <c r="S202" s="159"/>
      <c r="T202" s="159"/>
      <c r="U202" s="159"/>
      <c r="V202" s="159"/>
      <c r="W202" s="159"/>
      <c r="X202" s="159"/>
      <c r="Y202" s="159"/>
      <c r="Z202" s="159"/>
    </row>
    <row r="203" spans="1:26" x14ac:dyDescent="0.25">
      <c r="A203" s="31" t="s">
        <v>1075</v>
      </c>
      <c r="B203" s="31" t="s">
        <v>1535</v>
      </c>
      <c r="K203" s="31">
        <v>1</v>
      </c>
      <c r="O203" s="42">
        <f>C203*Prislapp!$C$2+D203*Prislapp!$D$2+E203*Prislapp!$E$2+F203*Prislapp!$F$2+G203*Prislapp!$G$2+H203*Prislapp!$H$2+I203*Prislapp!$I$2+J203*Prislapp!$J$2+K203*Prislapp!$K$2+L203*Prislapp!$L$2+M203*Prislapp!$M$2+N203*Prislapp!$N$2</f>
        <v>21634</v>
      </c>
      <c r="P203" s="42">
        <f>C203*Prislapp!$C$3+D203*Prislapp!$D$3+E203*Prislapp!$E$3+F203*Prislapp!$F$3+G203*Prislapp!$G$3+H203*Prislapp!$H$3+I203*Prislapp!$I$3+J203*Prislapp!$J$3+K203*Prislapp!$K$3+M203*Prislapp!$M$3+N203*Prislapp!$N$3</f>
        <v>26986</v>
      </c>
      <c r="Q203" s="42">
        <f>C203*Prislapp!$C$5+D203*Prislapp!$D$5+E203*Prislapp!$E$5+F203*Prislapp!$F$5+G203*Prislapp!$G$5+H203*Prislapp!$H$5+I203*Prislapp!$I$5+J203*Prislapp!$J$5+K203*Prislapp!$K$5+L203*Prislapp!$L$5+M203*Prislapp!$M$5+N203*Prislapp!$N$5</f>
        <v>3400</v>
      </c>
      <c r="R203" s="9">
        <f>VLOOKUP(A203,'Ansvar kurs'!$A$2:$B$847,2,FALSE)</f>
        <v>1630</v>
      </c>
      <c r="S203" s="159"/>
      <c r="T203" s="159"/>
      <c r="U203" s="159"/>
      <c r="V203" s="159"/>
      <c r="W203" s="159"/>
      <c r="X203" s="159"/>
      <c r="Y203" s="159"/>
      <c r="Z203" s="159"/>
    </row>
    <row r="204" spans="1:26" x14ac:dyDescent="0.25">
      <c r="A204" s="245" t="s">
        <v>1076</v>
      </c>
      <c r="B204" s="31" t="s">
        <v>1161</v>
      </c>
      <c r="D204" s="31">
        <v>1</v>
      </c>
      <c r="O204" s="42">
        <f>C204*Prislapp!$C$2+D204*Prislapp!$D$2+E204*Prislapp!$E$2+F204*Prislapp!$F$2+G204*Prislapp!$G$2+H204*Prislapp!$H$2+I204*Prislapp!$I$2+J204*Prislapp!$J$2+K204*Prislapp!$K$2+L204*Prislapp!$L$2+M204*Prislapp!$M$2+N204*Prislapp!$N$2</f>
        <v>18405</v>
      </c>
      <c r="P204" s="42">
        <f>C204*Prislapp!$C$3+D204*Prislapp!$D$3+E204*Prislapp!$E$3+F204*Prislapp!$F$3+G204*Prislapp!$G$3+H204*Prislapp!$H$3+I204*Prislapp!$I$3+J204*Prislapp!$J$3+K204*Prislapp!$K$3+M204*Prislapp!$M$3+N204*Prislapp!$N$3</f>
        <v>15773</v>
      </c>
      <c r="Q204" s="42">
        <f>C204*Prislapp!$C$5+D204*Prislapp!$D$5+E204*Prislapp!$E$5+F204*Prislapp!$F$5+G204*Prislapp!$G$5+H204*Prislapp!$H$5+I204*Prislapp!$I$5+J204*Prislapp!$J$5+K204*Prislapp!$K$5+L204*Prislapp!$L$5+M204*Prislapp!$M$5+N204*Prislapp!$N$5</f>
        <v>5800</v>
      </c>
      <c r="R204" s="9">
        <f>VLOOKUP(A204,'Ansvar kurs'!$A$2:$B$847,2,FALSE)</f>
        <v>1630</v>
      </c>
      <c r="S204" s="31" t="s">
        <v>1107</v>
      </c>
      <c r="T204" s="159" t="s">
        <v>1080</v>
      </c>
      <c r="U204" s="159"/>
      <c r="V204" s="159"/>
      <c r="W204" s="159"/>
      <c r="X204" s="159"/>
      <c r="Y204" s="159"/>
      <c r="Z204" s="159"/>
    </row>
    <row r="205" spans="1:26" x14ac:dyDescent="0.25">
      <c r="A205" s="245" t="s">
        <v>1468</v>
      </c>
      <c r="B205" s="31" t="s">
        <v>1469</v>
      </c>
      <c r="D205" s="31">
        <v>1</v>
      </c>
      <c r="O205" s="42">
        <f>C205*Prislapp!$C$2+D205*Prislapp!$D$2+E205*Prislapp!$E$2+F205*Prislapp!$F$2+G205*Prislapp!$G$2+H205*Prislapp!$H$2+I205*Prislapp!$I$2+J205*Prislapp!$J$2+K205*Prislapp!$K$2+L205*Prislapp!$L$2+M205*Prislapp!$M$2+N205*Prislapp!$N$2</f>
        <v>18405</v>
      </c>
      <c r="P205" s="42">
        <f>C205*Prislapp!$C$3+D205*Prislapp!$D$3+E205*Prislapp!$E$3+F205*Prislapp!$F$3+G205*Prislapp!$G$3+H205*Prislapp!$H$3+I205*Prislapp!$I$3+J205*Prislapp!$J$3+K205*Prislapp!$K$3+M205*Prislapp!$M$3+N205*Prislapp!$N$3</f>
        <v>15773</v>
      </c>
      <c r="Q205" s="42">
        <f>C205*Prislapp!$C$5+D205*Prislapp!$D$5+E205*Prislapp!$E$5+F205*Prislapp!$F$5+G205*Prislapp!$G$5+H205*Prislapp!$H$5+I205*Prislapp!$I$5+J205*Prislapp!$J$5+K205*Prislapp!$K$5+L205*Prislapp!$L$5+M205*Prislapp!$M$5+N205*Prislapp!$N$5</f>
        <v>5800</v>
      </c>
      <c r="R205" s="9">
        <f>VLOOKUP(A205,'Ansvar kurs'!$A$2:$B$847,2,FALSE)</f>
        <v>1630</v>
      </c>
      <c r="T205" s="159"/>
      <c r="U205" s="159"/>
      <c r="V205" s="159"/>
      <c r="W205" s="159"/>
      <c r="X205" s="159"/>
      <c r="Y205" s="159"/>
      <c r="Z205" s="159"/>
    </row>
    <row r="206" spans="1:26" x14ac:dyDescent="0.25">
      <c r="A206" s="245" t="s">
        <v>972</v>
      </c>
      <c r="B206" s="31" t="s">
        <v>973</v>
      </c>
      <c r="K206" s="31">
        <v>1</v>
      </c>
      <c r="O206" s="42">
        <f>C206*Prislapp!$C$2+D206*Prislapp!$D$2+E206*Prislapp!$E$2+F206*Prislapp!$F$2+G206*Prislapp!$G$2+H206*Prislapp!$H$2+I206*Prislapp!$I$2+J206*Prislapp!$J$2+K206*Prislapp!$K$2+L206*Prislapp!$L$2+M206*Prislapp!$M$2+N206*Prislapp!$N$2</f>
        <v>21634</v>
      </c>
      <c r="P206" s="42">
        <f>C206*Prislapp!$C$3+D206*Prislapp!$D$3+E206*Prislapp!$E$3+F206*Prislapp!$F$3+G206*Prislapp!$G$3+H206*Prislapp!$H$3+I206*Prislapp!$I$3+J206*Prislapp!$J$3+K206*Prislapp!$K$3+M206*Prislapp!$M$3+N206*Prislapp!$N$3</f>
        <v>26986</v>
      </c>
      <c r="Q206" s="42">
        <f>C206*Prislapp!$C$5+D206*Prislapp!$D$5+E206*Prislapp!$E$5+F206*Prislapp!$F$5+G206*Prislapp!$G$5+H206*Prislapp!$H$5+I206*Prislapp!$I$5+J206*Prislapp!$J$5+K206*Prislapp!$K$5+L206*Prislapp!$L$5+M206*Prislapp!$M$5+N206*Prislapp!$N$5</f>
        <v>3400</v>
      </c>
      <c r="R206" s="9">
        <f>VLOOKUP(A206,'Ansvar kurs'!$A$2:$B$847,2,FALSE)</f>
        <v>1630</v>
      </c>
      <c r="S206" s="159" t="s">
        <v>974</v>
      </c>
      <c r="T206" s="159"/>
      <c r="U206" s="159"/>
      <c r="V206" s="159"/>
      <c r="W206" s="159"/>
      <c r="X206" s="159"/>
      <c r="Y206" s="159"/>
      <c r="Z206" s="159"/>
    </row>
    <row r="207" spans="1:26" x14ac:dyDescent="0.25">
      <c r="A207" s="62" t="s">
        <v>1519</v>
      </c>
      <c r="B207" s="62" t="s">
        <v>1154</v>
      </c>
      <c r="F207" s="31">
        <v>0</v>
      </c>
      <c r="K207" s="31">
        <v>1</v>
      </c>
      <c r="O207" s="42">
        <f>C207*Prislapp!$C$2+D207*Prislapp!$D$2+E207*Prislapp!$E$2+F207*Prislapp!$F$2+G207*Prislapp!$G$2+H207*Prislapp!$H$2+I207*Prislapp!$I$2+J207*Prislapp!$J$2+K207*Prislapp!$K$2+L207*Prislapp!$L$2+M207*Prislapp!$M$2+N207*Prislapp!$N$2</f>
        <v>21634</v>
      </c>
      <c r="P207" s="42">
        <f>C207*Prislapp!$C$3+D207*Prislapp!$D$3+E207*Prislapp!$E$3+F207*Prislapp!$F$3+G207*Prislapp!$G$3+H207*Prislapp!$H$3+I207*Prislapp!$I$3+J207*Prislapp!$J$3+K207*Prislapp!$K$3+M207*Prislapp!$M$3+N207*Prislapp!$N$3</f>
        <v>26986</v>
      </c>
      <c r="Q207" s="42">
        <f>C207*Prislapp!$C$5+D207*Prislapp!$D$5+E207*Prislapp!$E$5+F207*Prislapp!$F$5+G207*Prislapp!$G$5+H207*Prislapp!$H$5+I207*Prislapp!$I$5+J207*Prislapp!$J$5+K207*Prislapp!$K$5+L207*Prislapp!$L$5+M207*Prislapp!$M$5+N207*Prislapp!$N$5</f>
        <v>3400</v>
      </c>
      <c r="R207" s="9">
        <f>VLOOKUP(A207,'Ansvar kurs'!$A$2:$B$847,2,FALSE)</f>
        <v>1630</v>
      </c>
      <c r="S207" s="182"/>
      <c r="T207" s="159"/>
      <c r="U207" s="159"/>
      <c r="V207" s="159"/>
      <c r="W207" s="159"/>
      <c r="X207" s="159"/>
      <c r="Y207" s="159"/>
      <c r="Z207" s="159"/>
    </row>
    <row r="208" spans="1:26" x14ac:dyDescent="0.25">
      <c r="A208" s="245" t="s">
        <v>1955</v>
      </c>
      <c r="B208" s="62" t="s">
        <v>1968</v>
      </c>
      <c r="K208" s="31">
        <v>1</v>
      </c>
      <c r="O208" s="42">
        <f>C208*Prislapp!$C$2+D208*Prislapp!$D$2+E208*Prislapp!$E$2+F208*Prislapp!$F$2+G208*Prislapp!$G$2+H208*Prislapp!$H$2+I208*Prislapp!$I$2+J208*Prislapp!$J$2+K208*Prislapp!$K$2+L208*Prislapp!$L$2+M208*Prislapp!$M$2+N208*Prislapp!$N$2</f>
        <v>21634</v>
      </c>
      <c r="P208" s="42">
        <f>C208*Prislapp!$C$3+D208*Prislapp!$D$3+E208*Prislapp!$E$3+F208*Prislapp!$F$3+G208*Prislapp!$G$3+H208*Prislapp!$H$3+I208*Prislapp!$I$3+J208*Prislapp!$J$3+K208*Prislapp!$K$3+M208*Prislapp!$M$3+N208*Prislapp!$N$3</f>
        <v>26986</v>
      </c>
      <c r="Q208" s="42">
        <f>C208*Prislapp!$C$5+D208*Prislapp!$D$5+E208*Prislapp!$E$5+F208*Prislapp!$F$5+G208*Prislapp!$G$5+H208*Prislapp!$H$5+I208*Prislapp!$I$5+J208*Prislapp!$J$5+K208*Prislapp!$K$5+L208*Prislapp!$L$5+M208*Prislapp!$M$5+N208*Prislapp!$N$5</f>
        <v>3400</v>
      </c>
      <c r="R208" s="9">
        <f>VLOOKUP(A208,'Ansvar kurs'!$A$2:$B$847,2,FALSE)</f>
        <v>1630</v>
      </c>
      <c r="S208" s="182"/>
      <c r="T208" s="159"/>
      <c r="U208" s="159"/>
      <c r="V208" s="159"/>
      <c r="W208" s="159"/>
      <c r="X208" s="159"/>
      <c r="Y208" s="159"/>
      <c r="Z208" s="159"/>
    </row>
    <row r="209" spans="1:26" x14ac:dyDescent="0.25">
      <c r="A209" s="245" t="s">
        <v>1938</v>
      </c>
      <c r="B209" s="292" t="s">
        <v>1945</v>
      </c>
      <c r="D209" s="31">
        <v>1</v>
      </c>
      <c r="O209" s="42">
        <f>C209*Prislapp!$C$2+D209*Prislapp!$D$2+E209*Prislapp!$E$2+F209*Prislapp!$F$2+G209*Prislapp!$G$2+H209*Prislapp!$H$2+I209*Prislapp!$I$2+J209*Prislapp!$J$2+K209*Prislapp!$K$2+L209*Prislapp!$L$2+M209*Prislapp!$M$2+N209*Prislapp!$N$2</f>
        <v>18405</v>
      </c>
      <c r="P209" s="42">
        <f>C209*Prislapp!$C$3+D209*Prislapp!$D$3+E209*Prislapp!$E$3+F209*Prislapp!$F$3+G209*Prislapp!$G$3+H209*Prislapp!$H$3+I209*Prislapp!$I$3+J209*Prislapp!$J$3+K209*Prislapp!$K$3+M209*Prislapp!$M$3+N209*Prislapp!$N$3</f>
        <v>15773</v>
      </c>
      <c r="Q209" s="42">
        <f>C209*Prislapp!$C$5+D209*Prislapp!$D$5+E209*Prislapp!$E$5+F209*Prislapp!$F$5+G209*Prislapp!$G$5+H209*Prislapp!$H$5+I209*Prislapp!$I$5+J209*Prislapp!$J$5+K209*Prislapp!$K$5+L209*Prislapp!$L$5+M209*Prislapp!$M$5+N209*Prislapp!$N$5</f>
        <v>5800</v>
      </c>
      <c r="R209" s="9">
        <f>VLOOKUP(A209,'Ansvar kurs'!$A$2:$B$847,2,FALSE)</f>
        <v>1630</v>
      </c>
      <c r="S209" s="182"/>
      <c r="T209" s="159"/>
      <c r="U209" s="159"/>
      <c r="V209" s="159"/>
      <c r="W209" s="159"/>
      <c r="X209" s="159"/>
      <c r="Y209" s="159"/>
      <c r="Z209" s="159"/>
    </row>
    <row r="210" spans="1:26" x14ac:dyDescent="0.25">
      <c r="A210" s="245" t="s">
        <v>2056</v>
      </c>
      <c r="B210" s="497" t="s">
        <v>2071</v>
      </c>
      <c r="D210" s="31">
        <v>1</v>
      </c>
      <c r="O210" s="42">
        <f>C210*Prislapp!$C$2+D210*Prislapp!$D$2+E210*Prislapp!$E$2+F210*Prislapp!$F$2+G210*Prislapp!$G$2+H210*Prislapp!$H$2+I210*Prislapp!$I$2+J210*Prislapp!$J$2+K210*Prislapp!$K$2+L210*Prislapp!$L$2+M210*Prislapp!$M$2+N210*Prislapp!$N$2</f>
        <v>18405</v>
      </c>
      <c r="P210" s="42">
        <f>C210*Prislapp!$C$3+D210*Prislapp!$D$3+E210*Prislapp!$E$3+F210*Prislapp!$F$3+G210*Prislapp!$G$3+H210*Prislapp!$H$3+I210*Prislapp!$I$3+J210*Prislapp!$J$3+K210*Prislapp!$K$3+M210*Prislapp!$M$3+N210*Prislapp!$N$3</f>
        <v>15773</v>
      </c>
      <c r="Q210" s="42">
        <f>C210*Prislapp!$C$5+D210*Prislapp!$D$5+E210*Prislapp!$E$5+F210*Prislapp!$F$5+G210*Prislapp!$G$5+H210*Prislapp!$H$5+I210*Prislapp!$I$5+J210*Prislapp!$J$5+K210*Prislapp!$K$5+L210*Prislapp!$L$5+M210*Prislapp!$M$5+N210*Prislapp!$N$5</f>
        <v>5800</v>
      </c>
      <c r="R210" s="9">
        <f>VLOOKUP(A210,'Ansvar kurs'!$A$2:$B$847,2,FALSE)</f>
        <v>1630</v>
      </c>
      <c r="S210" s="182"/>
      <c r="T210" s="159"/>
      <c r="U210" s="159"/>
      <c r="V210" s="159"/>
      <c r="W210" s="159"/>
      <c r="X210" s="159"/>
      <c r="Y210" s="159"/>
      <c r="Z210" s="159"/>
    </row>
    <row r="211" spans="1:26" x14ac:dyDescent="0.25">
      <c r="A211" s="245" t="s">
        <v>2057</v>
      </c>
      <c r="B211" s="497" t="s">
        <v>2072</v>
      </c>
      <c r="D211" s="31">
        <v>1</v>
      </c>
      <c r="O211" s="42">
        <f>C211*Prislapp!$C$2+D211*Prislapp!$D$2+E211*Prislapp!$E$2+F211*Prislapp!$F$2+G211*Prislapp!$G$2+H211*Prislapp!$H$2+I211*Prislapp!$I$2+J211*Prislapp!$J$2+K211*Prislapp!$K$2+L211*Prislapp!$L$2+M211*Prislapp!$M$2+N211*Prislapp!$N$2</f>
        <v>18405</v>
      </c>
      <c r="P211" s="42">
        <f>C211*Prislapp!$C$3+D211*Prislapp!$D$3+E211*Prislapp!$E$3+F211*Prislapp!$F$3+G211*Prislapp!$G$3+H211*Prislapp!$H$3+I211*Prislapp!$I$3+J211*Prislapp!$J$3+K211*Prislapp!$K$3+M211*Prislapp!$M$3+N211*Prislapp!$N$3</f>
        <v>15773</v>
      </c>
      <c r="Q211" s="42">
        <f>C211*Prislapp!$C$5+D211*Prislapp!$D$5+E211*Prislapp!$E$5+F211*Prislapp!$F$5+G211*Prislapp!$G$5+H211*Prislapp!$H$5+I211*Prislapp!$I$5+J211*Prislapp!$J$5+K211*Prislapp!$K$5+L211*Prislapp!$L$5+M211*Prislapp!$M$5+N211*Prislapp!$N$5</f>
        <v>5800</v>
      </c>
      <c r="R211" s="9">
        <f>VLOOKUP(A211,'Ansvar kurs'!$A$2:$B$847,2,FALSE)</f>
        <v>1630</v>
      </c>
      <c r="S211" s="182"/>
      <c r="T211" s="159"/>
      <c r="U211" s="159"/>
      <c r="V211" s="159"/>
      <c r="W211" s="159"/>
      <c r="X211" s="159"/>
      <c r="Y211" s="159"/>
      <c r="Z211" s="159"/>
    </row>
    <row r="212" spans="1:26" x14ac:dyDescent="0.25">
      <c r="A212" s="31" t="s">
        <v>92</v>
      </c>
      <c r="B212" s="31" t="s">
        <v>323</v>
      </c>
      <c r="F212" s="31">
        <v>1</v>
      </c>
      <c r="O212" s="42">
        <f>C212*Prislapp!$C$2+D212*Prislapp!$D$2+E212*Prislapp!$E$2+F212*Prislapp!$F$2+G212*Prislapp!$G$2+H212*Prislapp!$H$2+I212*Prislapp!$I$2+J212*Prislapp!$J$2+K212*Prislapp!$K$2+L212*Prislapp!$L$2+M212*Prislapp!$M$2+N212*Prislapp!$N$2</f>
        <v>23641</v>
      </c>
      <c r="P212" s="42">
        <f>C212*Prislapp!$C$3+D212*Prislapp!$D$3+E212*Prislapp!$E$3+F212*Prislapp!$F$3+G212*Prislapp!$G$3+H212*Prislapp!$H$3+I212*Prislapp!$I$3+J212*Prislapp!$J$3+K212*Prislapp!$K$3+M212*Prislapp!$M$3+N212*Prislapp!$N$3</f>
        <v>28786</v>
      </c>
      <c r="Q212" s="42">
        <f>C212*Prislapp!$C$5+D212*Prislapp!$D$5+E212*Prislapp!$E$5+F212*Prislapp!$F$5+G212*Prislapp!$G$5+H212*Prislapp!$H$5+I212*Prislapp!$I$5+J212*Prislapp!$J$5+K212*Prislapp!$K$5+L212*Prislapp!$L$5+M212*Prislapp!$M$5+N212*Prislapp!$N$5</f>
        <v>5800</v>
      </c>
      <c r="R212" s="9">
        <f>VLOOKUP(A212,'Ansvar kurs'!$A$2:$B$847,2,FALSE)</f>
        <v>1630</v>
      </c>
      <c r="S212" s="159"/>
      <c r="T212" s="159"/>
      <c r="U212" s="159"/>
      <c r="V212" s="159"/>
      <c r="W212" s="159"/>
      <c r="X212" s="159"/>
      <c r="Y212" s="159"/>
      <c r="Z212" s="159"/>
    </row>
    <row r="213" spans="1:26" x14ac:dyDescent="0.25">
      <c r="A213" s="245" t="s">
        <v>1117</v>
      </c>
      <c r="B213" s="31" t="s">
        <v>1162</v>
      </c>
      <c r="E213" s="31">
        <v>1</v>
      </c>
      <c r="O213" s="42">
        <f>C213*Prislapp!$C$2+D213*Prislapp!$D$2+E213*Prislapp!$E$2+F213*Prislapp!$F$2+G213*Prislapp!$G$2+H213*Prislapp!$H$2+I213*Prislapp!$I$2+J213*Prislapp!$J$2+K213*Prislapp!$K$2+L213*Prislapp!$L$2+M213*Prislapp!$M$2+N213*Prislapp!$N$2</f>
        <v>45034</v>
      </c>
      <c r="P213" s="42">
        <f>C213*Prislapp!$C$3+D213*Prislapp!$D$3+E213*Prislapp!$E$3+F213*Prislapp!$F$3+G213*Prislapp!$G$3+H213*Prislapp!$H$3+I213*Prislapp!$I$3+J213*Prislapp!$J$3+K213*Prislapp!$K$3+M213*Prislapp!$M$3+N213*Prislapp!$N$3</f>
        <v>31547</v>
      </c>
      <c r="Q213" s="42">
        <f>C213*Prislapp!$C$5+D213*Prislapp!$D$5+E213*Prislapp!$E$5+F213*Prislapp!$F$5+G213*Prislapp!$G$5+H213*Prislapp!$H$5+I213*Prislapp!$I$5+J213*Prislapp!$J$5+K213*Prislapp!$K$5+L213*Prislapp!$L$5+M213*Prislapp!$M$5+N213*Prislapp!$N$5</f>
        <v>34500</v>
      </c>
      <c r="R213" s="9">
        <f>VLOOKUP(A213,'Ansvar kurs'!$A$2:$B$847,2,FALSE)</f>
        <v>2180</v>
      </c>
      <c r="S213" s="31" t="s">
        <v>1288</v>
      </c>
      <c r="T213" s="182" t="s">
        <v>1119</v>
      </c>
      <c r="U213" s="159"/>
      <c r="V213" s="159"/>
      <c r="W213" s="159"/>
      <c r="X213" s="159"/>
      <c r="Y213" s="159"/>
      <c r="Z213" s="159"/>
    </row>
    <row r="214" spans="1:26" x14ac:dyDescent="0.25">
      <c r="A214" s="245" t="s">
        <v>1118</v>
      </c>
      <c r="B214" s="31" t="s">
        <v>1163</v>
      </c>
      <c r="E214" s="31">
        <v>1</v>
      </c>
      <c r="O214" s="42">
        <f>C214*Prislapp!$C$2+D214*Prislapp!$D$2+E214*Prislapp!$E$2+F214*Prislapp!$F$2+G214*Prislapp!$G$2+H214*Prislapp!$H$2+I214*Prislapp!$I$2+J214*Prislapp!$J$2+K214*Prislapp!$K$2+L214*Prislapp!$L$2+M214*Prislapp!$M$2+N214*Prislapp!$N$2</f>
        <v>45034</v>
      </c>
      <c r="P214" s="42">
        <f>C214*Prislapp!$C$3+D214*Prislapp!$D$3+E214*Prislapp!$E$3+F214*Prislapp!$F$3+G214*Prislapp!$G$3+H214*Prislapp!$H$3+I214*Prislapp!$I$3+J214*Prislapp!$J$3+K214*Prislapp!$K$3+M214*Prislapp!$M$3+N214*Prislapp!$N$3</f>
        <v>31547</v>
      </c>
      <c r="Q214" s="42">
        <f>C214*Prislapp!$C$5+D214*Prislapp!$D$5+E214*Prislapp!$E$5+F214*Prislapp!$F$5+G214*Prislapp!$G$5+H214*Prislapp!$H$5+I214*Prislapp!$I$5+J214*Prislapp!$J$5+K214*Prislapp!$K$5+L214*Prislapp!$L$5+M214*Prislapp!$M$5+N214*Prislapp!$N$5</f>
        <v>34500</v>
      </c>
      <c r="R214" s="9">
        <f>VLOOKUP(A214,'Ansvar kurs'!$A$2:$B$847,2,FALSE)</f>
        <v>2180</v>
      </c>
      <c r="S214" s="31" t="s">
        <v>1288</v>
      </c>
      <c r="T214" s="182" t="s">
        <v>1120</v>
      </c>
      <c r="U214" s="159"/>
      <c r="V214" s="159"/>
      <c r="W214" s="159"/>
      <c r="X214" s="159"/>
      <c r="Y214" s="159"/>
      <c r="Z214" s="159"/>
    </row>
    <row r="215" spans="1:26" x14ac:dyDescent="0.25">
      <c r="A215" s="245" t="s">
        <v>1548</v>
      </c>
      <c r="B215" s="62" t="s">
        <v>1549</v>
      </c>
      <c r="I215" s="31">
        <v>1</v>
      </c>
      <c r="O215" s="42">
        <f>C215*Prislapp!$C$2+D215*Prislapp!$D$2+E215*Prislapp!$E$2+F215*Prislapp!$F$2+G215*Prislapp!$G$2+H215*Prislapp!$H$2+I215*Prislapp!$I$2+J215*Prislapp!$J$2+K215*Prislapp!$K$2+L215*Prislapp!$L$2+M215*Prislapp!$M$2+N215*Prislapp!$N$2</f>
        <v>18405</v>
      </c>
      <c r="P215" s="42">
        <f>C215*Prislapp!$C$3+D215*Prislapp!$D$3+E215*Prislapp!$E$3+F215*Prislapp!$F$3+G215*Prislapp!$G$3+H215*Prislapp!$H$3+I215*Prislapp!$I$3+J215*Prislapp!$J$3+K215*Prislapp!$K$3+M215*Prislapp!$M$3+N215*Prislapp!$N$3</f>
        <v>15773</v>
      </c>
      <c r="Q215" s="42">
        <f>C215*Prislapp!$C$5+D215*Prislapp!$D$5+E215*Prislapp!$E$5+F215*Prislapp!$F$5+G215*Prislapp!$G$5+H215*Prislapp!$H$5+I215*Prislapp!$I$5+J215*Prislapp!$J$5+K215*Prislapp!$K$5+L215*Prislapp!$L$5+M215*Prislapp!$M$5+N215*Prislapp!$N$5</f>
        <v>5800</v>
      </c>
      <c r="R215" s="9">
        <f>VLOOKUP(A215,'Ansvar kurs'!$A$2:$B$847,2,FALSE)</f>
        <v>2180</v>
      </c>
      <c r="T215" s="182"/>
      <c r="U215" s="159"/>
      <c r="V215" s="159"/>
      <c r="W215" s="159"/>
      <c r="X215" s="159"/>
      <c r="Y215" s="159"/>
      <c r="Z215" s="159"/>
    </row>
    <row r="216" spans="1:26" x14ac:dyDescent="0.25">
      <c r="A216" s="245" t="s">
        <v>1474</v>
      </c>
      <c r="B216" s="31" t="s">
        <v>1428</v>
      </c>
      <c r="E216" s="31">
        <v>0</v>
      </c>
      <c r="M216" s="31">
        <v>1</v>
      </c>
      <c r="O216" s="42">
        <f>C216*Prislapp!$C$2+D216*Prislapp!$D$2+E216*Prislapp!$E$2+F216*Prislapp!$F$2+G216*Prislapp!$G$2+H216*Prislapp!$H$2+I216*Prislapp!$I$2+J216*Prislapp!$J$2+K216*Prislapp!$K$2+L216*Prislapp!$L$2+M216*Prislapp!$M$2+N216*Prislapp!$N$2</f>
        <v>15846</v>
      </c>
      <c r="P216" s="42">
        <f>C216*Prislapp!$C$3+D216*Prislapp!$D$3+E216*Prislapp!$E$3+F216*Prislapp!$F$3+G216*Prislapp!$G$3+H216*Prislapp!$H$3+I216*Prislapp!$I$3+J216*Prislapp!$J$3+K216*Prislapp!$K$3+M216*Prislapp!$M$3+N216*Prislapp!$N$3</f>
        <v>26926</v>
      </c>
      <c r="Q216" s="42">
        <f>C216*Prislapp!$C$5+D216*Prislapp!$D$5+E216*Prislapp!$E$5+F216*Prislapp!$F$5+G216*Prislapp!$G$5+H216*Prislapp!$H$5+I216*Prislapp!$I$5+J216*Prislapp!$J$5+K216*Prislapp!$K$5+L216*Prislapp!$L$5+M216*Prislapp!$M$5+N216*Prislapp!$N$5</f>
        <v>17300</v>
      </c>
      <c r="R216" s="9">
        <f>VLOOKUP(A216,'Ansvar kurs'!$A$2:$B$847,2,FALSE)</f>
        <v>2180</v>
      </c>
      <c r="S216" s="31" t="s">
        <v>1754</v>
      </c>
      <c r="T216" s="31" t="s">
        <v>1753</v>
      </c>
      <c r="U216" s="159"/>
      <c r="V216" s="159"/>
      <c r="W216" s="159"/>
      <c r="X216" s="159"/>
      <c r="Y216" s="159"/>
      <c r="Z216" s="159"/>
    </row>
    <row r="217" spans="1:26" x14ac:dyDescent="0.25">
      <c r="A217" s="245" t="s">
        <v>1464</v>
      </c>
      <c r="B217" s="307" t="s">
        <v>1425</v>
      </c>
      <c r="E217" s="31">
        <v>0</v>
      </c>
      <c r="M217" s="31">
        <v>1</v>
      </c>
      <c r="O217" s="42">
        <f>C217*Prislapp!$C$2+D217*Prislapp!$D$2+E217*Prislapp!$E$2+F217*Prislapp!$F$2+G217*Prislapp!$G$2+H217*Prislapp!$H$2+I217*Prislapp!$I$2+J217*Prislapp!$J$2+K217*Prislapp!$K$2+L217*Prislapp!$L$2+M217*Prislapp!$M$2+N217*Prislapp!$N$2</f>
        <v>15846</v>
      </c>
      <c r="P217" s="42">
        <f>C217*Prislapp!$C$3+D217*Prislapp!$D$3+E217*Prislapp!$E$3+F217*Prislapp!$F$3+G217*Prislapp!$G$3+H217*Prislapp!$H$3+I217*Prislapp!$I$3+J217*Prislapp!$J$3+K217*Prislapp!$K$3+M217*Prislapp!$M$3+N217*Prislapp!$N$3</f>
        <v>26926</v>
      </c>
      <c r="Q217" s="42">
        <f>C217*Prislapp!$C$5+D217*Prislapp!$D$5+E217*Prislapp!$E$5+F217*Prislapp!$F$5+G217*Prislapp!$G$5+H217*Prislapp!$H$5+I217*Prislapp!$I$5+J217*Prislapp!$J$5+K217*Prislapp!$K$5+L217*Prislapp!$L$5+M217*Prislapp!$M$5+N217*Prislapp!$N$5</f>
        <v>17300</v>
      </c>
      <c r="R217" s="9">
        <f>VLOOKUP(A217,'Ansvar kurs'!$A$2:$B$847,2,FALSE)</f>
        <v>2180</v>
      </c>
      <c r="S217" s="31" t="s">
        <v>1754</v>
      </c>
      <c r="T217" s="31" t="s">
        <v>1753</v>
      </c>
      <c r="U217" s="159"/>
      <c r="V217" s="159"/>
      <c r="W217" s="159"/>
      <c r="X217" s="159"/>
      <c r="Y217" s="159"/>
      <c r="Z217" s="159"/>
    </row>
    <row r="218" spans="1:26" x14ac:dyDescent="0.25">
      <c r="A218" s="59" t="s">
        <v>1577</v>
      </c>
      <c r="B218" s="59" t="s">
        <v>1593</v>
      </c>
      <c r="E218" s="31">
        <v>1</v>
      </c>
      <c r="O218" s="42">
        <f>C218*Prislapp!$C$2+D218*Prislapp!$D$2+E218*Prislapp!$E$2+F218*Prislapp!$F$2+G218*Prislapp!$G$2+H218*Prislapp!$H$2+I218*Prislapp!$I$2+J218*Prislapp!$J$2+K218*Prislapp!$K$2+L218*Prislapp!$L$2+M218*Prislapp!$M$2+N218*Prislapp!$N$2</f>
        <v>45034</v>
      </c>
      <c r="P218" s="42">
        <f>C218*Prislapp!$C$3+D218*Prislapp!$D$3+E218*Prislapp!$E$3+F218*Prislapp!$F$3+G218*Prislapp!$G$3+H218*Prislapp!$H$3+I218*Prislapp!$I$3+J218*Prislapp!$J$3+K218*Prislapp!$K$3+M218*Prislapp!$M$3+N218*Prislapp!$N$3</f>
        <v>31547</v>
      </c>
      <c r="Q218" s="42">
        <f>C218*Prislapp!$C$5+D218*Prislapp!$D$5+E218*Prislapp!$E$5+F218*Prislapp!$F$5+G218*Prislapp!$G$5+H218*Prislapp!$H$5+I218*Prislapp!$I$5+J218*Prislapp!$J$5+K218*Prislapp!$K$5+L218*Prislapp!$L$5+M218*Prislapp!$M$5+N218*Prislapp!$N$5</f>
        <v>34500</v>
      </c>
      <c r="R218" s="9">
        <f>VLOOKUP(A218,'Ansvar kurs'!$A$2:$B$847,2,FALSE)</f>
        <v>2180</v>
      </c>
      <c r="S218" s="159"/>
      <c r="T218" s="159"/>
      <c r="U218" s="159"/>
      <c r="V218" s="159"/>
      <c r="W218" s="159"/>
      <c r="X218" s="159"/>
      <c r="Y218" s="159"/>
      <c r="Z218" s="159"/>
    </row>
    <row r="219" spans="1:26" x14ac:dyDescent="0.25">
      <c r="A219" s="245" t="s">
        <v>1821</v>
      </c>
      <c r="B219" s="59" t="s">
        <v>1831</v>
      </c>
      <c r="E219" s="31">
        <v>1</v>
      </c>
      <c r="O219" s="42">
        <f>C219*Prislapp!$C$2+D219*Prislapp!$D$2+E219*Prislapp!$E$2+F219*Prislapp!$F$2+G219*Prislapp!$G$2+H219*Prislapp!$H$2+I219*Prislapp!$I$2+J219*Prislapp!$J$2+K219*Prislapp!$K$2+L219*Prislapp!$L$2+M219*Prislapp!$M$2+N219*Prislapp!$N$2</f>
        <v>45034</v>
      </c>
      <c r="P219" s="42">
        <f>C219*Prislapp!$C$3+D219*Prislapp!$D$3+E219*Prislapp!$E$3+F219*Prislapp!$F$3+G219*Prislapp!$G$3+H219*Prislapp!$H$3+I219*Prislapp!$I$3+J219*Prislapp!$J$3+K219*Prislapp!$K$3+M219*Prislapp!$M$3+N219*Prislapp!$N$3</f>
        <v>31547</v>
      </c>
      <c r="Q219" s="42">
        <f>C219*Prislapp!$C$5+D219*Prislapp!$D$5+E219*Prislapp!$E$5+F219*Prislapp!$F$5+G219*Prislapp!$G$5+H219*Prislapp!$H$5+I219*Prislapp!$I$5+J219*Prislapp!$J$5+K219*Prislapp!$K$5+L219*Prislapp!$L$5+M219*Prislapp!$M$5+N219*Prislapp!$N$5</f>
        <v>34500</v>
      </c>
      <c r="R219" s="9">
        <f>VLOOKUP(A219,'Ansvar kurs'!$A$2:$B$847,2,FALSE)</f>
        <v>2180</v>
      </c>
      <c r="S219" s="159" t="s">
        <v>1883</v>
      </c>
      <c r="T219" s="159" t="s">
        <v>1884</v>
      </c>
      <c r="U219" s="159"/>
      <c r="V219" s="159"/>
      <c r="W219" s="159"/>
      <c r="X219" s="159"/>
      <c r="Y219" s="159"/>
      <c r="Z219" s="159"/>
    </row>
    <row r="220" spans="1:26" x14ac:dyDescent="0.25">
      <c r="A220" s="245" t="s">
        <v>2193</v>
      </c>
      <c r="B220" s="31" t="s">
        <v>1844</v>
      </c>
      <c r="I220" s="59">
        <v>1</v>
      </c>
      <c r="O220" s="42">
        <f>C220*Prislapp!$C$2+D220*Prislapp!$D$2+E220*Prislapp!$E$2+F220*Prislapp!$F$2+G220*Prislapp!$G$2+H220*Prislapp!$H$2+I220*Prislapp!$I$2+J220*Prislapp!$J$2+K220*Prislapp!$K$2+L220*Prislapp!$L$2+M220*Prislapp!$M$2+N220*Prislapp!$N$2</f>
        <v>18405</v>
      </c>
      <c r="P220" s="42">
        <f>C220*Prislapp!$C$3+D220*Prislapp!$D$3+E220*Prislapp!$E$3+F220*Prislapp!$F$3+G220*Prislapp!$G$3+H220*Prislapp!$H$3+I220*Prislapp!$I$3+J220*Prislapp!$J$3+K220*Prislapp!$K$3+M220*Prislapp!$M$3+N220*Prislapp!$N$3</f>
        <v>15773</v>
      </c>
      <c r="Q220" s="42">
        <f>C220*Prislapp!$C$5+D220*Prislapp!$D$5+E220*Prislapp!$E$5+F220*Prislapp!$F$5+G220*Prislapp!$G$5+H220*Prislapp!$H$5+I220*Prislapp!$I$5+J220*Prislapp!$J$5+K220*Prislapp!$K$5+L220*Prislapp!$L$5+M220*Prislapp!$M$5+N220*Prislapp!$N$5</f>
        <v>5800</v>
      </c>
      <c r="R220" s="9">
        <f>VLOOKUP(A220,'Ansvar kurs'!$A$2:$B$847,2,FALSE)</f>
        <v>2180</v>
      </c>
      <c r="S220" s="182"/>
      <c r="T220" s="159"/>
      <c r="U220" s="159"/>
      <c r="V220" s="159"/>
      <c r="W220" s="159"/>
      <c r="X220" s="159"/>
      <c r="Y220" s="159"/>
      <c r="Z220" s="159"/>
    </row>
    <row r="221" spans="1:26" x14ac:dyDescent="0.25">
      <c r="A221" s="31" t="s">
        <v>497</v>
      </c>
      <c r="B221" s="31" t="s">
        <v>676</v>
      </c>
      <c r="E221" s="31">
        <v>1</v>
      </c>
      <c r="O221" s="42">
        <f>C221*Prislapp!$C$2+D221*Prislapp!$D$2+E221*Prislapp!$E$2+F221*Prislapp!$F$2+G221*Prislapp!$G$2+H221*Prislapp!$H$2+I221*Prislapp!$I$2+J221*Prislapp!$J$2+K221*Prislapp!$K$2+L221*Prislapp!$L$2+M221*Prislapp!$M$2+N221*Prislapp!$N$2</f>
        <v>45034</v>
      </c>
      <c r="P221" s="42">
        <f>C221*Prislapp!$C$3+D221*Prislapp!$D$3+E221*Prislapp!$E$3+F221*Prislapp!$F$3+G221*Prislapp!$G$3+H221*Prislapp!$H$3+I221*Prislapp!$I$3+J221*Prislapp!$J$3+K221*Prislapp!$K$3+M221*Prislapp!$M$3+N221*Prislapp!$N$3</f>
        <v>31547</v>
      </c>
      <c r="Q221" s="42">
        <f>C221*Prislapp!$C$5+D221*Prislapp!$D$5+E221*Prislapp!$E$5+F221*Prislapp!$F$5+G221*Prislapp!$G$5+H221*Prislapp!$H$5+I221*Prislapp!$I$5+J221*Prislapp!$J$5+K221*Prislapp!$K$5+L221*Prislapp!$L$5+M221*Prislapp!$M$5+N221*Prislapp!$N$5</f>
        <v>34500</v>
      </c>
      <c r="R221" s="9">
        <f>VLOOKUP(A221,'Ansvar kurs'!$A$2:$B$847,2,FALSE)</f>
        <v>2180</v>
      </c>
      <c r="S221" s="159"/>
      <c r="T221" s="159"/>
      <c r="U221" s="159"/>
      <c r="V221" s="159"/>
      <c r="W221" s="159"/>
      <c r="X221" s="159"/>
      <c r="Y221" s="159"/>
      <c r="Z221" s="159"/>
    </row>
    <row r="222" spans="1:26" x14ac:dyDescent="0.25">
      <c r="A222" s="244" t="s">
        <v>584</v>
      </c>
      <c r="B222" s="31" t="s">
        <v>611</v>
      </c>
      <c r="E222" s="31">
        <v>1</v>
      </c>
      <c r="O222" s="42">
        <f>C222*Prislapp!$C$2+D222*Prislapp!$D$2+E222*Prislapp!$E$2+F222*Prislapp!$F$2+G222*Prislapp!$G$2+H222*Prislapp!$H$2+I222*Prislapp!$I$2+J222*Prislapp!$J$2+K222*Prislapp!$K$2+L222*Prislapp!$L$2+M222*Prislapp!$M$2+N222*Prislapp!$N$2</f>
        <v>45034</v>
      </c>
      <c r="P222" s="42">
        <f>C222*Prislapp!$C$3+D222*Prislapp!$D$3+E222*Prislapp!$E$3+F222*Prislapp!$F$3+G222*Prislapp!$G$3+H222*Prislapp!$H$3+I222*Prislapp!$I$3+J222*Prislapp!$J$3+K222*Prislapp!$K$3+M222*Prislapp!$M$3+N222*Prislapp!$N$3</f>
        <v>31547</v>
      </c>
      <c r="Q222" s="42">
        <f>C222*Prislapp!$C$5+D222*Prislapp!$D$5+E222*Prislapp!$E$5+F222*Prislapp!$F$5+G222*Prislapp!$G$5+H222*Prislapp!$H$5+I222*Prislapp!$I$5+J222*Prislapp!$J$5+K222*Prislapp!$K$5+L222*Prislapp!$L$5+M222*Prislapp!$M$5+N222*Prislapp!$N$5</f>
        <v>34500</v>
      </c>
      <c r="R222" s="9">
        <f>VLOOKUP(A222,'Ansvar kurs'!$A$2:$B$847,2,FALSE)</f>
        <v>2180</v>
      </c>
      <c r="S222" s="159"/>
      <c r="T222" s="159"/>
      <c r="U222" s="159"/>
      <c r="V222" s="159"/>
      <c r="W222" s="159"/>
      <c r="X222" s="159"/>
      <c r="Y222" s="159"/>
      <c r="Z222" s="159"/>
    </row>
    <row r="223" spans="1:26" x14ac:dyDescent="0.25">
      <c r="A223" s="244" t="s">
        <v>585</v>
      </c>
      <c r="B223" s="31" t="s">
        <v>1164</v>
      </c>
      <c r="K223" s="31">
        <v>1</v>
      </c>
      <c r="O223" s="42">
        <f>C223*Prislapp!$C$2+D223*Prislapp!$D$2+E223*Prislapp!$E$2+F223*Prislapp!$F$2+G223*Prislapp!$G$2+H223*Prislapp!$H$2+I223*Prislapp!$I$2+J223*Prislapp!$J$2+K223*Prislapp!$K$2+L223*Prislapp!$L$2+M223*Prislapp!$M$2+N223*Prislapp!$N$2</f>
        <v>21634</v>
      </c>
      <c r="P223" s="42">
        <f>C223*Prislapp!$C$3+D223*Prislapp!$D$3+E223*Prislapp!$E$3+F223*Prislapp!$F$3+G223*Prislapp!$G$3+H223*Prislapp!$H$3+I223*Prislapp!$I$3+J223*Prislapp!$J$3+K223*Prislapp!$K$3+M223*Prislapp!$M$3+N223*Prislapp!$N$3</f>
        <v>26986</v>
      </c>
      <c r="Q223" s="42">
        <f>C223*Prislapp!$C$5+D223*Prislapp!$D$5+E223*Prislapp!$E$5+F223*Prislapp!$F$5+G223*Prislapp!$G$5+H223*Prislapp!$H$5+I223*Prislapp!$I$5+J223*Prislapp!$J$5+K223*Prislapp!$K$5+L223*Prislapp!$L$5+M223*Prislapp!$M$5+N223*Prislapp!$N$5</f>
        <v>3400</v>
      </c>
      <c r="R223" s="9">
        <f>VLOOKUP(A223,'Ansvar kurs'!$A$2:$B$847,2,FALSE)</f>
        <v>2180</v>
      </c>
      <c r="S223" s="159"/>
      <c r="T223" s="159"/>
      <c r="U223" s="159"/>
      <c r="V223" s="159"/>
      <c r="W223" s="159"/>
      <c r="X223" s="159"/>
      <c r="Y223" s="159"/>
      <c r="Z223" s="159"/>
    </row>
    <row r="224" spans="1:26" x14ac:dyDescent="0.25">
      <c r="A224" s="244" t="s">
        <v>1029</v>
      </c>
      <c r="B224" s="31" t="s">
        <v>1060</v>
      </c>
      <c r="F224" s="31">
        <v>1</v>
      </c>
      <c r="O224" s="42">
        <f>C224*Prislapp!$C$2+D224*Prislapp!$D$2+E224*Prislapp!$E$2+F224*Prislapp!$F$2+G224*Prislapp!$G$2+H224*Prislapp!$H$2+I224*Prislapp!$I$2+J224*Prislapp!$J$2+K224*Prislapp!$K$2+L224*Prislapp!$L$2+M224*Prislapp!$M$2+N224*Prislapp!$N$2</f>
        <v>23641</v>
      </c>
      <c r="P224" s="42">
        <f>C224*Prislapp!$C$3+D224*Prislapp!$D$3+E224*Prislapp!$E$3+F224*Prislapp!$F$3+G224*Prislapp!$G$3+H224*Prislapp!$H$3+I224*Prislapp!$I$3+J224*Prislapp!$J$3+K224*Prislapp!$K$3+M224*Prislapp!$M$3+N224*Prislapp!$N$3</f>
        <v>28786</v>
      </c>
      <c r="Q224" s="42">
        <f>C224*Prislapp!$C$5+D224*Prislapp!$D$5+E224*Prislapp!$E$5+F224*Prislapp!$F$5+G224*Prislapp!$G$5+H224*Prislapp!$H$5+I224*Prislapp!$I$5+J224*Prislapp!$J$5+K224*Prislapp!$K$5+L224*Prislapp!$L$5+M224*Prislapp!$M$5+N224*Prislapp!$N$5</f>
        <v>5800</v>
      </c>
      <c r="R224" s="9">
        <f>VLOOKUP(A224,'Ansvar kurs'!$A$2:$B$847,2,FALSE)</f>
        <v>2180</v>
      </c>
      <c r="S224" s="159"/>
      <c r="T224" s="159"/>
      <c r="U224" s="159"/>
      <c r="V224" s="159"/>
      <c r="W224" s="159"/>
      <c r="X224" s="159"/>
      <c r="Y224" s="159"/>
      <c r="Z224" s="159"/>
    </row>
    <row r="225" spans="1:26" x14ac:dyDescent="0.25">
      <c r="A225" s="244" t="s">
        <v>1030</v>
      </c>
      <c r="B225" s="31" t="s">
        <v>1061</v>
      </c>
      <c r="K225" s="31">
        <v>1</v>
      </c>
      <c r="O225" s="42">
        <f>C225*Prislapp!$C$2+D225*Prislapp!$D$2+E225*Prislapp!$E$2+F225*Prislapp!$F$2+G225*Prislapp!$G$2+H225*Prislapp!$H$2+I225*Prislapp!$I$2+J225*Prislapp!$J$2+K225*Prislapp!$K$2+L225*Prislapp!$L$2+M225*Prislapp!$M$2+N225*Prislapp!$N$2</f>
        <v>21634</v>
      </c>
      <c r="P225" s="42">
        <f>C225*Prislapp!$C$3+D225*Prislapp!$D$3+E225*Prislapp!$E$3+F225*Prislapp!$F$3+G225*Prislapp!$G$3+H225*Prislapp!$H$3+I225*Prislapp!$I$3+J225*Prislapp!$J$3+K225*Prislapp!$K$3+M225*Prislapp!$M$3+N225*Prislapp!$N$3</f>
        <v>26986</v>
      </c>
      <c r="Q225" s="42">
        <f>C225*Prislapp!$C$5+D225*Prislapp!$D$5+E225*Prislapp!$E$5+F225*Prislapp!$F$5+G225*Prislapp!$G$5+H225*Prislapp!$H$5+I225*Prislapp!$I$5+J225*Prislapp!$J$5+K225*Prislapp!$K$5+L225*Prislapp!$L$5+M225*Prislapp!$M$5+N225*Prislapp!$N$5</f>
        <v>3400</v>
      </c>
      <c r="R225" s="9">
        <f>VLOOKUP(A225,'Ansvar kurs'!$A$2:$B$847,2,FALSE)</f>
        <v>2180</v>
      </c>
      <c r="S225" s="159"/>
      <c r="T225" s="159"/>
      <c r="U225" s="159"/>
      <c r="V225" s="159"/>
      <c r="W225" s="159"/>
      <c r="X225" s="159"/>
      <c r="Y225" s="159"/>
      <c r="Z225" s="159"/>
    </row>
    <row r="226" spans="1:26" x14ac:dyDescent="0.25">
      <c r="A226" s="244" t="s">
        <v>1031</v>
      </c>
      <c r="B226" s="31" t="s">
        <v>1165</v>
      </c>
      <c r="F226" s="31">
        <v>0</v>
      </c>
      <c r="I226" s="31">
        <v>1</v>
      </c>
      <c r="O226" s="42">
        <f>C226*Prislapp!$C$2+D226*Prislapp!$D$2+E226*Prislapp!$E$2+F226*Prislapp!$F$2+G226*Prislapp!$G$2+H226*Prislapp!$H$2+I226*Prislapp!$I$2+J226*Prislapp!$J$2+K226*Prislapp!$K$2+L226*Prislapp!$L$2+M226*Prislapp!$M$2+N226*Prislapp!$N$2</f>
        <v>18405</v>
      </c>
      <c r="P226" s="42">
        <f>C226*Prislapp!$C$3+D226*Prislapp!$D$3+E226*Prislapp!$E$3+F226*Prislapp!$F$3+G226*Prislapp!$G$3+H226*Prislapp!$H$3+I226*Prislapp!$I$3+J226*Prislapp!$J$3+K226*Prislapp!$K$3+M226*Prislapp!$M$3+N226*Prislapp!$N$3</f>
        <v>15773</v>
      </c>
      <c r="Q226" s="42">
        <f>C226*Prislapp!$C$5+D226*Prislapp!$D$5+E226*Prislapp!$E$5+F226*Prislapp!$F$5+G226*Prislapp!$G$5+H226*Prislapp!$H$5+I226*Prislapp!$I$5+J226*Prislapp!$J$5+K226*Prislapp!$K$5+L226*Prislapp!$L$5+M226*Prislapp!$M$5+N226*Prislapp!$N$5</f>
        <v>5800</v>
      </c>
      <c r="R226" s="9">
        <f>VLOOKUP(A226,'Ansvar kurs'!$A$2:$B$847,2,FALSE)</f>
        <v>2180</v>
      </c>
      <c r="S226" s="159" t="s">
        <v>1304</v>
      </c>
      <c r="T226" s="159"/>
      <c r="U226" s="159"/>
      <c r="V226" s="159"/>
      <c r="W226" s="159"/>
      <c r="X226" s="159"/>
      <c r="Y226" s="159"/>
      <c r="Z226" s="159"/>
    </row>
    <row r="227" spans="1:26" x14ac:dyDescent="0.25">
      <c r="A227" s="245" t="s">
        <v>860</v>
      </c>
      <c r="B227" s="31" t="s">
        <v>1166</v>
      </c>
      <c r="E227" s="31">
        <v>1</v>
      </c>
      <c r="O227" s="42">
        <f>C227*Prislapp!$C$2+D227*Prislapp!$D$2+E227*Prislapp!$E$2+F227*Prislapp!$F$2+G227*Prislapp!$G$2+H227*Prislapp!$H$2+I227*Prislapp!$I$2+J227*Prislapp!$J$2+K227*Prislapp!$K$2+L227*Prislapp!$L$2+M227*Prislapp!$M$2+N227*Prislapp!$N$2</f>
        <v>45034</v>
      </c>
      <c r="P227" s="42">
        <f>C227*Prislapp!$C$3+D227*Prislapp!$D$3+E227*Prislapp!$E$3+F227*Prislapp!$F$3+G227*Prislapp!$G$3+H227*Prislapp!$H$3+I227*Prislapp!$I$3+J227*Prislapp!$J$3+K227*Prislapp!$K$3+M227*Prislapp!$M$3+N227*Prislapp!$N$3</f>
        <v>31547</v>
      </c>
      <c r="Q227" s="42">
        <f>C227*Prislapp!$C$5+D227*Prislapp!$D$5+E227*Prislapp!$E$5+F227*Prislapp!$F$5+G227*Prislapp!$G$5+H227*Prislapp!$H$5+I227*Prislapp!$I$5+J227*Prislapp!$J$5+K227*Prislapp!$K$5+L227*Prislapp!$L$5+M227*Prislapp!$M$5+N227*Prislapp!$N$5</f>
        <v>34500</v>
      </c>
      <c r="R227" s="9">
        <f>VLOOKUP(A227,'Ansvar kurs'!$A$2:$B$847,2,FALSE)</f>
        <v>2180</v>
      </c>
      <c r="S227" s="159" t="s">
        <v>955</v>
      </c>
      <c r="T227" s="159"/>
      <c r="U227" s="159"/>
      <c r="V227" s="159"/>
      <c r="W227" s="159"/>
      <c r="X227" s="159"/>
      <c r="Y227" s="159"/>
      <c r="Z227" s="159"/>
    </row>
    <row r="228" spans="1:26" x14ac:dyDescent="0.25">
      <c r="A228" s="245" t="s">
        <v>861</v>
      </c>
      <c r="B228" s="31" t="s">
        <v>1167</v>
      </c>
      <c r="E228" s="31">
        <v>1</v>
      </c>
      <c r="O228" s="42">
        <f>C228*Prislapp!$C$2+D228*Prislapp!$D$2+E228*Prislapp!$E$2+F228*Prislapp!$F$2+G228*Prislapp!$G$2+H228*Prislapp!$H$2+I228*Prislapp!$I$2+J228*Prislapp!$J$2+K228*Prislapp!$K$2+L228*Prislapp!$L$2+M228*Prislapp!$M$2+N228*Prislapp!$N$2</f>
        <v>45034</v>
      </c>
      <c r="P228" s="42">
        <f>C228*Prislapp!$C$3+D228*Prislapp!$D$3+E228*Prislapp!$E$3+F228*Prislapp!$F$3+G228*Prislapp!$G$3+H228*Prislapp!$H$3+I228*Prislapp!$I$3+J228*Prislapp!$J$3+K228*Prislapp!$K$3+M228*Prislapp!$M$3+N228*Prislapp!$N$3</f>
        <v>31547</v>
      </c>
      <c r="Q228" s="42">
        <f>C228*Prislapp!$C$5+D228*Prislapp!$D$5+E228*Prislapp!$E$5+F228*Prislapp!$F$5+G228*Prislapp!$G$5+H228*Prislapp!$H$5+I228*Prislapp!$I$5+J228*Prislapp!$J$5+K228*Prislapp!$K$5+L228*Prislapp!$L$5+M228*Prislapp!$M$5+N228*Prislapp!$N$5</f>
        <v>34500</v>
      </c>
      <c r="R228" s="9">
        <f>VLOOKUP(A228,'Ansvar kurs'!$A$2:$B$847,2,FALSE)</f>
        <v>2180</v>
      </c>
      <c r="S228" s="159" t="s">
        <v>955</v>
      </c>
      <c r="T228" s="159"/>
      <c r="U228" s="159"/>
      <c r="V228" s="159"/>
      <c r="W228" s="159"/>
      <c r="X228" s="159"/>
      <c r="Y228" s="159"/>
      <c r="Z228" s="159"/>
    </row>
    <row r="229" spans="1:26" x14ac:dyDescent="0.25">
      <c r="A229" s="31" t="s">
        <v>586</v>
      </c>
      <c r="B229" s="31" t="s">
        <v>677</v>
      </c>
      <c r="E229" s="31">
        <v>1</v>
      </c>
      <c r="O229" s="42">
        <f>C229*Prislapp!$C$2+D229*Prislapp!$D$2+E229*Prislapp!$E$2+F229*Prislapp!$F$2+G229*Prislapp!$G$2+H229*Prislapp!$H$2+I229*Prislapp!$I$2+J229*Prislapp!$J$2+K229*Prislapp!$K$2+L229*Prislapp!$L$2+M229*Prislapp!$M$2+N229*Prislapp!$N$2</f>
        <v>45034</v>
      </c>
      <c r="P229" s="42">
        <f>C229*Prislapp!$C$3+D229*Prislapp!$D$3+E229*Prislapp!$E$3+F229*Prislapp!$F$3+G229*Prislapp!$G$3+H229*Prislapp!$H$3+I229*Prislapp!$I$3+J229*Prislapp!$J$3+K229*Prislapp!$K$3+M229*Prislapp!$M$3+N229*Prislapp!$N$3</f>
        <v>31547</v>
      </c>
      <c r="Q229" s="42">
        <f>C229*Prislapp!$C$5+D229*Prislapp!$D$5+E229*Prislapp!$E$5+F229*Prislapp!$F$5+G229*Prislapp!$G$5+H229*Prislapp!$H$5+I229*Prislapp!$I$5+J229*Prislapp!$J$5+K229*Prislapp!$K$5+L229*Prislapp!$L$5+M229*Prislapp!$M$5+N229*Prislapp!$N$5</f>
        <v>34500</v>
      </c>
      <c r="R229" s="9">
        <f>VLOOKUP(A229,'Ansvar kurs'!$A$2:$B$847,2,FALSE)</f>
        <v>2180</v>
      </c>
      <c r="S229" s="159"/>
      <c r="T229" s="159"/>
      <c r="U229" s="159"/>
      <c r="V229" s="159"/>
      <c r="W229" s="159"/>
      <c r="X229" s="159"/>
      <c r="Y229" s="159"/>
      <c r="Z229" s="159"/>
    </row>
    <row r="230" spans="1:26" x14ac:dyDescent="0.25">
      <c r="A230" s="245" t="s">
        <v>992</v>
      </c>
      <c r="B230" s="31" t="s">
        <v>1168</v>
      </c>
      <c r="E230" s="31">
        <v>1</v>
      </c>
      <c r="O230" s="42">
        <f>C230*Prislapp!$C$2+D230*Prislapp!$D$2+E230*Prislapp!$E$2+F230*Prislapp!$F$2+G230*Prislapp!$G$2+H230*Prislapp!$H$2+I230*Prislapp!$I$2+J230*Prislapp!$J$2+K230*Prislapp!$K$2+L230*Prislapp!$L$2+M230*Prislapp!$M$2+N230*Prislapp!$N$2</f>
        <v>45034</v>
      </c>
      <c r="P230" s="42">
        <f>C230*Prislapp!$C$3+D230*Prislapp!$D$3+E230*Prislapp!$E$3+F230*Prislapp!$F$3+G230*Prislapp!$G$3+H230*Prislapp!$H$3+I230*Prislapp!$I$3+J230*Prislapp!$J$3+K230*Prislapp!$K$3+M230*Prislapp!$M$3+N230*Prislapp!$N$3</f>
        <v>31547</v>
      </c>
      <c r="Q230" s="42">
        <f>C230*Prislapp!$C$5+D230*Prislapp!$D$5+E230*Prislapp!$E$5+F230*Prislapp!$F$5+G230*Prislapp!$G$5+H230*Prislapp!$H$5+I230*Prislapp!$I$5+J230*Prislapp!$J$5+K230*Prislapp!$K$5+L230*Prislapp!$L$5+M230*Prislapp!$M$5+N230*Prislapp!$N$5</f>
        <v>34500</v>
      </c>
      <c r="R230" s="9">
        <f>VLOOKUP(A230,'Ansvar kurs'!$A$2:$B$847,2,FALSE)</f>
        <v>2180</v>
      </c>
      <c r="S230" s="159" t="s">
        <v>1069</v>
      </c>
      <c r="T230" s="159" t="s">
        <v>994</v>
      </c>
      <c r="U230" s="159"/>
      <c r="V230" s="159"/>
      <c r="W230" s="159"/>
      <c r="X230" s="159"/>
      <c r="Y230" s="159"/>
      <c r="Z230" s="159"/>
    </row>
    <row r="231" spans="1:26" x14ac:dyDescent="0.25">
      <c r="A231" s="245" t="s">
        <v>993</v>
      </c>
      <c r="B231" s="31" t="s">
        <v>1169</v>
      </c>
      <c r="E231" s="31">
        <v>1</v>
      </c>
      <c r="O231" s="42">
        <f>C231*Prislapp!$C$2+D231*Prislapp!$D$2+E231*Prislapp!$E$2+F231*Prislapp!$F$2+G231*Prislapp!$G$2+H231*Prislapp!$H$2+I231*Prislapp!$I$2+J231*Prislapp!$J$2+K231*Prislapp!$K$2+L231*Prislapp!$L$2+M231*Prislapp!$M$2+N231*Prislapp!$N$2</f>
        <v>45034</v>
      </c>
      <c r="P231" s="42">
        <f>C231*Prislapp!$C$3+D231*Prislapp!$D$3+E231*Prislapp!$E$3+F231*Prislapp!$F$3+G231*Prislapp!$G$3+H231*Prislapp!$H$3+I231*Prislapp!$I$3+J231*Prislapp!$J$3+K231*Prislapp!$K$3+M231*Prislapp!$M$3+N231*Prislapp!$N$3</f>
        <v>31547</v>
      </c>
      <c r="Q231" s="42">
        <f>C231*Prislapp!$C$5+D231*Prislapp!$D$5+E231*Prislapp!$E$5+F231*Prislapp!$F$5+G231*Prislapp!$G$5+H231*Prislapp!$H$5+I231*Prislapp!$I$5+J231*Prislapp!$J$5+K231*Prislapp!$K$5+L231*Prislapp!$L$5+M231*Prislapp!$M$5+N231*Prislapp!$N$5</f>
        <v>34500</v>
      </c>
      <c r="R231" s="9">
        <f>VLOOKUP(A231,'Ansvar kurs'!$A$2:$B$847,2,FALSE)</f>
        <v>2180</v>
      </c>
      <c r="S231" s="159" t="s">
        <v>1069</v>
      </c>
      <c r="T231" s="159" t="s">
        <v>995</v>
      </c>
      <c r="U231" s="159"/>
      <c r="V231" s="159"/>
      <c r="W231" s="159"/>
      <c r="X231" s="159"/>
      <c r="Y231" s="159"/>
      <c r="Z231" s="159"/>
    </row>
    <row r="232" spans="1:26" x14ac:dyDescent="0.25">
      <c r="A232" s="245" t="s">
        <v>1695</v>
      </c>
      <c r="B232" t="s">
        <v>1647</v>
      </c>
      <c r="I232" s="31">
        <v>1</v>
      </c>
      <c r="O232" s="42">
        <f>C232*Prislapp!$C$2+D232*Prislapp!$D$2+E232*Prislapp!$E$2+F232*Prislapp!$F$2+G232*Prislapp!$G$2+H232*Prislapp!$H$2+I232*Prislapp!$I$2+J232*Prislapp!$J$2+K232*Prislapp!$K$2+L232*Prislapp!$L$2+M232*Prislapp!$M$2+N232*Prislapp!$N$2</f>
        <v>18405</v>
      </c>
      <c r="P232" s="42">
        <f>C232*Prislapp!$C$3+D232*Prislapp!$D$3+E232*Prislapp!$E$3+F232*Prislapp!$F$3+G232*Prislapp!$G$3+H232*Prislapp!$H$3+I232*Prislapp!$I$3+J232*Prislapp!$J$3+K232*Prislapp!$K$3+M232*Prislapp!$M$3+N232*Prislapp!$N$3</f>
        <v>15773</v>
      </c>
      <c r="Q232" s="42">
        <f>C232*Prislapp!$C$5+D232*Prislapp!$D$5+E232*Prislapp!$E$5+F232*Prislapp!$F$5+G232*Prislapp!$G$5+H232*Prislapp!$H$5+I232*Prislapp!$I$5+J232*Prislapp!$J$5+K232*Prislapp!$K$5+L232*Prislapp!$L$5+M232*Prislapp!$M$5+N232*Prislapp!$N$5</f>
        <v>5800</v>
      </c>
      <c r="R232" s="9">
        <f>VLOOKUP(A232,'Ansvar kurs'!$A$2:$B$847,2,FALSE)</f>
        <v>2193</v>
      </c>
      <c r="S232" s="159"/>
      <c r="T232" s="159"/>
      <c r="U232" s="159"/>
      <c r="V232" s="159"/>
      <c r="W232" s="159"/>
      <c r="X232" s="159"/>
      <c r="Y232" s="159"/>
      <c r="Z232" s="159"/>
    </row>
    <row r="233" spans="1:26" x14ac:dyDescent="0.25">
      <c r="A233" s="245" t="s">
        <v>1694</v>
      </c>
      <c r="B233" t="s">
        <v>1646</v>
      </c>
      <c r="I233" s="31">
        <v>1</v>
      </c>
      <c r="O233" s="42">
        <f>C233*Prislapp!$C$2+D233*Prislapp!$D$2+E233*Prislapp!$E$2+F233*Prislapp!$F$2+G233*Prislapp!$G$2+H233*Prislapp!$H$2+I233*Prislapp!$I$2+J233*Prislapp!$J$2+K233*Prislapp!$K$2+L233*Prislapp!$L$2+M233*Prislapp!$M$2+N233*Prislapp!$N$2</f>
        <v>18405</v>
      </c>
      <c r="P233" s="42">
        <f>C233*Prislapp!$C$3+D233*Prislapp!$D$3+E233*Prislapp!$E$3+F233*Prislapp!$F$3+G233*Prislapp!$G$3+H233*Prislapp!$H$3+I233*Prislapp!$I$3+J233*Prislapp!$J$3+K233*Prislapp!$K$3+M233*Prislapp!$M$3+N233*Prislapp!$N$3</f>
        <v>15773</v>
      </c>
      <c r="Q233" s="42">
        <f>C233*Prislapp!$C$5+D233*Prislapp!$D$5+E233*Prislapp!$E$5+F233*Prislapp!$F$5+G233*Prislapp!$G$5+H233*Prislapp!$H$5+I233*Prislapp!$I$5+J233*Prislapp!$J$5+K233*Prislapp!$K$5+L233*Prislapp!$L$5+M233*Prislapp!$M$5+N233*Prislapp!$N$5</f>
        <v>5800</v>
      </c>
      <c r="R233" s="9">
        <f>VLOOKUP(A233,'Ansvar kurs'!$A$2:$B$847,2,FALSE)</f>
        <v>2193</v>
      </c>
      <c r="S233" s="159"/>
      <c r="T233" s="159"/>
      <c r="U233" s="159"/>
      <c r="V233" s="159"/>
      <c r="W233" s="159"/>
      <c r="X233" s="159"/>
      <c r="Y233" s="159"/>
      <c r="Z233" s="159"/>
    </row>
    <row r="234" spans="1:26" x14ac:dyDescent="0.25">
      <c r="A234" s="31" t="s">
        <v>956</v>
      </c>
      <c r="B234" s="31" t="s">
        <v>957</v>
      </c>
      <c r="I234" s="31">
        <v>1</v>
      </c>
      <c r="O234" s="42">
        <f>C234*Prislapp!$C$2+D234*Prislapp!$D$2+E234*Prislapp!$E$2+F234*Prislapp!$F$2+G234*Prislapp!$G$2+H234*Prislapp!$H$2+I234*Prislapp!$I$2+J234*Prislapp!$J$2+K234*Prislapp!$K$2+L234*Prislapp!$L$2+M234*Prislapp!$M$2+N234*Prislapp!$N$2</f>
        <v>18405</v>
      </c>
      <c r="P234" s="42">
        <f>C234*Prislapp!$C$3+D234*Prislapp!$D$3+E234*Prislapp!$E$3+F234*Prislapp!$F$3+G234*Prislapp!$G$3+H234*Prislapp!$H$3+I234*Prislapp!$I$3+J234*Prislapp!$J$3+K234*Prislapp!$K$3+M234*Prislapp!$M$3+N234*Prislapp!$N$3</f>
        <v>15773</v>
      </c>
      <c r="Q234" s="42">
        <f>C234*Prislapp!$C$5+D234*Prislapp!$D$5+E234*Prislapp!$E$5+F234*Prislapp!$F$5+G234*Prislapp!$G$5+H234*Prislapp!$H$5+I234*Prislapp!$I$5+J234*Prislapp!$J$5+K234*Prislapp!$K$5+L234*Prislapp!$L$5+M234*Prislapp!$M$5+N234*Prislapp!$N$5</f>
        <v>5800</v>
      </c>
      <c r="R234" s="9">
        <f>VLOOKUP(A234,'Ansvar kurs'!$A$2:$B$847,2,FALSE)</f>
        <v>2300</v>
      </c>
      <c r="S234" s="159" t="s">
        <v>958</v>
      </c>
      <c r="T234" s="159"/>
      <c r="U234" s="159"/>
      <c r="V234" s="159"/>
      <c r="W234" s="159"/>
      <c r="X234" s="159"/>
      <c r="Y234" s="159"/>
      <c r="Z234" s="159"/>
    </row>
    <row r="235" spans="1:26" x14ac:dyDescent="0.25">
      <c r="A235" s="62" t="s">
        <v>1307</v>
      </c>
      <c r="B235" s="62" t="s">
        <v>1308</v>
      </c>
      <c r="D235" s="31">
        <v>1</v>
      </c>
      <c r="O235" s="42">
        <f>C235*Prislapp!$C$2+D235*Prislapp!$D$2+E235*Prislapp!$E$2+F235*Prislapp!$F$2+G235*Prislapp!$G$2+H235*Prislapp!$H$2+I235*Prislapp!$I$2+J235*Prislapp!$J$2+K235*Prislapp!$K$2+L235*Prislapp!$L$2+M235*Prislapp!$M$2+N235*Prislapp!$N$2</f>
        <v>18405</v>
      </c>
      <c r="P235" s="42">
        <f>C235*Prislapp!$C$3+D235*Prislapp!$D$3+E235*Prislapp!$E$3+F235*Prislapp!$F$3+G235*Prislapp!$G$3+H235*Prislapp!$H$3+I235*Prislapp!$I$3+J235*Prislapp!$J$3+K235*Prislapp!$K$3+M235*Prislapp!$M$3+N235*Prislapp!$N$3</f>
        <v>15773</v>
      </c>
      <c r="Q235" s="42">
        <f>C235*Prislapp!$C$5+D235*Prislapp!$D$5+E235*Prislapp!$E$5+F235*Prislapp!$F$5+G235*Prislapp!$G$5+H235*Prislapp!$H$5+I235*Prislapp!$I$5+J235*Prislapp!$J$5+K235*Prislapp!$K$5+L235*Prislapp!$L$5+M235*Prislapp!$M$5+N235*Prislapp!$N$5</f>
        <v>5800</v>
      </c>
      <c r="R235" s="9">
        <f>VLOOKUP(A235,'Ansvar kurs'!$A$2:$B$847,2,FALSE)</f>
        <v>1640</v>
      </c>
      <c r="S235" s="159"/>
      <c r="T235" s="159"/>
      <c r="U235" s="159"/>
      <c r="V235" s="159"/>
      <c r="W235" s="159"/>
      <c r="X235" s="159"/>
      <c r="Y235" s="159"/>
      <c r="Z235" s="159"/>
    </row>
    <row r="236" spans="1:26" x14ac:dyDescent="0.25">
      <c r="A236" s="62" t="s">
        <v>1309</v>
      </c>
      <c r="B236" s="62" t="s">
        <v>1310</v>
      </c>
      <c r="D236" s="31">
        <v>1</v>
      </c>
      <c r="O236" s="42">
        <f>C236*Prislapp!$C$2+D236*Prislapp!$D$2+E236*Prislapp!$E$2+F236*Prislapp!$F$2+G236*Prislapp!$G$2+H236*Prislapp!$H$2+I236*Prislapp!$I$2+J236*Prislapp!$J$2+K236*Prislapp!$K$2+L236*Prislapp!$L$2+M236*Prislapp!$M$2+N236*Prislapp!$N$2</f>
        <v>18405</v>
      </c>
      <c r="P236" s="42">
        <f>C236*Prislapp!$C$3+D236*Prislapp!$D$3+E236*Prislapp!$E$3+F236*Prislapp!$F$3+G236*Prislapp!$G$3+H236*Prislapp!$H$3+I236*Prislapp!$I$3+J236*Prislapp!$J$3+K236*Prislapp!$K$3+M236*Prislapp!$M$3+N236*Prislapp!$N$3</f>
        <v>15773</v>
      </c>
      <c r="Q236" s="42">
        <f>C236*Prislapp!$C$5+D236*Prislapp!$D$5+E236*Prislapp!$E$5+F236*Prislapp!$F$5+G236*Prislapp!$G$5+H236*Prislapp!$H$5+I236*Prislapp!$I$5+J236*Prislapp!$J$5+K236*Prislapp!$K$5+L236*Prislapp!$L$5+M236*Prislapp!$M$5+N236*Prislapp!$N$5</f>
        <v>5800</v>
      </c>
      <c r="R236" s="9">
        <f>VLOOKUP(A236,'Ansvar kurs'!$A$2:$B$847,2,FALSE)</f>
        <v>1640</v>
      </c>
      <c r="S236" s="159"/>
      <c r="T236" s="159"/>
      <c r="U236" s="159"/>
      <c r="V236" s="159"/>
      <c r="W236" s="159"/>
      <c r="X236" s="159"/>
      <c r="Y236" s="159"/>
      <c r="Z236" s="159"/>
    </row>
    <row r="237" spans="1:26" x14ac:dyDescent="0.25">
      <c r="A237" s="245" t="s">
        <v>1483</v>
      </c>
      <c r="B237" s="62" t="s">
        <v>1482</v>
      </c>
      <c r="H237" s="31">
        <v>1</v>
      </c>
      <c r="O237" s="42">
        <f>C237*Prislapp!$C$2+D237*Prislapp!$D$2+E237*Prislapp!$E$2+F237*Prislapp!$F$2+G237*Prislapp!$G$2+H237*Prislapp!$H$2+I237*Prislapp!$I$2+J237*Prislapp!$J$2+K237*Prislapp!$K$2+L237*Prislapp!$L$2+M237*Prislapp!$M$2+N237*Prislapp!$N$2</f>
        <v>19473</v>
      </c>
      <c r="P237" s="42">
        <f>C237*Prislapp!$C$3+D237*Prislapp!$D$3+E237*Prislapp!$E$3+F237*Prislapp!$F$3+G237*Prislapp!$G$3+H237*Prislapp!$H$3+I237*Prislapp!$I$3+J237*Prislapp!$J$3+K237*Prislapp!$K$3+M237*Prislapp!$M$3+N237*Prislapp!$N$3</f>
        <v>34806</v>
      </c>
      <c r="Q237" s="42">
        <f>C237*Prislapp!$C$5+D237*Prislapp!$D$5+E237*Prislapp!$E$5+F237*Prislapp!$F$5+G237*Prislapp!$G$5+H237*Prislapp!$H$5+I237*Prislapp!$I$5+J237*Prislapp!$J$5+K237*Prislapp!$K$5+L237*Prislapp!$L$5+M237*Prislapp!$M$5+N237*Prislapp!$N$5</f>
        <v>21800</v>
      </c>
      <c r="R237" s="9">
        <f>VLOOKUP(A237,'Ansvar kurs'!$A$2:$B$847,2,FALSE)</f>
        <v>5740</v>
      </c>
      <c r="S237" s="159"/>
      <c r="T237" s="159"/>
      <c r="U237" s="159"/>
      <c r="V237" s="159"/>
      <c r="W237" s="159"/>
      <c r="X237" s="159"/>
      <c r="Y237" s="159"/>
      <c r="Z237" s="159"/>
    </row>
    <row r="238" spans="1:26" x14ac:dyDescent="0.25">
      <c r="A238" s="245" t="s">
        <v>1491</v>
      </c>
      <c r="B238" s="31" t="s">
        <v>1114</v>
      </c>
      <c r="H238" s="31">
        <v>1</v>
      </c>
      <c r="O238" s="42">
        <f>C238*Prislapp!$C$2+D238*Prislapp!$D$2+E238*Prislapp!$E$2+F238*Prislapp!$F$2+G238*Prislapp!$G$2+H238*Prislapp!$H$2+I238*Prislapp!$I$2+J238*Prislapp!$J$2+K238*Prislapp!$K$2+L238*Prislapp!$L$2+M238*Prislapp!$M$2+N238*Prislapp!$N$2</f>
        <v>19473</v>
      </c>
      <c r="P238" s="42">
        <f>C238*Prislapp!$C$3+D238*Prislapp!$D$3+E238*Prislapp!$E$3+F238*Prislapp!$F$3+G238*Prislapp!$G$3+H238*Prislapp!$H$3+I238*Prislapp!$I$3+J238*Prislapp!$J$3+K238*Prislapp!$K$3+M238*Prislapp!$M$3+N238*Prislapp!$N$3</f>
        <v>34806</v>
      </c>
      <c r="Q238" s="42">
        <f>C238*Prislapp!$C$5+D238*Prislapp!$D$5+E238*Prislapp!$E$5+F238*Prislapp!$F$5+G238*Prislapp!$G$5+H238*Prislapp!$H$5+I238*Prislapp!$I$5+J238*Prislapp!$J$5+K238*Prislapp!$K$5+L238*Prislapp!$L$5+M238*Prislapp!$M$5+N238*Prislapp!$N$5</f>
        <v>21800</v>
      </c>
      <c r="R238" s="9">
        <f>VLOOKUP(A238,'Ansvar kurs'!$A$2:$B$847,2,FALSE)</f>
        <v>5740</v>
      </c>
      <c r="S238" s="159" t="s">
        <v>1287</v>
      </c>
    </row>
    <row r="239" spans="1:26" x14ac:dyDescent="0.25">
      <c r="A239" s="245" t="s">
        <v>1492</v>
      </c>
      <c r="B239" s="31" t="s">
        <v>1151</v>
      </c>
      <c r="H239" s="31">
        <v>1</v>
      </c>
      <c r="O239" s="42">
        <f>C239*Prislapp!$C$2+D239*Prislapp!$D$2+E239*Prislapp!$E$2+F239*Prislapp!$F$2+G239*Prislapp!$G$2+H239*Prislapp!$H$2+I239*Prislapp!$I$2+J239*Prislapp!$J$2+K239*Prislapp!$K$2+L239*Prislapp!$L$2+M239*Prislapp!$M$2+N239*Prislapp!$N$2</f>
        <v>19473</v>
      </c>
      <c r="P239" s="42">
        <f>C239*Prislapp!$C$3+D239*Prislapp!$D$3+E239*Prislapp!$E$3+F239*Prislapp!$F$3+G239*Prislapp!$G$3+H239*Prislapp!$H$3+I239*Prislapp!$I$3+J239*Prislapp!$J$3+K239*Prislapp!$K$3+M239*Prislapp!$M$3+N239*Prislapp!$N$3</f>
        <v>34806</v>
      </c>
      <c r="Q239" s="42">
        <f>C239*Prislapp!$C$5+D239*Prislapp!$D$5+E239*Prislapp!$E$5+F239*Prislapp!$F$5+G239*Prislapp!$G$5+H239*Prislapp!$H$5+I239*Prislapp!$I$5+J239*Prislapp!$J$5+K239*Prislapp!$K$5+L239*Prislapp!$L$5+M239*Prislapp!$M$5+N239*Prislapp!$N$5</f>
        <v>21800</v>
      </c>
      <c r="R239" s="9">
        <f>VLOOKUP(A239,'Ansvar kurs'!$A$2:$B$847,2,FALSE)</f>
        <v>5740</v>
      </c>
      <c r="S239" s="159" t="s">
        <v>1287</v>
      </c>
    </row>
    <row r="240" spans="1:26" x14ac:dyDescent="0.25">
      <c r="A240" s="245" t="s">
        <v>1493</v>
      </c>
      <c r="B240" s="31" t="s">
        <v>1152</v>
      </c>
      <c r="H240" s="31">
        <v>1</v>
      </c>
      <c r="O240" s="42">
        <f>C240*Prislapp!$C$2+D240*Prislapp!$D$2+E240*Prislapp!$E$2+F240*Prislapp!$F$2+G240*Prislapp!$G$2+H240*Prislapp!$H$2+I240*Prislapp!$I$2+J240*Prislapp!$J$2+K240*Prislapp!$K$2+L240*Prislapp!$L$2+M240*Prislapp!$M$2+N240*Prislapp!$N$2</f>
        <v>19473</v>
      </c>
      <c r="P240" s="42">
        <f>C240*Prislapp!$C$3+D240*Prislapp!$D$3+E240*Prislapp!$E$3+F240*Prislapp!$F$3+G240*Prislapp!$G$3+H240*Prislapp!$H$3+I240*Prislapp!$I$3+J240*Prislapp!$J$3+K240*Prislapp!$K$3+M240*Prislapp!$M$3+N240*Prislapp!$N$3</f>
        <v>34806</v>
      </c>
      <c r="Q240" s="42">
        <f>C240*Prislapp!$C$5+D240*Prislapp!$D$5+E240*Prislapp!$E$5+F240*Prislapp!$F$5+G240*Prislapp!$G$5+H240*Prislapp!$H$5+I240*Prislapp!$I$5+J240*Prislapp!$J$5+K240*Prislapp!$K$5+L240*Prislapp!$L$5+M240*Prislapp!$M$5+N240*Prislapp!$N$5</f>
        <v>21800</v>
      </c>
      <c r="R240" s="9">
        <f>VLOOKUP(A240,'Ansvar kurs'!$A$2:$B$847,2,FALSE)</f>
        <v>5740</v>
      </c>
      <c r="S240" s="159" t="s">
        <v>1287</v>
      </c>
    </row>
    <row r="241" spans="1:26" x14ac:dyDescent="0.25">
      <c r="A241" s="245" t="s">
        <v>862</v>
      </c>
      <c r="B241" s="31" t="s">
        <v>1981</v>
      </c>
      <c r="H241" s="436">
        <v>1</v>
      </c>
      <c r="O241" s="42">
        <f>C241*Prislapp!$C$2+D241*Prislapp!$D$2+E241*Prislapp!$E$2+F241*Prislapp!$F$2+G241*Prislapp!$G$2+H241*Prislapp!$H$2+I241*Prislapp!$I$2+J241*Prislapp!$J$2+K241*Prislapp!$K$2+L241*Prislapp!$L$2+M241*Prislapp!$M$2+N241*Prislapp!$N$2</f>
        <v>19473</v>
      </c>
      <c r="P241" s="42">
        <f>C241*Prislapp!$C$3+D241*Prislapp!$D$3+E241*Prislapp!$E$3+F241*Prislapp!$F$3+G241*Prislapp!$G$3+H241*Prislapp!$H$3+I241*Prislapp!$I$3+J241*Prislapp!$J$3+K241*Prislapp!$K$3+M241*Prislapp!$M$3+N241*Prislapp!$N$3</f>
        <v>34806</v>
      </c>
      <c r="Q241" s="42">
        <f>C241*Prislapp!$C$5+D241*Prislapp!$D$5+E241*Prislapp!$E$5+F241*Prislapp!$F$5+G241*Prislapp!$G$5+H241*Prislapp!$H$5+I241*Prislapp!$I$5+J241*Prislapp!$J$5+K241*Prislapp!$K$5+L241*Prislapp!$L$5+M241*Prislapp!$M$5+N241*Prislapp!$N$5</f>
        <v>21800</v>
      </c>
      <c r="R241" s="9">
        <f>VLOOKUP(A241,'Ansvar kurs'!$A$2:$B$847,2,FALSE)</f>
        <v>5500</v>
      </c>
      <c r="S241" s="316" t="s">
        <v>1982</v>
      </c>
    </row>
    <row r="242" spans="1:26" x14ac:dyDescent="0.25">
      <c r="A242" s="245" t="s">
        <v>1956</v>
      </c>
      <c r="B242" s="31" t="s">
        <v>1983</v>
      </c>
      <c r="H242" s="436">
        <v>1</v>
      </c>
      <c r="O242" s="42">
        <f>C242*Prislapp!$C$2+D242*Prislapp!$D$2+E242*Prislapp!$E$2+F242*Prislapp!$F$2+G242*Prislapp!$G$2+H242*Prislapp!$H$2+I242*Prislapp!$I$2+J242*Prislapp!$J$2+K242*Prislapp!$K$2+L242*Prislapp!$L$2+M242*Prislapp!$M$2+N242*Prislapp!$N$2</f>
        <v>19473</v>
      </c>
      <c r="P242" s="42">
        <f>C242*Prislapp!$C$3+D242*Prislapp!$D$3+E242*Prislapp!$E$3+F242*Prislapp!$F$3+G242*Prislapp!$G$3+H242*Prislapp!$H$3+I242*Prislapp!$I$3+J242*Prislapp!$J$3+K242*Prislapp!$K$3+M242*Prislapp!$M$3+N242*Prislapp!$N$3</f>
        <v>34806</v>
      </c>
      <c r="Q242" s="42">
        <f>C242*Prislapp!$C$5+D242*Prislapp!$D$5+E242*Prislapp!$E$5+F242*Prislapp!$F$5+G242*Prislapp!$G$5+H242*Prislapp!$H$5+I242*Prislapp!$I$5+J242*Prislapp!$J$5+K242*Prislapp!$K$5+L242*Prislapp!$L$5+M242*Prislapp!$M$5+N242*Prislapp!$N$5</f>
        <v>21800</v>
      </c>
      <c r="R242" s="9">
        <f>VLOOKUP(A242,'Ansvar kurs'!$A$2:$B$847,2,FALSE)</f>
        <v>5500</v>
      </c>
      <c r="S242" s="316" t="s">
        <v>1982</v>
      </c>
    </row>
    <row r="243" spans="1:26" x14ac:dyDescent="0.25">
      <c r="A243" s="31" t="s">
        <v>776</v>
      </c>
      <c r="B243" s="31" t="s">
        <v>779</v>
      </c>
      <c r="I243" s="31">
        <v>1</v>
      </c>
      <c r="O243" s="42">
        <f>C243*Prislapp!$C$2+D243*Prislapp!$D$2+E243*Prislapp!$E$2+F243*Prislapp!$F$2+G243*Prislapp!$G$2+H243*Prislapp!$H$2+I243*Prislapp!$I$2+J243*Prislapp!$J$2+K243*Prislapp!$K$2+L243*Prislapp!$L$2+M243*Prislapp!$M$2+N243*Prislapp!$N$2</f>
        <v>18405</v>
      </c>
      <c r="P243" s="42">
        <f>C243*Prislapp!$C$3+D243*Prislapp!$D$3+E243*Prislapp!$E$3+F243*Prislapp!$F$3+G243*Prislapp!$G$3+H243*Prislapp!$H$3+I243*Prislapp!$I$3+J243*Prislapp!$J$3+K243*Prislapp!$K$3+M243*Prislapp!$M$3+N243*Prislapp!$N$3</f>
        <v>15773</v>
      </c>
      <c r="Q243" s="42">
        <f>C243*Prislapp!$C$5+D243*Prislapp!$D$5+E243*Prislapp!$E$5+F243*Prislapp!$F$5+G243*Prislapp!$G$5+H243*Prislapp!$H$5+I243*Prislapp!$I$5+J243*Prislapp!$J$5+K243*Prislapp!$K$5+L243*Prislapp!$L$5+M243*Prislapp!$M$5+N243*Prislapp!$N$5</f>
        <v>5800</v>
      </c>
      <c r="R243" s="9">
        <f>VLOOKUP(A243,'Ansvar kurs'!$A$2:$B$847,2,FALSE)</f>
        <v>2500</v>
      </c>
      <c r="S243" s="159" t="s">
        <v>941</v>
      </c>
      <c r="T243" s="159"/>
      <c r="U243" s="159"/>
      <c r="V243" s="159"/>
      <c r="W243" s="159"/>
      <c r="X243" s="159"/>
      <c r="Y243" s="159"/>
      <c r="Z243" s="159"/>
    </row>
    <row r="244" spans="1:26" x14ac:dyDescent="0.25">
      <c r="A244" s="31" t="s">
        <v>940</v>
      </c>
      <c r="B244" s="31" t="s">
        <v>1170</v>
      </c>
      <c r="H244" s="31">
        <v>0.5</v>
      </c>
      <c r="I244" s="31">
        <v>0.5</v>
      </c>
      <c r="O244" s="42">
        <f>C244*Prislapp!$C$2+D244*Prislapp!$D$2+E244*Prislapp!$E$2+F244*Prislapp!$F$2+G244*Prislapp!$G$2+H244*Prislapp!$H$2+I244*Prislapp!$I$2+J244*Prislapp!$J$2+K244*Prislapp!$K$2+L244*Prislapp!$L$2+M244*Prislapp!$M$2+N244*Prislapp!$N$2</f>
        <v>18939</v>
      </c>
      <c r="P244" s="42">
        <f>C244*Prislapp!$C$3+D244*Prislapp!$D$3+E244*Prislapp!$E$3+F244*Prislapp!$F$3+G244*Prislapp!$G$3+H244*Prislapp!$H$3+I244*Prislapp!$I$3+J244*Prislapp!$J$3+K244*Prislapp!$K$3+M244*Prislapp!$M$3+N244*Prislapp!$N$3</f>
        <v>25289.5</v>
      </c>
      <c r="Q244" s="42">
        <f>C244*Prislapp!$C$5+D244*Prislapp!$D$5+E244*Prislapp!$E$5+F244*Prislapp!$F$5+G244*Prislapp!$G$5+H244*Prislapp!$H$5+I244*Prislapp!$I$5+J244*Prislapp!$J$5+K244*Prislapp!$K$5+L244*Prislapp!$L$5+M244*Prislapp!$M$5+N244*Prislapp!$N$5</f>
        <v>13800</v>
      </c>
      <c r="R244" s="9">
        <f>VLOOKUP(A244,'Ansvar kurs'!$A$2:$B$847,2,FALSE)</f>
        <v>2500</v>
      </c>
      <c r="S244" s="159" t="s">
        <v>1069</v>
      </c>
      <c r="T244" s="159"/>
      <c r="U244" s="159"/>
      <c r="V244" s="159"/>
      <c r="W244" s="159"/>
      <c r="X244" s="159"/>
      <c r="Y244" s="159"/>
      <c r="Z244" s="159"/>
    </row>
    <row r="245" spans="1:26" x14ac:dyDescent="0.25">
      <c r="A245" s="421" t="s">
        <v>2058</v>
      </c>
      <c r="B245" s="31" t="s">
        <v>1976</v>
      </c>
      <c r="H245" s="31">
        <v>0.25</v>
      </c>
      <c r="I245" s="31">
        <v>0.75</v>
      </c>
      <c r="O245" s="42">
        <f>C245*Prislapp!$C$2+D245*Prislapp!$D$2+E245*Prislapp!$E$2+F245*Prislapp!$F$2+G245*Prislapp!$G$2+H245*Prislapp!$H$2+I245*Prislapp!$I$2+J245*Prislapp!$J$2+K245*Prislapp!$K$2+L245*Prislapp!$L$2+M245*Prislapp!$M$2+N245*Prislapp!$N$2</f>
        <v>18672</v>
      </c>
      <c r="P245" s="42">
        <f>C245*Prislapp!$C$3+D245*Prislapp!$D$3+E245*Prislapp!$E$3+F245*Prislapp!$F$3+G245*Prislapp!$G$3+H245*Prislapp!$H$3+I245*Prislapp!$I$3+J245*Prislapp!$J$3+K245*Prislapp!$K$3+M245*Prislapp!$M$3+N245*Prislapp!$N$3</f>
        <v>20531.25</v>
      </c>
      <c r="Q245" s="42">
        <f>C245*Prislapp!$C$5+D245*Prislapp!$D$5+E245*Prislapp!$E$5+F245*Prislapp!$F$5+G245*Prislapp!$G$5+H245*Prislapp!$H$5+I245*Prislapp!$I$5+J245*Prislapp!$J$5+K245*Prislapp!$K$5+L245*Prislapp!$L$5+M245*Prislapp!$M$5+N245*Prislapp!$N$5</f>
        <v>9800</v>
      </c>
      <c r="R245" s="9">
        <f>VLOOKUP(A245,'Ansvar kurs'!$A$2:$B$847,2,FALSE)</f>
        <v>2500</v>
      </c>
      <c r="S245" s="159"/>
    </row>
    <row r="246" spans="1:26" x14ac:dyDescent="0.25">
      <c r="A246" s="245" t="s">
        <v>1857</v>
      </c>
      <c r="B246" s="31" t="s">
        <v>1814</v>
      </c>
      <c r="I246" s="31">
        <v>1</v>
      </c>
      <c r="O246" s="42">
        <f>C246*Prislapp!$C$2+D246*Prislapp!$D$2+E246*Prislapp!$E$2+F246*Prislapp!$F$2+G246*Prislapp!$G$2+H246*Prislapp!$H$2+I246*Prislapp!$I$2+J246*Prislapp!$J$2+K246*Prislapp!$K$2+L246*Prislapp!$L$2+M246*Prislapp!$M$2+N246*Prislapp!$N$2</f>
        <v>18405</v>
      </c>
      <c r="P246" s="42">
        <f>C246*Prislapp!$C$3+D246*Prislapp!$D$3+E246*Prislapp!$E$3+F246*Prislapp!$F$3+G246*Prislapp!$G$3+H246*Prislapp!$H$3+I246*Prislapp!$I$3+J246*Prislapp!$J$3+K246*Prislapp!$K$3+M246*Prislapp!$M$3+N246*Prislapp!$N$3</f>
        <v>15773</v>
      </c>
      <c r="Q246" s="42">
        <f>C246*Prislapp!$C$5+D246*Prislapp!$D$5+E246*Prislapp!$E$5+F246*Prislapp!$F$5+G246*Prislapp!$G$5+H246*Prislapp!$H$5+I246*Prislapp!$I$5+J246*Prislapp!$J$5+K246*Prislapp!$K$5+L246*Prislapp!$L$5+M246*Prislapp!$M$5+N246*Prislapp!$N$5</f>
        <v>5800</v>
      </c>
      <c r="R246" s="9">
        <f>VLOOKUP(A246,'Ansvar kurs'!$A$2:$B$847,2,FALSE)</f>
        <v>2500</v>
      </c>
      <c r="S246" s="159"/>
      <c r="T246" s="159"/>
      <c r="U246" s="159"/>
      <c r="V246" s="159"/>
      <c r="W246" s="159"/>
      <c r="X246" s="159"/>
      <c r="Y246" s="159"/>
      <c r="Z246" s="159"/>
    </row>
    <row r="247" spans="1:26" x14ac:dyDescent="0.25">
      <c r="A247" s="245" t="s">
        <v>1858</v>
      </c>
      <c r="B247" s="31" t="s">
        <v>1816</v>
      </c>
      <c r="H247" s="31">
        <v>0.25</v>
      </c>
      <c r="I247" s="31">
        <v>0.75</v>
      </c>
      <c r="O247" s="42">
        <f>C247*Prislapp!$C$2+D247*Prislapp!$D$2+E247*Prislapp!$E$2+F247*Prislapp!$F$2+G247*Prislapp!$G$2+H247*Prislapp!$H$2+I247*Prislapp!$I$2+J247*Prislapp!$J$2+K247*Prislapp!$K$2+L247*Prislapp!$L$2+M247*Prislapp!$M$2+N247*Prislapp!$N$2</f>
        <v>18672</v>
      </c>
      <c r="P247" s="42">
        <f>C247*Prislapp!$C$3+D247*Prislapp!$D$3+E247*Prislapp!$E$3+F247*Prislapp!$F$3+G247*Prislapp!$G$3+H247*Prislapp!$H$3+I247*Prislapp!$I$3+J247*Prislapp!$J$3+K247*Prislapp!$K$3+M247*Prislapp!$M$3+N247*Prislapp!$N$3</f>
        <v>20531.25</v>
      </c>
      <c r="Q247" s="42">
        <f>C247*Prislapp!$C$5+D247*Prislapp!$D$5+E247*Prislapp!$E$5+F247*Prislapp!$F$5+G247*Prislapp!$G$5+H247*Prislapp!$H$5+I247*Prislapp!$I$5+J247*Prislapp!$J$5+K247*Prislapp!$K$5+L247*Prislapp!$L$5+M247*Prislapp!$M$5+N247*Prislapp!$N$5</f>
        <v>9800</v>
      </c>
      <c r="R247" s="9">
        <f>VLOOKUP(A247,'Ansvar kurs'!$A$2:$B$847,2,FALSE)</f>
        <v>2500</v>
      </c>
      <c r="S247" s="159"/>
      <c r="T247" s="159"/>
      <c r="U247" s="159"/>
      <c r="V247" s="159"/>
      <c r="W247" s="159"/>
      <c r="X247" s="159"/>
      <c r="Y247" s="159"/>
      <c r="Z247" s="159"/>
    </row>
    <row r="248" spans="1:26" ht="15.75" x14ac:dyDescent="0.25">
      <c r="A248" s="435" t="s">
        <v>1934</v>
      </c>
      <c r="B248" s="31" t="s">
        <v>1817</v>
      </c>
      <c r="H248" s="31">
        <v>0.5</v>
      </c>
      <c r="I248" s="31">
        <v>0.5</v>
      </c>
      <c r="O248" s="42">
        <f>C248*Prislapp!$C$2+D248*Prislapp!$D$2+E248*Prislapp!$E$2+F248*Prislapp!$F$2+G248*Prislapp!$G$2+H248*Prislapp!$H$2+I248*Prislapp!$I$2+J248*Prislapp!$J$2+K248*Prislapp!$K$2+L248*Prislapp!$L$2+M248*Prislapp!$M$2+N248*Prislapp!$N$2</f>
        <v>18939</v>
      </c>
      <c r="P248" s="42">
        <f>C248*Prislapp!$C$3+D248*Prislapp!$D$3+E248*Prislapp!$E$3+F248*Prislapp!$F$3+G248*Prislapp!$G$3+H248*Prislapp!$H$3+I248*Prislapp!$I$3+J248*Prislapp!$J$3+K248*Prislapp!$K$3+M248*Prislapp!$M$3+N248*Prislapp!$N$3</f>
        <v>25289.5</v>
      </c>
      <c r="Q248" s="42">
        <f>C248*Prislapp!$C$5+D248*Prislapp!$D$5+E248*Prislapp!$E$5+F248*Prislapp!$F$5+G248*Prislapp!$G$5+H248*Prislapp!$H$5+I248*Prislapp!$I$5+J248*Prislapp!$J$5+K248*Prislapp!$K$5+L248*Prislapp!$L$5+M248*Prislapp!$M$5+N248*Prislapp!$N$5</f>
        <v>13800</v>
      </c>
      <c r="R248" s="9">
        <f>VLOOKUP(A248,'Ansvar kurs'!$A$2:$B$847,2,FALSE)</f>
        <v>2500</v>
      </c>
      <c r="S248" s="159"/>
      <c r="T248" s="159"/>
      <c r="U248" s="159"/>
      <c r="V248" s="159"/>
      <c r="W248" s="159"/>
      <c r="X248" s="159"/>
      <c r="Y248" s="159"/>
      <c r="Z248" s="159"/>
    </row>
    <row r="249" spans="1:26" ht="15.75" x14ac:dyDescent="0.25">
      <c r="A249" s="435" t="s">
        <v>1937</v>
      </c>
      <c r="B249" s="31" t="s">
        <v>1819</v>
      </c>
      <c r="I249" s="31">
        <v>1</v>
      </c>
      <c r="O249" s="42">
        <f>C249*Prislapp!$C$2+D249*Prislapp!$D$2+E249*Prislapp!$E$2+F249*Prislapp!$F$2+G249*Prislapp!$G$2+H249*Prislapp!$H$2+I249*Prislapp!$I$2+J249*Prislapp!$J$2+K249*Prislapp!$K$2+L249*Prislapp!$L$2+M249*Prislapp!$M$2+N249*Prislapp!$N$2</f>
        <v>18405</v>
      </c>
      <c r="P249" s="42">
        <f>C249*Prislapp!$C$3+D249*Prislapp!$D$3+E249*Prislapp!$E$3+F249*Prislapp!$F$3+G249*Prislapp!$G$3+H249*Prislapp!$H$3+I249*Prislapp!$I$3+J249*Prislapp!$J$3+K249*Prislapp!$K$3+M249*Prislapp!$M$3+N249*Prislapp!$N$3</f>
        <v>15773</v>
      </c>
      <c r="Q249" s="42">
        <f>C249*Prislapp!$C$5+D249*Prislapp!$D$5+E249*Prislapp!$E$5+F249*Prislapp!$F$5+G249*Prislapp!$G$5+H249*Prislapp!$H$5+I249*Prislapp!$I$5+J249*Prislapp!$J$5+K249*Prislapp!$K$5+L249*Prislapp!$L$5+M249*Prislapp!$M$5+N249*Prislapp!$N$5</f>
        <v>5800</v>
      </c>
      <c r="R249" s="9">
        <f>VLOOKUP(A249,'Ansvar kurs'!$A$2:$B$847,2,FALSE)</f>
        <v>2500</v>
      </c>
      <c r="S249" s="159"/>
      <c r="T249" s="159"/>
      <c r="U249" s="159"/>
      <c r="V249" s="159"/>
      <c r="W249" s="159"/>
      <c r="X249" s="159"/>
      <c r="Y249" s="159"/>
      <c r="Z249" s="159"/>
    </row>
    <row r="250" spans="1:26" x14ac:dyDescent="0.25">
      <c r="A250" s="421" t="s">
        <v>2059</v>
      </c>
      <c r="B250" s="31" t="s">
        <v>1978</v>
      </c>
      <c r="I250" s="31">
        <v>1</v>
      </c>
      <c r="O250" s="42">
        <f>C250*Prislapp!$C$2+D250*Prislapp!$D$2+E250*Prislapp!$E$2+F250*Prislapp!$F$2+G250*Prislapp!$G$2+H250*Prislapp!$H$2+I250*Prislapp!$I$2+J250*Prislapp!$J$2+K250*Prislapp!$K$2+L250*Prislapp!$L$2+M250*Prislapp!$M$2+N250*Prislapp!$N$2</f>
        <v>18405</v>
      </c>
      <c r="P250" s="42">
        <f>C250*Prislapp!$C$3+D250*Prislapp!$D$3+E250*Prislapp!$E$3+F250*Prislapp!$F$3+G250*Prislapp!$G$3+H250*Prislapp!$H$3+I250*Prislapp!$I$3+J250*Prislapp!$J$3+K250*Prislapp!$K$3+M250*Prislapp!$M$3+N250*Prislapp!$N$3</f>
        <v>15773</v>
      </c>
      <c r="Q250" s="42">
        <f>C250*Prislapp!$C$5+D250*Prislapp!$D$5+E250*Prislapp!$E$5+F250*Prislapp!$F$5+G250*Prislapp!$G$5+H250*Prislapp!$H$5+I250*Prislapp!$I$5+J250*Prislapp!$J$5+K250*Prislapp!$K$5+L250*Prislapp!$L$5+M250*Prislapp!$M$5+N250*Prislapp!$N$5</f>
        <v>5800</v>
      </c>
      <c r="R250" s="9">
        <f>VLOOKUP(A250,'Ansvar kurs'!$A$2:$B$847,2,FALSE)</f>
        <v>2500</v>
      </c>
      <c r="S250" s="159"/>
    </row>
    <row r="251" spans="1:26" ht="15.75" x14ac:dyDescent="0.25">
      <c r="A251" s="505" t="s">
        <v>2106</v>
      </c>
      <c r="B251" s="31" t="s">
        <v>1980</v>
      </c>
      <c r="K251" s="31">
        <v>1</v>
      </c>
      <c r="O251" s="42">
        <f>C251*Prislapp!$C$2+D251*Prislapp!$D$2+E251*Prislapp!$E$2+F251*Prislapp!$F$2+G251*Prislapp!$G$2+H251*Prislapp!$H$2+I251*Prislapp!$I$2+J251*Prislapp!$J$2+K251*Prislapp!$K$2+L251*Prislapp!$L$2+M251*Prislapp!$M$2+N251*Prislapp!$N$2</f>
        <v>21634</v>
      </c>
      <c r="P251" s="42">
        <f>C251*Prislapp!$C$3+D251*Prislapp!$D$3+E251*Prislapp!$E$3+F251*Prislapp!$F$3+G251*Prislapp!$G$3+H251*Prislapp!$H$3+I251*Prislapp!$I$3+J251*Prislapp!$J$3+K251*Prislapp!$K$3+M251*Prislapp!$M$3+N251*Prislapp!$N$3</f>
        <v>26986</v>
      </c>
      <c r="Q251" s="42">
        <f>C251*Prislapp!$C$5+D251*Prislapp!$D$5+E251*Prislapp!$E$5+F251*Prislapp!$F$5+G251*Prislapp!$G$5+H251*Prislapp!$H$5+I251*Prislapp!$I$5+J251*Prislapp!$J$5+K251*Prislapp!$K$5+L251*Prislapp!$L$5+M251*Prislapp!$M$5+N251*Prislapp!$N$5</f>
        <v>3400</v>
      </c>
      <c r="R251" s="9">
        <f>VLOOKUP(A251,'Ansvar kurs'!$A$2:$B$847,2,FALSE)</f>
        <v>2500</v>
      </c>
      <c r="S251" s="159"/>
    </row>
    <row r="252" spans="1:26" x14ac:dyDescent="0.25">
      <c r="A252" s="31" t="s">
        <v>104</v>
      </c>
      <c r="B252" s="31" t="s">
        <v>678</v>
      </c>
      <c r="H252" s="31">
        <v>1</v>
      </c>
      <c r="O252" s="42">
        <f>C252*Prislapp!$C$2+D252*Prislapp!$D$2+E252*Prislapp!$E$2+F252*Prislapp!$F$2+G252*Prislapp!$G$2+H252*Prislapp!$H$2+I252*Prislapp!$I$2+J252*Prislapp!$J$2+K252*Prislapp!$K$2+L252*Prislapp!$L$2+M252*Prislapp!$M$2+N252*Prislapp!$N$2</f>
        <v>19473</v>
      </c>
      <c r="P252" s="42">
        <f>C252*Prislapp!$C$3+D252*Prislapp!$D$3+E252*Prislapp!$E$3+F252*Prislapp!$F$3+G252*Prislapp!$G$3+H252*Prislapp!$H$3+I252*Prislapp!$I$3+J252*Prislapp!$J$3+K252*Prislapp!$K$3+M252*Prislapp!$M$3+N252*Prislapp!$N$3</f>
        <v>34806</v>
      </c>
      <c r="Q252" s="42">
        <f>C252*Prislapp!$C$5+D252*Prislapp!$D$5+E252*Prislapp!$E$5+F252*Prislapp!$F$5+G252*Prislapp!$G$5+H252*Prislapp!$H$5+I252*Prislapp!$I$5+J252*Prislapp!$J$5+K252*Prislapp!$K$5+L252*Prislapp!$L$5+M252*Prislapp!$M$5+N252*Prislapp!$N$5</f>
        <v>21800</v>
      </c>
      <c r="R252" s="9">
        <f>VLOOKUP(A252,'Ansvar kurs'!$A$2:$B$847,2,FALSE)</f>
        <v>2750</v>
      </c>
      <c r="S252" s="159"/>
      <c r="T252" s="159"/>
      <c r="U252" s="159"/>
      <c r="V252" s="159"/>
      <c r="W252" s="159"/>
      <c r="X252" s="159"/>
      <c r="Y252" s="159"/>
      <c r="Z252" s="159"/>
    </row>
    <row r="253" spans="1:26" x14ac:dyDescent="0.25">
      <c r="A253" s="31" t="s">
        <v>329</v>
      </c>
      <c r="B253" s="31" t="s">
        <v>679</v>
      </c>
      <c r="H253" s="31">
        <v>1</v>
      </c>
      <c r="O253" s="42">
        <f>C253*Prislapp!$C$2+D253*Prislapp!$D$2+E253*Prislapp!$E$2+F253*Prislapp!$F$2+G253*Prislapp!$G$2+H253*Prislapp!$H$2+I253*Prislapp!$I$2+J253*Prislapp!$J$2+K253*Prislapp!$K$2+L253*Prislapp!$L$2+M253*Prislapp!$M$2+N253*Prislapp!$N$2</f>
        <v>19473</v>
      </c>
      <c r="P253" s="42">
        <f>C253*Prislapp!$C$3+D253*Prislapp!$D$3+E253*Prislapp!$E$3+F253*Prislapp!$F$3+G253*Prislapp!$G$3+H253*Prislapp!$H$3+I253*Prislapp!$I$3+J253*Prislapp!$J$3+K253*Prislapp!$K$3+M253*Prislapp!$M$3+N253*Prislapp!$N$3</f>
        <v>34806</v>
      </c>
      <c r="Q253" s="42">
        <f>C253*Prislapp!$C$5+D253*Prislapp!$D$5+E253*Prislapp!$E$5+F253*Prislapp!$F$5+G253*Prislapp!$G$5+H253*Prislapp!$H$5+I253*Prislapp!$I$5+J253*Prislapp!$J$5+K253*Prislapp!$K$5+L253*Prislapp!$L$5+M253*Prislapp!$M$5+N253*Prislapp!$N$5</f>
        <v>21800</v>
      </c>
      <c r="R253" s="9">
        <f>VLOOKUP(A253,'Ansvar kurs'!$A$2:$B$847,2,FALSE)</f>
        <v>2750</v>
      </c>
      <c r="S253" s="159"/>
      <c r="T253" s="159"/>
      <c r="U253" s="159"/>
      <c r="V253" s="159"/>
      <c r="W253" s="159"/>
      <c r="X253" s="159"/>
      <c r="Y253" s="159"/>
      <c r="Z253" s="159"/>
    </row>
    <row r="254" spans="1:26" x14ac:dyDescent="0.25">
      <c r="A254" s="62" t="s">
        <v>863</v>
      </c>
      <c r="B254" s="31" t="s">
        <v>359</v>
      </c>
      <c r="F254" s="31">
        <v>1</v>
      </c>
      <c r="O254" s="42">
        <f>C254*Prislapp!$C$2+D254*Prislapp!$D$2+E254*Prislapp!$E$2+F254*Prislapp!$F$2+G254*Prislapp!$G$2+H254*Prislapp!$H$2+I254*Prislapp!$I$2+J254*Prislapp!$J$2+K254*Prislapp!$K$2+L254*Prislapp!$L$2+M254*Prislapp!$M$2+N254*Prislapp!$N$2</f>
        <v>23641</v>
      </c>
      <c r="P254" s="42">
        <f>C254*Prislapp!$C$3+D254*Prislapp!$D$3+E254*Prislapp!$E$3+F254*Prislapp!$F$3+G254*Prislapp!$G$3+H254*Prislapp!$H$3+I254*Prislapp!$I$3+J254*Prislapp!$J$3+K254*Prislapp!$K$3+M254*Prislapp!$M$3+N254*Prislapp!$N$3</f>
        <v>28786</v>
      </c>
      <c r="Q254" s="42">
        <f>C254*Prislapp!$C$5+D254*Prislapp!$D$5+E254*Prislapp!$E$5+F254*Prislapp!$F$5+G254*Prislapp!$G$5+H254*Prislapp!$H$5+I254*Prislapp!$I$5+J254*Prislapp!$J$5+K254*Prislapp!$K$5+L254*Prislapp!$L$5+M254*Prislapp!$M$5+N254*Prislapp!$N$5</f>
        <v>5800</v>
      </c>
      <c r="R254" s="9">
        <f>VLOOKUP(A254,'Ansvar kurs'!$A$2:$B$847,2,FALSE)</f>
        <v>2750</v>
      </c>
      <c r="S254" s="159"/>
      <c r="T254" s="159"/>
      <c r="U254" s="159"/>
      <c r="V254" s="159"/>
      <c r="W254" s="159"/>
      <c r="X254" s="159"/>
      <c r="Y254" s="159"/>
      <c r="Z254" s="159"/>
    </row>
    <row r="255" spans="1:26" x14ac:dyDescent="0.25">
      <c r="A255" s="31" t="s">
        <v>498</v>
      </c>
      <c r="B255" s="31" t="s">
        <v>680</v>
      </c>
      <c r="H255" s="31">
        <v>1</v>
      </c>
      <c r="O255" s="42">
        <f>C255*Prislapp!$C$2+D255*Prislapp!$D$2+E255*Prislapp!$E$2+F255*Prislapp!$F$2+G255*Prislapp!$G$2+H255*Prislapp!$H$2+I255*Prislapp!$I$2+J255*Prislapp!$J$2+K255*Prislapp!$K$2+L255*Prislapp!$L$2+M255*Prislapp!$M$2+N255*Prislapp!$N$2</f>
        <v>19473</v>
      </c>
      <c r="P255" s="42">
        <f>C255*Prislapp!$C$3+D255*Prislapp!$D$3+E255*Prislapp!$E$3+F255*Prislapp!$F$3+G255*Prislapp!$G$3+H255*Prislapp!$H$3+I255*Prislapp!$I$3+J255*Prislapp!$J$3+K255*Prislapp!$K$3+M255*Prislapp!$M$3+N255*Prislapp!$N$3</f>
        <v>34806</v>
      </c>
      <c r="Q255" s="42">
        <f>C255*Prislapp!$C$5+D255*Prislapp!$D$5+E255*Prislapp!$E$5+F255*Prislapp!$F$5+G255*Prislapp!$G$5+H255*Prislapp!$H$5+I255*Prislapp!$I$5+J255*Prislapp!$J$5+K255*Prislapp!$K$5+L255*Prislapp!$L$5+M255*Prislapp!$M$5+N255*Prislapp!$N$5</f>
        <v>21800</v>
      </c>
      <c r="R255" s="9">
        <f>VLOOKUP(A255,'Ansvar kurs'!$A$2:$B$847,2,FALSE)</f>
        <v>2750</v>
      </c>
      <c r="S255" s="159"/>
      <c r="T255" s="159"/>
      <c r="U255" s="159"/>
      <c r="V255" s="159"/>
      <c r="W255" s="159"/>
      <c r="X255" s="159"/>
      <c r="Y255" s="159"/>
      <c r="Z255" s="159"/>
    </row>
    <row r="256" spans="1:26" x14ac:dyDescent="0.25">
      <c r="A256" s="31" t="s">
        <v>529</v>
      </c>
      <c r="B256" s="31" t="s">
        <v>548</v>
      </c>
      <c r="H256" s="31">
        <v>1</v>
      </c>
      <c r="O256" s="42">
        <f>C256*Prislapp!$C$2+D256*Prislapp!$D$2+E256*Prislapp!$E$2+F256*Prislapp!$F$2+G256*Prislapp!$G$2+H256*Prislapp!$H$2+I256*Prislapp!$I$2+J256*Prislapp!$J$2+K256*Prislapp!$K$2+L256*Prislapp!$L$2+M256*Prislapp!$M$2+N256*Prislapp!$N$2</f>
        <v>19473</v>
      </c>
      <c r="P256" s="42">
        <f>C256*Prislapp!$C$3+D256*Prislapp!$D$3+E256*Prislapp!$E$3+F256*Prislapp!$F$3+G256*Prislapp!$G$3+H256*Prislapp!$H$3+I256*Prislapp!$I$3+J256*Prislapp!$J$3+K256*Prislapp!$K$3+M256*Prislapp!$M$3+N256*Prislapp!$N$3</f>
        <v>34806</v>
      </c>
      <c r="Q256" s="42">
        <f>C256*Prislapp!$C$5+D256*Prislapp!$D$5+E256*Prislapp!$E$5+F256*Prislapp!$F$5+G256*Prislapp!$G$5+H256*Prislapp!$H$5+I256*Prislapp!$I$5+J256*Prislapp!$J$5+K256*Prislapp!$K$5+L256*Prislapp!$L$5+M256*Prislapp!$M$5+N256*Prislapp!$N$5</f>
        <v>21800</v>
      </c>
      <c r="R256" s="9">
        <f>VLOOKUP(A256,'Ansvar kurs'!$A$2:$B$847,2,FALSE)</f>
        <v>2750</v>
      </c>
      <c r="S256" s="159"/>
      <c r="T256" s="159"/>
      <c r="U256" s="159"/>
      <c r="V256" s="159"/>
      <c r="W256" s="159"/>
      <c r="X256" s="159"/>
      <c r="Y256" s="159"/>
      <c r="Z256" s="159"/>
    </row>
    <row r="257" spans="1:26" x14ac:dyDescent="0.25">
      <c r="A257" s="31" t="s">
        <v>651</v>
      </c>
      <c r="B257" s="31" t="s">
        <v>682</v>
      </c>
      <c r="H257" s="31">
        <v>1</v>
      </c>
      <c r="O257" s="42">
        <f>C257*Prislapp!$C$2+D257*Prislapp!$D$2+E257*Prislapp!$E$2+F257*Prislapp!$F$2+G257*Prislapp!$G$2+H257*Prislapp!$H$2+I257*Prislapp!$I$2+J257*Prislapp!$J$2+K257*Prislapp!$K$2+L257*Prislapp!$L$2+M257*Prislapp!$M$2+N257*Prislapp!$N$2</f>
        <v>19473</v>
      </c>
      <c r="P257" s="42">
        <f>C257*Prislapp!$C$3+D257*Prislapp!$D$3+E257*Prislapp!$E$3+F257*Prislapp!$F$3+G257*Prislapp!$G$3+H257*Prislapp!$H$3+I257*Prislapp!$I$3+J257*Prislapp!$J$3+K257*Prislapp!$K$3+M257*Prislapp!$M$3+N257*Prislapp!$N$3</f>
        <v>34806</v>
      </c>
      <c r="Q257" s="42">
        <f>C257*Prislapp!$C$5+D257*Prislapp!$D$5+E257*Prislapp!$E$5+F257*Prislapp!$F$5+G257*Prislapp!$G$5+H257*Prislapp!$H$5+I257*Prislapp!$I$5+J257*Prislapp!$J$5+K257*Prislapp!$K$5+L257*Prislapp!$L$5+M257*Prislapp!$M$5+N257*Prislapp!$N$5</f>
        <v>21800</v>
      </c>
      <c r="R257" s="9">
        <f>VLOOKUP(A257,'Ansvar kurs'!$A$2:$B$847,2,FALSE)</f>
        <v>2750</v>
      </c>
      <c r="S257" s="159"/>
      <c r="T257" s="159"/>
      <c r="U257" s="159"/>
      <c r="V257" s="159"/>
      <c r="W257" s="159"/>
      <c r="X257" s="159"/>
      <c r="Y257" s="159"/>
      <c r="Z257" s="159"/>
    </row>
    <row r="258" spans="1:26" x14ac:dyDescent="0.25">
      <c r="A258" s="62" t="s">
        <v>829</v>
      </c>
      <c r="B258" s="31" t="s">
        <v>832</v>
      </c>
      <c r="H258" s="31">
        <v>1</v>
      </c>
      <c r="O258" s="42">
        <f>C258*Prislapp!$C$2+D258*Prislapp!$D$2+E258*Prislapp!$E$2+F258*Prislapp!$F$2+G258*Prislapp!$G$2+H258*Prislapp!$H$2+I258*Prislapp!$I$2+J258*Prislapp!$J$2+K258*Prislapp!$K$2+L258*Prislapp!$L$2+M258*Prislapp!$M$2+N258*Prislapp!$N$2</f>
        <v>19473</v>
      </c>
      <c r="P258" s="42">
        <f>C258*Prislapp!$C$3+D258*Prislapp!$D$3+E258*Prislapp!$E$3+F258*Prislapp!$F$3+G258*Prislapp!$G$3+H258*Prislapp!$H$3+I258*Prislapp!$I$3+J258*Prislapp!$J$3+K258*Prislapp!$K$3+M258*Prislapp!$M$3+N258*Prislapp!$N$3</f>
        <v>34806</v>
      </c>
      <c r="Q258" s="42">
        <f>C258*Prislapp!$C$5+D258*Prislapp!$D$5+E258*Prislapp!$E$5+F258*Prislapp!$F$5+G258*Prislapp!$G$5+H258*Prislapp!$H$5+I258*Prislapp!$I$5+J258*Prislapp!$J$5+K258*Prislapp!$K$5+L258*Prislapp!$L$5+M258*Prislapp!$M$5+N258*Prislapp!$N$5</f>
        <v>21800</v>
      </c>
      <c r="R258" s="9">
        <f>VLOOKUP(A258,'Ansvar kurs'!$A$2:$B$847,2,FALSE)</f>
        <v>2750</v>
      </c>
      <c r="S258" s="159"/>
      <c r="T258" s="159"/>
      <c r="U258" s="159"/>
      <c r="V258" s="159"/>
      <c r="W258" s="159"/>
      <c r="X258" s="159"/>
      <c r="Y258" s="159"/>
      <c r="Z258" s="159"/>
    </row>
    <row r="259" spans="1:26" x14ac:dyDescent="0.25">
      <c r="A259" s="245" t="s">
        <v>821</v>
      </c>
      <c r="B259" s="31" t="s">
        <v>1171</v>
      </c>
      <c r="K259" s="31">
        <v>1</v>
      </c>
      <c r="O259" s="42">
        <f>C259*Prislapp!$C$2+D259*Prislapp!$D$2+E259*Prislapp!$E$2+F259*Prislapp!$F$2+G259*Prislapp!$G$2+H259*Prislapp!$H$2+I259*Prislapp!$I$2+J259*Prislapp!$J$2+K259*Prislapp!$K$2+L259*Prislapp!$L$2+M259*Prislapp!$M$2+N259*Prislapp!$N$2</f>
        <v>21634</v>
      </c>
      <c r="P259" s="42">
        <f>C259*Prislapp!$C$3+D259*Prislapp!$D$3+E259*Prislapp!$E$3+F259*Prislapp!$F$3+G259*Prislapp!$G$3+H259*Prislapp!$H$3+I259*Prislapp!$I$3+J259*Prislapp!$J$3+K259*Prislapp!$K$3+M259*Prislapp!$M$3+N259*Prislapp!$N$3</f>
        <v>26986</v>
      </c>
      <c r="Q259" s="42">
        <f>C259*Prislapp!$C$5+D259*Prislapp!$D$5+E259*Prislapp!$E$5+F259*Prislapp!$F$5+G259*Prislapp!$G$5+H259*Prislapp!$H$5+I259*Prislapp!$I$5+J259*Prislapp!$J$5+K259*Prislapp!$K$5+L259*Prislapp!$L$5+M259*Prislapp!$M$5+N259*Prislapp!$N$5</f>
        <v>3400</v>
      </c>
      <c r="R259" s="9">
        <f>VLOOKUP(A259,'Ansvar kurs'!$A$2:$B$847,2,FALSE)</f>
        <v>2750</v>
      </c>
      <c r="S259" s="159"/>
      <c r="T259" s="159"/>
      <c r="U259" s="159"/>
      <c r="V259" s="159"/>
      <c r="W259" s="159"/>
      <c r="X259" s="159"/>
      <c r="Y259" s="159"/>
      <c r="Z259" s="159"/>
    </row>
    <row r="260" spans="1:26" x14ac:dyDescent="0.25">
      <c r="A260" s="245" t="s">
        <v>1090</v>
      </c>
      <c r="B260" s="31" t="s">
        <v>1093</v>
      </c>
      <c r="I260" s="31">
        <v>1</v>
      </c>
      <c r="O260" s="42">
        <f>C260*Prislapp!$C$2+D260*Prislapp!$D$2+E260*Prislapp!$E$2+F260*Prislapp!$F$2+G260*Prislapp!$G$2+H260*Prislapp!$H$2+I260*Prislapp!$I$2+J260*Prislapp!$J$2+K260*Prislapp!$K$2+L260*Prislapp!$L$2+M260*Prislapp!$M$2+N260*Prislapp!$N$2</f>
        <v>18405</v>
      </c>
      <c r="P260" s="42">
        <f>C260*Prislapp!$C$3+D260*Prislapp!$D$3+E260*Prislapp!$E$3+F260*Prislapp!$F$3+G260*Prislapp!$G$3+H260*Prislapp!$H$3+I260*Prislapp!$I$3+J260*Prislapp!$J$3+K260*Prislapp!$K$3+M260*Prislapp!$M$3+N260*Prislapp!$N$3</f>
        <v>15773</v>
      </c>
      <c r="Q260" s="42">
        <f>C260*Prislapp!$C$5+D260*Prislapp!$D$5+E260*Prislapp!$E$5+F260*Prislapp!$F$5+G260*Prislapp!$G$5+H260*Prislapp!$H$5+I260*Prislapp!$I$5+J260*Prislapp!$J$5+K260*Prislapp!$K$5+L260*Prislapp!$L$5+M260*Prislapp!$M$5+N260*Prislapp!$N$5</f>
        <v>5800</v>
      </c>
      <c r="R260" s="9">
        <f>VLOOKUP(A260,'Ansvar kurs'!$A$2:$B$847,2,FALSE)</f>
        <v>2750</v>
      </c>
      <c r="S260" s="159"/>
      <c r="T260" s="159"/>
      <c r="U260" s="159"/>
      <c r="V260" s="159"/>
      <c r="W260" s="159"/>
      <c r="X260" s="159"/>
      <c r="Y260" s="159"/>
      <c r="Z260" s="159"/>
    </row>
    <row r="261" spans="1:26" x14ac:dyDescent="0.25">
      <c r="A261" s="245" t="s">
        <v>1089</v>
      </c>
      <c r="B261" s="31" t="s">
        <v>1094</v>
      </c>
      <c r="H261" s="31">
        <v>1</v>
      </c>
      <c r="O261" s="42">
        <f>C261*Prislapp!$C$2+D261*Prislapp!$D$2+E261*Prislapp!$E$2+F261*Prislapp!$F$2+G261*Prislapp!$G$2+H261*Prislapp!$H$2+I261*Prislapp!$I$2+J261*Prislapp!$J$2+K261*Prislapp!$K$2+L261*Prislapp!$L$2+M261*Prislapp!$M$2+N261*Prislapp!$N$2</f>
        <v>19473</v>
      </c>
      <c r="P261" s="42">
        <f>C261*Prislapp!$C$3+D261*Prislapp!$D$3+E261*Prislapp!$E$3+F261*Prislapp!$F$3+G261*Prislapp!$G$3+H261*Prislapp!$H$3+I261*Prislapp!$I$3+J261*Prislapp!$J$3+K261*Prislapp!$K$3+M261*Prislapp!$M$3+N261*Prislapp!$N$3</f>
        <v>34806</v>
      </c>
      <c r="Q261" s="42">
        <f>C261*Prislapp!$C$5+D261*Prislapp!$D$5+E261*Prislapp!$E$5+F261*Prislapp!$F$5+G261*Prislapp!$G$5+H261*Prislapp!$H$5+I261*Prislapp!$I$5+J261*Prislapp!$J$5+K261*Prislapp!$K$5+L261*Prislapp!$L$5+M261*Prislapp!$M$5+N261*Prislapp!$N$5</f>
        <v>21800</v>
      </c>
      <c r="R261" s="9">
        <f>VLOOKUP(A261,'Ansvar kurs'!$A$2:$B$847,2,FALSE)</f>
        <v>2750</v>
      </c>
      <c r="S261" s="159"/>
      <c r="T261" s="159"/>
      <c r="U261" s="159"/>
      <c r="V261" s="159"/>
      <c r="W261" s="159"/>
      <c r="X261" s="159"/>
      <c r="Y261" s="159"/>
      <c r="Z261" s="159"/>
    </row>
    <row r="262" spans="1:26" x14ac:dyDescent="0.25">
      <c r="A262" s="245" t="s">
        <v>1311</v>
      </c>
      <c r="B262" s="62" t="s">
        <v>1338</v>
      </c>
      <c r="I262" s="31">
        <v>1</v>
      </c>
      <c r="O262" s="42">
        <f>C262*Prislapp!$C$2+D262*Prislapp!$D$2+E262*Prislapp!$E$2+F262*Prislapp!$F$2+G262*Prislapp!$G$2+H262*Prislapp!$H$2+I262*Prislapp!$I$2+J262*Prislapp!$J$2+K262*Prislapp!$K$2+L262*Prislapp!$L$2+M262*Prislapp!$M$2+N262*Prislapp!$N$2</f>
        <v>18405</v>
      </c>
      <c r="P262" s="42">
        <f>C262*Prislapp!$C$3+D262*Prislapp!$D$3+E262*Prislapp!$E$3+F262*Prislapp!$F$3+G262*Prislapp!$G$3+H262*Prislapp!$H$3+I262*Prislapp!$I$3+J262*Prislapp!$J$3+K262*Prislapp!$K$3+M262*Prislapp!$M$3+N262*Prislapp!$N$3</f>
        <v>15773</v>
      </c>
      <c r="Q262" s="42">
        <f>C262*Prislapp!$C$5+D262*Prislapp!$D$5+E262*Prislapp!$E$5+F262*Prislapp!$F$5+G262*Prislapp!$G$5+H262*Prislapp!$H$5+I262*Prislapp!$I$5+J262*Prislapp!$J$5+K262*Prislapp!$K$5+L262*Prislapp!$L$5+M262*Prislapp!$M$5+N262*Prislapp!$N$5</f>
        <v>5800</v>
      </c>
      <c r="R262" s="9">
        <f>VLOOKUP(A262,'Ansvar kurs'!$A$2:$B$847,2,FALSE)</f>
        <v>2750</v>
      </c>
      <c r="S262" s="159"/>
      <c r="T262" s="159"/>
      <c r="U262" s="159"/>
      <c r="V262" s="159"/>
      <c r="W262" s="159"/>
      <c r="X262" s="159"/>
      <c r="Y262" s="159"/>
      <c r="Z262" s="159"/>
    </row>
    <row r="263" spans="1:26" x14ac:dyDescent="0.25">
      <c r="A263" s="244" t="s">
        <v>1357</v>
      </c>
      <c r="B263" s="31" t="s">
        <v>1062</v>
      </c>
      <c r="K263" s="31">
        <v>1</v>
      </c>
      <c r="O263" s="42">
        <f>C263*Prislapp!$C$2+D263*Prislapp!$D$2+E263*Prislapp!$E$2+F263*Prislapp!$F$2+G263*Prislapp!$G$2+H263*Prislapp!$H$2+I263*Prislapp!$I$2+J263*Prislapp!$J$2+K263*Prislapp!$K$2+L263*Prislapp!$L$2+M263*Prislapp!$M$2+N263*Prislapp!$N$2</f>
        <v>21634</v>
      </c>
      <c r="P263" s="42">
        <f>C263*Prislapp!$C$3+D263*Prislapp!$D$3+E263*Prislapp!$E$3+F263*Prislapp!$F$3+G263*Prislapp!$G$3+H263*Prislapp!$H$3+I263*Prislapp!$I$3+J263*Prislapp!$J$3+K263*Prislapp!$K$3+M263*Prislapp!$M$3+N263*Prislapp!$N$3</f>
        <v>26986</v>
      </c>
      <c r="Q263" s="42">
        <f>C263*Prislapp!$C$5+D263*Prislapp!$D$5+E263*Prislapp!$E$5+F263*Prislapp!$F$5+G263*Prislapp!$G$5+H263*Prislapp!$H$5+I263*Prislapp!$I$5+J263*Prislapp!$J$5+K263*Prislapp!$K$5+L263*Prislapp!$L$5+M263*Prislapp!$M$5+N263*Prislapp!$N$5</f>
        <v>3400</v>
      </c>
      <c r="R263" s="9">
        <f>VLOOKUP(A263,'Ansvar kurs'!$A$2:$B$847,2,FALSE)</f>
        <v>2750</v>
      </c>
      <c r="S263" s="159"/>
      <c r="T263" s="159"/>
      <c r="U263" s="159"/>
      <c r="V263" s="159"/>
      <c r="W263" s="159"/>
      <c r="X263" s="159"/>
      <c r="Y263" s="159"/>
      <c r="Z263" s="159"/>
    </row>
    <row r="264" spans="1:26" x14ac:dyDescent="0.25">
      <c r="A264" s="244" t="s">
        <v>1443</v>
      </c>
      <c r="B264" s="31" t="s">
        <v>1444</v>
      </c>
      <c r="I264" s="31">
        <v>1</v>
      </c>
      <c r="O264" s="42">
        <f>C264*Prislapp!$C$2+D264*Prislapp!$D$2+E264*Prislapp!$E$2+F264*Prislapp!$F$2+G264*Prislapp!$G$2+H264*Prislapp!$H$2+I264*Prislapp!$I$2+J264*Prislapp!$J$2+K264*Prislapp!$K$2+L264*Prislapp!$L$2+M264*Prislapp!$M$2+N264*Prislapp!$N$2</f>
        <v>18405</v>
      </c>
      <c r="P264" s="42">
        <f>C264*Prislapp!$C$3+D264*Prislapp!$D$3+E264*Prislapp!$E$3+F264*Prislapp!$F$3+G264*Prislapp!$G$3+H264*Prislapp!$H$3+I264*Prislapp!$I$3+J264*Prislapp!$J$3+K264*Prislapp!$K$3+M264*Prislapp!$M$3+N264*Prislapp!$N$3</f>
        <v>15773</v>
      </c>
      <c r="Q264" s="42">
        <f>C264*Prislapp!$C$5+D264*Prislapp!$D$5+E264*Prislapp!$E$5+F264*Prislapp!$F$5+G264*Prislapp!$G$5+H264*Prislapp!$H$5+I264*Prislapp!$I$5+J264*Prislapp!$J$5+K264*Prislapp!$K$5+L264*Prislapp!$L$5+M264*Prislapp!$M$5+N264*Prislapp!$N$5</f>
        <v>5800</v>
      </c>
      <c r="R264" s="9">
        <f>VLOOKUP(A264,'Ansvar kurs'!$A$2:$B$847,2,FALSE)</f>
        <v>2750</v>
      </c>
      <c r="S264" s="182" t="s">
        <v>1433</v>
      </c>
      <c r="T264" s="159" t="s">
        <v>1445</v>
      </c>
      <c r="U264" s="159"/>
      <c r="V264" s="159"/>
      <c r="W264" s="159"/>
      <c r="X264" s="159"/>
      <c r="Y264" s="159"/>
      <c r="Z264" s="159"/>
    </row>
    <row r="265" spans="1:26" x14ac:dyDescent="0.25">
      <c r="A265" s="31" t="s">
        <v>2084</v>
      </c>
      <c r="B265" s="31" t="s">
        <v>681</v>
      </c>
      <c r="H265" s="31">
        <v>1</v>
      </c>
      <c r="O265" s="42">
        <f>C265*Prislapp!$C$2+D265*Prislapp!$D$2+E265*Prislapp!$E$2+F265*Prislapp!$F$2+G265*Prislapp!$G$2+H265*Prislapp!$H$2+I265*Prislapp!$I$2+J265*Prislapp!$J$2+K265*Prislapp!$K$2+L265*Prislapp!$L$2+M265*Prislapp!$M$2+N265*Prislapp!$N$2</f>
        <v>19473</v>
      </c>
      <c r="P265" s="42">
        <f>C265*Prislapp!$C$3+D265*Prislapp!$D$3+E265*Prislapp!$E$3+F265*Prislapp!$F$3+G265*Prislapp!$G$3+H265*Prislapp!$H$3+I265*Prislapp!$I$3+J265*Prislapp!$J$3+K265*Prislapp!$K$3+M265*Prislapp!$M$3+N265*Prislapp!$N$3</f>
        <v>34806</v>
      </c>
      <c r="Q265" s="42">
        <f>C265*Prislapp!$C$5+D265*Prislapp!$D$5+E265*Prislapp!$E$5+F265*Prislapp!$F$5+G265*Prislapp!$G$5+H265*Prislapp!$H$5+I265*Prislapp!$I$5+J265*Prislapp!$J$5+K265*Prislapp!$K$5+L265*Prislapp!$L$5+M265*Prislapp!$M$5+N265*Prislapp!$N$5</f>
        <v>21800</v>
      </c>
      <c r="R265" s="9">
        <f>VLOOKUP(A265,'Ansvar kurs'!$A$2:$B$847,2,FALSE)</f>
        <v>2750</v>
      </c>
      <c r="S265" s="159"/>
      <c r="T265" s="159"/>
      <c r="U265" s="159"/>
      <c r="V265" s="159"/>
      <c r="W265" s="159"/>
      <c r="X265" s="159"/>
      <c r="Y265" s="159"/>
      <c r="Z265" s="159"/>
    </row>
    <row r="266" spans="1:26" x14ac:dyDescent="0.25">
      <c r="A266" s="317" t="s">
        <v>2194</v>
      </c>
      <c r="B266" s="62" t="s">
        <v>2208</v>
      </c>
      <c r="H266" s="31">
        <v>1</v>
      </c>
      <c r="O266" s="42">
        <f>C266*Prislapp!$C$2+D266*Prislapp!$D$2+E266*Prislapp!$E$2+F266*Prislapp!$F$2+G266*Prislapp!$G$2+H266*Prislapp!$H$2+I266*Prislapp!$I$2+J266*Prislapp!$J$2+K266*Prislapp!$K$2+L266*Prislapp!$L$2+M266*Prislapp!$M$2+N266*Prislapp!$N$2</f>
        <v>19473</v>
      </c>
      <c r="P266" s="42">
        <f>C266*Prislapp!$C$3+D266*Prislapp!$D$3+E266*Prislapp!$E$3+F266*Prislapp!$F$3+G266*Prislapp!$G$3+H266*Prislapp!$H$3+I266*Prislapp!$I$3+J266*Prislapp!$J$3+K266*Prislapp!$K$3+M266*Prislapp!$M$3+N266*Prislapp!$N$3</f>
        <v>34806</v>
      </c>
      <c r="Q266" s="42">
        <f>C266*Prislapp!$C$5+D266*Prislapp!$D$5+E266*Prislapp!$E$5+F266*Prislapp!$F$5+G266*Prislapp!$G$5+H266*Prislapp!$H$5+I266*Prislapp!$I$5+J266*Prislapp!$J$5+K266*Prislapp!$K$5+L266*Prislapp!$L$5+M266*Prislapp!$M$5+N266*Prislapp!$N$5</f>
        <v>21800</v>
      </c>
      <c r="R266" s="9">
        <f>VLOOKUP(A266,'Ansvar kurs'!$A$2:$B$847,2,FALSE)</f>
        <v>2750</v>
      </c>
      <c r="S266" s="159"/>
      <c r="T266" s="159"/>
      <c r="U266" s="159"/>
      <c r="V266" s="159"/>
      <c r="W266" s="159"/>
      <c r="X266" s="159"/>
      <c r="Y266" s="159"/>
      <c r="Z266" s="159"/>
    </row>
    <row r="267" spans="1:26" x14ac:dyDescent="0.25">
      <c r="A267" s="245" t="s">
        <v>2195</v>
      </c>
      <c r="B267" s="62" t="s">
        <v>548</v>
      </c>
      <c r="H267" s="31">
        <v>1</v>
      </c>
      <c r="O267" s="42">
        <f>C267*Prislapp!$C$2+D267*Prislapp!$D$2+E267*Prislapp!$E$2+F267*Prislapp!$F$2+G267*Prislapp!$G$2+H267*Prislapp!$H$2+I267*Prislapp!$I$2+J267*Prislapp!$J$2+K267*Prislapp!$K$2+L267*Prislapp!$L$2+M267*Prislapp!$M$2+N267*Prislapp!$N$2</f>
        <v>19473</v>
      </c>
      <c r="P267" s="42">
        <f>C267*Prislapp!$C$3+D267*Prislapp!$D$3+E267*Prislapp!$E$3+F267*Prislapp!$F$3+G267*Prislapp!$G$3+H267*Prislapp!$H$3+I267*Prislapp!$I$3+J267*Prislapp!$J$3+K267*Prislapp!$K$3+M267*Prislapp!$M$3+N267*Prislapp!$N$3</f>
        <v>34806</v>
      </c>
      <c r="Q267" s="42">
        <f>C267*Prislapp!$C$5+D267*Prislapp!$D$5+E267*Prislapp!$E$5+F267*Prislapp!$F$5+G267*Prislapp!$G$5+H267*Prislapp!$H$5+I267*Prislapp!$I$5+J267*Prislapp!$J$5+K267*Prislapp!$K$5+L267*Prislapp!$L$5+M267*Prislapp!$M$5+N267*Prislapp!$N$5</f>
        <v>21800</v>
      </c>
      <c r="R267" s="9">
        <f>VLOOKUP(A267,'Ansvar kurs'!$A$2:$B$847,2,FALSE)</f>
        <v>2750</v>
      </c>
      <c r="S267" s="159"/>
      <c r="T267" s="159"/>
      <c r="U267" s="159"/>
      <c r="V267" s="159"/>
      <c r="W267" s="159"/>
      <c r="X267" s="159"/>
      <c r="Y267" s="159"/>
      <c r="Z267" s="159"/>
    </row>
    <row r="268" spans="1:26" x14ac:dyDescent="0.25">
      <c r="A268" s="245" t="s">
        <v>2196</v>
      </c>
      <c r="B268" s="62" t="s">
        <v>2209</v>
      </c>
      <c r="H268" s="31">
        <v>1</v>
      </c>
      <c r="O268" s="42">
        <f>C268*Prislapp!$C$2+D268*Prislapp!$D$2+E268*Prislapp!$E$2+F268*Prislapp!$F$2+G268*Prislapp!$G$2+H268*Prislapp!$H$2+I268*Prislapp!$I$2+J268*Prislapp!$J$2+K268*Prislapp!$K$2+L268*Prislapp!$L$2+M268*Prislapp!$M$2+N268*Prislapp!$N$2</f>
        <v>19473</v>
      </c>
      <c r="P268" s="42">
        <f>C268*Prislapp!$C$3+D268*Prislapp!$D$3+E268*Prislapp!$E$3+F268*Prislapp!$F$3+G268*Prislapp!$G$3+H268*Prislapp!$H$3+I268*Prislapp!$I$3+J268*Prislapp!$J$3+K268*Prislapp!$K$3+M268*Prislapp!$M$3+N268*Prislapp!$N$3</f>
        <v>34806</v>
      </c>
      <c r="Q268" s="42">
        <f>C268*Prislapp!$C$5+D268*Prislapp!$D$5+E268*Prislapp!$E$5+F268*Prislapp!$F$5+G268*Prislapp!$G$5+H268*Prislapp!$H$5+I268*Prislapp!$I$5+J268*Prislapp!$J$5+K268*Prislapp!$K$5+L268*Prislapp!$L$5+M268*Prislapp!$M$5+N268*Prislapp!$N$5</f>
        <v>21800</v>
      </c>
      <c r="R268" s="9">
        <f>VLOOKUP(A268,'Ansvar kurs'!$A$2:$B$847,2,FALSE)</f>
        <v>2750</v>
      </c>
      <c r="S268" s="159"/>
      <c r="T268" s="159"/>
      <c r="U268" s="159"/>
      <c r="V268" s="159"/>
      <c r="W268" s="159"/>
      <c r="X268" s="159"/>
      <c r="Y268" s="159"/>
      <c r="Z268" s="159"/>
    </row>
    <row r="269" spans="1:26" x14ac:dyDescent="0.25">
      <c r="A269" s="244" t="s">
        <v>1312</v>
      </c>
      <c r="B269" t="s">
        <v>1339</v>
      </c>
      <c r="D269" s="31">
        <v>1</v>
      </c>
      <c r="O269" s="42">
        <f>C269*Prislapp!$C$2+D269*Prislapp!$D$2+E269*Prislapp!$E$2+F269*Prislapp!$F$2+G269*Prislapp!$G$2+H269*Prislapp!$H$2+I269*Prislapp!$I$2+J269*Prislapp!$J$2+K269*Prislapp!$K$2+L269*Prislapp!$L$2+M269*Prislapp!$M$2+N269*Prislapp!$N$2</f>
        <v>18405</v>
      </c>
      <c r="P269" s="42">
        <f>C269*Prislapp!$C$3+D269*Prislapp!$D$3+E269*Prislapp!$E$3+F269*Prislapp!$F$3+G269*Prislapp!$G$3+H269*Prislapp!$H$3+I269*Prislapp!$I$3+J269*Prislapp!$J$3+K269*Prislapp!$K$3+M269*Prislapp!$M$3+N269*Prislapp!$N$3</f>
        <v>15773</v>
      </c>
      <c r="Q269" s="42">
        <f>C269*Prislapp!$C$5+D269*Prislapp!$D$5+E269*Prislapp!$E$5+F269*Prislapp!$F$5+G269*Prislapp!$G$5+H269*Prislapp!$H$5+I269*Prislapp!$I$5+J269*Prislapp!$J$5+K269*Prislapp!$K$5+L269*Prislapp!$L$5+M269*Prislapp!$M$5+N269*Prislapp!$N$5</f>
        <v>5800</v>
      </c>
      <c r="R269" s="9">
        <f>VLOOKUP(A269,'Ansvar kurs'!$A$2:$B$847,2,FALSE)</f>
        <v>1640</v>
      </c>
      <c r="S269" s="159"/>
      <c r="T269" s="159"/>
      <c r="U269" s="159"/>
      <c r="V269" s="159"/>
      <c r="W269" s="159"/>
      <c r="X269" s="159"/>
      <c r="Y269" s="159"/>
      <c r="Z269" s="159"/>
    </row>
    <row r="270" spans="1:26" ht="15.75" x14ac:dyDescent="0.25">
      <c r="A270" s="435" t="s">
        <v>2158</v>
      </c>
      <c r="B270" s="62" t="s">
        <v>2160</v>
      </c>
      <c r="J270" s="59">
        <v>1</v>
      </c>
      <c r="M270" s="448"/>
      <c r="O270" s="42">
        <f>C270*Prislapp!$C$2+D270*Prislapp!$D$2+E270*Prislapp!$E$2+F270*Prislapp!$F$2+G270*Prislapp!$G$2+H270*Prislapp!$H$2+I270*Prislapp!$I$2+J270*Prislapp!$J$2+K270*Prislapp!$K$2+L270*Prislapp!$L$2+M270*Prislapp!$M$2+N270*Prislapp!$N$2</f>
        <v>19473</v>
      </c>
      <c r="P270" s="42">
        <f>C270*Prislapp!$C$3+D270*Prislapp!$D$3+E270*Prislapp!$E$3+F270*Prislapp!$F$3+G270*Prislapp!$G$3+H270*Prislapp!$H$3+I270*Prislapp!$I$3+J270*Prislapp!$J$3+K270*Prislapp!$K$3+M270*Prislapp!$M$3+N270*Prislapp!$N$3</f>
        <v>34806</v>
      </c>
      <c r="Q270" s="42">
        <f>C270*Prislapp!$C$5+D270*Prislapp!$D$5+E270*Prislapp!$E$5+F270*Prislapp!$F$5+G270*Prislapp!$G$5+H270*Prislapp!$H$5+I270*Prislapp!$I$5+J270*Prislapp!$J$5+K270*Prislapp!$K$5+L270*Prislapp!$L$5+M270*Prislapp!$M$5+N270*Prislapp!$N$5</f>
        <v>21800</v>
      </c>
      <c r="R270" s="9">
        <f>VLOOKUP(A270,'Ansvar kurs'!$A$2:$B$847,2,FALSE)</f>
        <v>1650</v>
      </c>
      <c r="S270" s="182"/>
      <c r="T270" s="159"/>
      <c r="U270" s="159"/>
      <c r="V270" s="159"/>
      <c r="W270" s="159"/>
      <c r="X270" s="159"/>
      <c r="Y270" s="159"/>
      <c r="Z270" s="159"/>
    </row>
    <row r="271" spans="1:26" ht="15.75" x14ac:dyDescent="0.25">
      <c r="A271" s="435" t="s">
        <v>2159</v>
      </c>
      <c r="B271" s="62" t="s">
        <v>2162</v>
      </c>
      <c r="D271" s="448">
        <v>0.5</v>
      </c>
      <c r="G271" s="448">
        <v>0.5</v>
      </c>
      <c r="O271" s="42">
        <f>C271*Prislapp!$C$2+D271*Prislapp!$D$2+E271*Prislapp!$E$2+F271*Prislapp!$F$2+G271*Prislapp!$G$2+H271*Prislapp!$H$2+I271*Prislapp!$I$2+J271*Prislapp!$J$2+K271*Prislapp!$K$2+L271*Prislapp!$L$2+M271*Prislapp!$M$2+N271*Prislapp!$N$2</f>
        <v>24603.5</v>
      </c>
      <c r="P271" s="42">
        <f>C271*Prislapp!$C$3+D271*Prislapp!$D$3+E271*Prislapp!$E$3+F271*Prislapp!$F$3+G271*Prislapp!$G$3+H271*Prislapp!$H$3+I271*Prislapp!$I$3+J271*Prislapp!$J$3+K271*Prislapp!$K$3+M271*Prislapp!$M$3+N271*Prislapp!$N$3</f>
        <v>39785</v>
      </c>
      <c r="Q271" s="42">
        <f>C271*Prislapp!$C$5+D271*Prislapp!$D$5+E271*Prislapp!$E$5+F271*Prislapp!$F$5+G271*Prislapp!$G$5+H271*Prislapp!$H$5+I271*Prislapp!$I$5+J271*Prislapp!$J$5+K271*Prislapp!$K$5+L271*Prislapp!$L$5+M271*Prislapp!$M$5+N271*Prislapp!$N$5</f>
        <v>37950</v>
      </c>
      <c r="R271" s="9">
        <f>VLOOKUP(A271,'Ansvar kurs'!$A$2:$B$847,2,FALSE)</f>
        <v>1650</v>
      </c>
      <c r="S271" s="182" t="s">
        <v>2161</v>
      </c>
      <c r="T271" s="159"/>
      <c r="U271" s="159"/>
      <c r="V271" s="159"/>
      <c r="W271" s="159"/>
      <c r="X271" s="159"/>
      <c r="Y271" s="159"/>
      <c r="Z271" s="159"/>
    </row>
    <row r="272" spans="1:26" x14ac:dyDescent="0.25">
      <c r="A272" s="31" t="s">
        <v>771</v>
      </c>
      <c r="B272" s="31" t="s">
        <v>1172</v>
      </c>
      <c r="D272" s="31">
        <v>1</v>
      </c>
      <c r="O272" s="42">
        <f>C272*Prislapp!$C$2+D272*Prislapp!$D$2+E272*Prislapp!$E$2+F272*Prislapp!$F$2+G272*Prislapp!$G$2+H272*Prislapp!$H$2+I272*Prislapp!$I$2+J272*Prislapp!$J$2+K272*Prislapp!$K$2+L272*Prislapp!$L$2+M272*Prislapp!$M$2+N272*Prislapp!$N$2</f>
        <v>18405</v>
      </c>
      <c r="P272" s="42">
        <f>C272*Prislapp!$C$3+D272*Prislapp!$D$3+E272*Prislapp!$E$3+F272*Prislapp!$F$3+G272*Prislapp!$G$3+H272*Prislapp!$H$3+I272*Prislapp!$I$3+J272*Prislapp!$J$3+K272*Prislapp!$K$3+M272*Prislapp!$M$3+N272*Prislapp!$N$3</f>
        <v>15773</v>
      </c>
      <c r="Q272" s="42">
        <f>C272*Prislapp!$C$5+D272*Prislapp!$D$5+E272*Prislapp!$E$5+F272*Prislapp!$F$5+G272*Prislapp!$G$5+H272*Prislapp!$H$5+I272*Prislapp!$I$5+J272*Prislapp!$J$5+K272*Prislapp!$K$5+L272*Prislapp!$L$5+M272*Prislapp!$M$5+N272*Prislapp!$N$5</f>
        <v>5800</v>
      </c>
      <c r="R272" s="9">
        <f>VLOOKUP(A272,'Ansvar kurs'!$A$2:$B$847,2,FALSE)</f>
        <v>1620</v>
      </c>
      <c r="S272" s="159" t="s">
        <v>1304</v>
      </c>
      <c r="T272" s="159"/>
      <c r="U272" s="159"/>
      <c r="V272" s="159"/>
      <c r="W272" s="159"/>
      <c r="X272" s="159"/>
      <c r="Y272" s="159"/>
      <c r="Z272" s="159"/>
    </row>
    <row r="273" spans="1:26" x14ac:dyDescent="0.25">
      <c r="A273" s="31" t="s">
        <v>1077</v>
      </c>
      <c r="B273" s="31" t="s">
        <v>715</v>
      </c>
      <c r="D273" s="31">
        <v>1</v>
      </c>
      <c r="O273" s="42">
        <f>C273*Prislapp!$C$2+D273*Prislapp!$D$2+E273*Prislapp!$E$2+F273*Prislapp!$F$2+G273*Prislapp!$G$2+H273*Prislapp!$H$2+I273*Prislapp!$I$2+J273*Prislapp!$J$2+K273*Prislapp!$K$2+L273*Prislapp!$L$2+M273*Prislapp!$M$2+N273*Prislapp!$N$2</f>
        <v>18405</v>
      </c>
      <c r="P273" s="42">
        <f>C273*Prislapp!$C$3+D273*Prislapp!$D$3+E273*Prislapp!$E$3+F273*Prislapp!$F$3+G273*Prislapp!$G$3+H273*Prislapp!$H$3+I273*Prislapp!$I$3+J273*Prislapp!$J$3+K273*Prislapp!$K$3+M273*Prislapp!$M$3+N273*Prislapp!$N$3</f>
        <v>15773</v>
      </c>
      <c r="Q273" s="42">
        <f>C273*Prislapp!$C$5+D273*Prislapp!$D$5+E273*Prislapp!$E$5+F273*Prislapp!$F$5+G273*Prislapp!$G$5+H273*Prislapp!$H$5+I273*Prislapp!$I$5+J273*Prislapp!$J$5+K273*Prislapp!$K$5+L273*Prislapp!$L$5+M273*Prislapp!$M$5+N273*Prislapp!$N$5</f>
        <v>5800</v>
      </c>
      <c r="R273" s="9">
        <f>VLOOKUP(A273,'Ansvar kurs'!$A$2:$B$847,2,FALSE)</f>
        <v>1620</v>
      </c>
      <c r="S273" s="159"/>
      <c r="T273" s="159"/>
      <c r="U273" s="159"/>
      <c r="V273" s="159"/>
      <c r="W273" s="159"/>
      <c r="X273" s="159"/>
      <c r="Y273" s="159"/>
      <c r="Z273" s="159"/>
    </row>
    <row r="274" spans="1:26" x14ac:dyDescent="0.25">
      <c r="A274" s="31" t="s">
        <v>1471</v>
      </c>
      <c r="B274" s="31" t="s">
        <v>1470</v>
      </c>
      <c r="D274" s="31">
        <v>1</v>
      </c>
      <c r="O274" s="42">
        <f>C274*Prislapp!$C$2+D274*Prislapp!$D$2+E274*Prislapp!$E$2+F274*Prislapp!$F$2+G274*Prislapp!$G$2+H274*Prislapp!$H$2+I274*Prislapp!$I$2+J274*Prislapp!$J$2+K274*Prislapp!$K$2+L274*Prislapp!$L$2+M274*Prislapp!$M$2+N274*Prislapp!$N$2</f>
        <v>18405</v>
      </c>
      <c r="P274" s="42">
        <f>C274*Prislapp!$C$3+D274*Prislapp!$D$3+E274*Prislapp!$E$3+F274*Prislapp!$F$3+G274*Prislapp!$G$3+H274*Prislapp!$H$3+I274*Prislapp!$I$3+J274*Prislapp!$J$3+K274*Prislapp!$K$3+M274*Prislapp!$M$3+N274*Prislapp!$N$3</f>
        <v>15773</v>
      </c>
      <c r="Q274" s="42">
        <f>C274*Prislapp!$C$5+D274*Prislapp!$D$5+E274*Prislapp!$E$5+F274*Prislapp!$F$5+G274*Prislapp!$G$5+H274*Prislapp!$H$5+I274*Prislapp!$I$5+J274*Prislapp!$J$5+K274*Prislapp!$K$5+L274*Prislapp!$L$5+M274*Prislapp!$M$5+N274*Prislapp!$N$5</f>
        <v>5800</v>
      </c>
      <c r="R274" s="9">
        <f>VLOOKUP(A274,'Ansvar kurs'!$A$2:$B$847,2,FALSE)</f>
        <v>1620</v>
      </c>
      <c r="S274" s="159"/>
      <c r="T274" s="159"/>
      <c r="U274" s="159"/>
      <c r="V274" s="159"/>
      <c r="W274" s="159"/>
      <c r="X274" s="159"/>
      <c r="Y274" s="159"/>
      <c r="Z274" s="159"/>
    </row>
    <row r="275" spans="1:26" x14ac:dyDescent="0.25">
      <c r="A275" s="245" t="s">
        <v>1691</v>
      </c>
      <c r="B275" t="s">
        <v>1641</v>
      </c>
      <c r="D275" s="31">
        <v>1</v>
      </c>
      <c r="O275" s="42">
        <f>C275*Prislapp!$C$2+D275*Prislapp!$D$2+E275*Prislapp!$E$2+F275*Prislapp!$F$2+G275*Prislapp!$G$2+H275*Prislapp!$H$2+I275*Prislapp!$I$2+J275*Prislapp!$J$2+K275*Prislapp!$K$2+L275*Prislapp!$L$2+M275*Prislapp!$M$2+N275*Prislapp!$N$2</f>
        <v>18405</v>
      </c>
      <c r="P275" s="42">
        <f>C275*Prislapp!$C$3+D275*Prislapp!$D$3+E275*Prislapp!$E$3+F275*Prislapp!$F$3+G275*Prislapp!$G$3+H275*Prislapp!$H$3+I275*Prislapp!$I$3+J275*Prislapp!$J$3+K275*Prislapp!$K$3+M275*Prislapp!$M$3+N275*Prislapp!$N$3</f>
        <v>15773</v>
      </c>
      <c r="Q275" s="42">
        <f>C275*Prislapp!$C$5+D275*Prislapp!$D$5+E275*Prislapp!$E$5+F275*Prislapp!$F$5+G275*Prislapp!$G$5+H275*Prislapp!$H$5+I275*Prislapp!$I$5+J275*Prislapp!$J$5+K275*Prislapp!$K$5+L275*Prislapp!$L$5+M275*Prislapp!$M$5+N275*Prislapp!$N$5</f>
        <v>5800</v>
      </c>
      <c r="R275" s="9">
        <f>VLOOKUP(A275,'Ansvar kurs'!$A$2:$B$847,2,FALSE)</f>
        <v>1620</v>
      </c>
      <c r="S275" s="159"/>
      <c r="T275" s="159"/>
      <c r="U275" s="215"/>
      <c r="V275" s="215"/>
      <c r="W275" s="215"/>
      <c r="X275" s="215"/>
      <c r="Y275" s="215"/>
      <c r="Z275" s="197"/>
    </row>
    <row r="276" spans="1:26" x14ac:dyDescent="0.25">
      <c r="A276" s="245" t="s">
        <v>1828</v>
      </c>
      <c r="B276" t="s">
        <v>1848</v>
      </c>
      <c r="D276" s="31">
        <v>1</v>
      </c>
      <c r="O276" s="42">
        <f>C276*Prislapp!$C$2+D276*Prislapp!$D$2+E276*Prislapp!$E$2+F276*Prislapp!$F$2+G276*Prislapp!$G$2+H276*Prislapp!$H$2+I276*Prislapp!$I$2+J276*Prislapp!$J$2+K276*Prislapp!$K$2+L276*Prislapp!$L$2+M276*Prislapp!$M$2+N276*Prislapp!$N$2</f>
        <v>18405</v>
      </c>
      <c r="P276" s="42">
        <f>C276*Prislapp!$C$3+D276*Prislapp!$D$3+E276*Prislapp!$E$3+F276*Prislapp!$F$3+G276*Prislapp!$G$3+H276*Prislapp!$H$3+I276*Prislapp!$I$3+J276*Prislapp!$J$3+K276*Prislapp!$K$3+M276*Prislapp!$M$3+N276*Prislapp!$N$3</f>
        <v>15773</v>
      </c>
      <c r="Q276" s="42">
        <f>C276*Prislapp!$C$5+D276*Prislapp!$D$5+E276*Prislapp!$E$5+F276*Prislapp!$F$5+G276*Prislapp!$G$5+H276*Prislapp!$H$5+I276*Prislapp!$I$5+J276*Prislapp!$J$5+K276*Prislapp!$K$5+L276*Prislapp!$L$5+M276*Prislapp!$M$5+N276*Prislapp!$N$5</f>
        <v>5800</v>
      </c>
      <c r="R276" s="9">
        <f>VLOOKUP(A276,'Ansvar kurs'!$A$2:$B$847,2,FALSE)</f>
        <v>1620</v>
      </c>
      <c r="S276" s="159"/>
      <c r="T276" s="159"/>
      <c r="U276" s="215"/>
      <c r="V276" s="215"/>
      <c r="W276" s="215"/>
      <c r="X276" s="215"/>
      <c r="Y276" s="215"/>
      <c r="Z276" s="197"/>
    </row>
    <row r="277" spans="1:26" x14ac:dyDescent="0.25">
      <c r="A277" s="245" t="s">
        <v>1829</v>
      </c>
      <c r="B277" t="s">
        <v>1849</v>
      </c>
      <c r="D277" s="31">
        <v>1</v>
      </c>
      <c r="O277" s="42">
        <f>C277*Prislapp!$C$2+D277*Prislapp!$D$2+E277*Prislapp!$E$2+F277*Prislapp!$F$2+G277*Prislapp!$G$2+H277*Prislapp!$H$2+I277*Prislapp!$I$2+J277*Prislapp!$J$2+K277*Prislapp!$K$2+L277*Prislapp!$L$2+M277*Prislapp!$M$2+N277*Prislapp!$N$2</f>
        <v>18405</v>
      </c>
      <c r="P277" s="42">
        <f>C277*Prislapp!$C$3+D277*Prislapp!$D$3+E277*Prislapp!$E$3+F277*Prislapp!$F$3+G277*Prislapp!$G$3+H277*Prislapp!$H$3+I277*Prislapp!$I$3+J277*Prislapp!$J$3+K277*Prislapp!$K$3+M277*Prislapp!$M$3+N277*Prislapp!$N$3</f>
        <v>15773</v>
      </c>
      <c r="Q277" s="42">
        <f>C277*Prislapp!$C$5+D277*Prislapp!$D$5+E277*Prislapp!$E$5+F277*Prislapp!$F$5+G277*Prislapp!$G$5+H277*Prislapp!$H$5+I277*Prislapp!$I$5+J277*Prislapp!$J$5+K277*Prislapp!$K$5+L277*Prislapp!$L$5+M277*Prislapp!$M$5+N277*Prislapp!$N$5</f>
        <v>5800</v>
      </c>
      <c r="R277" s="9">
        <f>VLOOKUP(A277,'Ansvar kurs'!$A$2:$B$847,2,FALSE)</f>
        <v>1620</v>
      </c>
      <c r="S277" s="159"/>
      <c r="T277" s="159"/>
      <c r="U277" s="215"/>
      <c r="V277" s="215"/>
      <c r="W277" s="215"/>
      <c r="X277" s="215"/>
      <c r="Y277" s="215"/>
      <c r="Z277" s="197"/>
    </row>
    <row r="278" spans="1:26" x14ac:dyDescent="0.25">
      <c r="A278" s="245" t="s">
        <v>1700</v>
      </c>
      <c r="B278" t="s">
        <v>1699</v>
      </c>
      <c r="D278" s="31">
        <v>1</v>
      </c>
      <c r="O278" s="42">
        <f>C278*Prislapp!$C$2+D278*Prislapp!$D$2+E278*Prislapp!$E$2+F278*Prislapp!$F$2+G278*Prislapp!$G$2+H278*Prislapp!$H$2+I278*Prislapp!$I$2+J278*Prislapp!$J$2+K278*Prislapp!$K$2+L278*Prislapp!$L$2+M278*Prislapp!$M$2+N278*Prislapp!$N$2</f>
        <v>18405</v>
      </c>
      <c r="P278" s="42">
        <f>C278*Prislapp!$C$3+D278*Prislapp!$D$3+E278*Prislapp!$E$3+F278*Prislapp!$F$3+G278*Prislapp!$G$3+H278*Prislapp!$H$3+I278*Prislapp!$I$3+J278*Prislapp!$J$3+K278*Prislapp!$K$3+M278*Prislapp!$M$3+N278*Prislapp!$N$3</f>
        <v>15773</v>
      </c>
      <c r="Q278" s="42">
        <f>C278*Prislapp!$C$5+D278*Prislapp!$D$5+E278*Prislapp!$E$5+F278*Prislapp!$F$5+G278*Prislapp!$G$5+H278*Prislapp!$H$5+I278*Prislapp!$I$5+J278*Prislapp!$J$5+K278*Prislapp!$K$5+L278*Prislapp!$L$5+M278*Prislapp!$M$5+N278*Prislapp!$N$5</f>
        <v>5800</v>
      </c>
      <c r="R278" s="9">
        <f>VLOOKUP(A278,'Ansvar kurs'!$A$2:$B$847,2,FALSE)</f>
        <v>1620</v>
      </c>
      <c r="S278" s="159" t="s">
        <v>1698</v>
      </c>
      <c r="T278" s="159"/>
      <c r="U278" s="159"/>
      <c r="V278" s="159"/>
      <c r="W278" s="159"/>
      <c r="X278" s="159"/>
      <c r="Y278" s="159"/>
      <c r="Z278" s="159"/>
    </row>
    <row r="279" spans="1:26" x14ac:dyDescent="0.25">
      <c r="A279" s="245" t="s">
        <v>1950</v>
      </c>
      <c r="B279" t="s">
        <v>1172</v>
      </c>
      <c r="D279" s="31">
        <v>1</v>
      </c>
      <c r="O279" s="42">
        <f>C279*Prislapp!$C$2+D279*Prislapp!$D$2+E279*Prislapp!$E$2+F279*Prislapp!$F$2+G279*Prislapp!$G$2+H279*Prislapp!$H$2+I279*Prislapp!$I$2+J279*Prislapp!$J$2+K279*Prislapp!$K$2+L279*Prislapp!$L$2+M279*Prislapp!$M$2+N279*Prislapp!$N$2</f>
        <v>18405</v>
      </c>
      <c r="P279" s="42">
        <f>C279*Prislapp!$C$3+D279*Prislapp!$D$3+E279*Prislapp!$E$3+F279*Prislapp!$F$3+G279*Prislapp!$G$3+H279*Prislapp!$H$3+I279*Prislapp!$I$3+J279*Prislapp!$J$3+K279*Prislapp!$K$3+M279*Prislapp!$M$3+N279*Prislapp!$N$3</f>
        <v>15773</v>
      </c>
      <c r="Q279" s="42">
        <f>C279*Prislapp!$C$5+D279*Prislapp!$D$5+E279*Prislapp!$E$5+F279*Prislapp!$F$5+G279*Prislapp!$G$5+H279*Prislapp!$H$5+I279*Prislapp!$I$5+J279*Prislapp!$J$5+K279*Prislapp!$K$5+L279*Prislapp!$L$5+M279*Prislapp!$M$5+N279*Prislapp!$N$5</f>
        <v>5800</v>
      </c>
      <c r="R279" s="9">
        <f>VLOOKUP(A279,'Ansvar kurs'!$A$2:$B$847,2,FALSE)</f>
        <v>1620</v>
      </c>
      <c r="S279" s="159"/>
      <c r="T279" s="159"/>
      <c r="U279" s="159"/>
      <c r="V279" s="159"/>
      <c r="W279" s="159"/>
      <c r="X279" s="159"/>
      <c r="Y279" s="159"/>
      <c r="Z279" s="159"/>
    </row>
    <row r="280" spans="1:26" x14ac:dyDescent="0.25">
      <c r="A280" s="244" t="s">
        <v>470</v>
      </c>
      <c r="B280" s="31" t="s">
        <v>473</v>
      </c>
      <c r="F280" s="31">
        <v>1</v>
      </c>
      <c r="O280" s="42">
        <f>C280*Prislapp!$C$2+D280*Prislapp!$D$2+E280*Prislapp!$E$2+F280*Prislapp!$F$2+G280*Prislapp!$G$2+H280*Prislapp!$H$2+I280*Prislapp!$I$2+J280*Prislapp!$J$2+K280*Prislapp!$K$2+L280*Prislapp!$L$2+M280*Prislapp!$M$2+N280*Prislapp!$N$2</f>
        <v>23641</v>
      </c>
      <c r="P280" s="42">
        <f>C280*Prislapp!$C$3+D280*Prislapp!$D$3+E280*Prislapp!$E$3+F280*Prislapp!$F$3+G280*Prislapp!$G$3+H280*Prislapp!$H$3+I280*Prislapp!$I$3+J280*Prislapp!$J$3+K280*Prislapp!$K$3+M280*Prislapp!$M$3+N280*Prislapp!$N$3</f>
        <v>28786</v>
      </c>
      <c r="Q280" s="42">
        <f>C280*Prislapp!$C$5+D280*Prislapp!$D$5+E280*Prislapp!$E$5+F280*Prislapp!$F$5+G280*Prislapp!$G$5+H280*Prislapp!$H$5+I280*Prislapp!$I$5+J280*Prislapp!$J$5+K280*Prislapp!$K$5+L280*Prislapp!$L$5+M280*Prislapp!$M$5+N280*Prislapp!$N$5</f>
        <v>5800</v>
      </c>
      <c r="R280" s="9">
        <f>VLOOKUP(A280,'Ansvar kurs'!$A$2:$B$847,2,FALSE)</f>
        <v>1630</v>
      </c>
      <c r="S280" s="159"/>
      <c r="T280" s="159"/>
      <c r="U280" s="159"/>
      <c r="V280" s="159"/>
      <c r="W280" s="159"/>
      <c r="X280" s="159"/>
      <c r="Y280" s="159"/>
      <c r="Z280" s="159"/>
    </row>
    <row r="281" spans="1:26" x14ac:dyDescent="0.25">
      <c r="A281" s="31" t="s">
        <v>471</v>
      </c>
      <c r="B281" s="31" t="s">
        <v>474</v>
      </c>
      <c r="F281" s="31">
        <v>1</v>
      </c>
      <c r="O281" s="42">
        <f>C281*Prislapp!$C$2+D281*Prislapp!$D$2+E281*Prislapp!$E$2+F281*Prislapp!$F$2+G281*Prislapp!$G$2+H281*Prislapp!$H$2+I281*Prislapp!$I$2+J281*Prislapp!$J$2+K281*Prislapp!$K$2+L281*Prislapp!$L$2+M281*Prislapp!$M$2+N281*Prislapp!$N$2</f>
        <v>23641</v>
      </c>
      <c r="P281" s="42">
        <f>C281*Prislapp!$C$3+D281*Prislapp!$D$3+E281*Prislapp!$E$3+F281*Prislapp!$F$3+G281*Prislapp!$G$3+H281*Prislapp!$H$3+I281*Prislapp!$I$3+J281*Prislapp!$J$3+K281*Prislapp!$K$3+M281*Prislapp!$M$3+N281*Prislapp!$N$3</f>
        <v>28786</v>
      </c>
      <c r="Q281" s="42">
        <f>C281*Prislapp!$C$5+D281*Prislapp!$D$5+E281*Prislapp!$E$5+F281*Prislapp!$F$5+G281*Prislapp!$G$5+H281*Prislapp!$H$5+I281*Prislapp!$I$5+J281*Prislapp!$J$5+K281*Prislapp!$K$5+L281*Prislapp!$L$5+M281*Prislapp!$M$5+N281*Prislapp!$N$5</f>
        <v>5800</v>
      </c>
      <c r="R281" s="9">
        <f>VLOOKUP(A281,'Ansvar kurs'!$A$2:$B$847,2,FALSE)</f>
        <v>1630</v>
      </c>
      <c r="S281" s="159"/>
      <c r="T281" s="159"/>
      <c r="U281" s="159"/>
      <c r="W281" s="159"/>
      <c r="X281" s="159"/>
      <c r="Y281" s="159"/>
      <c r="Z281" s="159"/>
    </row>
    <row r="282" spans="1:26" x14ac:dyDescent="0.25">
      <c r="A282" s="62" t="s">
        <v>864</v>
      </c>
      <c r="B282" s="31" t="s">
        <v>1173</v>
      </c>
      <c r="D282" s="31">
        <v>1</v>
      </c>
      <c r="O282" s="42">
        <f>C282*Prislapp!$C$2+D282*Prislapp!$D$2+E282*Prislapp!$E$2+F282*Prislapp!$F$2+G282*Prislapp!$G$2+H282*Prislapp!$H$2+I282*Prislapp!$I$2+J282*Prislapp!$J$2+K282*Prislapp!$K$2+L282*Prislapp!$L$2+M282*Prislapp!$M$2+N282*Prislapp!$N$2</f>
        <v>18405</v>
      </c>
      <c r="P282" s="42">
        <f>C282*Prislapp!$C$3+D282*Prislapp!$D$3+E282*Prislapp!$E$3+F282*Prislapp!$F$3+G282*Prislapp!$G$3+H282*Prislapp!$H$3+I282*Prislapp!$I$3+J282*Prislapp!$J$3+K282*Prislapp!$K$3+M282*Prislapp!$M$3+N282*Prislapp!$N$3</f>
        <v>15773</v>
      </c>
      <c r="Q282" s="42">
        <f>C282*Prislapp!$C$5+D282*Prislapp!$D$5+E282*Prislapp!$E$5+F282*Prislapp!$F$5+G282*Prislapp!$G$5+H282*Prislapp!$H$5+I282*Prislapp!$I$5+J282*Prislapp!$J$5+K282*Prislapp!$K$5+L282*Prislapp!$L$5+M282*Prislapp!$M$5+N282*Prislapp!$N$5</f>
        <v>5800</v>
      </c>
      <c r="R282" s="9">
        <f>VLOOKUP(A282,'Ansvar kurs'!$A$2:$B$847,2,FALSE)</f>
        <v>1630</v>
      </c>
      <c r="S282" s="159" t="s">
        <v>1304</v>
      </c>
      <c r="T282" s="159"/>
      <c r="U282" s="159"/>
      <c r="V282" s="159"/>
      <c r="W282" s="159"/>
      <c r="X282" s="159"/>
      <c r="Y282" s="159"/>
      <c r="Z282" s="159"/>
    </row>
    <row r="283" spans="1:26" x14ac:dyDescent="0.25">
      <c r="A283" s="62" t="s">
        <v>1143</v>
      </c>
      <c r="B283" s="62" t="s">
        <v>1129</v>
      </c>
      <c r="F283" s="31">
        <v>1</v>
      </c>
      <c r="O283" s="42">
        <f>C283*Prislapp!$C$2+D283*Prislapp!$D$2+E283*Prislapp!$E$2+F283*Prislapp!$F$2+G283*Prislapp!$G$2+H283*Prislapp!$H$2+I283*Prislapp!$I$2+J283*Prislapp!$J$2+K283*Prislapp!$K$2+L283*Prislapp!$L$2+M283*Prislapp!$M$2+N283*Prislapp!$N$2</f>
        <v>23641</v>
      </c>
      <c r="P283" s="42">
        <f>C283*Prislapp!$C$3+D283*Prislapp!$D$3+E283*Prislapp!$E$3+F283*Prislapp!$F$3+G283*Prislapp!$G$3+H283*Prislapp!$H$3+I283*Prislapp!$I$3+J283*Prislapp!$J$3+K283*Prislapp!$K$3+M283*Prislapp!$M$3+N283*Prislapp!$N$3</f>
        <v>28786</v>
      </c>
      <c r="Q283" s="42">
        <f>C283*Prislapp!$C$5+D283*Prislapp!$D$5+E283*Prislapp!$E$5+F283*Prislapp!$F$5+G283*Prislapp!$G$5+H283*Prislapp!$H$5+I283*Prislapp!$I$5+J283*Prislapp!$J$5+K283*Prislapp!$K$5+L283*Prislapp!$L$5+M283*Prislapp!$M$5+N283*Prislapp!$N$5</f>
        <v>5800</v>
      </c>
      <c r="R283" s="9">
        <f>VLOOKUP(A283,'Ansvar kurs'!$A$2:$B$847,2,FALSE)</f>
        <v>1630</v>
      </c>
      <c r="S283" s="31" t="s">
        <v>1287</v>
      </c>
      <c r="T283" s="31" t="s">
        <v>1127</v>
      </c>
    </row>
    <row r="284" spans="1:26" x14ac:dyDescent="0.25">
      <c r="A284" s="62" t="s">
        <v>1145</v>
      </c>
      <c r="B284" s="62" t="s">
        <v>1130</v>
      </c>
      <c r="F284" s="31">
        <v>1</v>
      </c>
      <c r="O284" s="42">
        <f>C284*Prislapp!$C$2+D284*Prislapp!$D$2+E284*Prislapp!$E$2+F284*Prislapp!$F$2+G284*Prislapp!$G$2+H284*Prislapp!$H$2+I284*Prislapp!$I$2+J284*Prislapp!$J$2+K284*Prislapp!$K$2+L284*Prislapp!$L$2+M284*Prislapp!$M$2+N284*Prislapp!$N$2</f>
        <v>23641</v>
      </c>
      <c r="P284" s="42">
        <f>C284*Prislapp!$C$3+D284*Prislapp!$D$3+E284*Prislapp!$E$3+F284*Prislapp!$F$3+G284*Prislapp!$G$3+H284*Prislapp!$H$3+I284*Prislapp!$I$3+J284*Prislapp!$J$3+K284*Prislapp!$K$3+M284*Prislapp!$M$3+N284*Prislapp!$N$3</f>
        <v>28786</v>
      </c>
      <c r="Q284" s="42">
        <f>C284*Prislapp!$C$5+D284*Prislapp!$D$5+E284*Prislapp!$E$5+F284*Prislapp!$F$5+G284*Prislapp!$G$5+H284*Prislapp!$H$5+I284*Prislapp!$I$5+J284*Prislapp!$J$5+K284*Prislapp!$K$5+L284*Prislapp!$L$5+M284*Prislapp!$M$5+N284*Prislapp!$N$5</f>
        <v>5800</v>
      </c>
      <c r="R284" s="9">
        <f>VLOOKUP(A284,'Ansvar kurs'!$A$2:$B$847,2,FALSE)</f>
        <v>1630</v>
      </c>
      <c r="S284" s="31" t="s">
        <v>1287</v>
      </c>
      <c r="T284" s="31" t="s">
        <v>1127</v>
      </c>
    </row>
    <row r="285" spans="1:26" x14ac:dyDescent="0.25">
      <c r="A285" s="31" t="s">
        <v>368</v>
      </c>
      <c r="B285" s="31" t="s">
        <v>359</v>
      </c>
      <c r="F285" s="31">
        <v>1</v>
      </c>
      <c r="O285" s="42">
        <f>C285*Prislapp!$C$2+D285*Prislapp!$D$2+E285*Prislapp!$E$2+F285*Prislapp!$F$2+G285*Prislapp!$G$2+H285*Prislapp!$H$2+I285*Prislapp!$I$2+J285*Prislapp!$J$2+K285*Prislapp!$K$2+L285*Prislapp!$L$2+M285*Prislapp!$M$2+N285*Prislapp!$N$2</f>
        <v>23641</v>
      </c>
      <c r="P285" s="42">
        <f>C285*Prislapp!$C$3+D285*Prislapp!$D$3+E285*Prislapp!$E$3+F285*Prislapp!$F$3+G285*Prislapp!$G$3+H285*Prislapp!$H$3+I285*Prislapp!$I$3+J285*Prislapp!$J$3+K285*Prislapp!$K$3+M285*Prislapp!$M$3+N285*Prislapp!$N$3</f>
        <v>28786</v>
      </c>
      <c r="Q285" s="42">
        <f>C285*Prislapp!$C$5+D285*Prislapp!$D$5+E285*Prislapp!$E$5+F285*Prislapp!$F$5+G285*Prislapp!$G$5+H285*Prislapp!$H$5+I285*Prislapp!$I$5+J285*Prislapp!$J$5+K285*Prislapp!$K$5+L285*Prislapp!$L$5+M285*Prislapp!$M$5+N285*Prislapp!$N$5</f>
        <v>5800</v>
      </c>
      <c r="R285" s="9">
        <f>VLOOKUP(A285,'Ansvar kurs'!$A$2:$B$847,2,FALSE)</f>
        <v>1640</v>
      </c>
      <c r="S285" s="159"/>
      <c r="T285" s="159"/>
      <c r="U285" s="159"/>
      <c r="V285" s="159"/>
      <c r="W285" s="159"/>
      <c r="X285" s="159"/>
      <c r="Y285" s="159"/>
      <c r="Z285" s="159"/>
    </row>
    <row r="286" spans="1:26" x14ac:dyDescent="0.25">
      <c r="A286" s="31" t="s">
        <v>1116</v>
      </c>
      <c r="B286" s="31" t="s">
        <v>1174</v>
      </c>
      <c r="D286" s="31">
        <v>1</v>
      </c>
      <c r="O286" s="42">
        <f>C286*Prislapp!$C$2+D286*Prislapp!$D$2+E286*Prislapp!$E$2+F286*Prislapp!$F$2+G286*Prislapp!$G$2+H286*Prislapp!$H$2+I286*Prislapp!$I$2+J286*Prislapp!$J$2+K286*Prislapp!$K$2+L286*Prislapp!$L$2+M286*Prislapp!$M$2+N286*Prislapp!$N$2</f>
        <v>18405</v>
      </c>
      <c r="P286" s="42">
        <f>C286*Prislapp!$C$3+D286*Prislapp!$D$3+E286*Prislapp!$E$3+F286*Prislapp!$F$3+G286*Prislapp!$G$3+H286*Prislapp!$H$3+I286*Prislapp!$I$3+J286*Prislapp!$J$3+K286*Prislapp!$K$3+M286*Prislapp!$M$3+N286*Prislapp!$N$3</f>
        <v>15773</v>
      </c>
      <c r="Q286" s="42">
        <f>C286*Prislapp!$C$5+D286*Prislapp!$D$5+E286*Prislapp!$E$5+F286*Prislapp!$F$5+G286*Prislapp!$G$5+H286*Prislapp!$H$5+I286*Prislapp!$I$5+J286*Prislapp!$J$5+K286*Prislapp!$K$5+L286*Prislapp!$L$5+M286*Prislapp!$M$5+N286*Prislapp!$N$5</f>
        <v>5800</v>
      </c>
      <c r="R286" s="9">
        <f>VLOOKUP(A286,'Ansvar kurs'!$A$2:$B$847,2,FALSE)</f>
        <v>1640</v>
      </c>
      <c r="S286" s="31" t="s">
        <v>1287</v>
      </c>
      <c r="U286" s="159"/>
      <c r="V286" s="159"/>
      <c r="W286" s="159"/>
      <c r="X286" s="159"/>
      <c r="Y286" s="159"/>
      <c r="Z286" s="159"/>
    </row>
    <row r="287" spans="1:26" x14ac:dyDescent="0.25">
      <c r="A287" s="31" t="s">
        <v>1313</v>
      </c>
      <c r="B287" t="s">
        <v>1340</v>
      </c>
      <c r="D287" s="31">
        <v>1</v>
      </c>
      <c r="O287" s="42">
        <f>C287*Prislapp!$C$2+D287*Prislapp!$D$2+E287*Prislapp!$E$2+F287*Prislapp!$F$2+G287*Prislapp!$G$2+H287*Prislapp!$H$2+I287*Prislapp!$I$2+J287*Prislapp!$J$2+K287*Prislapp!$K$2+L287*Prislapp!$L$2+M287*Prislapp!$M$2+N287*Prislapp!$N$2</f>
        <v>18405</v>
      </c>
      <c r="P287" s="42">
        <f>C287*Prislapp!$C$3+D287*Prislapp!$D$3+E287*Prislapp!$E$3+F287*Prislapp!$F$3+G287*Prislapp!$G$3+H287*Prislapp!$H$3+I287*Prislapp!$I$3+J287*Prislapp!$J$3+K287*Prislapp!$K$3+M287*Prislapp!$M$3+N287*Prislapp!$N$3</f>
        <v>15773</v>
      </c>
      <c r="Q287" s="42">
        <f>C287*Prislapp!$C$5+D287*Prislapp!$D$5+E287*Prislapp!$E$5+F287*Prislapp!$F$5+G287*Prislapp!$G$5+H287*Prislapp!$H$5+I287*Prislapp!$I$5+J287*Prislapp!$J$5+K287*Prislapp!$K$5+L287*Prislapp!$L$5+M287*Prislapp!$M$5+N287*Prislapp!$N$5</f>
        <v>5800</v>
      </c>
      <c r="R287" s="9">
        <f>VLOOKUP(A287,'Ansvar kurs'!$A$2:$B$847,2,FALSE)</f>
        <v>1640</v>
      </c>
      <c r="U287" s="159"/>
      <c r="V287" s="159"/>
      <c r="W287" s="159"/>
      <c r="X287" s="159"/>
      <c r="Y287" s="159"/>
      <c r="Z287" s="159"/>
    </row>
    <row r="288" spans="1:26" x14ac:dyDescent="0.25">
      <c r="A288" s="31" t="s">
        <v>1314</v>
      </c>
      <c r="B288" t="s">
        <v>1315</v>
      </c>
      <c r="D288" s="31">
        <v>1</v>
      </c>
      <c r="O288" s="42">
        <f>C288*Prislapp!$C$2+D288*Prislapp!$D$2+E288*Prislapp!$E$2+F288*Prislapp!$F$2+G288*Prislapp!$G$2+H288*Prislapp!$H$2+I288*Prislapp!$I$2+J288*Prislapp!$J$2+K288*Prislapp!$K$2+L288*Prislapp!$L$2+M288*Prislapp!$M$2+N288*Prislapp!$N$2</f>
        <v>18405</v>
      </c>
      <c r="P288" s="42">
        <f>C288*Prislapp!$C$3+D288*Prislapp!$D$3+E288*Prislapp!$E$3+F288*Prislapp!$F$3+G288*Prislapp!$G$3+H288*Prislapp!$H$3+I288*Prislapp!$I$3+J288*Prislapp!$J$3+K288*Prislapp!$K$3+M288*Prislapp!$M$3+N288*Prislapp!$N$3</f>
        <v>15773</v>
      </c>
      <c r="Q288" s="42">
        <f>C288*Prislapp!$C$5+D288*Prislapp!$D$5+E288*Prislapp!$E$5+F288*Prislapp!$F$5+G288*Prislapp!$G$5+H288*Prislapp!$H$5+I288*Prislapp!$I$5+J288*Prislapp!$J$5+K288*Prislapp!$K$5+L288*Prislapp!$L$5+M288*Prislapp!$M$5+N288*Prislapp!$N$5</f>
        <v>5800</v>
      </c>
      <c r="R288" s="9">
        <f>VLOOKUP(A288,'Ansvar kurs'!$A$2:$B$847,2,FALSE)</f>
        <v>1640</v>
      </c>
      <c r="U288" s="159"/>
      <c r="V288" s="159"/>
      <c r="W288" s="159"/>
      <c r="X288" s="159"/>
      <c r="Y288" s="159"/>
      <c r="Z288" s="159"/>
    </row>
    <row r="289" spans="1:26" x14ac:dyDescent="0.25">
      <c r="A289" s="31" t="s">
        <v>143</v>
      </c>
      <c r="B289" s="31" t="s">
        <v>685</v>
      </c>
      <c r="D289" s="31">
        <v>0.5</v>
      </c>
      <c r="K289" s="31">
        <v>0.5</v>
      </c>
      <c r="O289" s="42">
        <f>C289*Prislapp!$C$2+D289*Prislapp!$D$2+E289*Prislapp!$E$2+F289*Prislapp!$F$2+G289*Prislapp!$G$2+H289*Prislapp!$H$2+I289*Prislapp!$I$2+J289*Prislapp!$J$2+K289*Prislapp!$K$2+L289*Prislapp!$L$2+M289*Prislapp!$M$2+N289*Prislapp!$N$2</f>
        <v>20019.5</v>
      </c>
      <c r="P289" s="42">
        <f>C289*Prislapp!$C$3+D289*Prislapp!$D$3+E289*Prislapp!$E$3+F289*Prislapp!$F$3+G289*Prislapp!$G$3+H289*Prislapp!$H$3+I289*Prislapp!$I$3+J289*Prislapp!$J$3+K289*Prislapp!$K$3+M289*Prislapp!$M$3+N289*Prislapp!$N$3</f>
        <v>21379.5</v>
      </c>
      <c r="Q289" s="42">
        <f>C289*Prislapp!$C$5+D289*Prislapp!$D$5+E289*Prislapp!$E$5+F289*Prislapp!$F$5+G289*Prislapp!$G$5+H289*Prislapp!$H$5+I289*Prislapp!$I$5+J289*Prislapp!$J$5+K289*Prislapp!$K$5+L289*Prislapp!$L$5+M289*Prislapp!$M$5+N289*Prislapp!$N$5</f>
        <v>4600</v>
      </c>
      <c r="R289" s="9">
        <f>VLOOKUP(A289,'Ansvar kurs'!$A$2:$B$847,2,FALSE)</f>
        <v>1620</v>
      </c>
      <c r="S289" s="159"/>
      <c r="T289" s="159"/>
      <c r="U289" s="159"/>
      <c r="V289" s="159"/>
      <c r="W289" s="159"/>
      <c r="X289" s="159"/>
      <c r="Y289" s="159"/>
      <c r="Z289" s="159"/>
    </row>
    <row r="290" spans="1:26" x14ac:dyDescent="0.25">
      <c r="A290" s="31" t="s">
        <v>93</v>
      </c>
      <c r="B290" s="31" t="s">
        <v>686</v>
      </c>
      <c r="I290" s="31">
        <v>1</v>
      </c>
      <c r="O290" s="42">
        <f>C290*Prislapp!$C$2+D290*Prislapp!$D$2+E290*Prislapp!$E$2+F290*Prislapp!$F$2+G290*Prislapp!$G$2+H290*Prislapp!$H$2+I290*Prislapp!$I$2+J290*Prislapp!$J$2+K290*Prislapp!$K$2+L290*Prislapp!$L$2+M290*Prislapp!$M$2+N290*Prislapp!$N$2</f>
        <v>18405</v>
      </c>
      <c r="P290" s="42">
        <f>C290*Prislapp!$C$3+D290*Prislapp!$D$3+E290*Prislapp!$E$3+F290*Prislapp!$F$3+G290*Prislapp!$G$3+H290*Prislapp!$H$3+I290*Prislapp!$I$3+J290*Prislapp!$J$3+K290*Prislapp!$K$3+M290*Prislapp!$M$3+N290*Prislapp!$N$3</f>
        <v>15773</v>
      </c>
      <c r="Q290" s="42">
        <f>C290*Prislapp!$C$5+D290*Prislapp!$D$5+E290*Prislapp!$E$5+F290*Prislapp!$F$5+G290*Prislapp!$G$5+H290*Prislapp!$H$5+I290*Prislapp!$I$5+J290*Prislapp!$J$5+K290*Prislapp!$K$5+L290*Prislapp!$L$5+M290*Prislapp!$M$5+N290*Prislapp!$N$5</f>
        <v>5800</v>
      </c>
      <c r="R290" s="9">
        <f>VLOOKUP(A290,'Ansvar kurs'!$A$2:$B$847,2,FALSE)</f>
        <v>2193</v>
      </c>
      <c r="S290" s="159"/>
      <c r="T290" s="159"/>
      <c r="U290" s="159"/>
      <c r="V290" s="159"/>
      <c r="W290" s="159"/>
      <c r="X290" s="159"/>
      <c r="Y290" s="159"/>
      <c r="Z290" s="159"/>
    </row>
    <row r="291" spans="1:26" x14ac:dyDescent="0.25">
      <c r="A291" s="31" t="s">
        <v>94</v>
      </c>
      <c r="B291" s="31" t="s">
        <v>687</v>
      </c>
      <c r="F291" s="31">
        <v>0.5</v>
      </c>
      <c r="K291" s="31">
        <v>0.5</v>
      </c>
      <c r="O291" s="42">
        <f>C291*Prislapp!$C$2+D291*Prislapp!$D$2+E291*Prislapp!$E$2+F291*Prislapp!$F$2+G291*Prislapp!$G$2+H291*Prislapp!$H$2+I291*Prislapp!$I$2+J291*Prislapp!$J$2+K291*Prislapp!$K$2+L291*Prislapp!$L$2+M291*Prislapp!$M$2+N291*Prislapp!$N$2</f>
        <v>22637.5</v>
      </c>
      <c r="P291" s="42">
        <f>C291*Prislapp!$C$3+D291*Prislapp!$D$3+E291*Prislapp!$E$3+F291*Prislapp!$F$3+G291*Prislapp!$G$3+H291*Prislapp!$H$3+I291*Prislapp!$I$3+J291*Prislapp!$J$3+K291*Prislapp!$K$3+M291*Prislapp!$M$3+N291*Prislapp!$N$3</f>
        <v>27886</v>
      </c>
      <c r="Q291" s="42">
        <f>C291*Prislapp!$C$5+D291*Prislapp!$D$5+E291*Prislapp!$E$5+F291*Prislapp!$F$5+G291*Prislapp!$G$5+H291*Prislapp!$H$5+I291*Prislapp!$I$5+J291*Prislapp!$J$5+K291*Prislapp!$K$5+L291*Prislapp!$L$5+M291*Prislapp!$M$5+N291*Prislapp!$N$5</f>
        <v>4600</v>
      </c>
      <c r="R291" s="9">
        <f>VLOOKUP(A291,'Ansvar kurs'!$A$2:$B$847,2,FALSE)</f>
        <v>2193</v>
      </c>
      <c r="S291" s="159" t="s">
        <v>932</v>
      </c>
      <c r="U291" s="159"/>
      <c r="W291" s="159"/>
      <c r="X291" s="159"/>
      <c r="Y291" s="159"/>
      <c r="Z291" s="159"/>
    </row>
    <row r="292" spans="1:26" x14ac:dyDescent="0.25">
      <c r="A292" s="31" t="s">
        <v>392</v>
      </c>
      <c r="B292" s="31" t="s">
        <v>688</v>
      </c>
      <c r="F292" s="31">
        <v>1</v>
      </c>
      <c r="O292" s="42">
        <f>C292*Prislapp!$C$2+D292*Prislapp!$D$2+E292*Prislapp!$E$2+F292*Prislapp!$F$2+G292*Prislapp!$G$2+H292*Prislapp!$H$2+I292*Prislapp!$I$2+J292*Prislapp!$J$2+K292*Prislapp!$K$2+L292*Prislapp!$L$2+M292*Prislapp!$M$2+N292*Prislapp!$N$2</f>
        <v>23641</v>
      </c>
      <c r="P292" s="42">
        <f>C292*Prislapp!$C$3+D292*Prislapp!$D$3+E292*Prislapp!$E$3+F292*Prislapp!$F$3+G292*Prislapp!$G$3+H292*Prislapp!$H$3+I292*Prislapp!$I$3+J292*Prislapp!$J$3+K292*Prislapp!$K$3+M292*Prislapp!$M$3+N292*Prislapp!$N$3</f>
        <v>28786</v>
      </c>
      <c r="Q292" s="42">
        <f>C292*Prislapp!$C$5+D292*Prislapp!$D$5+E292*Prislapp!$E$5+F292*Prislapp!$F$5+G292*Prislapp!$G$5+H292*Prislapp!$H$5+I292*Prislapp!$I$5+J292*Prislapp!$J$5+K292*Prislapp!$K$5+L292*Prislapp!$L$5+M292*Prislapp!$M$5+N292*Prislapp!$N$5</f>
        <v>5800</v>
      </c>
      <c r="R292" s="9">
        <f>VLOOKUP(A292,'Ansvar kurs'!$A$2:$B$847,2,FALSE)</f>
        <v>2193</v>
      </c>
      <c r="S292" s="159"/>
      <c r="T292" s="159"/>
      <c r="U292" s="159"/>
      <c r="V292" s="159"/>
      <c r="W292" s="159"/>
      <c r="X292" s="159"/>
      <c r="Y292" s="159"/>
      <c r="Z292" s="159"/>
    </row>
    <row r="293" spans="1:26" x14ac:dyDescent="0.25">
      <c r="A293" s="62" t="s">
        <v>824</v>
      </c>
      <c r="B293" s="31" t="s">
        <v>619</v>
      </c>
      <c r="F293" s="31">
        <v>1</v>
      </c>
      <c r="O293" s="42">
        <f>C293*Prislapp!$C$2+D293*Prislapp!$D$2+E293*Prislapp!$E$2+F293*Prislapp!$F$2+G293*Prislapp!$G$2+H293*Prislapp!$H$2+I293*Prislapp!$I$2+J293*Prislapp!$J$2+K293*Prislapp!$K$2+L293*Prislapp!$L$2+M293*Prislapp!$M$2+N293*Prislapp!$N$2</f>
        <v>23641</v>
      </c>
      <c r="P293" s="42">
        <f>C293*Prislapp!$C$3+D293*Prislapp!$D$3+E293*Prislapp!$E$3+F293*Prislapp!$F$3+G293*Prislapp!$G$3+H293*Prislapp!$H$3+I293*Prislapp!$I$3+J293*Prislapp!$J$3+K293*Prislapp!$K$3+M293*Prislapp!$M$3+N293*Prislapp!$N$3</f>
        <v>28786</v>
      </c>
      <c r="Q293" s="42">
        <f>C293*Prislapp!$C$5+D293*Prislapp!$D$5+E293*Prislapp!$E$5+F293*Prislapp!$F$5+G293*Prislapp!$G$5+H293*Prislapp!$H$5+I293*Prislapp!$I$5+J293*Prislapp!$J$5+K293*Prislapp!$K$5+L293*Prislapp!$L$5+M293*Prislapp!$M$5+N293*Prislapp!$N$5</f>
        <v>5800</v>
      </c>
      <c r="R293" s="9">
        <f>VLOOKUP(A293,'Ansvar kurs'!$A$2:$B$847,2,FALSE)</f>
        <v>1620</v>
      </c>
      <c r="S293" s="159"/>
      <c r="T293" s="159"/>
      <c r="U293" s="159"/>
      <c r="V293" s="159"/>
      <c r="W293" s="159"/>
      <c r="X293" s="159"/>
      <c r="Y293" s="159"/>
      <c r="Z293" s="159"/>
    </row>
    <row r="294" spans="1:26" x14ac:dyDescent="0.25">
      <c r="A294" s="244" t="s">
        <v>819</v>
      </c>
      <c r="B294" s="31" t="s">
        <v>621</v>
      </c>
      <c r="K294" s="31">
        <v>1</v>
      </c>
      <c r="O294" s="42">
        <f>C294*Prislapp!$C$2+D294*Prislapp!$D$2+E294*Prislapp!$E$2+F294*Prislapp!$F$2+G294*Prislapp!$G$2+H294*Prislapp!$H$2+I294*Prislapp!$I$2+J294*Prislapp!$J$2+K294*Prislapp!$K$2+L294*Prislapp!$L$2+M294*Prislapp!$M$2+N294*Prislapp!$N$2</f>
        <v>21634</v>
      </c>
      <c r="P294" s="42">
        <f>C294*Prislapp!$C$3+D294*Prislapp!$D$3+E294*Prislapp!$E$3+F294*Prislapp!$F$3+G294*Prislapp!$G$3+H294*Prislapp!$H$3+I294*Prislapp!$I$3+J294*Prislapp!$J$3+K294*Prislapp!$K$3+M294*Prislapp!$M$3+N294*Prislapp!$N$3</f>
        <v>26986</v>
      </c>
      <c r="Q294" s="42">
        <f>C294*Prislapp!$C$5+D294*Prislapp!$D$5+E294*Prislapp!$E$5+F294*Prislapp!$F$5+G294*Prislapp!$G$5+H294*Prislapp!$H$5+I294*Prislapp!$I$5+J294*Prislapp!$J$5+K294*Prislapp!$K$5+L294*Prislapp!$L$5+M294*Prislapp!$M$5+N294*Prislapp!$N$5</f>
        <v>3400</v>
      </c>
      <c r="R294" s="9">
        <f>VLOOKUP(A294,'Ansvar kurs'!$A$2:$B$847,2,FALSE)</f>
        <v>1620</v>
      </c>
      <c r="U294" s="159"/>
      <c r="V294" s="159"/>
      <c r="W294" s="159"/>
      <c r="X294" s="159"/>
      <c r="Y294" s="159"/>
      <c r="Z294" s="159"/>
    </row>
    <row r="295" spans="1:26" x14ac:dyDescent="0.25">
      <c r="A295" s="245" t="s">
        <v>825</v>
      </c>
      <c r="B295" s="31" t="s">
        <v>1175</v>
      </c>
      <c r="F295" s="31">
        <v>1</v>
      </c>
      <c r="O295" s="42">
        <f>C295*Prislapp!$C$2+D295*Prislapp!$D$2+E295*Prislapp!$E$2+F295*Prislapp!$F$2+G295*Prislapp!$G$2+H295*Prislapp!$H$2+I295*Prislapp!$I$2+J295*Prislapp!$J$2+K295*Prislapp!$K$2+L295*Prislapp!$L$2+M295*Prislapp!$M$2+N295*Prislapp!$N$2</f>
        <v>23641</v>
      </c>
      <c r="P295" s="42">
        <f>C295*Prislapp!$C$3+D295*Prislapp!$D$3+E295*Prislapp!$E$3+F295*Prislapp!$F$3+G295*Prislapp!$G$3+H295*Prislapp!$H$3+I295*Prislapp!$I$3+J295*Prislapp!$J$3+K295*Prislapp!$K$3+M295*Prislapp!$M$3+N295*Prislapp!$N$3</f>
        <v>28786</v>
      </c>
      <c r="Q295" s="42">
        <f>C295*Prislapp!$C$5+D295*Prislapp!$D$5+E295*Prislapp!$E$5+F295*Prislapp!$F$5+G295*Prislapp!$G$5+H295*Prislapp!$H$5+I295*Prislapp!$I$5+J295*Prislapp!$J$5+K295*Prislapp!$K$5+L295*Prislapp!$L$5+M295*Prislapp!$M$5+N295*Prislapp!$N$5</f>
        <v>5800</v>
      </c>
      <c r="R295" s="9">
        <f>VLOOKUP(A295,'Ansvar kurs'!$A$2:$B$847,2,FALSE)</f>
        <v>1620</v>
      </c>
      <c r="U295" s="159"/>
      <c r="V295" s="159"/>
      <c r="W295" s="159"/>
      <c r="X295" s="159"/>
      <c r="Y295" s="159"/>
      <c r="Z295" s="159"/>
    </row>
    <row r="296" spans="1:26" x14ac:dyDescent="0.25">
      <c r="A296" s="244" t="s">
        <v>818</v>
      </c>
      <c r="B296" s="31" t="s">
        <v>620</v>
      </c>
      <c r="K296" s="31">
        <v>1</v>
      </c>
      <c r="O296" s="42">
        <f>C296*Prislapp!$C$2+D296*Prislapp!$D$2+E296*Prislapp!$E$2+F296*Prislapp!$F$2+G296*Prislapp!$G$2+H296*Prislapp!$H$2+I296*Prislapp!$I$2+J296*Prislapp!$J$2+K296*Prislapp!$K$2+L296*Prislapp!$L$2+M296*Prislapp!$M$2+N296*Prislapp!$N$2</f>
        <v>21634</v>
      </c>
      <c r="P296" s="42">
        <f>C296*Prislapp!$C$3+D296*Prislapp!$D$3+E296*Prislapp!$E$3+F296*Prislapp!$F$3+G296*Prislapp!$G$3+H296*Prislapp!$H$3+I296*Prislapp!$I$3+J296*Prislapp!$J$3+K296*Prislapp!$K$3+M296*Prislapp!$M$3+N296*Prislapp!$N$3</f>
        <v>26986</v>
      </c>
      <c r="Q296" s="42">
        <f>C296*Prislapp!$C$5+D296*Prislapp!$D$5+E296*Prislapp!$E$5+F296*Prislapp!$F$5+G296*Prislapp!$G$5+H296*Prislapp!$H$5+I296*Prislapp!$I$5+J296*Prislapp!$J$5+K296*Prislapp!$K$5+L296*Prislapp!$L$5+M296*Prislapp!$M$5+N296*Prislapp!$N$5</f>
        <v>3400</v>
      </c>
      <c r="R296" s="9">
        <f>VLOOKUP(A296,'Ansvar kurs'!$A$2:$B$847,2,FALSE)</f>
        <v>1620</v>
      </c>
      <c r="U296" s="159"/>
      <c r="V296" s="159"/>
      <c r="W296" s="159"/>
      <c r="X296" s="159"/>
      <c r="Y296" s="159"/>
      <c r="Z296" s="159"/>
    </row>
    <row r="297" spans="1:26" x14ac:dyDescent="0.25">
      <c r="A297" s="245" t="s">
        <v>980</v>
      </c>
      <c r="B297" s="31" t="s">
        <v>1176</v>
      </c>
      <c r="D297" s="31">
        <v>1</v>
      </c>
      <c r="O297" s="42">
        <f>C297*Prislapp!$C$2+D297*Prislapp!$D$2+E297*Prislapp!$E$2+F297*Prislapp!$F$2+G297*Prislapp!$G$2+H297*Prislapp!$H$2+I297*Prislapp!$I$2+J297*Prislapp!$J$2+K297*Prislapp!$K$2+L297*Prislapp!$L$2+M297*Prislapp!$M$2+N297*Prislapp!$N$2</f>
        <v>18405</v>
      </c>
      <c r="P297" s="42">
        <f>C297*Prislapp!$C$3+D297*Prislapp!$D$3+E297*Prislapp!$E$3+F297*Prislapp!$F$3+G297*Prislapp!$G$3+H297*Prislapp!$H$3+I297*Prislapp!$I$3+J297*Prislapp!$J$3+K297*Prislapp!$K$3+M297*Prislapp!$M$3+N297*Prislapp!$N$3</f>
        <v>15773</v>
      </c>
      <c r="Q297" s="42">
        <f>C297*Prislapp!$C$5+D297*Prislapp!$D$5+E297*Prislapp!$E$5+F297*Prislapp!$F$5+G297*Prislapp!$G$5+H297*Prislapp!$H$5+I297*Prislapp!$I$5+J297*Prislapp!$J$5+K297*Prislapp!$K$5+L297*Prislapp!$L$5+M297*Prislapp!$M$5+N297*Prislapp!$N$5</f>
        <v>5800</v>
      </c>
      <c r="R297" s="9">
        <f>VLOOKUP(A297,'Ansvar kurs'!$A$2:$B$847,2,FALSE)</f>
        <v>1620</v>
      </c>
      <c r="S297" s="59" t="s">
        <v>982</v>
      </c>
      <c r="U297" s="159"/>
      <c r="V297" s="159"/>
      <c r="W297" s="159"/>
      <c r="X297" s="159"/>
      <c r="Y297" s="159"/>
      <c r="Z297" s="159"/>
    </row>
    <row r="298" spans="1:26" x14ac:dyDescent="0.25">
      <c r="A298" s="245" t="s">
        <v>981</v>
      </c>
      <c r="B298" s="31" t="s">
        <v>1177</v>
      </c>
      <c r="D298" s="31">
        <v>1</v>
      </c>
      <c r="O298" s="42">
        <f>C298*Prislapp!$C$2+D298*Prislapp!$D$2+E298*Prislapp!$E$2+F298*Prislapp!$F$2+G298*Prislapp!$G$2+H298*Prislapp!$H$2+I298*Prislapp!$I$2+J298*Prislapp!$J$2+K298*Prislapp!$K$2+L298*Prislapp!$L$2+M298*Prislapp!$M$2+N298*Prislapp!$N$2</f>
        <v>18405</v>
      </c>
      <c r="P298" s="42">
        <f>C298*Prislapp!$C$3+D298*Prislapp!$D$3+E298*Prislapp!$E$3+F298*Prislapp!$F$3+G298*Prislapp!$G$3+H298*Prislapp!$H$3+I298*Prislapp!$I$3+J298*Prislapp!$J$3+K298*Prislapp!$K$3+M298*Prislapp!$M$3+N298*Prislapp!$N$3</f>
        <v>15773</v>
      </c>
      <c r="Q298" s="42">
        <f>C298*Prislapp!$C$5+D298*Prislapp!$D$5+E298*Prislapp!$E$5+F298*Prislapp!$F$5+G298*Prislapp!$G$5+H298*Prislapp!$H$5+I298*Prislapp!$I$5+J298*Prislapp!$J$5+K298*Prislapp!$K$5+L298*Prislapp!$L$5+M298*Prislapp!$M$5+N298*Prislapp!$N$5</f>
        <v>5800</v>
      </c>
      <c r="R298" s="9">
        <f>VLOOKUP(A298,'Ansvar kurs'!$A$2:$B$847,2,FALSE)</f>
        <v>1620</v>
      </c>
      <c r="S298" s="59" t="s">
        <v>983</v>
      </c>
      <c r="U298" s="159"/>
      <c r="V298" s="159"/>
      <c r="W298" s="159"/>
      <c r="X298" s="159"/>
      <c r="Y298" s="159"/>
      <c r="Z298" s="159"/>
    </row>
    <row r="299" spans="1:26" x14ac:dyDescent="0.25">
      <c r="A299" s="245" t="s">
        <v>1104</v>
      </c>
      <c r="B299" s="31" t="s">
        <v>1178</v>
      </c>
      <c r="D299" s="31">
        <v>1</v>
      </c>
      <c r="O299" s="42">
        <f>C299*Prislapp!$C$2+D299*Prislapp!$D$2+E299*Prislapp!$E$2+F299*Prislapp!$F$2+G299*Prislapp!$G$2+H299*Prislapp!$H$2+I299*Prislapp!$I$2+J299*Prislapp!$J$2+K299*Prislapp!$K$2+L299*Prislapp!$L$2+M299*Prislapp!$M$2+N299*Prislapp!$N$2</f>
        <v>18405</v>
      </c>
      <c r="P299" s="42">
        <f>C299*Prislapp!$C$3+D299*Prislapp!$D$3+E299*Prislapp!$E$3+F299*Prislapp!$F$3+G299*Prislapp!$G$3+H299*Prislapp!$H$3+I299*Prislapp!$I$3+J299*Prislapp!$J$3+K299*Prislapp!$K$3+M299*Prislapp!$M$3+N299*Prislapp!$N$3</f>
        <v>15773</v>
      </c>
      <c r="Q299" s="42">
        <f>C299*Prislapp!$C$5+D299*Prislapp!$D$5+E299*Prislapp!$E$5+F299*Prislapp!$F$5+G299*Prislapp!$G$5+H299*Prislapp!$H$5+I299*Prislapp!$I$5+J299*Prislapp!$J$5+K299*Prislapp!$K$5+L299*Prislapp!$L$5+M299*Prislapp!$M$5+N299*Prislapp!$N$5</f>
        <v>5800</v>
      </c>
      <c r="R299" s="9">
        <f>VLOOKUP(A299,'Ansvar kurs'!$A$2:$B$847,2,FALSE)</f>
        <v>1620</v>
      </c>
      <c r="S299" s="59" t="s">
        <v>1107</v>
      </c>
      <c r="U299" s="159"/>
      <c r="V299" s="159"/>
      <c r="W299" s="159"/>
      <c r="X299" s="159"/>
      <c r="Y299" s="159"/>
      <c r="Z299" s="159"/>
    </row>
    <row r="300" spans="1:26" x14ac:dyDescent="0.25">
      <c r="A300" s="31" t="s">
        <v>1300</v>
      </c>
      <c r="B300" s="31" t="s">
        <v>1302</v>
      </c>
      <c r="K300" s="31">
        <v>1</v>
      </c>
      <c r="O300" s="42">
        <f>C300*Prislapp!$C$2+D300*Prislapp!$D$2+E300*Prislapp!$E$2+F300*Prislapp!$F$2+G300*Prislapp!$G$2+H300*Prislapp!$H$2+I300*Prislapp!$I$2+J300*Prislapp!$J$2+K300*Prislapp!$K$2+L300*Prislapp!$L$2+M300*Prislapp!$M$2+N300*Prislapp!$N$2</f>
        <v>21634</v>
      </c>
      <c r="P300" s="42">
        <f>C300*Prislapp!$C$3+D300*Prislapp!$D$3+E300*Prislapp!$E$3+F300*Prislapp!$F$3+G300*Prislapp!$G$3+H300*Prislapp!$H$3+I300*Prislapp!$I$3+J300*Prislapp!$J$3+K300*Prislapp!$K$3+M300*Prislapp!$M$3+N300*Prislapp!$N$3</f>
        <v>26986</v>
      </c>
      <c r="Q300" s="42">
        <f>C300*Prislapp!$C$5+D300*Prislapp!$D$5+E300*Prislapp!$E$5+F300*Prislapp!$F$5+G300*Prislapp!$G$5+H300*Prislapp!$H$5+I300*Prislapp!$I$5+J300*Prislapp!$J$5+K300*Prislapp!$K$5+L300*Prislapp!$L$5+M300*Prislapp!$M$5+N300*Prislapp!$N$5</f>
        <v>3400</v>
      </c>
      <c r="R300" s="9">
        <f>VLOOKUP(A300,'Ansvar kurs'!$A$2:$B$847,2,FALSE)</f>
        <v>1620</v>
      </c>
      <c r="S300" s="159" t="s">
        <v>1107</v>
      </c>
      <c r="T300" s="159"/>
      <c r="U300" s="159"/>
      <c r="V300" s="159"/>
      <c r="W300" s="159"/>
      <c r="X300" s="159"/>
      <c r="Y300" s="159"/>
      <c r="Z300" s="159"/>
    </row>
    <row r="301" spans="1:26" x14ac:dyDescent="0.25">
      <c r="A301" s="245" t="s">
        <v>1301</v>
      </c>
      <c r="B301" s="31" t="s">
        <v>1303</v>
      </c>
      <c r="K301" s="31">
        <v>1</v>
      </c>
      <c r="O301" s="42">
        <f>C301*Prislapp!$C$2+D301*Prislapp!$D$2+E301*Prislapp!$E$2+F301*Prislapp!$F$2+G301*Prislapp!$G$2+H301*Prislapp!$H$2+I301*Prislapp!$I$2+J301*Prislapp!$J$2+K301*Prislapp!$K$2+L301*Prislapp!$L$2+M301*Prislapp!$M$2+N301*Prislapp!$N$2</f>
        <v>21634</v>
      </c>
      <c r="P301" s="42">
        <f>C301*Prislapp!$C$3+D301*Prislapp!$D$3+E301*Prislapp!$E$3+F301*Prislapp!$F$3+G301*Prislapp!$G$3+H301*Prislapp!$H$3+I301*Prislapp!$I$3+J301*Prislapp!$J$3+K301*Prislapp!$K$3+M301*Prislapp!$M$3+N301*Prislapp!$N$3</f>
        <v>26986</v>
      </c>
      <c r="Q301" s="42">
        <f>C301*Prislapp!$C$5+D301*Prislapp!$D$5+E301*Prislapp!$E$5+F301*Prislapp!$F$5+G301*Prislapp!$G$5+H301*Prislapp!$H$5+I301*Prislapp!$I$5+J301*Prislapp!$J$5+K301*Prislapp!$K$5+L301*Prislapp!$L$5+M301*Prislapp!$M$5+N301*Prislapp!$N$5</f>
        <v>3400</v>
      </c>
      <c r="R301" s="9">
        <f>VLOOKUP(A301,'Ansvar kurs'!$A$2:$B$847,2,FALSE)</f>
        <v>1620</v>
      </c>
      <c r="S301" s="159" t="s">
        <v>1107</v>
      </c>
      <c r="T301" s="159" t="s">
        <v>1079</v>
      </c>
    </row>
    <row r="302" spans="1:26" x14ac:dyDescent="0.25">
      <c r="A302" s="59" t="s">
        <v>1556</v>
      </c>
      <c r="B302" s="59" t="s">
        <v>1585</v>
      </c>
      <c r="D302" s="31">
        <v>1</v>
      </c>
      <c r="O302" s="42">
        <f>C302*Prislapp!$C$2+D302*Prislapp!$D$2+E302*Prislapp!$E$2+F302*Prislapp!$F$2+G302*Prislapp!$G$2+H302*Prislapp!$H$2+I302*Prislapp!$I$2+J302*Prislapp!$J$2+K302*Prislapp!$K$2+L302*Prislapp!$L$2+M302*Prislapp!$M$2+N302*Prislapp!$N$2</f>
        <v>18405</v>
      </c>
      <c r="P302" s="42">
        <f>C302*Prislapp!$C$3+D302*Prislapp!$D$3+E302*Prislapp!$E$3+F302*Prislapp!$F$3+G302*Prislapp!$G$3+H302*Prislapp!$H$3+I302*Prislapp!$I$3+J302*Prislapp!$J$3+K302*Prislapp!$K$3+M302*Prislapp!$M$3+N302*Prislapp!$N$3</f>
        <v>15773</v>
      </c>
      <c r="Q302" s="42">
        <f>C302*Prislapp!$C$5+D302*Prislapp!$D$5+E302*Prislapp!$E$5+F302*Prislapp!$F$5+G302*Prislapp!$G$5+H302*Prislapp!$H$5+I302*Prislapp!$I$5+J302*Prislapp!$J$5+K302*Prislapp!$K$5+L302*Prislapp!$L$5+M302*Prislapp!$M$5+N302*Prislapp!$N$5</f>
        <v>5800</v>
      </c>
      <c r="R302" s="9">
        <f>VLOOKUP(A302,'Ansvar kurs'!$A$2:$B$847,2,FALSE)</f>
        <v>1620</v>
      </c>
    </row>
    <row r="303" spans="1:26" x14ac:dyDescent="0.25">
      <c r="A303" s="62" t="s">
        <v>1661</v>
      </c>
      <c r="B303" s="31" t="s">
        <v>1662</v>
      </c>
      <c r="D303" s="31">
        <v>1</v>
      </c>
      <c r="O303" s="42">
        <f>C303*Prislapp!$C$2+D303*Prislapp!$D$2+E303*Prislapp!$E$2+F303*Prislapp!$F$2+G303*Prislapp!$G$2+H303*Prislapp!$H$2+I303*Prislapp!$I$2+J303*Prislapp!$J$2+K303*Prislapp!$K$2+L303*Prislapp!$L$2+M303*Prislapp!$M$2+N303*Prislapp!$N$2</f>
        <v>18405</v>
      </c>
      <c r="P303" s="42">
        <f>C303*Prislapp!$C$3+D303*Prislapp!$D$3+E303*Prislapp!$E$3+F303*Prislapp!$F$3+G303*Prislapp!$G$3+H303*Prislapp!$H$3+I303*Prislapp!$I$3+J303*Prislapp!$J$3+K303*Prislapp!$K$3+M303*Prislapp!$M$3+N303*Prislapp!$N$3</f>
        <v>15773</v>
      </c>
      <c r="Q303" s="42">
        <f>C303*Prislapp!$C$5+D303*Prislapp!$D$5+E303*Prislapp!$E$5+F303*Prislapp!$F$5+G303*Prislapp!$G$5+H303*Prislapp!$H$5+I303*Prislapp!$I$5+J303*Prislapp!$J$5+K303*Prislapp!$K$5+L303*Prislapp!$L$5+M303*Prislapp!$M$5+N303*Prislapp!$N$5</f>
        <v>5800</v>
      </c>
      <c r="R303" s="9">
        <f>VLOOKUP(A303,'Ansvar kurs'!$A$2:$B$847,2,FALSE)</f>
        <v>1620</v>
      </c>
    </row>
    <row r="304" spans="1:26" x14ac:dyDescent="0.25">
      <c r="A304" s="31" t="s">
        <v>90</v>
      </c>
      <c r="B304" s="31" t="s">
        <v>689</v>
      </c>
      <c r="F304" s="31">
        <v>1</v>
      </c>
      <c r="O304" s="42">
        <f>C304*Prislapp!$C$2+D304*Prislapp!$D$2+E304*Prislapp!$E$2+F304*Prislapp!$F$2+G304*Prislapp!$G$2+H304*Prislapp!$H$2+I304*Prislapp!$I$2+J304*Prislapp!$J$2+K304*Prislapp!$K$2+L304*Prislapp!$L$2+M304*Prislapp!$M$2+N304*Prislapp!$N$2</f>
        <v>23641</v>
      </c>
      <c r="P304" s="42">
        <f>C304*Prislapp!$C$3+D304*Prislapp!$D$3+E304*Prislapp!$E$3+F304*Prislapp!$F$3+G304*Prislapp!$G$3+H304*Prislapp!$H$3+I304*Prislapp!$I$3+J304*Prislapp!$J$3+K304*Prislapp!$K$3+M304*Prislapp!$M$3+N304*Prislapp!$N$3</f>
        <v>28786</v>
      </c>
      <c r="Q304" s="42">
        <f>C304*Prislapp!$C$5+D304*Prislapp!$D$5+E304*Prislapp!$E$5+F304*Prislapp!$F$5+G304*Prislapp!$G$5+H304*Prislapp!$H$5+I304*Prislapp!$I$5+J304*Prislapp!$J$5+K304*Prislapp!$K$5+L304*Prislapp!$L$5+M304*Prislapp!$M$5+N304*Prislapp!$N$5</f>
        <v>5800</v>
      </c>
      <c r="R304" s="9">
        <f>VLOOKUP(A304,'Ansvar kurs'!$A$2:$B$847,2,FALSE)</f>
        <v>5730</v>
      </c>
      <c r="S304" s="159"/>
      <c r="T304" s="159"/>
      <c r="U304" s="159"/>
      <c r="V304" s="159"/>
      <c r="W304" s="159"/>
      <c r="X304" s="159"/>
      <c r="Y304" s="159"/>
      <c r="Z304" s="159"/>
    </row>
    <row r="305" spans="1:16372" x14ac:dyDescent="0.25">
      <c r="A305" s="31" t="s">
        <v>571</v>
      </c>
      <c r="B305" s="31" t="s">
        <v>690</v>
      </c>
      <c r="H305" s="31">
        <v>1</v>
      </c>
      <c r="O305" s="42">
        <f>C305*Prislapp!$C$2+D305*Prislapp!$D$2+E305*Prislapp!$E$2+F305*Prislapp!$F$2+G305*Prislapp!$G$2+H305*Prislapp!$H$2+I305*Prislapp!$I$2+J305*Prislapp!$J$2+K305*Prislapp!$K$2+L305*Prislapp!$L$2+M305*Prislapp!$M$2+N305*Prislapp!$N$2</f>
        <v>19473</v>
      </c>
      <c r="P305" s="42">
        <f>C305*Prislapp!$C$3+D305*Prislapp!$D$3+E305*Prislapp!$E$3+F305*Prislapp!$F$3+G305*Prislapp!$G$3+H305*Prislapp!$H$3+I305*Prislapp!$I$3+J305*Prislapp!$J$3+K305*Prislapp!$K$3+M305*Prislapp!$M$3+N305*Prislapp!$N$3</f>
        <v>34806</v>
      </c>
      <c r="Q305" s="42">
        <f>C305*Prislapp!$C$5+D305*Prislapp!$D$5+E305*Prislapp!$E$5+F305*Prislapp!$F$5+G305*Prislapp!$G$5+H305*Prislapp!$H$5+I305*Prislapp!$I$5+J305*Prislapp!$J$5+K305*Prislapp!$K$5+L305*Prislapp!$L$5+M305*Prislapp!$M$5+N305*Prislapp!$N$5</f>
        <v>21800</v>
      </c>
      <c r="R305" s="9">
        <f>VLOOKUP(A305,'Ansvar kurs'!$A$2:$B$847,2,FALSE)</f>
        <v>5730</v>
      </c>
      <c r="S305" s="159"/>
      <c r="T305" s="159"/>
      <c r="U305" s="159"/>
      <c r="V305" s="159"/>
      <c r="W305" s="159"/>
      <c r="X305" s="159"/>
      <c r="Y305" s="159"/>
      <c r="Z305" s="159"/>
    </row>
    <row r="306" spans="1:16372" x14ac:dyDescent="0.25">
      <c r="A306" s="31" t="s">
        <v>355</v>
      </c>
      <c r="B306" s="31" t="s">
        <v>359</v>
      </c>
      <c r="F306" s="31">
        <v>1</v>
      </c>
      <c r="O306" s="42">
        <f>C306*Prislapp!$C$2+D306*Prislapp!$D$2+E306*Prislapp!$E$2+F306*Prislapp!$F$2+G306*Prislapp!$G$2+H306*Prislapp!$H$2+I306*Prislapp!$I$2+J306*Prislapp!$J$2+K306*Prislapp!$K$2+L306*Prislapp!$L$2+M306*Prislapp!$M$2+N306*Prislapp!$N$2</f>
        <v>23641</v>
      </c>
      <c r="P306" s="42">
        <f>C306*Prislapp!$C$3+D306*Prislapp!$D$3+E306*Prislapp!$E$3+F306*Prislapp!$F$3+G306*Prislapp!$G$3+H306*Prislapp!$H$3+I306*Prislapp!$I$3+J306*Prislapp!$J$3+K306*Prislapp!$K$3+M306*Prislapp!$M$3+N306*Prislapp!$N$3</f>
        <v>28786</v>
      </c>
      <c r="Q306" s="42">
        <f>C306*Prislapp!$C$5+D306*Prislapp!$D$5+E306*Prislapp!$E$5+F306*Prislapp!$F$5+G306*Prislapp!$G$5+H306*Prislapp!$H$5+I306*Prislapp!$I$5+J306*Prislapp!$J$5+K306*Prislapp!$K$5+L306*Prislapp!$L$5+M306*Prislapp!$M$5+N306*Prislapp!$N$5</f>
        <v>5800</v>
      </c>
      <c r="R306" s="9">
        <f>VLOOKUP(A306,'Ansvar kurs'!$A$2:$B$847,2,FALSE)</f>
        <v>5730</v>
      </c>
      <c r="S306" s="159"/>
      <c r="T306" s="159"/>
    </row>
    <row r="307" spans="1:16372" x14ac:dyDescent="0.25">
      <c r="A307" s="31" t="s">
        <v>338</v>
      </c>
      <c r="B307" s="31" t="s">
        <v>691</v>
      </c>
      <c r="H307" s="31">
        <v>1</v>
      </c>
      <c r="O307" s="42">
        <f>C307*Prislapp!$C$2+D307*Prislapp!$D$2+E307*Prislapp!$E$2+F307*Prislapp!$F$2+G307*Prislapp!$G$2+H307*Prislapp!$H$2+I307*Prislapp!$I$2+J307*Prislapp!$J$2+K307*Prislapp!$K$2+L307*Prislapp!$L$2+M307*Prislapp!$M$2+N307*Prislapp!$N$2</f>
        <v>19473</v>
      </c>
      <c r="P307" s="42">
        <f>C307*Prislapp!$C$3+D307*Prislapp!$D$3+E307*Prislapp!$E$3+F307*Prislapp!$F$3+G307*Prislapp!$G$3+H307*Prislapp!$H$3+I307*Prislapp!$I$3+J307*Prislapp!$J$3+K307*Prislapp!$K$3+M307*Prislapp!$M$3+N307*Prislapp!$N$3</f>
        <v>34806</v>
      </c>
      <c r="Q307" s="42">
        <f>C307*Prislapp!$C$5+D307*Prislapp!$D$5+E307*Prislapp!$E$5+F307*Prislapp!$F$5+G307*Prislapp!$G$5+H307*Prislapp!$H$5+I307*Prislapp!$I$5+J307*Prislapp!$J$5+K307*Prislapp!$K$5+L307*Prislapp!$L$5+M307*Prislapp!$M$5+N307*Prislapp!$N$5</f>
        <v>21800</v>
      </c>
      <c r="R307" s="9">
        <f>VLOOKUP(A307,'Ansvar kurs'!$A$2:$B$847,2,FALSE)</f>
        <v>5730</v>
      </c>
      <c r="S307" s="159"/>
      <c r="T307" s="159"/>
    </row>
    <row r="308" spans="1:16372" x14ac:dyDescent="0.25">
      <c r="A308" s="31" t="s">
        <v>570</v>
      </c>
      <c r="B308" s="31" t="s">
        <v>694</v>
      </c>
      <c r="H308" s="31">
        <v>1</v>
      </c>
      <c r="O308" s="42">
        <f>C308*Prislapp!$C$2+D308*Prislapp!$D$2+E308*Prislapp!$E$2+F308*Prislapp!$F$2+G308*Prislapp!$G$2+H308*Prislapp!$H$2+I308*Prislapp!$I$2+J308*Prislapp!$J$2+K308*Prislapp!$K$2+L308*Prislapp!$L$2+M308*Prislapp!$M$2+N308*Prislapp!$N$2</f>
        <v>19473</v>
      </c>
      <c r="P308" s="42">
        <f>C308*Prislapp!$C$3+D308*Prislapp!$D$3+E308*Prislapp!$E$3+F308*Prislapp!$F$3+G308*Prislapp!$G$3+H308*Prislapp!$H$3+I308*Prislapp!$I$3+J308*Prislapp!$J$3+K308*Prislapp!$K$3+M308*Prislapp!$M$3+N308*Prislapp!$N$3</f>
        <v>34806</v>
      </c>
      <c r="Q308" s="42">
        <f>C308*Prislapp!$C$5+D308*Prislapp!$D$5+E308*Prislapp!$E$5+F308*Prislapp!$F$5+G308*Prislapp!$G$5+H308*Prislapp!$H$5+I308*Prislapp!$I$5+J308*Prislapp!$J$5+K308*Prislapp!$K$5+L308*Prislapp!$L$5+M308*Prislapp!$M$5+N308*Prislapp!$N$5</f>
        <v>21800</v>
      </c>
      <c r="R308" s="9">
        <f>VLOOKUP(A308,'Ansvar kurs'!$A$2:$B$847,2,FALSE)</f>
        <v>5730</v>
      </c>
      <c r="S308" s="159"/>
      <c r="T308" s="159"/>
      <c r="U308" s="159"/>
      <c r="V308" s="159"/>
      <c r="W308" s="159"/>
      <c r="X308" s="159"/>
      <c r="Y308" s="159"/>
      <c r="Z308" s="159"/>
    </row>
    <row r="309" spans="1:16372" x14ac:dyDescent="0.25">
      <c r="A309" s="31" t="s">
        <v>572</v>
      </c>
      <c r="B309" s="292" t="s">
        <v>695</v>
      </c>
      <c r="H309" s="31">
        <v>1</v>
      </c>
      <c r="O309" s="42">
        <f>C309*Prislapp!$C$2+D309*Prislapp!$D$2+E309*Prislapp!$E$2+F309*Prislapp!$F$2+G309*Prislapp!$G$2+H309*Prislapp!$H$2+I309*Prislapp!$I$2+J309*Prislapp!$J$2+K309*Prislapp!$K$2+L309*Prislapp!$L$2+M309*Prislapp!$M$2+N309*Prislapp!$N$2</f>
        <v>19473</v>
      </c>
      <c r="P309" s="42">
        <f>C309*Prislapp!$C$3+D309*Prislapp!$D$3+E309*Prislapp!$E$3+F309*Prislapp!$F$3+G309*Prislapp!$G$3+H309*Prislapp!$H$3+I309*Prislapp!$I$3+J309*Prislapp!$J$3+K309*Prislapp!$K$3+M309*Prislapp!$M$3+N309*Prislapp!$N$3</f>
        <v>34806</v>
      </c>
      <c r="Q309" s="42">
        <f>C309*Prislapp!$C$5+D309*Prislapp!$D$5+E309*Prislapp!$E$5+F309*Prislapp!$F$5+G309*Prislapp!$G$5+H309*Prislapp!$H$5+I309*Prislapp!$I$5+J309*Prislapp!$J$5+K309*Prislapp!$K$5+L309*Prislapp!$L$5+M309*Prislapp!$M$5+N309*Prislapp!$N$5</f>
        <v>21800</v>
      </c>
      <c r="R309" s="9">
        <f>VLOOKUP(A309,'Ansvar kurs'!$A$2:$B$847,2,FALSE)</f>
        <v>5730</v>
      </c>
      <c r="S309" s="159"/>
      <c r="T309" s="159"/>
      <c r="U309" s="159"/>
      <c r="V309" s="159"/>
      <c r="W309" s="159"/>
      <c r="X309" s="159"/>
      <c r="Y309" s="159"/>
      <c r="Z309" s="159"/>
    </row>
    <row r="310" spans="1:16372" x14ac:dyDescent="0.25">
      <c r="A310" s="31" t="s">
        <v>573</v>
      </c>
      <c r="B310" s="31" t="s">
        <v>551</v>
      </c>
      <c r="H310" s="31">
        <v>1</v>
      </c>
      <c r="O310" s="42">
        <f>C310*Prislapp!$C$2+D310*Prislapp!$D$2+E310*Prislapp!$E$2+F310*Prislapp!$F$2+G310*Prislapp!$G$2+H310*Prislapp!$H$2+I310*Prislapp!$I$2+J310*Prislapp!$J$2+K310*Prislapp!$K$2+L310*Prislapp!$L$2+M310*Prislapp!$M$2+N310*Prislapp!$N$2</f>
        <v>19473</v>
      </c>
      <c r="P310" s="42">
        <f>C310*Prislapp!$C$3+D310*Prislapp!$D$3+E310*Prislapp!$E$3+F310*Prislapp!$F$3+G310*Prislapp!$G$3+H310*Prislapp!$H$3+I310*Prislapp!$I$3+J310*Prislapp!$J$3+K310*Prislapp!$K$3+M310*Prislapp!$M$3+N310*Prislapp!$N$3</f>
        <v>34806</v>
      </c>
      <c r="Q310" s="42">
        <f>C310*Prislapp!$C$5+D310*Prislapp!$D$5+E310*Prislapp!$E$5+F310*Prislapp!$F$5+G310*Prislapp!$G$5+H310*Prislapp!$H$5+I310*Prislapp!$I$5+J310*Prislapp!$J$5+K310*Prislapp!$K$5+L310*Prislapp!$L$5+M310*Prislapp!$M$5+N310*Prislapp!$N$5</f>
        <v>21800</v>
      </c>
      <c r="R310" s="9">
        <f>VLOOKUP(A310,'Ansvar kurs'!$A$2:$B$847,2,FALSE)</f>
        <v>5730</v>
      </c>
      <c r="S310" s="159"/>
      <c r="T310" s="159"/>
      <c r="U310" s="159"/>
      <c r="V310" s="159"/>
      <c r="W310" s="159"/>
      <c r="X310" s="159"/>
      <c r="Y310" s="159"/>
      <c r="Z310" s="159"/>
    </row>
    <row r="311" spans="1:16372" x14ac:dyDescent="0.25">
      <c r="A311" s="31" t="s">
        <v>588</v>
      </c>
      <c r="B311" s="31" t="s">
        <v>612</v>
      </c>
      <c r="H311" s="31">
        <v>1</v>
      </c>
      <c r="O311" s="42">
        <f>C311*Prislapp!$C$2+D311*Prislapp!$D$2+E311*Prislapp!$E$2+F311*Prislapp!$F$2+G311*Prislapp!$G$2+H311*Prislapp!$H$2+I311*Prislapp!$I$2+J311*Prislapp!$J$2+K311*Prislapp!$K$2+L311*Prislapp!$L$2+M311*Prislapp!$M$2+N311*Prislapp!$N$2</f>
        <v>19473</v>
      </c>
      <c r="P311" s="42">
        <f>C311*Prislapp!$C$3+D311*Prislapp!$D$3+E311*Prislapp!$E$3+F311*Prislapp!$F$3+G311*Prislapp!$G$3+H311*Prislapp!$H$3+I311*Prislapp!$I$3+J311*Prislapp!$J$3+K311*Prislapp!$K$3+M311*Prislapp!$M$3+N311*Prislapp!$N$3</f>
        <v>34806</v>
      </c>
      <c r="Q311" s="42">
        <f>C311*Prislapp!$C$5+D311*Prislapp!$D$5+E311*Prislapp!$E$5+F311*Prislapp!$F$5+G311*Prislapp!$G$5+H311*Prislapp!$H$5+I311*Prislapp!$I$5+J311*Prislapp!$J$5+K311*Prislapp!$K$5+L311*Prislapp!$L$5+M311*Prislapp!$M$5+N311*Prislapp!$N$5</f>
        <v>21800</v>
      </c>
      <c r="R311" s="9">
        <f>VLOOKUP(A311,'Ansvar kurs'!$A$2:$B$847,2,FALSE)</f>
        <v>5730</v>
      </c>
      <c r="S311" s="159"/>
      <c r="T311" s="159"/>
      <c r="U311" s="159"/>
      <c r="V311" s="159"/>
      <c r="W311" s="159"/>
      <c r="X311" s="159"/>
      <c r="Y311" s="159"/>
      <c r="Z311" s="159"/>
    </row>
    <row r="312" spans="1:16372" x14ac:dyDescent="0.25">
      <c r="A312" s="31" t="s">
        <v>589</v>
      </c>
      <c r="B312" s="31" t="s">
        <v>625</v>
      </c>
      <c r="H312" s="31">
        <v>1</v>
      </c>
      <c r="O312" s="42">
        <f>C312*Prislapp!$C$2+D312*Prislapp!$D$2+E312*Prislapp!$E$2+F312*Prislapp!$F$2+G312*Prislapp!$G$2+H312*Prislapp!$H$2+I312*Prislapp!$I$2+J312*Prislapp!$J$2+K312*Prislapp!$K$2+L312*Prislapp!$L$2+M312*Prislapp!$M$2+N312*Prislapp!$N$2</f>
        <v>19473</v>
      </c>
      <c r="P312" s="42">
        <f>C312*Prislapp!$C$3+D312*Prislapp!$D$3+E312*Prislapp!$E$3+F312*Prislapp!$F$3+G312*Prislapp!$G$3+H312*Prislapp!$H$3+I312*Prislapp!$I$3+J312*Prislapp!$J$3+K312*Prislapp!$K$3+M312*Prislapp!$M$3+N312*Prislapp!$N$3</f>
        <v>34806</v>
      </c>
      <c r="Q312" s="42">
        <f>C312*Prislapp!$C$5+D312*Prislapp!$D$5+E312*Prislapp!$E$5+F312*Prislapp!$F$5+G312*Prislapp!$G$5+H312*Prislapp!$H$5+I312*Prislapp!$I$5+J312*Prislapp!$J$5+K312*Prislapp!$K$5+L312*Prislapp!$L$5+M312*Prislapp!$M$5+N312*Prislapp!$N$5</f>
        <v>21800</v>
      </c>
      <c r="R312" s="9">
        <f>VLOOKUP(A312,'Ansvar kurs'!$A$2:$B$847,2,FALSE)</f>
        <v>5730</v>
      </c>
      <c r="S312" s="159"/>
      <c r="T312" s="159"/>
      <c r="U312" s="159"/>
      <c r="V312" s="159"/>
      <c r="W312" s="159"/>
      <c r="X312" s="159"/>
      <c r="Y312" s="159"/>
      <c r="Z312" s="159"/>
    </row>
    <row r="313" spans="1:16372" x14ac:dyDescent="0.25">
      <c r="A313" s="31" t="s">
        <v>590</v>
      </c>
      <c r="B313" s="31" t="s">
        <v>626</v>
      </c>
      <c r="H313" s="31">
        <v>1</v>
      </c>
      <c r="O313" s="42">
        <f>C313*Prislapp!$C$2+D313*Prislapp!$D$2+E313*Prislapp!$E$2+F313*Prislapp!$F$2+G313*Prislapp!$G$2+H313*Prislapp!$H$2+I313*Prislapp!$I$2+J313*Prislapp!$J$2+K313*Prislapp!$K$2+L313*Prislapp!$L$2+M313*Prislapp!$M$2+N313*Prislapp!$N$2</f>
        <v>19473</v>
      </c>
      <c r="P313" s="42">
        <f>C313*Prislapp!$C$3+D313*Prislapp!$D$3+E313*Prislapp!$E$3+F313*Prislapp!$F$3+G313*Prislapp!$G$3+H313*Prislapp!$H$3+I313*Prislapp!$I$3+J313*Prislapp!$J$3+K313*Prislapp!$K$3+M313*Prislapp!$M$3+N313*Prislapp!$N$3</f>
        <v>34806</v>
      </c>
      <c r="Q313" s="42">
        <f>C313*Prislapp!$C$5+D313*Prislapp!$D$5+E313*Prislapp!$E$5+F313*Prislapp!$F$5+G313*Prislapp!$G$5+H313*Prislapp!$H$5+I313*Prislapp!$I$5+J313*Prislapp!$J$5+K313*Prislapp!$K$5+L313*Prislapp!$L$5+M313*Prislapp!$M$5+N313*Prislapp!$N$5</f>
        <v>21800</v>
      </c>
      <c r="R313" s="9">
        <f>VLOOKUP(A313,'Ansvar kurs'!$A$2:$B$847,2,FALSE)</f>
        <v>5730</v>
      </c>
      <c r="S313" s="159"/>
      <c r="T313" s="159"/>
      <c r="U313" s="159"/>
      <c r="V313" s="159"/>
      <c r="W313" s="159"/>
      <c r="X313" s="159"/>
      <c r="Y313" s="159"/>
      <c r="Z313" s="159"/>
    </row>
    <row r="314" spans="1:16372" x14ac:dyDescent="0.25">
      <c r="A314" s="31" t="s">
        <v>643</v>
      </c>
      <c r="B314" s="31" t="s">
        <v>431</v>
      </c>
      <c r="H314" s="31">
        <v>1</v>
      </c>
      <c r="O314" s="42">
        <f>C314*Prislapp!$C$2+D314*Prislapp!$D$2+E314*Prislapp!$E$2+F314*Prislapp!$F$2+G314*Prislapp!$G$2+H314*Prislapp!$H$2+I314*Prislapp!$I$2+J314*Prislapp!$J$2+K314*Prislapp!$K$2+L314*Prislapp!$L$2+M314*Prislapp!$M$2+N314*Prislapp!$N$2</f>
        <v>19473</v>
      </c>
      <c r="P314" s="42">
        <f>C314*Prislapp!$C$3+D314*Prislapp!$D$3+E314*Prislapp!$E$3+F314*Prislapp!$F$3+G314*Prislapp!$G$3+H314*Prislapp!$H$3+I314*Prislapp!$I$3+J314*Prislapp!$J$3+K314*Prislapp!$K$3+M314*Prislapp!$M$3+N314*Prislapp!$N$3</f>
        <v>34806</v>
      </c>
      <c r="Q314" s="42">
        <f>C314*Prislapp!$C$5+D314*Prislapp!$D$5+E314*Prislapp!$E$5+F314*Prislapp!$F$5+G314*Prislapp!$G$5+H314*Prislapp!$H$5+I314*Prislapp!$I$5+J314*Prislapp!$J$5+K314*Prislapp!$K$5+L314*Prislapp!$L$5+M314*Prislapp!$M$5+N314*Prislapp!$N$5</f>
        <v>21800</v>
      </c>
      <c r="R314" s="9">
        <f>VLOOKUP(A314,'Ansvar kurs'!$A$2:$B$847,2,FALSE)</f>
        <v>5730</v>
      </c>
      <c r="S314" s="159"/>
      <c r="T314" s="159"/>
      <c r="U314" s="159"/>
      <c r="V314" s="159"/>
      <c r="W314" s="159"/>
      <c r="X314" s="159"/>
      <c r="Y314" s="159"/>
      <c r="Z314" s="159"/>
      <c r="AA314" s="104"/>
      <c r="AB314" s="104"/>
      <c r="AC314" s="104"/>
      <c r="AD314" s="104"/>
      <c r="AE314" s="104"/>
      <c r="AF314" s="104"/>
      <c r="AG314" s="104"/>
      <c r="AH314" s="104"/>
      <c r="AI314" s="104"/>
      <c r="AJ314" s="104"/>
      <c r="AK314" s="104"/>
      <c r="AL314" s="104"/>
      <c r="AM314" s="104"/>
      <c r="AN314" s="104"/>
      <c r="AO314" s="104"/>
      <c r="AP314" s="104"/>
      <c r="AQ314" s="104"/>
      <c r="AR314" s="104"/>
      <c r="AS314" s="104"/>
      <c r="AT314" s="104"/>
      <c r="AU314" s="104"/>
      <c r="AV314" s="104"/>
      <c r="AW314" s="104"/>
      <c r="AX314" s="104"/>
      <c r="AY314" s="104"/>
      <c r="AZ314" s="104"/>
      <c r="BA314" s="104"/>
      <c r="BB314" s="104"/>
      <c r="BC314" s="104"/>
      <c r="BD314" s="104"/>
      <c r="BE314" s="104"/>
      <c r="BF314" s="104"/>
      <c r="BG314" s="104"/>
      <c r="BH314" s="104"/>
      <c r="BI314" s="104"/>
      <c r="BJ314" s="104"/>
      <c r="BK314" s="104"/>
      <c r="BL314" s="104"/>
      <c r="BM314" s="104"/>
      <c r="BN314" s="104"/>
      <c r="BO314" s="104"/>
      <c r="BP314" s="104"/>
      <c r="BQ314" s="104"/>
      <c r="BR314" s="104"/>
      <c r="BS314" s="104"/>
      <c r="BT314" s="104"/>
      <c r="BU314" s="104"/>
      <c r="BV314" s="104"/>
      <c r="BW314" s="104"/>
      <c r="BX314" s="104"/>
      <c r="BY314" s="104"/>
      <c r="BZ314" s="104"/>
      <c r="CA314" s="104"/>
      <c r="CB314" s="104"/>
      <c r="CC314" s="104"/>
      <c r="CD314" s="104"/>
      <c r="CE314" s="104"/>
      <c r="CF314" s="104"/>
      <c r="CG314" s="104"/>
      <c r="CH314" s="104"/>
      <c r="CI314" s="104"/>
      <c r="CJ314" s="104"/>
      <c r="CK314" s="104"/>
      <c r="CL314" s="104"/>
      <c r="CM314" s="104"/>
      <c r="CN314" s="104"/>
      <c r="CO314" s="104"/>
      <c r="CP314" s="104"/>
      <c r="CQ314" s="104"/>
      <c r="CR314" s="104"/>
      <c r="CS314" s="104"/>
      <c r="CT314" s="104"/>
      <c r="CU314" s="104"/>
      <c r="CV314" s="104"/>
      <c r="CW314" s="104"/>
      <c r="CX314" s="104"/>
      <c r="CY314" s="104"/>
      <c r="CZ314" s="104"/>
      <c r="DA314" s="104"/>
      <c r="DB314" s="104"/>
      <c r="DC314" s="104"/>
      <c r="DD314" s="104"/>
      <c r="DE314" s="104"/>
      <c r="DF314" s="104"/>
      <c r="DG314" s="104"/>
      <c r="DH314" s="104"/>
      <c r="DI314" s="104"/>
      <c r="DJ314" s="104"/>
      <c r="DK314" s="104"/>
      <c r="DL314" s="104"/>
      <c r="DM314" s="104"/>
      <c r="DN314" s="104"/>
      <c r="DO314" s="104"/>
      <c r="DP314" s="104"/>
      <c r="DQ314" s="104"/>
      <c r="DR314" s="104"/>
      <c r="DS314" s="104"/>
      <c r="DT314" s="104"/>
      <c r="DU314" s="104"/>
      <c r="DV314" s="104"/>
      <c r="DW314" s="104"/>
      <c r="DX314" s="104"/>
      <c r="DY314" s="104"/>
      <c r="DZ314" s="104"/>
      <c r="EA314" s="104"/>
      <c r="EB314" s="104"/>
      <c r="EC314" s="104"/>
      <c r="ED314" s="104"/>
      <c r="EE314" s="104"/>
      <c r="EF314" s="104"/>
      <c r="EG314" s="104"/>
      <c r="EH314" s="104"/>
      <c r="EI314" s="104"/>
      <c r="EJ314" s="104"/>
      <c r="EK314" s="104"/>
      <c r="EL314" s="104"/>
      <c r="EM314" s="104"/>
      <c r="EN314" s="104"/>
      <c r="EO314" s="104"/>
      <c r="EP314" s="104"/>
      <c r="EQ314" s="104"/>
      <c r="ER314" s="104"/>
      <c r="ES314" s="104"/>
      <c r="ET314" s="104"/>
      <c r="EU314" s="104"/>
      <c r="EV314" s="104"/>
      <c r="EW314" s="104"/>
      <c r="EX314" s="104"/>
      <c r="EY314" s="104"/>
      <c r="EZ314" s="104"/>
      <c r="FA314" s="104"/>
      <c r="FB314" s="104"/>
      <c r="FC314" s="104"/>
      <c r="FD314" s="104"/>
      <c r="FE314" s="104"/>
      <c r="FF314" s="104"/>
      <c r="FG314" s="104"/>
      <c r="FH314" s="104"/>
      <c r="FI314" s="104"/>
      <c r="FJ314" s="104"/>
      <c r="FK314" s="104"/>
      <c r="FL314" s="104"/>
      <c r="FM314" s="104"/>
      <c r="FN314" s="104"/>
      <c r="FO314" s="104"/>
      <c r="FP314" s="104"/>
      <c r="FQ314" s="104"/>
      <c r="FR314" s="104"/>
      <c r="FS314" s="104"/>
      <c r="FT314" s="104"/>
      <c r="FU314" s="104"/>
      <c r="FV314" s="104"/>
      <c r="FW314" s="104"/>
      <c r="FX314" s="104"/>
      <c r="FY314" s="104"/>
      <c r="FZ314" s="104"/>
      <c r="GA314" s="104"/>
      <c r="GB314" s="104"/>
      <c r="GC314" s="104"/>
      <c r="GD314" s="104"/>
      <c r="GE314" s="104"/>
      <c r="GF314" s="104"/>
      <c r="GG314" s="104"/>
      <c r="GH314" s="104"/>
      <c r="GI314" s="104"/>
      <c r="GJ314" s="104"/>
      <c r="GK314" s="104"/>
      <c r="GL314" s="104"/>
      <c r="GM314" s="104"/>
      <c r="GN314" s="104"/>
      <c r="GO314" s="104"/>
      <c r="GP314" s="104"/>
      <c r="GQ314" s="104"/>
      <c r="GR314" s="104"/>
      <c r="GS314" s="104"/>
      <c r="GT314" s="104"/>
      <c r="GU314" s="104"/>
      <c r="GV314" s="104"/>
      <c r="GW314" s="104"/>
      <c r="GX314" s="104"/>
      <c r="GY314" s="104"/>
      <c r="GZ314" s="104"/>
      <c r="HA314" s="104"/>
      <c r="HB314" s="104"/>
      <c r="HC314" s="104"/>
      <c r="HD314" s="104"/>
      <c r="HE314" s="104"/>
      <c r="HF314" s="104"/>
      <c r="HG314" s="104"/>
      <c r="HH314" s="104"/>
      <c r="HI314" s="104"/>
      <c r="HJ314" s="104"/>
      <c r="HK314" s="104"/>
      <c r="HL314" s="104"/>
      <c r="HM314" s="104"/>
      <c r="HN314" s="104"/>
      <c r="HO314" s="104"/>
      <c r="HP314" s="104"/>
      <c r="HQ314" s="104"/>
      <c r="HR314" s="104"/>
      <c r="HS314" s="104"/>
      <c r="HT314" s="104"/>
      <c r="HU314" s="104"/>
      <c r="HV314" s="104"/>
      <c r="HW314" s="104"/>
      <c r="HX314" s="104"/>
      <c r="HY314" s="104"/>
      <c r="HZ314" s="104"/>
      <c r="IA314" s="104"/>
      <c r="IB314" s="104"/>
      <c r="IC314" s="104"/>
      <c r="ID314" s="104"/>
      <c r="IE314" s="104"/>
      <c r="IF314" s="104"/>
      <c r="IG314" s="104"/>
      <c r="IH314" s="104"/>
      <c r="II314" s="104"/>
      <c r="IJ314" s="104"/>
      <c r="IK314" s="104"/>
      <c r="IL314" s="104"/>
      <c r="IM314" s="104"/>
      <c r="IN314" s="104"/>
      <c r="IO314" s="104"/>
      <c r="IP314" s="104"/>
      <c r="IQ314" s="104"/>
      <c r="IR314" s="104"/>
      <c r="IS314" s="104"/>
      <c r="IT314" s="104"/>
      <c r="IU314" s="104"/>
      <c r="IV314" s="104"/>
      <c r="IW314" s="104"/>
      <c r="IX314" s="104"/>
      <c r="IY314" s="104"/>
      <c r="IZ314" s="104"/>
      <c r="JA314" s="104"/>
      <c r="JB314" s="104"/>
      <c r="JC314" s="104"/>
      <c r="JD314" s="104"/>
      <c r="JE314" s="104"/>
      <c r="JF314" s="104"/>
      <c r="JG314" s="104"/>
      <c r="JH314" s="104"/>
      <c r="JI314" s="104"/>
      <c r="JJ314" s="104"/>
      <c r="JK314" s="104"/>
      <c r="JL314" s="104"/>
      <c r="JM314" s="104"/>
      <c r="JN314" s="104"/>
      <c r="JO314" s="104"/>
      <c r="JP314" s="104"/>
      <c r="JQ314" s="104"/>
      <c r="JR314" s="104"/>
      <c r="JS314" s="104"/>
      <c r="JT314" s="104"/>
      <c r="JU314" s="104"/>
      <c r="JV314" s="104"/>
      <c r="JW314" s="104"/>
      <c r="JX314" s="104"/>
      <c r="JY314" s="104"/>
      <c r="JZ314" s="104"/>
      <c r="KA314" s="104"/>
      <c r="KB314" s="104"/>
      <c r="KC314" s="104"/>
      <c r="KD314" s="104"/>
      <c r="KE314" s="104"/>
      <c r="KF314" s="104"/>
      <c r="KG314" s="104"/>
      <c r="KH314" s="104"/>
      <c r="KI314" s="104"/>
      <c r="KJ314" s="104"/>
      <c r="KK314" s="104"/>
      <c r="KL314" s="104"/>
      <c r="KM314" s="104"/>
      <c r="KN314" s="104"/>
      <c r="KO314" s="104"/>
      <c r="KP314" s="104"/>
      <c r="KQ314" s="104"/>
      <c r="KR314" s="104"/>
      <c r="KS314" s="104"/>
      <c r="KT314" s="104"/>
      <c r="KU314" s="104"/>
      <c r="KV314" s="104"/>
      <c r="KW314" s="104"/>
      <c r="KX314" s="104"/>
      <c r="KY314" s="104"/>
      <c r="KZ314" s="104"/>
      <c r="LA314" s="104"/>
      <c r="LB314" s="104"/>
      <c r="LC314" s="104"/>
      <c r="LD314" s="104"/>
      <c r="LE314" s="104"/>
      <c r="LF314" s="104"/>
      <c r="LG314" s="104"/>
      <c r="LH314" s="104"/>
      <c r="LI314" s="104"/>
      <c r="LJ314" s="104"/>
      <c r="LK314" s="104"/>
      <c r="LL314" s="104"/>
      <c r="LM314" s="104"/>
      <c r="LN314" s="104"/>
      <c r="LO314" s="104"/>
      <c r="LP314" s="104"/>
      <c r="LQ314" s="104"/>
      <c r="LR314" s="104"/>
      <c r="LS314" s="104"/>
      <c r="LT314" s="104"/>
      <c r="LU314" s="104"/>
      <c r="LV314" s="104"/>
      <c r="LW314" s="104"/>
      <c r="LX314" s="104"/>
      <c r="LY314" s="104"/>
      <c r="LZ314" s="104"/>
      <c r="MA314" s="104"/>
      <c r="MB314" s="104"/>
      <c r="MC314" s="104"/>
      <c r="MD314" s="104"/>
      <c r="ME314" s="104"/>
      <c r="MF314" s="104"/>
      <c r="MG314" s="104"/>
      <c r="MH314" s="104"/>
      <c r="MI314" s="104"/>
      <c r="MJ314" s="104"/>
      <c r="MK314" s="104"/>
      <c r="ML314" s="104"/>
      <c r="MM314" s="104"/>
      <c r="MN314" s="104"/>
      <c r="MO314" s="104"/>
      <c r="MP314" s="104"/>
      <c r="MQ314" s="104"/>
      <c r="MR314" s="104"/>
      <c r="MS314" s="104"/>
      <c r="MT314" s="104"/>
      <c r="MU314" s="104"/>
      <c r="MV314" s="104"/>
      <c r="MW314" s="104"/>
      <c r="MX314" s="104"/>
      <c r="MY314" s="104"/>
      <c r="MZ314" s="104"/>
      <c r="NA314" s="104"/>
      <c r="NB314" s="104"/>
      <c r="NC314" s="104"/>
      <c r="ND314" s="104"/>
      <c r="NE314" s="104"/>
      <c r="NF314" s="104"/>
      <c r="NG314" s="104"/>
      <c r="NH314" s="104"/>
      <c r="NI314" s="104"/>
      <c r="NJ314" s="104"/>
      <c r="NK314" s="104"/>
      <c r="NL314" s="104"/>
      <c r="NM314" s="104"/>
      <c r="NN314" s="104"/>
      <c r="NO314" s="104"/>
      <c r="NP314" s="104"/>
      <c r="NQ314" s="104"/>
      <c r="NR314" s="104"/>
      <c r="NS314" s="104"/>
      <c r="NT314" s="104"/>
      <c r="NU314" s="104"/>
      <c r="NV314" s="104"/>
      <c r="NW314" s="104"/>
      <c r="NX314" s="104"/>
      <c r="NY314" s="104"/>
      <c r="NZ314" s="104"/>
      <c r="OA314" s="104"/>
      <c r="OB314" s="104"/>
      <c r="OC314" s="104"/>
      <c r="OD314" s="104"/>
      <c r="OE314" s="104"/>
      <c r="OF314" s="104"/>
      <c r="OG314" s="104"/>
      <c r="OH314" s="104"/>
      <c r="OI314" s="104"/>
      <c r="OJ314" s="104"/>
      <c r="OK314" s="104"/>
      <c r="OL314" s="104"/>
      <c r="OM314" s="104"/>
      <c r="ON314" s="104"/>
      <c r="OO314" s="104"/>
      <c r="OP314" s="104"/>
      <c r="OQ314" s="104"/>
      <c r="OR314" s="104"/>
      <c r="OS314" s="104"/>
      <c r="OT314" s="104"/>
      <c r="OU314" s="104"/>
      <c r="OV314" s="104"/>
      <c r="OW314" s="104"/>
      <c r="OX314" s="104"/>
      <c r="OY314" s="104"/>
      <c r="OZ314" s="104"/>
      <c r="PA314" s="104"/>
      <c r="PB314" s="104"/>
      <c r="PC314" s="104"/>
      <c r="PD314" s="104"/>
      <c r="PE314" s="104"/>
      <c r="PF314" s="104"/>
      <c r="PG314" s="104"/>
      <c r="PH314" s="104"/>
      <c r="PI314" s="104"/>
      <c r="PJ314" s="104"/>
      <c r="PK314" s="104"/>
      <c r="PL314" s="104"/>
      <c r="PM314" s="104"/>
      <c r="PN314" s="104"/>
      <c r="PO314" s="104"/>
      <c r="PP314" s="104"/>
      <c r="PQ314" s="104"/>
      <c r="PR314" s="104"/>
      <c r="PS314" s="104"/>
      <c r="PT314" s="104"/>
      <c r="PU314" s="104"/>
      <c r="PV314" s="104"/>
      <c r="PW314" s="104"/>
      <c r="PX314" s="104"/>
      <c r="PY314" s="104"/>
      <c r="PZ314" s="104"/>
      <c r="QA314" s="104"/>
      <c r="QB314" s="104"/>
      <c r="QC314" s="104"/>
      <c r="QD314" s="104"/>
      <c r="QE314" s="104"/>
      <c r="QF314" s="104"/>
      <c r="QG314" s="104"/>
      <c r="QH314" s="104"/>
      <c r="QI314" s="104"/>
      <c r="QJ314" s="104"/>
      <c r="QK314" s="104"/>
      <c r="QL314" s="104"/>
      <c r="QM314" s="104"/>
      <c r="QN314" s="104"/>
      <c r="QO314" s="104"/>
      <c r="QP314" s="104"/>
      <c r="QQ314" s="104"/>
      <c r="QR314" s="104"/>
      <c r="QS314" s="104"/>
      <c r="QT314" s="104"/>
      <c r="QU314" s="104"/>
      <c r="QV314" s="104"/>
      <c r="QW314" s="104"/>
      <c r="QX314" s="104"/>
      <c r="QY314" s="104"/>
      <c r="QZ314" s="104"/>
      <c r="RA314" s="104"/>
      <c r="RB314" s="104"/>
      <c r="RC314" s="104"/>
      <c r="RD314" s="104"/>
      <c r="RE314" s="104"/>
      <c r="RF314" s="104"/>
      <c r="RG314" s="104"/>
      <c r="RH314" s="104"/>
      <c r="RI314" s="104"/>
      <c r="RJ314" s="104"/>
      <c r="RK314" s="104"/>
      <c r="RL314" s="104"/>
      <c r="RM314" s="104"/>
      <c r="RN314" s="104"/>
      <c r="RO314" s="104"/>
      <c r="RP314" s="104"/>
      <c r="RQ314" s="104"/>
      <c r="RR314" s="104"/>
      <c r="RS314" s="104"/>
      <c r="RT314" s="104"/>
      <c r="RU314" s="104"/>
      <c r="RV314" s="104"/>
      <c r="RW314" s="104"/>
      <c r="RX314" s="104"/>
      <c r="RY314" s="104"/>
      <c r="RZ314" s="104"/>
      <c r="SA314" s="104"/>
      <c r="SB314" s="104"/>
      <c r="SC314" s="104"/>
      <c r="SD314" s="104"/>
      <c r="SE314" s="104"/>
      <c r="SF314" s="104"/>
      <c r="SG314" s="104"/>
      <c r="SH314" s="104"/>
      <c r="SI314" s="104"/>
      <c r="SJ314" s="104"/>
      <c r="SK314" s="104"/>
      <c r="SL314" s="104"/>
      <c r="SM314" s="104"/>
      <c r="SN314" s="104"/>
      <c r="SO314" s="104"/>
      <c r="SP314" s="104"/>
      <c r="SQ314" s="104"/>
      <c r="SR314" s="104"/>
      <c r="SS314" s="104"/>
      <c r="ST314" s="104"/>
      <c r="SU314" s="104"/>
      <c r="SV314" s="104"/>
      <c r="SW314" s="104"/>
      <c r="SX314" s="104"/>
      <c r="SY314" s="104"/>
      <c r="SZ314" s="104"/>
      <c r="TA314" s="104"/>
      <c r="TB314" s="104"/>
      <c r="TC314" s="104"/>
      <c r="TD314" s="104"/>
      <c r="TE314" s="104"/>
      <c r="TF314" s="104"/>
      <c r="TG314" s="104"/>
      <c r="TH314" s="104"/>
      <c r="TI314" s="104"/>
      <c r="TJ314" s="104"/>
      <c r="TK314" s="104"/>
      <c r="TL314" s="104"/>
      <c r="TM314" s="104"/>
      <c r="TN314" s="104"/>
      <c r="TO314" s="104"/>
      <c r="TP314" s="104"/>
      <c r="TQ314" s="104"/>
      <c r="TR314" s="104"/>
      <c r="TS314" s="104"/>
      <c r="TT314" s="104"/>
      <c r="TU314" s="104"/>
      <c r="TV314" s="104"/>
      <c r="TW314" s="104"/>
      <c r="TX314" s="104"/>
      <c r="TY314" s="104"/>
      <c r="TZ314" s="104"/>
      <c r="UA314" s="104"/>
      <c r="UB314" s="104"/>
      <c r="UC314" s="104"/>
      <c r="UD314" s="104"/>
      <c r="UE314" s="104"/>
      <c r="UF314" s="104"/>
      <c r="UG314" s="104"/>
      <c r="UH314" s="104"/>
      <c r="UI314" s="104"/>
      <c r="UJ314" s="104"/>
      <c r="UK314" s="104"/>
      <c r="UL314" s="104"/>
      <c r="UM314" s="104"/>
      <c r="UN314" s="104"/>
      <c r="UO314" s="104"/>
      <c r="UP314" s="104"/>
      <c r="UQ314" s="104"/>
      <c r="UR314" s="104"/>
      <c r="US314" s="104"/>
      <c r="UT314" s="104"/>
      <c r="UU314" s="104"/>
      <c r="UV314" s="104"/>
      <c r="UW314" s="104"/>
      <c r="UX314" s="104"/>
      <c r="UY314" s="104"/>
      <c r="UZ314" s="104"/>
      <c r="VA314" s="104"/>
      <c r="VB314" s="104"/>
      <c r="VC314" s="104"/>
      <c r="VD314" s="104"/>
      <c r="VE314" s="104"/>
      <c r="VF314" s="104"/>
      <c r="VG314" s="104"/>
      <c r="VH314" s="104"/>
      <c r="VI314" s="104"/>
      <c r="VJ314" s="104"/>
      <c r="VK314" s="104"/>
      <c r="VL314" s="104"/>
      <c r="VM314" s="104"/>
      <c r="VN314" s="104"/>
      <c r="VO314" s="104"/>
      <c r="VP314" s="104"/>
      <c r="VQ314" s="104"/>
      <c r="VR314" s="104"/>
      <c r="VS314" s="104"/>
      <c r="VT314" s="104"/>
      <c r="VU314" s="104"/>
      <c r="VV314" s="104"/>
      <c r="VW314" s="104"/>
      <c r="VX314" s="104"/>
      <c r="VY314" s="104"/>
      <c r="VZ314" s="104"/>
      <c r="WA314" s="104"/>
      <c r="WB314" s="104"/>
      <c r="WC314" s="104"/>
      <c r="WD314" s="104"/>
      <c r="WE314" s="104"/>
      <c r="WF314" s="104"/>
      <c r="WG314" s="104"/>
      <c r="WH314" s="104"/>
      <c r="WI314" s="104"/>
      <c r="WJ314" s="104"/>
      <c r="WK314" s="104"/>
      <c r="WL314" s="104"/>
      <c r="WM314" s="104"/>
      <c r="WN314" s="104"/>
      <c r="WO314" s="104"/>
      <c r="WP314" s="104"/>
      <c r="WQ314" s="104"/>
      <c r="WR314" s="104"/>
      <c r="WS314" s="104"/>
      <c r="WT314" s="104"/>
      <c r="WU314" s="104"/>
      <c r="WV314" s="104"/>
      <c r="WW314" s="104"/>
      <c r="WX314" s="104"/>
      <c r="WY314" s="104"/>
      <c r="WZ314" s="104"/>
      <c r="XA314" s="104"/>
      <c r="XB314" s="104"/>
      <c r="XC314" s="104"/>
      <c r="XD314" s="104"/>
      <c r="XE314" s="104"/>
      <c r="XF314" s="104"/>
      <c r="XG314" s="104"/>
      <c r="XH314" s="104"/>
      <c r="XI314" s="104"/>
      <c r="XJ314" s="104"/>
      <c r="XK314" s="104"/>
      <c r="XL314" s="104"/>
      <c r="XM314" s="104"/>
      <c r="XN314" s="104"/>
      <c r="XO314" s="104"/>
      <c r="XP314" s="104"/>
      <c r="XQ314" s="104"/>
      <c r="XR314" s="104"/>
      <c r="XS314" s="104"/>
      <c r="XT314" s="104"/>
      <c r="XU314" s="104"/>
      <c r="XV314" s="104"/>
      <c r="XW314" s="104"/>
      <c r="XX314" s="104"/>
      <c r="XY314" s="104"/>
      <c r="XZ314" s="104"/>
      <c r="YA314" s="104"/>
      <c r="YB314" s="104"/>
      <c r="YC314" s="104"/>
      <c r="YD314" s="104"/>
      <c r="YE314" s="104"/>
      <c r="YF314" s="104"/>
      <c r="YG314" s="104"/>
      <c r="YH314" s="104"/>
      <c r="YI314" s="104"/>
      <c r="YJ314" s="104"/>
      <c r="YK314" s="104"/>
      <c r="YL314" s="104"/>
      <c r="YM314" s="104"/>
      <c r="YN314" s="104"/>
      <c r="YO314" s="104"/>
      <c r="YP314" s="104"/>
      <c r="YQ314" s="104"/>
      <c r="YR314" s="104"/>
      <c r="YS314" s="104"/>
      <c r="YT314" s="104"/>
      <c r="YU314" s="104"/>
      <c r="YV314" s="104"/>
      <c r="YW314" s="104"/>
      <c r="YX314" s="104"/>
      <c r="YY314" s="104"/>
      <c r="YZ314" s="104"/>
      <c r="ZA314" s="104"/>
      <c r="ZB314" s="104"/>
      <c r="ZC314" s="104"/>
      <c r="ZD314" s="104"/>
      <c r="ZE314" s="104"/>
      <c r="ZF314" s="104"/>
      <c r="ZG314" s="104"/>
      <c r="ZH314" s="104"/>
      <c r="ZI314" s="104"/>
      <c r="ZJ314" s="104"/>
      <c r="ZK314" s="104"/>
      <c r="ZL314" s="104"/>
      <c r="ZM314" s="104"/>
      <c r="ZN314" s="104"/>
      <c r="ZO314" s="104"/>
      <c r="ZP314" s="104"/>
      <c r="ZQ314" s="104"/>
      <c r="ZR314" s="104"/>
      <c r="ZS314" s="104"/>
      <c r="ZT314" s="104"/>
      <c r="ZU314" s="104"/>
      <c r="ZV314" s="104"/>
      <c r="ZW314" s="104"/>
      <c r="ZX314" s="104"/>
      <c r="ZY314" s="104"/>
      <c r="ZZ314" s="104"/>
      <c r="AAA314" s="104"/>
      <c r="AAB314" s="104"/>
      <c r="AAC314" s="104"/>
      <c r="AAD314" s="104"/>
      <c r="AAE314" s="104"/>
      <c r="AAF314" s="104"/>
      <c r="AAG314" s="104"/>
      <c r="AAH314" s="104"/>
      <c r="AAI314" s="104"/>
      <c r="AAJ314" s="104"/>
      <c r="AAK314" s="104"/>
      <c r="AAL314" s="104"/>
      <c r="AAM314" s="104"/>
      <c r="AAN314" s="104"/>
      <c r="AAO314" s="104"/>
      <c r="AAP314" s="104"/>
      <c r="AAQ314" s="104"/>
      <c r="AAR314" s="104"/>
      <c r="AAS314" s="104"/>
      <c r="AAT314" s="104"/>
      <c r="AAU314" s="104"/>
      <c r="AAV314" s="104"/>
      <c r="AAW314" s="104"/>
      <c r="AAX314" s="104"/>
      <c r="AAY314" s="104"/>
      <c r="AAZ314" s="104"/>
      <c r="ABA314" s="104"/>
      <c r="ABB314" s="104"/>
      <c r="ABC314" s="104"/>
      <c r="ABD314" s="104"/>
      <c r="ABE314" s="104"/>
      <c r="ABF314" s="104"/>
      <c r="ABG314" s="104"/>
      <c r="ABH314" s="104"/>
      <c r="ABI314" s="104"/>
      <c r="ABJ314" s="104"/>
      <c r="ABK314" s="104"/>
      <c r="ABL314" s="104"/>
      <c r="ABM314" s="104"/>
      <c r="ABN314" s="104"/>
      <c r="ABO314" s="104"/>
      <c r="ABP314" s="104"/>
      <c r="ABQ314" s="104"/>
      <c r="ABR314" s="104"/>
      <c r="ABS314" s="104"/>
      <c r="ABT314" s="104"/>
      <c r="ABU314" s="104"/>
      <c r="ABV314" s="104"/>
      <c r="ABW314" s="104"/>
      <c r="ABX314" s="104"/>
      <c r="ABY314" s="104"/>
      <c r="ABZ314" s="104"/>
      <c r="ACA314" s="104"/>
      <c r="ACB314" s="104"/>
      <c r="ACC314" s="104"/>
      <c r="ACD314" s="104"/>
      <c r="ACE314" s="104"/>
      <c r="ACF314" s="104"/>
      <c r="ACG314" s="104"/>
      <c r="ACH314" s="104"/>
      <c r="ACI314" s="104"/>
      <c r="ACJ314" s="104"/>
      <c r="ACK314" s="104"/>
      <c r="ACL314" s="104"/>
      <c r="ACM314" s="104"/>
      <c r="ACN314" s="104"/>
      <c r="ACO314" s="104"/>
      <c r="ACP314" s="104"/>
      <c r="ACQ314" s="104"/>
      <c r="ACR314" s="104"/>
      <c r="ACS314" s="104"/>
      <c r="ACT314" s="104"/>
      <c r="ACU314" s="104"/>
      <c r="ACV314" s="104"/>
      <c r="ACW314" s="104"/>
      <c r="ACX314" s="104"/>
      <c r="ACY314" s="104"/>
      <c r="ACZ314" s="104"/>
      <c r="ADA314" s="104"/>
      <c r="ADB314" s="104"/>
      <c r="ADC314" s="104"/>
      <c r="ADD314" s="104"/>
      <c r="ADE314" s="104"/>
      <c r="ADF314" s="104"/>
      <c r="ADG314" s="104"/>
      <c r="ADH314" s="104"/>
      <c r="ADI314" s="104"/>
      <c r="ADJ314" s="104"/>
      <c r="ADK314" s="104"/>
      <c r="ADL314" s="104"/>
      <c r="ADM314" s="104"/>
      <c r="ADN314" s="104"/>
      <c r="ADO314" s="104"/>
      <c r="ADP314" s="104"/>
      <c r="ADQ314" s="104"/>
      <c r="ADR314" s="104"/>
      <c r="ADS314" s="104"/>
      <c r="ADT314" s="104"/>
      <c r="ADU314" s="104"/>
      <c r="ADV314" s="104"/>
      <c r="ADW314" s="104"/>
      <c r="ADX314" s="104"/>
      <c r="ADY314" s="104"/>
      <c r="ADZ314" s="104"/>
      <c r="AEA314" s="104"/>
      <c r="AEB314" s="104"/>
      <c r="AEC314" s="104"/>
      <c r="AED314" s="104"/>
      <c r="AEE314" s="104"/>
      <c r="AEF314" s="104"/>
      <c r="AEG314" s="104"/>
      <c r="AEH314" s="104"/>
      <c r="AEI314" s="104"/>
      <c r="AEJ314" s="104"/>
      <c r="AEK314" s="104"/>
      <c r="AEL314" s="104"/>
      <c r="AEM314" s="104"/>
      <c r="AEN314" s="104"/>
      <c r="AEO314" s="104"/>
      <c r="AEP314" s="104"/>
      <c r="AEQ314" s="104"/>
      <c r="AER314" s="104"/>
      <c r="AES314" s="104"/>
      <c r="AET314" s="104"/>
      <c r="AEU314" s="104"/>
      <c r="AEV314" s="104"/>
      <c r="AEW314" s="104"/>
      <c r="AEX314" s="104"/>
      <c r="AEY314" s="104"/>
      <c r="AEZ314" s="104"/>
      <c r="AFA314" s="104"/>
      <c r="AFB314" s="104"/>
      <c r="AFC314" s="104"/>
      <c r="AFD314" s="104"/>
      <c r="AFE314" s="104"/>
      <c r="AFF314" s="104"/>
      <c r="AFG314" s="104"/>
      <c r="AFH314" s="104"/>
      <c r="AFI314" s="104"/>
      <c r="AFJ314" s="104"/>
      <c r="AFK314" s="104"/>
      <c r="AFL314" s="104"/>
      <c r="AFM314" s="104"/>
      <c r="AFN314" s="104"/>
      <c r="AFO314" s="104"/>
      <c r="AFP314" s="104"/>
      <c r="AFQ314" s="104"/>
      <c r="AFR314" s="104"/>
      <c r="AFS314" s="104"/>
      <c r="AFT314" s="104"/>
      <c r="AFU314" s="104"/>
      <c r="AFV314" s="104"/>
      <c r="AFW314" s="104"/>
      <c r="AFX314" s="104"/>
      <c r="AFY314" s="104"/>
      <c r="AFZ314" s="104"/>
      <c r="AGA314" s="104"/>
      <c r="AGB314" s="104"/>
      <c r="AGC314" s="104"/>
      <c r="AGD314" s="104"/>
      <c r="AGE314" s="104"/>
      <c r="AGF314" s="104"/>
      <c r="AGG314" s="104"/>
      <c r="AGH314" s="104"/>
      <c r="AGI314" s="104"/>
      <c r="AGJ314" s="104"/>
      <c r="AGK314" s="104"/>
      <c r="AGL314" s="104"/>
      <c r="AGM314" s="104"/>
      <c r="AGN314" s="104"/>
      <c r="AGO314" s="104"/>
      <c r="AGP314" s="104"/>
      <c r="AGQ314" s="104"/>
      <c r="AGR314" s="104"/>
      <c r="AGS314" s="104"/>
      <c r="AGT314" s="104"/>
      <c r="AGU314" s="104"/>
      <c r="AGV314" s="104"/>
      <c r="AGW314" s="104"/>
      <c r="AGX314" s="104"/>
      <c r="AGY314" s="104"/>
      <c r="AGZ314" s="104"/>
      <c r="AHA314" s="104"/>
      <c r="AHB314" s="104"/>
      <c r="AHC314" s="104"/>
      <c r="AHD314" s="104"/>
      <c r="AHE314" s="104"/>
      <c r="AHF314" s="104"/>
      <c r="AHG314" s="104"/>
      <c r="AHH314" s="104"/>
      <c r="AHI314" s="104"/>
      <c r="AHJ314" s="104"/>
      <c r="AHK314" s="104"/>
      <c r="AHL314" s="104"/>
      <c r="AHM314" s="104"/>
      <c r="AHN314" s="104"/>
      <c r="AHO314" s="104"/>
      <c r="AHP314" s="104"/>
      <c r="AHQ314" s="104"/>
      <c r="AHR314" s="104"/>
      <c r="AHS314" s="104"/>
      <c r="AHT314" s="104"/>
      <c r="AHU314" s="104"/>
      <c r="AHV314" s="104"/>
      <c r="AHW314" s="104"/>
      <c r="AHX314" s="104"/>
      <c r="AHY314" s="104"/>
      <c r="AHZ314" s="104"/>
      <c r="AIA314" s="104"/>
      <c r="AIB314" s="104"/>
      <c r="AIC314" s="104"/>
      <c r="AID314" s="104"/>
      <c r="AIE314" s="104"/>
      <c r="AIF314" s="104"/>
      <c r="AIG314" s="104"/>
      <c r="AIH314" s="104"/>
      <c r="AII314" s="104"/>
      <c r="AIJ314" s="104"/>
      <c r="AIK314" s="104"/>
      <c r="AIL314" s="104"/>
      <c r="AIM314" s="104"/>
      <c r="AIN314" s="104"/>
      <c r="AIO314" s="104"/>
      <c r="AIP314" s="104"/>
      <c r="AIQ314" s="104"/>
      <c r="AIR314" s="104"/>
      <c r="AIS314" s="104"/>
      <c r="AIT314" s="104"/>
      <c r="AIU314" s="104"/>
      <c r="AIV314" s="104"/>
      <c r="AIW314" s="104"/>
      <c r="AIX314" s="104"/>
      <c r="AIY314" s="104"/>
      <c r="AIZ314" s="104"/>
      <c r="AJA314" s="104"/>
      <c r="AJB314" s="104"/>
      <c r="AJC314" s="104"/>
      <c r="AJD314" s="104"/>
      <c r="AJE314" s="104"/>
      <c r="AJF314" s="104"/>
      <c r="AJG314" s="104"/>
      <c r="AJH314" s="104"/>
      <c r="AJI314" s="104"/>
      <c r="AJJ314" s="104"/>
      <c r="AJK314" s="104"/>
      <c r="AJL314" s="104"/>
      <c r="AJM314" s="104"/>
      <c r="AJN314" s="104"/>
      <c r="AJO314" s="104"/>
      <c r="AJP314" s="104"/>
      <c r="AJQ314" s="104"/>
      <c r="AJR314" s="104"/>
      <c r="AJS314" s="104"/>
      <c r="AJT314" s="104"/>
      <c r="AJU314" s="104"/>
      <c r="AJV314" s="104"/>
      <c r="AJW314" s="104"/>
      <c r="AJX314" s="104"/>
      <c r="AJY314" s="104"/>
      <c r="AJZ314" s="104"/>
      <c r="AKA314" s="104"/>
      <c r="AKB314" s="104"/>
      <c r="AKC314" s="104"/>
      <c r="AKD314" s="104"/>
      <c r="AKE314" s="104"/>
      <c r="AKF314" s="104"/>
      <c r="AKG314" s="104"/>
      <c r="AKH314" s="104"/>
      <c r="AKI314" s="104"/>
      <c r="AKJ314" s="104"/>
      <c r="AKK314" s="104"/>
      <c r="AKL314" s="104"/>
      <c r="AKM314" s="104"/>
      <c r="AKN314" s="104"/>
      <c r="AKO314" s="104"/>
      <c r="AKP314" s="104"/>
      <c r="AKQ314" s="104"/>
      <c r="AKR314" s="104"/>
      <c r="AKS314" s="104"/>
      <c r="AKT314" s="104"/>
      <c r="AKU314" s="104"/>
      <c r="AKV314" s="104"/>
      <c r="AKW314" s="104"/>
      <c r="AKX314" s="104"/>
      <c r="AKY314" s="104"/>
      <c r="AKZ314" s="104"/>
      <c r="ALA314" s="104"/>
      <c r="ALB314" s="104"/>
      <c r="ALC314" s="104"/>
      <c r="ALD314" s="104"/>
      <c r="ALE314" s="104"/>
      <c r="ALF314" s="104"/>
      <c r="ALG314" s="104"/>
      <c r="ALH314" s="104"/>
      <c r="ALI314" s="104"/>
      <c r="ALJ314" s="104"/>
      <c r="ALK314" s="104"/>
      <c r="ALL314" s="104"/>
      <c r="ALM314" s="104"/>
      <c r="ALN314" s="104"/>
      <c r="ALO314" s="104"/>
      <c r="ALP314" s="104"/>
      <c r="ALQ314" s="104"/>
      <c r="ALR314" s="104"/>
      <c r="ALS314" s="104"/>
      <c r="ALT314" s="104"/>
      <c r="ALU314" s="104"/>
      <c r="ALV314" s="104"/>
      <c r="ALW314" s="104"/>
      <c r="ALX314" s="104"/>
      <c r="ALY314" s="104"/>
      <c r="ALZ314" s="104"/>
      <c r="AMA314" s="104"/>
      <c r="AMB314" s="104"/>
      <c r="AMC314" s="104"/>
      <c r="AMD314" s="104"/>
      <c r="AME314" s="104"/>
      <c r="AMF314" s="104"/>
      <c r="AMG314" s="104"/>
      <c r="AMH314" s="104"/>
      <c r="AMI314" s="104"/>
      <c r="AMJ314" s="104"/>
      <c r="AMK314" s="104"/>
      <c r="AML314" s="104"/>
      <c r="AMM314" s="104"/>
      <c r="AMN314" s="104"/>
      <c r="AMO314" s="104"/>
      <c r="AMP314" s="104"/>
      <c r="AMQ314" s="104"/>
      <c r="AMR314" s="104"/>
      <c r="AMS314" s="104"/>
      <c r="AMT314" s="104"/>
      <c r="AMU314" s="104"/>
      <c r="AMV314" s="104"/>
      <c r="AMW314" s="104"/>
      <c r="AMX314" s="104"/>
      <c r="AMY314" s="104"/>
      <c r="AMZ314" s="104"/>
      <c r="ANA314" s="104"/>
      <c r="ANB314" s="104"/>
      <c r="ANC314" s="104"/>
      <c r="AND314" s="104"/>
      <c r="ANE314" s="104"/>
      <c r="ANF314" s="104"/>
      <c r="ANG314" s="104"/>
      <c r="ANH314" s="104"/>
      <c r="ANI314" s="104"/>
      <c r="ANJ314" s="104"/>
      <c r="ANK314" s="104"/>
      <c r="ANL314" s="104"/>
      <c r="ANM314" s="104"/>
      <c r="ANN314" s="104"/>
      <c r="ANO314" s="104"/>
      <c r="ANP314" s="104"/>
      <c r="ANQ314" s="104"/>
      <c r="ANR314" s="104"/>
      <c r="ANS314" s="104"/>
      <c r="ANT314" s="104"/>
      <c r="ANU314" s="104"/>
      <c r="ANV314" s="104"/>
      <c r="ANW314" s="104"/>
      <c r="ANX314" s="104"/>
      <c r="ANY314" s="104"/>
      <c r="ANZ314" s="104"/>
      <c r="AOA314" s="104"/>
      <c r="AOB314" s="104"/>
      <c r="AOC314" s="104"/>
      <c r="AOD314" s="104"/>
      <c r="AOE314" s="104"/>
      <c r="AOF314" s="104"/>
      <c r="AOG314" s="104"/>
      <c r="AOH314" s="104"/>
      <c r="AOI314" s="104"/>
      <c r="AOJ314" s="104"/>
      <c r="AOK314" s="104"/>
      <c r="AOL314" s="104"/>
      <c r="AOM314" s="104"/>
      <c r="AON314" s="104"/>
      <c r="AOO314" s="104"/>
      <c r="AOP314" s="104"/>
      <c r="AOQ314" s="104"/>
      <c r="AOR314" s="104"/>
      <c r="AOS314" s="104"/>
      <c r="AOT314" s="104"/>
      <c r="AOU314" s="104"/>
      <c r="AOV314" s="104"/>
      <c r="AOW314" s="104"/>
      <c r="AOX314" s="104"/>
      <c r="AOY314" s="104"/>
      <c r="AOZ314" s="104"/>
      <c r="APA314" s="104"/>
      <c r="APB314" s="104"/>
      <c r="APC314" s="104"/>
      <c r="APD314" s="104"/>
      <c r="APE314" s="104"/>
      <c r="APF314" s="104"/>
      <c r="APG314" s="104"/>
      <c r="APH314" s="104"/>
      <c r="API314" s="104"/>
      <c r="APJ314" s="104"/>
      <c r="APK314" s="104"/>
      <c r="APL314" s="104"/>
      <c r="APM314" s="104"/>
      <c r="APN314" s="104"/>
      <c r="APO314" s="104"/>
      <c r="APP314" s="104"/>
      <c r="APQ314" s="104"/>
      <c r="APR314" s="104"/>
      <c r="APS314" s="104"/>
      <c r="APT314" s="104"/>
      <c r="APU314" s="104"/>
      <c r="APV314" s="104"/>
      <c r="APW314" s="104"/>
      <c r="APX314" s="104"/>
      <c r="APY314" s="104"/>
      <c r="APZ314" s="104"/>
      <c r="AQA314" s="104"/>
      <c r="AQB314" s="104"/>
      <c r="AQC314" s="104"/>
      <c r="AQD314" s="104"/>
      <c r="AQE314" s="104"/>
      <c r="AQF314" s="104"/>
      <c r="AQG314" s="104"/>
      <c r="AQH314" s="104"/>
      <c r="AQI314" s="104"/>
      <c r="AQJ314" s="104"/>
      <c r="AQK314" s="104"/>
      <c r="AQL314" s="104"/>
      <c r="AQM314" s="104"/>
      <c r="AQN314" s="104"/>
      <c r="AQO314" s="104"/>
      <c r="AQP314" s="104"/>
      <c r="AQQ314" s="104"/>
      <c r="AQR314" s="104"/>
      <c r="AQS314" s="104"/>
      <c r="AQT314" s="104"/>
      <c r="AQU314" s="104"/>
      <c r="AQV314" s="104"/>
      <c r="AQW314" s="104"/>
      <c r="AQX314" s="104"/>
      <c r="AQY314" s="104"/>
      <c r="AQZ314" s="104"/>
      <c r="ARA314" s="104"/>
      <c r="ARB314" s="104"/>
      <c r="ARC314" s="104"/>
      <c r="ARD314" s="104"/>
      <c r="ARE314" s="104"/>
      <c r="ARF314" s="104"/>
      <c r="ARG314" s="104"/>
      <c r="ARH314" s="104"/>
      <c r="ARI314" s="104"/>
      <c r="ARJ314" s="104"/>
      <c r="ARK314" s="104"/>
      <c r="ARL314" s="104"/>
      <c r="ARM314" s="104"/>
      <c r="ARN314" s="104"/>
      <c r="ARO314" s="104"/>
      <c r="ARP314" s="104"/>
      <c r="ARQ314" s="104"/>
      <c r="ARR314" s="104"/>
      <c r="ARS314" s="104"/>
      <c r="ART314" s="104"/>
      <c r="ARU314" s="104"/>
      <c r="ARV314" s="104"/>
      <c r="ARW314" s="104"/>
      <c r="ARX314" s="104"/>
      <c r="ARY314" s="104"/>
      <c r="ARZ314" s="104"/>
      <c r="ASA314" s="104"/>
      <c r="ASB314" s="104"/>
      <c r="ASC314" s="104"/>
      <c r="ASD314" s="104"/>
      <c r="ASE314" s="104"/>
      <c r="ASF314" s="104"/>
      <c r="ASG314" s="104"/>
      <c r="ASH314" s="104"/>
      <c r="ASI314" s="104"/>
      <c r="ASJ314" s="104"/>
      <c r="ASK314" s="104"/>
      <c r="ASL314" s="104"/>
      <c r="ASM314" s="104"/>
      <c r="ASN314" s="104"/>
      <c r="ASO314" s="104"/>
      <c r="ASP314" s="104"/>
      <c r="ASQ314" s="104"/>
      <c r="ASR314" s="104"/>
      <c r="ASS314" s="104"/>
      <c r="AST314" s="104"/>
      <c r="ASU314" s="104"/>
      <c r="ASV314" s="104"/>
      <c r="ASW314" s="104"/>
      <c r="ASX314" s="104"/>
      <c r="ASY314" s="104"/>
      <c r="ASZ314" s="104"/>
      <c r="ATA314" s="104"/>
      <c r="ATB314" s="104"/>
      <c r="ATC314" s="104"/>
      <c r="ATD314" s="104"/>
      <c r="ATE314" s="104"/>
      <c r="ATF314" s="104"/>
      <c r="ATG314" s="104"/>
      <c r="ATH314" s="104"/>
      <c r="ATI314" s="104"/>
      <c r="ATJ314" s="104"/>
      <c r="ATK314" s="104"/>
      <c r="ATL314" s="104"/>
      <c r="ATM314" s="104"/>
      <c r="ATN314" s="104"/>
      <c r="ATO314" s="104"/>
      <c r="ATP314" s="104"/>
      <c r="ATQ314" s="104"/>
      <c r="ATR314" s="104"/>
      <c r="ATS314" s="104"/>
      <c r="ATT314" s="104"/>
      <c r="ATU314" s="104"/>
      <c r="ATV314" s="104"/>
      <c r="ATW314" s="104"/>
      <c r="ATX314" s="104"/>
      <c r="ATY314" s="104"/>
      <c r="ATZ314" s="104"/>
      <c r="AUA314" s="104"/>
      <c r="AUB314" s="104"/>
      <c r="AUC314" s="104"/>
      <c r="AUD314" s="104"/>
      <c r="AUE314" s="104"/>
      <c r="AUF314" s="104"/>
      <c r="AUG314" s="104"/>
      <c r="AUH314" s="104"/>
      <c r="AUI314" s="104"/>
      <c r="AUJ314" s="104"/>
      <c r="AUK314" s="104"/>
      <c r="AUL314" s="104"/>
      <c r="AUM314" s="104"/>
      <c r="AUN314" s="104"/>
      <c r="AUO314" s="104"/>
      <c r="AUP314" s="104"/>
      <c r="AUQ314" s="104"/>
      <c r="AUR314" s="104"/>
      <c r="AUS314" s="104"/>
      <c r="AUT314" s="104"/>
      <c r="AUU314" s="104"/>
      <c r="AUV314" s="104"/>
      <c r="AUW314" s="104"/>
      <c r="AUX314" s="104"/>
      <c r="AUY314" s="104"/>
      <c r="AUZ314" s="104"/>
      <c r="AVA314" s="104"/>
      <c r="AVB314" s="104"/>
      <c r="AVC314" s="104"/>
      <c r="AVD314" s="104"/>
      <c r="AVE314" s="104"/>
      <c r="AVF314" s="104"/>
      <c r="AVG314" s="104"/>
      <c r="AVH314" s="104"/>
      <c r="AVI314" s="104"/>
      <c r="AVJ314" s="104"/>
      <c r="AVK314" s="104"/>
      <c r="AVL314" s="104"/>
      <c r="AVM314" s="104"/>
      <c r="AVN314" s="104"/>
      <c r="AVO314" s="104"/>
      <c r="AVP314" s="104"/>
      <c r="AVQ314" s="104"/>
      <c r="AVR314" s="104"/>
      <c r="AVS314" s="104"/>
      <c r="AVT314" s="104"/>
      <c r="AVU314" s="104"/>
      <c r="AVV314" s="104"/>
      <c r="AVW314" s="104"/>
      <c r="AVX314" s="104"/>
      <c r="AVY314" s="104"/>
      <c r="AVZ314" s="104"/>
      <c r="AWA314" s="104"/>
      <c r="AWB314" s="104"/>
      <c r="AWC314" s="104"/>
      <c r="AWD314" s="104"/>
      <c r="AWE314" s="104"/>
      <c r="AWF314" s="104"/>
      <c r="AWG314" s="104"/>
      <c r="AWH314" s="104"/>
      <c r="AWI314" s="104"/>
      <c r="AWJ314" s="104"/>
      <c r="AWK314" s="104"/>
      <c r="AWL314" s="104"/>
      <c r="AWM314" s="104"/>
      <c r="AWN314" s="104"/>
      <c r="AWO314" s="104"/>
      <c r="AWP314" s="104"/>
      <c r="AWQ314" s="104"/>
      <c r="AWR314" s="104"/>
      <c r="AWS314" s="104"/>
      <c r="AWT314" s="104"/>
      <c r="AWU314" s="104"/>
      <c r="AWV314" s="104"/>
      <c r="AWW314" s="104"/>
      <c r="AWX314" s="104"/>
      <c r="AWY314" s="104"/>
      <c r="AWZ314" s="104"/>
      <c r="AXA314" s="104"/>
      <c r="AXB314" s="104"/>
      <c r="AXC314" s="104"/>
      <c r="AXD314" s="104"/>
      <c r="AXE314" s="104"/>
      <c r="AXF314" s="104"/>
      <c r="AXG314" s="104"/>
      <c r="AXH314" s="104"/>
      <c r="AXI314" s="104"/>
      <c r="AXJ314" s="104"/>
      <c r="AXK314" s="104"/>
      <c r="AXL314" s="104"/>
      <c r="AXM314" s="104"/>
      <c r="AXN314" s="104"/>
      <c r="AXO314" s="104"/>
      <c r="AXP314" s="104"/>
      <c r="AXQ314" s="104"/>
      <c r="AXR314" s="104"/>
      <c r="AXS314" s="104"/>
      <c r="AXT314" s="104"/>
      <c r="AXU314" s="104"/>
      <c r="AXV314" s="104"/>
      <c r="AXW314" s="104"/>
      <c r="AXX314" s="104"/>
      <c r="AXY314" s="104"/>
      <c r="AXZ314" s="104"/>
      <c r="AYA314" s="104"/>
      <c r="AYB314" s="104"/>
      <c r="AYC314" s="104"/>
      <c r="AYD314" s="104"/>
      <c r="AYE314" s="104"/>
      <c r="AYF314" s="104"/>
      <c r="AYG314" s="104"/>
      <c r="AYH314" s="104"/>
      <c r="AYI314" s="104"/>
      <c r="AYJ314" s="104"/>
      <c r="AYK314" s="104"/>
      <c r="AYL314" s="104"/>
      <c r="AYM314" s="104"/>
      <c r="AYN314" s="104"/>
      <c r="AYO314" s="104"/>
      <c r="AYP314" s="104"/>
      <c r="AYQ314" s="104"/>
      <c r="AYR314" s="104"/>
      <c r="AYS314" s="104"/>
      <c r="AYT314" s="104"/>
      <c r="AYU314" s="104"/>
      <c r="AYV314" s="104"/>
      <c r="AYW314" s="104"/>
      <c r="AYX314" s="104"/>
      <c r="AYY314" s="104"/>
      <c r="AYZ314" s="104"/>
      <c r="AZA314" s="104"/>
      <c r="AZB314" s="104"/>
      <c r="AZC314" s="104"/>
      <c r="AZD314" s="104"/>
      <c r="AZE314" s="104"/>
      <c r="AZF314" s="104"/>
      <c r="AZG314" s="104"/>
      <c r="AZH314" s="104"/>
      <c r="AZI314" s="104"/>
      <c r="AZJ314" s="104"/>
      <c r="AZK314" s="104"/>
      <c r="AZL314" s="104"/>
      <c r="AZM314" s="104"/>
      <c r="AZN314" s="104"/>
      <c r="AZO314" s="104"/>
      <c r="AZP314" s="104"/>
      <c r="AZQ314" s="104"/>
      <c r="AZR314" s="104"/>
      <c r="AZS314" s="104"/>
      <c r="AZT314" s="104"/>
      <c r="AZU314" s="104"/>
      <c r="AZV314" s="104"/>
      <c r="AZW314" s="104"/>
      <c r="AZX314" s="104"/>
      <c r="AZY314" s="104"/>
      <c r="AZZ314" s="104"/>
      <c r="BAA314" s="104"/>
      <c r="BAB314" s="104"/>
      <c r="BAC314" s="104"/>
      <c r="BAD314" s="104"/>
      <c r="BAE314" s="104"/>
      <c r="BAF314" s="104"/>
      <c r="BAG314" s="104"/>
      <c r="BAH314" s="104"/>
      <c r="BAI314" s="104"/>
      <c r="BAJ314" s="104"/>
      <c r="BAK314" s="104"/>
      <c r="BAL314" s="104"/>
      <c r="BAM314" s="104"/>
      <c r="BAN314" s="104"/>
      <c r="BAO314" s="104"/>
      <c r="BAP314" s="104"/>
      <c r="BAQ314" s="104"/>
      <c r="BAR314" s="104"/>
      <c r="BAS314" s="104"/>
      <c r="BAT314" s="104"/>
      <c r="BAU314" s="104"/>
      <c r="BAV314" s="104"/>
      <c r="BAW314" s="104"/>
      <c r="BAX314" s="104"/>
      <c r="BAY314" s="104"/>
      <c r="BAZ314" s="104"/>
      <c r="BBA314" s="104"/>
      <c r="BBB314" s="104"/>
      <c r="BBC314" s="104"/>
      <c r="BBD314" s="104"/>
      <c r="BBE314" s="104"/>
      <c r="BBF314" s="104"/>
      <c r="BBG314" s="104"/>
      <c r="BBH314" s="104"/>
      <c r="BBI314" s="104"/>
      <c r="BBJ314" s="104"/>
      <c r="BBK314" s="104"/>
      <c r="BBL314" s="104"/>
      <c r="BBM314" s="104"/>
      <c r="BBN314" s="104"/>
      <c r="BBO314" s="104"/>
      <c r="BBP314" s="104"/>
      <c r="BBQ314" s="104"/>
      <c r="BBR314" s="104"/>
      <c r="BBS314" s="104"/>
      <c r="BBT314" s="104"/>
      <c r="BBU314" s="104"/>
      <c r="BBV314" s="104"/>
      <c r="BBW314" s="104"/>
      <c r="BBX314" s="104"/>
      <c r="BBY314" s="104"/>
      <c r="BBZ314" s="104"/>
      <c r="BCA314" s="104"/>
      <c r="BCB314" s="104"/>
      <c r="BCC314" s="104"/>
      <c r="BCD314" s="104"/>
      <c r="BCE314" s="104"/>
      <c r="BCF314" s="104"/>
      <c r="BCG314" s="104"/>
      <c r="BCH314" s="104"/>
      <c r="BCI314" s="104"/>
      <c r="BCJ314" s="104"/>
      <c r="BCK314" s="104"/>
      <c r="BCL314" s="104"/>
      <c r="BCM314" s="104"/>
      <c r="BCN314" s="104"/>
      <c r="BCO314" s="104"/>
      <c r="BCP314" s="104"/>
      <c r="BCQ314" s="104"/>
      <c r="BCR314" s="104"/>
      <c r="BCS314" s="104"/>
      <c r="BCT314" s="104"/>
      <c r="BCU314" s="104"/>
      <c r="BCV314" s="104"/>
      <c r="BCW314" s="104"/>
      <c r="BCX314" s="104"/>
      <c r="BCY314" s="104"/>
      <c r="BCZ314" s="104"/>
      <c r="BDA314" s="104"/>
      <c r="BDB314" s="104"/>
      <c r="BDC314" s="104"/>
      <c r="BDD314" s="104"/>
      <c r="BDE314" s="104"/>
      <c r="BDF314" s="104"/>
      <c r="BDG314" s="104"/>
      <c r="BDH314" s="104"/>
      <c r="BDI314" s="104"/>
      <c r="BDJ314" s="104"/>
      <c r="BDK314" s="104"/>
      <c r="BDL314" s="104"/>
      <c r="BDM314" s="104"/>
      <c r="BDN314" s="104"/>
      <c r="BDO314" s="104"/>
      <c r="BDP314" s="104"/>
      <c r="BDQ314" s="104"/>
      <c r="BDR314" s="104"/>
      <c r="BDS314" s="104"/>
      <c r="BDT314" s="104"/>
      <c r="BDU314" s="104"/>
      <c r="BDV314" s="104"/>
      <c r="BDW314" s="104"/>
      <c r="BDX314" s="104"/>
      <c r="BDY314" s="104"/>
      <c r="BDZ314" s="104"/>
      <c r="BEA314" s="104"/>
      <c r="BEB314" s="104"/>
      <c r="BEC314" s="104"/>
      <c r="BED314" s="104"/>
      <c r="BEE314" s="104"/>
      <c r="BEF314" s="104"/>
      <c r="BEG314" s="104"/>
      <c r="BEH314" s="104"/>
      <c r="BEI314" s="104"/>
      <c r="BEJ314" s="104"/>
      <c r="BEK314" s="104"/>
      <c r="BEL314" s="104"/>
      <c r="BEM314" s="104"/>
      <c r="BEN314" s="104"/>
      <c r="BEO314" s="104"/>
      <c r="BEP314" s="104"/>
      <c r="BEQ314" s="104"/>
      <c r="BER314" s="104"/>
      <c r="BES314" s="104"/>
      <c r="BET314" s="104"/>
      <c r="BEU314" s="104"/>
      <c r="BEV314" s="104"/>
      <c r="BEW314" s="104"/>
      <c r="BEX314" s="104"/>
      <c r="BEY314" s="104"/>
      <c r="BEZ314" s="104"/>
      <c r="BFA314" s="104"/>
      <c r="BFB314" s="104"/>
      <c r="BFC314" s="104"/>
      <c r="BFD314" s="104"/>
      <c r="BFE314" s="104"/>
      <c r="BFF314" s="104"/>
      <c r="BFG314" s="104"/>
      <c r="BFH314" s="104"/>
      <c r="BFI314" s="104"/>
      <c r="BFJ314" s="104"/>
      <c r="BFK314" s="104"/>
      <c r="BFL314" s="104"/>
      <c r="BFM314" s="104"/>
      <c r="BFN314" s="104"/>
      <c r="BFO314" s="104"/>
      <c r="BFP314" s="104"/>
      <c r="BFQ314" s="104"/>
      <c r="BFR314" s="104"/>
      <c r="BFS314" s="104"/>
      <c r="BFT314" s="104"/>
      <c r="BFU314" s="104"/>
      <c r="BFV314" s="104"/>
      <c r="BFW314" s="104"/>
      <c r="BFX314" s="104"/>
      <c r="BFY314" s="104"/>
      <c r="BFZ314" s="104"/>
      <c r="BGA314" s="104"/>
      <c r="BGB314" s="104"/>
      <c r="BGC314" s="104"/>
      <c r="BGD314" s="104"/>
      <c r="BGE314" s="104"/>
      <c r="BGF314" s="104"/>
      <c r="BGG314" s="104"/>
      <c r="BGH314" s="104"/>
      <c r="BGI314" s="104"/>
      <c r="BGJ314" s="104"/>
      <c r="BGK314" s="104"/>
      <c r="BGL314" s="104"/>
      <c r="BGM314" s="104"/>
      <c r="BGN314" s="104"/>
      <c r="BGO314" s="104"/>
      <c r="BGP314" s="104"/>
      <c r="BGQ314" s="104"/>
      <c r="BGR314" s="104"/>
      <c r="BGS314" s="104"/>
      <c r="BGT314" s="104"/>
      <c r="BGU314" s="104"/>
      <c r="BGV314" s="104"/>
      <c r="BGW314" s="104"/>
      <c r="BGX314" s="104"/>
      <c r="BGY314" s="104"/>
      <c r="BGZ314" s="104"/>
      <c r="BHA314" s="104"/>
      <c r="BHB314" s="104"/>
      <c r="BHC314" s="104"/>
      <c r="BHD314" s="104"/>
      <c r="BHE314" s="104"/>
      <c r="BHF314" s="104"/>
      <c r="BHG314" s="104"/>
      <c r="BHH314" s="104"/>
      <c r="BHI314" s="104"/>
      <c r="BHJ314" s="104"/>
      <c r="BHK314" s="104"/>
      <c r="BHL314" s="104"/>
      <c r="BHM314" s="104"/>
      <c r="BHN314" s="104"/>
      <c r="BHO314" s="104"/>
      <c r="BHP314" s="104"/>
      <c r="BHQ314" s="104"/>
      <c r="BHR314" s="104"/>
      <c r="BHS314" s="104"/>
      <c r="BHT314" s="104"/>
      <c r="BHU314" s="104"/>
      <c r="BHV314" s="104"/>
      <c r="BHW314" s="104"/>
      <c r="BHX314" s="104"/>
      <c r="BHY314" s="104"/>
      <c r="BHZ314" s="104"/>
      <c r="BIA314" s="104"/>
      <c r="BIB314" s="104"/>
      <c r="BIC314" s="104"/>
      <c r="BID314" s="104"/>
      <c r="BIE314" s="104"/>
      <c r="BIF314" s="104"/>
      <c r="BIG314" s="104"/>
      <c r="BIH314" s="104"/>
      <c r="BII314" s="104"/>
      <c r="BIJ314" s="104"/>
      <c r="BIK314" s="104"/>
      <c r="BIL314" s="104"/>
      <c r="BIM314" s="104"/>
      <c r="BIN314" s="104"/>
      <c r="BIO314" s="104"/>
      <c r="BIP314" s="104"/>
      <c r="BIQ314" s="104"/>
      <c r="BIR314" s="104"/>
      <c r="BIS314" s="104"/>
      <c r="BIT314" s="104"/>
      <c r="BIU314" s="104"/>
      <c r="BIV314" s="104"/>
      <c r="BIW314" s="104"/>
      <c r="BIX314" s="104"/>
      <c r="BIY314" s="104"/>
      <c r="BIZ314" s="104"/>
      <c r="BJA314" s="104"/>
      <c r="BJB314" s="104"/>
      <c r="BJC314" s="104"/>
      <c r="BJD314" s="104"/>
      <c r="BJE314" s="104"/>
      <c r="BJF314" s="104"/>
      <c r="BJG314" s="104"/>
      <c r="BJH314" s="104"/>
      <c r="BJI314" s="104"/>
      <c r="BJJ314" s="104"/>
      <c r="BJK314" s="104"/>
      <c r="BJL314" s="104"/>
      <c r="BJM314" s="104"/>
      <c r="BJN314" s="104"/>
      <c r="BJO314" s="104"/>
      <c r="BJP314" s="104"/>
      <c r="BJQ314" s="104"/>
      <c r="BJR314" s="104"/>
      <c r="BJS314" s="104"/>
      <c r="BJT314" s="104"/>
      <c r="BJU314" s="104"/>
      <c r="BJV314" s="104"/>
      <c r="BJW314" s="104"/>
      <c r="BJX314" s="104"/>
      <c r="BJY314" s="104"/>
      <c r="BJZ314" s="104"/>
      <c r="BKA314" s="104"/>
      <c r="BKB314" s="104"/>
      <c r="BKC314" s="104"/>
      <c r="BKD314" s="104"/>
      <c r="BKE314" s="104"/>
      <c r="BKF314" s="104"/>
      <c r="BKG314" s="104"/>
      <c r="BKH314" s="104"/>
      <c r="BKI314" s="104"/>
      <c r="BKJ314" s="104"/>
      <c r="BKK314" s="104"/>
      <c r="BKL314" s="104"/>
      <c r="BKM314" s="104"/>
      <c r="BKN314" s="104"/>
      <c r="BKO314" s="104"/>
      <c r="BKP314" s="104"/>
      <c r="BKQ314" s="104"/>
      <c r="BKR314" s="104"/>
      <c r="BKS314" s="104"/>
      <c r="BKT314" s="104"/>
      <c r="BKU314" s="104"/>
      <c r="BKV314" s="104"/>
      <c r="BKW314" s="104"/>
      <c r="BKX314" s="104"/>
      <c r="BKY314" s="104"/>
      <c r="BKZ314" s="104"/>
      <c r="BLA314" s="104"/>
      <c r="BLB314" s="104"/>
      <c r="BLC314" s="104"/>
      <c r="BLD314" s="104"/>
      <c r="BLE314" s="104"/>
      <c r="BLF314" s="104"/>
      <c r="BLG314" s="104"/>
      <c r="BLH314" s="104"/>
      <c r="BLI314" s="104"/>
      <c r="BLJ314" s="104"/>
      <c r="BLK314" s="104"/>
      <c r="BLL314" s="104"/>
      <c r="BLM314" s="104"/>
      <c r="BLN314" s="104"/>
      <c r="BLO314" s="104"/>
      <c r="BLP314" s="104"/>
      <c r="BLQ314" s="104"/>
      <c r="BLR314" s="104"/>
      <c r="BLS314" s="104"/>
      <c r="BLT314" s="104"/>
      <c r="BLU314" s="104"/>
      <c r="BLV314" s="104"/>
      <c r="BLW314" s="104"/>
      <c r="BLX314" s="104"/>
      <c r="BLY314" s="104"/>
      <c r="BLZ314" s="104"/>
      <c r="BMA314" s="104"/>
      <c r="BMB314" s="104"/>
      <c r="BMC314" s="104"/>
      <c r="BMD314" s="104"/>
      <c r="BME314" s="104"/>
      <c r="BMF314" s="104"/>
      <c r="BMG314" s="104"/>
      <c r="BMH314" s="104"/>
      <c r="BMI314" s="104"/>
      <c r="BMJ314" s="104"/>
      <c r="BMK314" s="104"/>
      <c r="BML314" s="104"/>
      <c r="BMM314" s="104"/>
      <c r="BMN314" s="104"/>
      <c r="BMO314" s="104"/>
      <c r="BMP314" s="104"/>
      <c r="BMQ314" s="104"/>
      <c r="BMR314" s="104"/>
      <c r="BMS314" s="104"/>
      <c r="BMT314" s="104"/>
      <c r="BMU314" s="104"/>
      <c r="BMV314" s="104"/>
      <c r="BMW314" s="104"/>
      <c r="BMX314" s="104"/>
      <c r="BMY314" s="104"/>
      <c r="BMZ314" s="104"/>
      <c r="BNA314" s="104"/>
      <c r="BNB314" s="104"/>
      <c r="BNC314" s="104"/>
      <c r="BND314" s="104"/>
      <c r="BNE314" s="104"/>
      <c r="BNF314" s="104"/>
      <c r="BNG314" s="104"/>
      <c r="BNH314" s="104"/>
      <c r="BNI314" s="104"/>
      <c r="BNJ314" s="104"/>
      <c r="BNK314" s="104"/>
      <c r="BNL314" s="104"/>
      <c r="BNM314" s="104"/>
      <c r="BNN314" s="104"/>
      <c r="BNO314" s="104"/>
      <c r="BNP314" s="104"/>
      <c r="BNQ314" s="104"/>
      <c r="BNR314" s="104"/>
      <c r="BNS314" s="104"/>
      <c r="BNT314" s="104"/>
      <c r="BNU314" s="104"/>
      <c r="BNV314" s="104"/>
      <c r="BNW314" s="104"/>
      <c r="BNX314" s="104"/>
      <c r="BNY314" s="104"/>
      <c r="BNZ314" s="104"/>
      <c r="BOA314" s="104"/>
      <c r="BOB314" s="104"/>
      <c r="BOC314" s="104"/>
      <c r="BOD314" s="104"/>
      <c r="BOE314" s="104"/>
      <c r="BOF314" s="104"/>
      <c r="BOG314" s="104"/>
      <c r="BOH314" s="104"/>
      <c r="BOI314" s="104"/>
      <c r="BOJ314" s="104"/>
      <c r="BOK314" s="104"/>
      <c r="BOL314" s="104"/>
      <c r="BOM314" s="104"/>
      <c r="BON314" s="104"/>
      <c r="BOO314" s="104"/>
      <c r="BOP314" s="104"/>
      <c r="BOQ314" s="104"/>
      <c r="BOR314" s="104"/>
      <c r="BOS314" s="104"/>
      <c r="BOT314" s="104"/>
      <c r="BOU314" s="104"/>
      <c r="BOV314" s="104"/>
      <c r="BOW314" s="104"/>
      <c r="BOX314" s="104"/>
      <c r="BOY314" s="104"/>
      <c r="BOZ314" s="104"/>
      <c r="BPA314" s="104"/>
      <c r="BPB314" s="104"/>
      <c r="BPC314" s="104"/>
      <c r="BPD314" s="104"/>
      <c r="BPE314" s="104"/>
      <c r="BPF314" s="104"/>
      <c r="BPG314" s="104"/>
      <c r="BPH314" s="104"/>
      <c r="BPI314" s="104"/>
      <c r="BPJ314" s="104"/>
      <c r="BPK314" s="104"/>
      <c r="BPL314" s="104"/>
      <c r="BPM314" s="104"/>
      <c r="BPN314" s="104"/>
      <c r="BPO314" s="104"/>
      <c r="BPP314" s="104"/>
      <c r="BPQ314" s="104"/>
      <c r="BPR314" s="104"/>
      <c r="BPS314" s="104"/>
      <c r="BPT314" s="104"/>
      <c r="BPU314" s="104"/>
      <c r="BPV314" s="104"/>
      <c r="BPW314" s="104"/>
      <c r="BPX314" s="104"/>
      <c r="BPY314" s="104"/>
      <c r="BPZ314" s="104"/>
      <c r="BQA314" s="104"/>
      <c r="BQB314" s="104"/>
      <c r="BQC314" s="104"/>
      <c r="BQD314" s="104"/>
      <c r="BQE314" s="104"/>
      <c r="BQF314" s="104"/>
      <c r="BQG314" s="104"/>
      <c r="BQH314" s="104"/>
      <c r="BQI314" s="104"/>
      <c r="BQJ314" s="104"/>
      <c r="BQK314" s="104"/>
      <c r="BQL314" s="104"/>
      <c r="BQM314" s="104"/>
      <c r="BQN314" s="104"/>
      <c r="BQO314" s="104"/>
      <c r="BQP314" s="104"/>
      <c r="BQQ314" s="104"/>
      <c r="BQR314" s="104"/>
      <c r="BQS314" s="104"/>
      <c r="BQT314" s="104"/>
      <c r="BQU314" s="104"/>
      <c r="BQV314" s="104"/>
      <c r="BQW314" s="104"/>
      <c r="BQX314" s="104"/>
      <c r="BQY314" s="104"/>
      <c r="BQZ314" s="104"/>
      <c r="BRA314" s="104"/>
      <c r="BRB314" s="104"/>
      <c r="BRC314" s="104"/>
      <c r="BRD314" s="104"/>
      <c r="BRE314" s="104"/>
      <c r="BRF314" s="104"/>
      <c r="BRG314" s="104"/>
      <c r="BRH314" s="104"/>
      <c r="BRI314" s="104"/>
      <c r="BRJ314" s="104"/>
      <c r="BRK314" s="104"/>
      <c r="BRL314" s="104"/>
      <c r="BRM314" s="104"/>
      <c r="BRN314" s="104"/>
      <c r="BRO314" s="104"/>
      <c r="BRP314" s="104"/>
      <c r="BRQ314" s="104"/>
      <c r="BRR314" s="104"/>
      <c r="BRS314" s="104"/>
      <c r="BRT314" s="104"/>
      <c r="BRU314" s="104"/>
      <c r="BRV314" s="104"/>
      <c r="BRW314" s="104"/>
      <c r="BRX314" s="104"/>
      <c r="BRY314" s="104"/>
      <c r="BRZ314" s="104"/>
      <c r="BSA314" s="104"/>
      <c r="BSB314" s="104"/>
      <c r="BSC314" s="104"/>
      <c r="BSD314" s="104"/>
      <c r="BSE314" s="104"/>
      <c r="BSF314" s="104"/>
      <c r="BSG314" s="104"/>
      <c r="BSH314" s="104"/>
      <c r="BSI314" s="104"/>
      <c r="BSJ314" s="104"/>
      <c r="BSK314" s="104"/>
      <c r="BSL314" s="104"/>
      <c r="BSM314" s="104"/>
      <c r="BSN314" s="104"/>
      <c r="BSO314" s="104"/>
      <c r="BSP314" s="104"/>
      <c r="BSQ314" s="104"/>
      <c r="BSR314" s="104"/>
      <c r="BSS314" s="104"/>
      <c r="BST314" s="104"/>
      <c r="BSU314" s="104"/>
      <c r="BSV314" s="104"/>
      <c r="BSW314" s="104"/>
      <c r="BSX314" s="104"/>
      <c r="BSY314" s="104"/>
      <c r="BSZ314" s="104"/>
      <c r="BTA314" s="104"/>
      <c r="BTB314" s="104"/>
      <c r="BTC314" s="104"/>
      <c r="BTD314" s="104"/>
      <c r="BTE314" s="104"/>
      <c r="BTF314" s="104"/>
      <c r="BTG314" s="104"/>
      <c r="BTH314" s="104"/>
      <c r="BTI314" s="104"/>
      <c r="BTJ314" s="104"/>
      <c r="BTK314" s="104"/>
      <c r="BTL314" s="104"/>
      <c r="BTM314" s="104"/>
      <c r="BTN314" s="104"/>
      <c r="BTO314" s="104"/>
      <c r="BTP314" s="104"/>
      <c r="BTQ314" s="104"/>
      <c r="BTR314" s="104"/>
      <c r="BTS314" s="104"/>
      <c r="BTT314" s="104"/>
      <c r="BTU314" s="104"/>
      <c r="BTV314" s="104"/>
      <c r="BTW314" s="104"/>
      <c r="BTX314" s="104"/>
      <c r="BTY314" s="104"/>
      <c r="BTZ314" s="104"/>
      <c r="BUA314" s="104"/>
      <c r="BUB314" s="104"/>
      <c r="BUC314" s="104"/>
      <c r="BUD314" s="104"/>
      <c r="BUE314" s="104"/>
      <c r="BUF314" s="104"/>
      <c r="BUG314" s="104"/>
      <c r="BUH314" s="104"/>
      <c r="BUI314" s="104"/>
      <c r="BUJ314" s="104"/>
      <c r="BUK314" s="104"/>
      <c r="BUL314" s="104"/>
      <c r="BUM314" s="104"/>
      <c r="BUN314" s="104"/>
      <c r="BUO314" s="104"/>
      <c r="BUP314" s="104"/>
      <c r="BUQ314" s="104"/>
      <c r="BUR314" s="104"/>
      <c r="BUS314" s="104"/>
      <c r="BUT314" s="104"/>
      <c r="BUU314" s="104"/>
      <c r="BUV314" s="104"/>
      <c r="BUW314" s="104"/>
      <c r="BUX314" s="104"/>
      <c r="BUY314" s="104"/>
      <c r="BUZ314" s="104"/>
      <c r="BVA314" s="104"/>
      <c r="BVB314" s="104"/>
      <c r="BVC314" s="104"/>
      <c r="BVD314" s="104"/>
      <c r="BVE314" s="104"/>
      <c r="BVF314" s="104"/>
      <c r="BVG314" s="104"/>
      <c r="BVH314" s="104"/>
      <c r="BVI314" s="104"/>
      <c r="BVJ314" s="104"/>
      <c r="BVK314" s="104"/>
      <c r="BVL314" s="104"/>
      <c r="BVM314" s="104"/>
      <c r="BVN314" s="104"/>
      <c r="BVO314" s="104"/>
      <c r="BVP314" s="104"/>
      <c r="BVQ314" s="104"/>
      <c r="BVR314" s="104"/>
      <c r="BVS314" s="104"/>
      <c r="BVT314" s="104"/>
      <c r="BVU314" s="104"/>
      <c r="BVV314" s="104"/>
      <c r="BVW314" s="104"/>
      <c r="BVX314" s="104"/>
      <c r="BVY314" s="104"/>
      <c r="BVZ314" s="104"/>
      <c r="BWA314" s="104"/>
      <c r="BWB314" s="104"/>
      <c r="BWC314" s="104"/>
      <c r="BWD314" s="104"/>
      <c r="BWE314" s="104"/>
      <c r="BWF314" s="104"/>
      <c r="BWG314" s="104"/>
      <c r="BWH314" s="104"/>
      <c r="BWI314" s="104"/>
      <c r="BWJ314" s="104"/>
      <c r="BWK314" s="104"/>
      <c r="BWL314" s="104"/>
      <c r="BWM314" s="104"/>
      <c r="BWN314" s="104"/>
      <c r="BWO314" s="104"/>
      <c r="BWP314" s="104"/>
      <c r="BWQ314" s="104"/>
      <c r="BWR314" s="104"/>
      <c r="BWS314" s="104"/>
      <c r="BWT314" s="104"/>
      <c r="BWU314" s="104"/>
      <c r="BWV314" s="104"/>
      <c r="BWW314" s="104"/>
      <c r="BWX314" s="104"/>
      <c r="BWY314" s="104"/>
      <c r="BWZ314" s="104"/>
      <c r="BXA314" s="104"/>
      <c r="BXB314" s="104"/>
      <c r="BXC314" s="104"/>
      <c r="BXD314" s="104"/>
      <c r="BXE314" s="104"/>
      <c r="BXF314" s="104"/>
      <c r="BXG314" s="104"/>
      <c r="BXH314" s="104"/>
      <c r="BXI314" s="104"/>
      <c r="BXJ314" s="104"/>
      <c r="BXK314" s="104"/>
      <c r="BXL314" s="104"/>
      <c r="BXM314" s="104"/>
      <c r="BXN314" s="104"/>
      <c r="BXO314" s="104"/>
      <c r="BXP314" s="104"/>
      <c r="BXQ314" s="104"/>
      <c r="BXR314" s="104"/>
      <c r="BXS314" s="104"/>
      <c r="BXT314" s="104"/>
      <c r="BXU314" s="104"/>
      <c r="BXV314" s="104"/>
      <c r="BXW314" s="104"/>
      <c r="BXX314" s="104"/>
      <c r="BXY314" s="104"/>
      <c r="BXZ314" s="104"/>
      <c r="BYA314" s="104"/>
      <c r="BYB314" s="104"/>
      <c r="BYC314" s="104"/>
      <c r="BYD314" s="104"/>
      <c r="BYE314" s="104"/>
      <c r="BYF314" s="104"/>
      <c r="BYG314" s="104"/>
      <c r="BYH314" s="104"/>
      <c r="BYI314" s="104"/>
      <c r="BYJ314" s="104"/>
      <c r="BYK314" s="104"/>
      <c r="BYL314" s="104"/>
      <c r="BYM314" s="104"/>
      <c r="BYN314" s="104"/>
      <c r="BYO314" s="104"/>
      <c r="BYP314" s="104"/>
      <c r="BYQ314" s="104"/>
      <c r="BYR314" s="104"/>
      <c r="BYS314" s="104"/>
      <c r="BYT314" s="104"/>
      <c r="BYU314" s="104"/>
      <c r="BYV314" s="104"/>
      <c r="BYW314" s="104"/>
      <c r="BYX314" s="104"/>
      <c r="BYY314" s="104"/>
      <c r="BYZ314" s="104"/>
      <c r="BZA314" s="104"/>
      <c r="BZB314" s="104"/>
      <c r="BZC314" s="104"/>
      <c r="BZD314" s="104"/>
      <c r="BZE314" s="104"/>
      <c r="BZF314" s="104"/>
      <c r="BZG314" s="104"/>
      <c r="BZH314" s="104"/>
      <c r="BZI314" s="104"/>
      <c r="BZJ314" s="104"/>
      <c r="BZK314" s="104"/>
      <c r="BZL314" s="104"/>
      <c r="BZM314" s="104"/>
      <c r="BZN314" s="104"/>
      <c r="BZO314" s="104"/>
      <c r="BZP314" s="104"/>
      <c r="BZQ314" s="104"/>
      <c r="BZR314" s="104"/>
      <c r="BZS314" s="104"/>
      <c r="BZT314" s="104"/>
      <c r="BZU314" s="104"/>
      <c r="BZV314" s="104"/>
      <c r="BZW314" s="104"/>
      <c r="BZX314" s="104"/>
      <c r="BZY314" s="104"/>
      <c r="BZZ314" s="104"/>
      <c r="CAA314" s="104"/>
      <c r="CAB314" s="104"/>
      <c r="CAC314" s="104"/>
      <c r="CAD314" s="104"/>
      <c r="CAE314" s="104"/>
      <c r="CAF314" s="104"/>
      <c r="CAG314" s="104"/>
      <c r="CAH314" s="104"/>
      <c r="CAI314" s="104"/>
      <c r="CAJ314" s="104"/>
      <c r="CAK314" s="104"/>
      <c r="CAL314" s="104"/>
      <c r="CAM314" s="104"/>
      <c r="CAN314" s="104"/>
      <c r="CAO314" s="104"/>
      <c r="CAP314" s="104"/>
      <c r="CAQ314" s="104"/>
      <c r="CAR314" s="104"/>
      <c r="CAS314" s="104"/>
      <c r="CAT314" s="104"/>
      <c r="CAU314" s="104"/>
      <c r="CAV314" s="104"/>
      <c r="CAW314" s="104"/>
      <c r="CAX314" s="104"/>
      <c r="CAY314" s="104"/>
      <c r="CAZ314" s="104"/>
      <c r="CBA314" s="104"/>
      <c r="CBB314" s="104"/>
      <c r="CBC314" s="104"/>
      <c r="CBD314" s="104"/>
      <c r="CBE314" s="104"/>
      <c r="CBF314" s="104"/>
      <c r="CBG314" s="104"/>
      <c r="CBH314" s="104"/>
      <c r="CBI314" s="104"/>
      <c r="CBJ314" s="104"/>
      <c r="CBK314" s="104"/>
      <c r="CBL314" s="104"/>
      <c r="CBM314" s="104"/>
      <c r="CBN314" s="104"/>
      <c r="CBO314" s="104"/>
      <c r="CBP314" s="104"/>
      <c r="CBQ314" s="104"/>
      <c r="CBR314" s="104"/>
      <c r="CBS314" s="104"/>
      <c r="CBT314" s="104"/>
      <c r="CBU314" s="104"/>
      <c r="CBV314" s="104"/>
      <c r="CBW314" s="104"/>
      <c r="CBX314" s="104"/>
      <c r="CBY314" s="104"/>
      <c r="CBZ314" s="104"/>
      <c r="CCA314" s="104"/>
      <c r="CCB314" s="104"/>
      <c r="CCC314" s="104"/>
      <c r="CCD314" s="104"/>
      <c r="CCE314" s="104"/>
      <c r="CCF314" s="104"/>
      <c r="CCG314" s="104"/>
      <c r="CCH314" s="104"/>
      <c r="CCI314" s="104"/>
      <c r="CCJ314" s="104"/>
      <c r="CCK314" s="104"/>
      <c r="CCL314" s="104"/>
      <c r="CCM314" s="104"/>
      <c r="CCN314" s="104"/>
      <c r="CCO314" s="104"/>
      <c r="CCP314" s="104"/>
      <c r="CCQ314" s="104"/>
      <c r="CCR314" s="104"/>
      <c r="CCS314" s="104"/>
      <c r="CCT314" s="104"/>
      <c r="CCU314" s="104"/>
      <c r="CCV314" s="104"/>
      <c r="CCW314" s="104"/>
      <c r="CCX314" s="104"/>
      <c r="CCY314" s="104"/>
      <c r="CCZ314" s="104"/>
      <c r="CDA314" s="104"/>
      <c r="CDB314" s="104"/>
      <c r="CDC314" s="104"/>
      <c r="CDD314" s="104"/>
      <c r="CDE314" s="104"/>
      <c r="CDF314" s="104"/>
      <c r="CDG314" s="104"/>
      <c r="CDH314" s="104"/>
      <c r="CDI314" s="104"/>
      <c r="CDJ314" s="104"/>
      <c r="CDK314" s="104"/>
      <c r="CDL314" s="104"/>
      <c r="CDM314" s="104"/>
      <c r="CDN314" s="104"/>
      <c r="CDO314" s="104"/>
      <c r="CDP314" s="104"/>
      <c r="CDQ314" s="104"/>
      <c r="CDR314" s="104"/>
      <c r="CDS314" s="104"/>
      <c r="CDT314" s="104"/>
      <c r="CDU314" s="104"/>
      <c r="CDV314" s="104"/>
      <c r="CDW314" s="104"/>
      <c r="CDX314" s="104"/>
      <c r="CDY314" s="104"/>
      <c r="CDZ314" s="104"/>
      <c r="CEA314" s="104"/>
      <c r="CEB314" s="104"/>
      <c r="CEC314" s="104"/>
      <c r="CED314" s="104"/>
      <c r="CEE314" s="104"/>
      <c r="CEF314" s="104"/>
      <c r="CEG314" s="104"/>
      <c r="CEH314" s="104"/>
      <c r="CEI314" s="104"/>
      <c r="CEJ314" s="104"/>
      <c r="CEK314" s="104"/>
      <c r="CEL314" s="104"/>
      <c r="CEM314" s="104"/>
      <c r="CEN314" s="104"/>
      <c r="CEO314" s="104"/>
      <c r="CEP314" s="104"/>
      <c r="CEQ314" s="104"/>
      <c r="CER314" s="104"/>
      <c r="CES314" s="104"/>
      <c r="CET314" s="104"/>
      <c r="CEU314" s="104"/>
      <c r="CEV314" s="104"/>
      <c r="CEW314" s="104"/>
      <c r="CEX314" s="104"/>
      <c r="CEY314" s="104"/>
      <c r="CEZ314" s="104"/>
      <c r="CFA314" s="104"/>
      <c r="CFB314" s="104"/>
      <c r="CFC314" s="104"/>
      <c r="CFD314" s="104"/>
      <c r="CFE314" s="104"/>
      <c r="CFF314" s="104"/>
      <c r="CFG314" s="104"/>
      <c r="CFH314" s="104"/>
      <c r="CFI314" s="104"/>
      <c r="CFJ314" s="104"/>
      <c r="CFK314" s="104"/>
      <c r="CFL314" s="104"/>
      <c r="CFM314" s="104"/>
      <c r="CFN314" s="104"/>
      <c r="CFO314" s="104"/>
      <c r="CFP314" s="104"/>
      <c r="CFQ314" s="104"/>
      <c r="CFR314" s="104"/>
      <c r="CFS314" s="104"/>
      <c r="CFT314" s="104"/>
      <c r="CFU314" s="104"/>
      <c r="CFV314" s="104"/>
      <c r="CFW314" s="104"/>
      <c r="CFX314" s="104"/>
      <c r="CFY314" s="104"/>
      <c r="CFZ314" s="104"/>
      <c r="CGA314" s="104"/>
      <c r="CGB314" s="104"/>
      <c r="CGC314" s="104"/>
      <c r="CGD314" s="104"/>
      <c r="CGE314" s="104"/>
      <c r="CGF314" s="104"/>
      <c r="CGG314" s="104"/>
      <c r="CGH314" s="104"/>
      <c r="CGI314" s="104"/>
      <c r="CGJ314" s="104"/>
      <c r="CGK314" s="104"/>
      <c r="CGL314" s="104"/>
      <c r="CGM314" s="104"/>
      <c r="CGN314" s="104"/>
      <c r="CGO314" s="104"/>
      <c r="CGP314" s="104"/>
      <c r="CGQ314" s="104"/>
      <c r="CGR314" s="104"/>
      <c r="CGS314" s="104"/>
      <c r="CGT314" s="104"/>
      <c r="CGU314" s="104"/>
      <c r="CGV314" s="104"/>
      <c r="CGW314" s="104"/>
      <c r="CGX314" s="104"/>
      <c r="CGY314" s="104"/>
      <c r="CGZ314" s="104"/>
      <c r="CHA314" s="104"/>
      <c r="CHB314" s="104"/>
      <c r="CHC314" s="104"/>
      <c r="CHD314" s="104"/>
      <c r="CHE314" s="104"/>
      <c r="CHF314" s="104"/>
      <c r="CHG314" s="104"/>
      <c r="CHH314" s="104"/>
      <c r="CHI314" s="104"/>
      <c r="CHJ314" s="104"/>
      <c r="CHK314" s="104"/>
      <c r="CHL314" s="104"/>
      <c r="CHM314" s="104"/>
      <c r="CHN314" s="104"/>
      <c r="CHO314" s="104"/>
      <c r="CHP314" s="104"/>
      <c r="CHQ314" s="104"/>
      <c r="CHR314" s="104"/>
      <c r="CHS314" s="104"/>
      <c r="CHT314" s="104"/>
      <c r="CHU314" s="104"/>
      <c r="CHV314" s="104"/>
      <c r="CHW314" s="104"/>
      <c r="CHX314" s="104"/>
      <c r="CHY314" s="104"/>
      <c r="CHZ314" s="104"/>
      <c r="CIA314" s="104"/>
      <c r="CIB314" s="104"/>
      <c r="CIC314" s="104"/>
      <c r="CID314" s="104"/>
      <c r="CIE314" s="104"/>
      <c r="CIF314" s="104"/>
      <c r="CIG314" s="104"/>
      <c r="CIH314" s="104"/>
      <c r="CII314" s="104"/>
      <c r="CIJ314" s="104"/>
      <c r="CIK314" s="104"/>
      <c r="CIL314" s="104"/>
      <c r="CIM314" s="104"/>
      <c r="CIN314" s="104"/>
      <c r="CIO314" s="104"/>
      <c r="CIP314" s="104"/>
      <c r="CIQ314" s="104"/>
      <c r="CIR314" s="104"/>
      <c r="CIS314" s="104"/>
      <c r="CIT314" s="104"/>
      <c r="CIU314" s="104"/>
      <c r="CIV314" s="104"/>
      <c r="CIW314" s="104"/>
      <c r="CIX314" s="104"/>
      <c r="CIY314" s="104"/>
      <c r="CIZ314" s="104"/>
      <c r="CJA314" s="104"/>
      <c r="CJB314" s="104"/>
      <c r="CJC314" s="104"/>
      <c r="CJD314" s="104"/>
      <c r="CJE314" s="104"/>
      <c r="CJF314" s="104"/>
      <c r="CJG314" s="104"/>
      <c r="CJH314" s="104"/>
      <c r="CJI314" s="104"/>
      <c r="CJJ314" s="104"/>
      <c r="CJK314" s="104"/>
      <c r="CJL314" s="104"/>
      <c r="CJM314" s="104"/>
      <c r="CJN314" s="104"/>
      <c r="CJO314" s="104"/>
      <c r="CJP314" s="104"/>
      <c r="CJQ314" s="104"/>
      <c r="CJR314" s="104"/>
      <c r="CJS314" s="104"/>
      <c r="CJT314" s="104"/>
      <c r="CJU314" s="104"/>
      <c r="CJV314" s="104"/>
      <c r="CJW314" s="104"/>
      <c r="CJX314" s="104"/>
      <c r="CJY314" s="104"/>
      <c r="CJZ314" s="104"/>
      <c r="CKA314" s="104"/>
      <c r="CKB314" s="104"/>
      <c r="CKC314" s="104"/>
      <c r="CKD314" s="104"/>
      <c r="CKE314" s="104"/>
      <c r="CKF314" s="104"/>
      <c r="CKG314" s="104"/>
      <c r="CKH314" s="104"/>
      <c r="CKI314" s="104"/>
      <c r="CKJ314" s="104"/>
      <c r="CKK314" s="104"/>
      <c r="CKL314" s="104"/>
      <c r="CKM314" s="104"/>
      <c r="CKN314" s="104"/>
      <c r="CKO314" s="104"/>
      <c r="CKP314" s="104"/>
      <c r="CKQ314" s="104"/>
      <c r="CKR314" s="104"/>
      <c r="CKS314" s="104"/>
      <c r="CKT314" s="104"/>
      <c r="CKU314" s="104"/>
      <c r="CKV314" s="104"/>
      <c r="CKW314" s="104"/>
      <c r="CKX314" s="104"/>
      <c r="CKY314" s="104"/>
      <c r="CKZ314" s="104"/>
      <c r="CLA314" s="104"/>
      <c r="CLB314" s="104"/>
      <c r="CLC314" s="104"/>
      <c r="CLD314" s="104"/>
      <c r="CLE314" s="104"/>
      <c r="CLF314" s="104"/>
      <c r="CLG314" s="104"/>
      <c r="CLH314" s="104"/>
      <c r="CLI314" s="104"/>
      <c r="CLJ314" s="104"/>
      <c r="CLK314" s="104"/>
      <c r="CLL314" s="104"/>
      <c r="CLM314" s="104"/>
      <c r="CLN314" s="104"/>
      <c r="CLO314" s="104"/>
      <c r="CLP314" s="104"/>
      <c r="CLQ314" s="104"/>
      <c r="CLR314" s="104"/>
      <c r="CLS314" s="104"/>
      <c r="CLT314" s="104"/>
      <c r="CLU314" s="104"/>
      <c r="CLV314" s="104"/>
      <c r="CLW314" s="104"/>
      <c r="CLX314" s="104"/>
      <c r="CLY314" s="104"/>
      <c r="CLZ314" s="104"/>
      <c r="CMA314" s="104"/>
      <c r="CMB314" s="104"/>
      <c r="CMC314" s="104"/>
      <c r="CMD314" s="104"/>
      <c r="CME314" s="104"/>
      <c r="CMF314" s="104"/>
      <c r="CMG314" s="104"/>
      <c r="CMH314" s="104"/>
      <c r="CMI314" s="104"/>
      <c r="CMJ314" s="104"/>
      <c r="CMK314" s="104"/>
      <c r="CML314" s="104"/>
      <c r="CMM314" s="104"/>
      <c r="CMN314" s="104"/>
      <c r="CMO314" s="104"/>
      <c r="CMP314" s="104"/>
      <c r="CMQ314" s="104"/>
      <c r="CMR314" s="104"/>
      <c r="CMS314" s="104"/>
      <c r="CMT314" s="104"/>
      <c r="CMU314" s="104"/>
      <c r="CMV314" s="104"/>
      <c r="CMW314" s="104"/>
      <c r="CMX314" s="104"/>
      <c r="CMY314" s="104"/>
      <c r="CMZ314" s="104"/>
      <c r="CNA314" s="104"/>
      <c r="CNB314" s="104"/>
      <c r="CNC314" s="104"/>
      <c r="CND314" s="104"/>
      <c r="CNE314" s="104"/>
      <c r="CNF314" s="104"/>
      <c r="CNG314" s="104"/>
      <c r="CNH314" s="104"/>
      <c r="CNI314" s="104"/>
      <c r="CNJ314" s="104"/>
      <c r="CNK314" s="104"/>
      <c r="CNL314" s="104"/>
      <c r="CNM314" s="104"/>
      <c r="CNN314" s="104"/>
      <c r="CNO314" s="104"/>
      <c r="CNP314" s="104"/>
      <c r="CNQ314" s="104"/>
      <c r="CNR314" s="104"/>
      <c r="CNS314" s="104"/>
      <c r="CNT314" s="104"/>
      <c r="CNU314" s="104"/>
      <c r="CNV314" s="104"/>
      <c r="CNW314" s="104"/>
      <c r="CNX314" s="104"/>
      <c r="CNY314" s="104"/>
      <c r="CNZ314" s="104"/>
      <c r="COA314" s="104"/>
      <c r="COB314" s="104"/>
      <c r="COC314" s="104"/>
      <c r="COD314" s="104"/>
      <c r="COE314" s="104"/>
      <c r="COF314" s="104"/>
      <c r="COG314" s="104"/>
      <c r="COH314" s="104"/>
      <c r="COI314" s="104"/>
      <c r="COJ314" s="104"/>
      <c r="COK314" s="104"/>
      <c r="COL314" s="104"/>
      <c r="COM314" s="104"/>
      <c r="CON314" s="104"/>
      <c r="COO314" s="104"/>
      <c r="COP314" s="104"/>
      <c r="COQ314" s="104"/>
      <c r="COR314" s="104"/>
      <c r="COS314" s="104"/>
      <c r="COT314" s="104"/>
      <c r="COU314" s="104"/>
      <c r="COV314" s="104"/>
      <c r="COW314" s="104"/>
      <c r="COX314" s="104"/>
      <c r="COY314" s="104"/>
      <c r="COZ314" s="104"/>
      <c r="CPA314" s="104"/>
      <c r="CPB314" s="104"/>
      <c r="CPC314" s="104"/>
      <c r="CPD314" s="104"/>
      <c r="CPE314" s="104"/>
      <c r="CPF314" s="104"/>
      <c r="CPG314" s="104"/>
      <c r="CPH314" s="104"/>
      <c r="CPI314" s="104"/>
      <c r="CPJ314" s="104"/>
      <c r="CPK314" s="104"/>
      <c r="CPL314" s="104"/>
      <c r="CPM314" s="104"/>
      <c r="CPN314" s="104"/>
      <c r="CPO314" s="104"/>
      <c r="CPP314" s="104"/>
      <c r="CPQ314" s="104"/>
      <c r="CPR314" s="104"/>
      <c r="CPS314" s="104"/>
      <c r="CPT314" s="104"/>
      <c r="CPU314" s="104"/>
      <c r="CPV314" s="104"/>
      <c r="CPW314" s="104"/>
      <c r="CPX314" s="104"/>
      <c r="CPY314" s="104"/>
      <c r="CPZ314" s="104"/>
      <c r="CQA314" s="104"/>
      <c r="CQB314" s="104"/>
      <c r="CQC314" s="104"/>
      <c r="CQD314" s="104"/>
      <c r="CQE314" s="104"/>
      <c r="CQF314" s="104"/>
      <c r="CQG314" s="104"/>
      <c r="CQH314" s="104"/>
      <c r="CQI314" s="104"/>
      <c r="CQJ314" s="104"/>
      <c r="CQK314" s="104"/>
      <c r="CQL314" s="104"/>
      <c r="CQM314" s="104"/>
      <c r="CQN314" s="104"/>
      <c r="CQO314" s="104"/>
      <c r="CQP314" s="104"/>
      <c r="CQQ314" s="104"/>
      <c r="CQR314" s="104"/>
      <c r="CQS314" s="104"/>
      <c r="CQT314" s="104"/>
      <c r="CQU314" s="104"/>
      <c r="CQV314" s="104"/>
      <c r="CQW314" s="104"/>
      <c r="CQX314" s="104"/>
      <c r="CQY314" s="104"/>
      <c r="CQZ314" s="104"/>
      <c r="CRA314" s="104"/>
      <c r="CRB314" s="104"/>
      <c r="CRC314" s="104"/>
      <c r="CRD314" s="104"/>
      <c r="CRE314" s="104"/>
      <c r="CRF314" s="104"/>
      <c r="CRG314" s="104"/>
      <c r="CRH314" s="104"/>
      <c r="CRI314" s="104"/>
      <c r="CRJ314" s="104"/>
      <c r="CRK314" s="104"/>
      <c r="CRL314" s="104"/>
      <c r="CRM314" s="104"/>
      <c r="CRN314" s="104"/>
      <c r="CRO314" s="104"/>
      <c r="CRP314" s="104"/>
      <c r="CRQ314" s="104"/>
      <c r="CRR314" s="104"/>
      <c r="CRS314" s="104"/>
      <c r="CRT314" s="104"/>
      <c r="CRU314" s="104"/>
      <c r="CRV314" s="104"/>
      <c r="CRW314" s="104"/>
      <c r="CRX314" s="104"/>
      <c r="CRY314" s="104"/>
      <c r="CRZ314" s="104"/>
      <c r="CSA314" s="104"/>
      <c r="CSB314" s="104"/>
      <c r="CSC314" s="104"/>
      <c r="CSD314" s="104"/>
      <c r="CSE314" s="104"/>
      <c r="CSF314" s="104"/>
      <c r="CSG314" s="104"/>
      <c r="CSH314" s="104"/>
      <c r="CSI314" s="104"/>
      <c r="CSJ314" s="104"/>
      <c r="CSK314" s="104"/>
      <c r="CSL314" s="104"/>
      <c r="CSM314" s="104"/>
      <c r="CSN314" s="104"/>
      <c r="CSO314" s="104"/>
      <c r="CSP314" s="104"/>
      <c r="CSQ314" s="104"/>
      <c r="CSR314" s="104"/>
      <c r="CSS314" s="104"/>
      <c r="CST314" s="104"/>
      <c r="CSU314" s="104"/>
      <c r="CSV314" s="104"/>
      <c r="CSW314" s="104"/>
      <c r="CSX314" s="104"/>
      <c r="CSY314" s="104"/>
      <c r="CSZ314" s="104"/>
      <c r="CTA314" s="104"/>
      <c r="CTB314" s="104"/>
      <c r="CTC314" s="104"/>
      <c r="CTD314" s="104"/>
      <c r="CTE314" s="104"/>
      <c r="CTF314" s="104"/>
      <c r="CTG314" s="104"/>
      <c r="CTH314" s="104"/>
      <c r="CTI314" s="104"/>
      <c r="CTJ314" s="104"/>
      <c r="CTK314" s="104"/>
      <c r="CTL314" s="104"/>
      <c r="CTM314" s="104"/>
      <c r="CTN314" s="104"/>
      <c r="CTO314" s="104"/>
      <c r="CTP314" s="104"/>
      <c r="CTQ314" s="104"/>
      <c r="CTR314" s="104"/>
      <c r="CTS314" s="104"/>
      <c r="CTT314" s="104"/>
      <c r="CTU314" s="104"/>
      <c r="CTV314" s="104"/>
      <c r="CTW314" s="104"/>
      <c r="CTX314" s="104"/>
      <c r="CTY314" s="104"/>
      <c r="CTZ314" s="104"/>
      <c r="CUA314" s="104"/>
      <c r="CUB314" s="104"/>
      <c r="CUC314" s="104"/>
      <c r="CUD314" s="104"/>
      <c r="CUE314" s="104"/>
      <c r="CUF314" s="104"/>
      <c r="CUG314" s="104"/>
      <c r="CUH314" s="104"/>
      <c r="CUI314" s="104"/>
      <c r="CUJ314" s="104"/>
      <c r="CUK314" s="104"/>
      <c r="CUL314" s="104"/>
      <c r="CUM314" s="104"/>
      <c r="CUN314" s="104"/>
      <c r="CUO314" s="104"/>
      <c r="CUP314" s="104"/>
      <c r="CUQ314" s="104"/>
      <c r="CUR314" s="104"/>
      <c r="CUS314" s="104"/>
      <c r="CUT314" s="104"/>
      <c r="CUU314" s="104"/>
      <c r="CUV314" s="104"/>
      <c r="CUW314" s="104"/>
      <c r="CUX314" s="104"/>
      <c r="CUY314" s="104"/>
      <c r="CUZ314" s="104"/>
      <c r="CVA314" s="104"/>
      <c r="CVB314" s="104"/>
      <c r="CVC314" s="104"/>
      <c r="CVD314" s="104"/>
      <c r="CVE314" s="104"/>
      <c r="CVF314" s="104"/>
      <c r="CVG314" s="104"/>
      <c r="CVH314" s="104"/>
      <c r="CVI314" s="104"/>
      <c r="CVJ314" s="104"/>
      <c r="CVK314" s="104"/>
      <c r="CVL314" s="104"/>
      <c r="CVM314" s="104"/>
      <c r="CVN314" s="104"/>
      <c r="CVO314" s="104"/>
      <c r="CVP314" s="104"/>
      <c r="CVQ314" s="104"/>
      <c r="CVR314" s="104"/>
      <c r="CVS314" s="104"/>
      <c r="CVT314" s="104"/>
      <c r="CVU314" s="104"/>
      <c r="CVV314" s="104"/>
      <c r="CVW314" s="104"/>
      <c r="CVX314" s="104"/>
      <c r="CVY314" s="104"/>
      <c r="CVZ314" s="104"/>
      <c r="CWA314" s="104"/>
      <c r="CWB314" s="104"/>
      <c r="CWC314" s="104"/>
      <c r="CWD314" s="104"/>
      <c r="CWE314" s="104"/>
      <c r="CWF314" s="104"/>
      <c r="CWG314" s="104"/>
      <c r="CWH314" s="104"/>
      <c r="CWI314" s="104"/>
      <c r="CWJ314" s="104"/>
      <c r="CWK314" s="104"/>
      <c r="CWL314" s="104"/>
      <c r="CWM314" s="104"/>
      <c r="CWN314" s="104"/>
      <c r="CWO314" s="104"/>
      <c r="CWP314" s="104"/>
      <c r="CWQ314" s="104"/>
      <c r="CWR314" s="104"/>
      <c r="CWS314" s="104"/>
      <c r="CWT314" s="104"/>
      <c r="CWU314" s="104"/>
      <c r="CWV314" s="104"/>
      <c r="CWW314" s="104"/>
      <c r="CWX314" s="104"/>
      <c r="CWY314" s="104"/>
      <c r="CWZ314" s="104"/>
      <c r="CXA314" s="104"/>
      <c r="CXB314" s="104"/>
      <c r="CXC314" s="104"/>
      <c r="CXD314" s="104"/>
      <c r="CXE314" s="104"/>
      <c r="CXF314" s="104"/>
      <c r="CXG314" s="104"/>
      <c r="CXH314" s="104"/>
      <c r="CXI314" s="104"/>
      <c r="CXJ314" s="104"/>
      <c r="CXK314" s="104"/>
      <c r="CXL314" s="104"/>
      <c r="CXM314" s="104"/>
      <c r="CXN314" s="104"/>
      <c r="CXO314" s="104"/>
      <c r="CXP314" s="104"/>
      <c r="CXQ314" s="104"/>
      <c r="CXR314" s="104"/>
      <c r="CXS314" s="104"/>
      <c r="CXT314" s="104"/>
      <c r="CXU314" s="104"/>
      <c r="CXV314" s="104"/>
      <c r="CXW314" s="104"/>
      <c r="CXX314" s="104"/>
      <c r="CXY314" s="104"/>
      <c r="CXZ314" s="104"/>
      <c r="CYA314" s="104"/>
      <c r="CYB314" s="104"/>
      <c r="CYC314" s="104"/>
      <c r="CYD314" s="104"/>
      <c r="CYE314" s="104"/>
      <c r="CYF314" s="104"/>
      <c r="CYG314" s="104"/>
      <c r="CYH314" s="104"/>
      <c r="CYI314" s="104"/>
      <c r="CYJ314" s="104"/>
      <c r="CYK314" s="104"/>
      <c r="CYL314" s="104"/>
      <c r="CYM314" s="104"/>
      <c r="CYN314" s="104"/>
      <c r="CYO314" s="104"/>
      <c r="CYP314" s="104"/>
      <c r="CYQ314" s="104"/>
      <c r="CYR314" s="104"/>
      <c r="CYS314" s="104"/>
      <c r="CYT314" s="104"/>
      <c r="CYU314" s="104"/>
      <c r="CYV314" s="104"/>
      <c r="CYW314" s="104"/>
      <c r="CYX314" s="104"/>
      <c r="CYY314" s="104"/>
      <c r="CYZ314" s="104"/>
      <c r="CZA314" s="104"/>
      <c r="CZB314" s="104"/>
      <c r="CZC314" s="104"/>
      <c r="CZD314" s="104"/>
      <c r="CZE314" s="104"/>
      <c r="CZF314" s="104"/>
      <c r="CZG314" s="104"/>
      <c r="CZH314" s="104"/>
      <c r="CZI314" s="104"/>
      <c r="CZJ314" s="104"/>
      <c r="CZK314" s="104"/>
      <c r="CZL314" s="104"/>
      <c r="CZM314" s="104"/>
      <c r="CZN314" s="104"/>
      <c r="CZO314" s="104"/>
      <c r="CZP314" s="104"/>
      <c r="CZQ314" s="104"/>
      <c r="CZR314" s="104"/>
      <c r="CZS314" s="104"/>
      <c r="CZT314" s="104"/>
      <c r="CZU314" s="104"/>
      <c r="CZV314" s="104"/>
      <c r="CZW314" s="104"/>
      <c r="CZX314" s="104"/>
      <c r="CZY314" s="104"/>
      <c r="CZZ314" s="104"/>
      <c r="DAA314" s="104"/>
      <c r="DAB314" s="104"/>
      <c r="DAC314" s="104"/>
      <c r="DAD314" s="104"/>
      <c r="DAE314" s="104"/>
      <c r="DAF314" s="104"/>
      <c r="DAG314" s="104"/>
      <c r="DAH314" s="104"/>
      <c r="DAI314" s="104"/>
      <c r="DAJ314" s="104"/>
      <c r="DAK314" s="104"/>
      <c r="DAL314" s="104"/>
      <c r="DAM314" s="104"/>
      <c r="DAN314" s="104"/>
      <c r="DAO314" s="104"/>
      <c r="DAP314" s="104"/>
      <c r="DAQ314" s="104"/>
      <c r="DAR314" s="104"/>
      <c r="DAS314" s="104"/>
      <c r="DAT314" s="104"/>
      <c r="DAU314" s="104"/>
      <c r="DAV314" s="104"/>
      <c r="DAW314" s="104"/>
      <c r="DAX314" s="104"/>
      <c r="DAY314" s="104"/>
      <c r="DAZ314" s="104"/>
      <c r="DBA314" s="104"/>
      <c r="DBB314" s="104"/>
      <c r="DBC314" s="104"/>
      <c r="DBD314" s="104"/>
      <c r="DBE314" s="104"/>
      <c r="DBF314" s="104"/>
      <c r="DBG314" s="104"/>
      <c r="DBH314" s="104"/>
      <c r="DBI314" s="104"/>
      <c r="DBJ314" s="104"/>
      <c r="DBK314" s="104"/>
      <c r="DBL314" s="104"/>
      <c r="DBM314" s="104"/>
      <c r="DBN314" s="104"/>
      <c r="DBO314" s="104"/>
      <c r="DBP314" s="104"/>
      <c r="DBQ314" s="104"/>
      <c r="DBR314" s="104"/>
      <c r="DBS314" s="104"/>
      <c r="DBT314" s="104"/>
      <c r="DBU314" s="104"/>
      <c r="DBV314" s="104"/>
      <c r="DBW314" s="104"/>
      <c r="DBX314" s="104"/>
      <c r="DBY314" s="104"/>
      <c r="DBZ314" s="104"/>
      <c r="DCA314" s="104"/>
      <c r="DCB314" s="104"/>
      <c r="DCC314" s="104"/>
      <c r="DCD314" s="104"/>
      <c r="DCE314" s="104"/>
      <c r="DCF314" s="104"/>
      <c r="DCG314" s="104"/>
      <c r="DCH314" s="104"/>
      <c r="DCI314" s="104"/>
      <c r="DCJ314" s="104"/>
      <c r="DCK314" s="104"/>
      <c r="DCL314" s="104"/>
      <c r="DCM314" s="104"/>
      <c r="DCN314" s="104"/>
      <c r="DCO314" s="104"/>
      <c r="DCP314" s="104"/>
      <c r="DCQ314" s="104"/>
      <c r="DCR314" s="104"/>
      <c r="DCS314" s="104"/>
      <c r="DCT314" s="104"/>
      <c r="DCU314" s="104"/>
      <c r="DCV314" s="104"/>
      <c r="DCW314" s="104"/>
      <c r="DCX314" s="104"/>
      <c r="DCY314" s="104"/>
      <c r="DCZ314" s="104"/>
      <c r="DDA314" s="104"/>
      <c r="DDB314" s="104"/>
      <c r="DDC314" s="104"/>
      <c r="DDD314" s="104"/>
      <c r="DDE314" s="104"/>
      <c r="DDF314" s="104"/>
      <c r="DDG314" s="104"/>
      <c r="DDH314" s="104"/>
      <c r="DDI314" s="104"/>
      <c r="DDJ314" s="104"/>
      <c r="DDK314" s="104"/>
      <c r="DDL314" s="104"/>
      <c r="DDM314" s="104"/>
      <c r="DDN314" s="104"/>
      <c r="DDO314" s="104"/>
      <c r="DDP314" s="104"/>
      <c r="DDQ314" s="104"/>
      <c r="DDR314" s="104"/>
      <c r="DDS314" s="104"/>
      <c r="DDT314" s="104"/>
      <c r="DDU314" s="104"/>
      <c r="DDV314" s="104"/>
      <c r="DDW314" s="104"/>
      <c r="DDX314" s="104"/>
      <c r="DDY314" s="104"/>
      <c r="DDZ314" s="104"/>
      <c r="DEA314" s="104"/>
      <c r="DEB314" s="104"/>
      <c r="DEC314" s="104"/>
      <c r="DED314" s="104"/>
      <c r="DEE314" s="104"/>
      <c r="DEF314" s="104"/>
      <c r="DEG314" s="104"/>
      <c r="DEH314" s="104"/>
      <c r="DEI314" s="104"/>
      <c r="DEJ314" s="104"/>
      <c r="DEK314" s="104"/>
      <c r="DEL314" s="104"/>
      <c r="DEM314" s="104"/>
      <c r="DEN314" s="104"/>
      <c r="DEO314" s="104"/>
      <c r="DEP314" s="104"/>
      <c r="DEQ314" s="104"/>
      <c r="DER314" s="104"/>
      <c r="DES314" s="104"/>
      <c r="DET314" s="104"/>
      <c r="DEU314" s="104"/>
      <c r="DEV314" s="104"/>
      <c r="DEW314" s="104"/>
      <c r="DEX314" s="104"/>
      <c r="DEY314" s="104"/>
      <c r="DEZ314" s="104"/>
      <c r="DFA314" s="104"/>
      <c r="DFB314" s="104"/>
      <c r="DFC314" s="104"/>
      <c r="DFD314" s="104"/>
      <c r="DFE314" s="104"/>
      <c r="DFF314" s="104"/>
      <c r="DFG314" s="104"/>
      <c r="DFH314" s="104"/>
      <c r="DFI314" s="104"/>
      <c r="DFJ314" s="104"/>
      <c r="DFK314" s="104"/>
      <c r="DFL314" s="104"/>
      <c r="DFM314" s="104"/>
      <c r="DFN314" s="104"/>
      <c r="DFO314" s="104"/>
      <c r="DFP314" s="104"/>
      <c r="DFQ314" s="104"/>
      <c r="DFR314" s="104"/>
      <c r="DFS314" s="104"/>
      <c r="DFT314" s="104"/>
      <c r="DFU314" s="104"/>
      <c r="DFV314" s="104"/>
      <c r="DFW314" s="104"/>
      <c r="DFX314" s="104"/>
      <c r="DFY314" s="104"/>
      <c r="DFZ314" s="104"/>
      <c r="DGA314" s="104"/>
      <c r="DGB314" s="104"/>
      <c r="DGC314" s="104"/>
      <c r="DGD314" s="104"/>
      <c r="DGE314" s="104"/>
      <c r="DGF314" s="104"/>
      <c r="DGG314" s="104"/>
      <c r="DGH314" s="104"/>
      <c r="DGI314" s="104"/>
      <c r="DGJ314" s="104"/>
      <c r="DGK314" s="104"/>
      <c r="DGL314" s="104"/>
      <c r="DGM314" s="104"/>
      <c r="DGN314" s="104"/>
      <c r="DGO314" s="104"/>
      <c r="DGP314" s="104"/>
      <c r="DGQ314" s="104"/>
      <c r="DGR314" s="104"/>
      <c r="DGS314" s="104"/>
      <c r="DGT314" s="104"/>
      <c r="DGU314" s="104"/>
      <c r="DGV314" s="104"/>
      <c r="DGW314" s="104"/>
      <c r="DGX314" s="104"/>
      <c r="DGY314" s="104"/>
      <c r="DGZ314" s="104"/>
      <c r="DHA314" s="104"/>
      <c r="DHB314" s="104"/>
      <c r="DHC314" s="104"/>
      <c r="DHD314" s="104"/>
      <c r="DHE314" s="104"/>
      <c r="DHF314" s="104"/>
      <c r="DHG314" s="104"/>
      <c r="DHH314" s="104"/>
      <c r="DHI314" s="104"/>
      <c r="DHJ314" s="104"/>
      <c r="DHK314" s="104"/>
      <c r="DHL314" s="104"/>
      <c r="DHM314" s="104"/>
      <c r="DHN314" s="104"/>
      <c r="DHO314" s="104"/>
      <c r="DHP314" s="104"/>
      <c r="DHQ314" s="104"/>
      <c r="DHR314" s="104"/>
      <c r="DHS314" s="104"/>
      <c r="DHT314" s="104"/>
      <c r="DHU314" s="104"/>
      <c r="DHV314" s="104"/>
      <c r="DHW314" s="104"/>
      <c r="DHX314" s="104"/>
      <c r="DHY314" s="104"/>
      <c r="DHZ314" s="104"/>
      <c r="DIA314" s="104"/>
      <c r="DIB314" s="104"/>
      <c r="DIC314" s="104"/>
      <c r="DID314" s="104"/>
      <c r="DIE314" s="104"/>
      <c r="DIF314" s="104"/>
      <c r="DIG314" s="104"/>
      <c r="DIH314" s="104"/>
      <c r="DII314" s="104"/>
      <c r="DIJ314" s="104"/>
      <c r="DIK314" s="104"/>
      <c r="DIL314" s="104"/>
      <c r="DIM314" s="104"/>
      <c r="DIN314" s="104"/>
      <c r="DIO314" s="104"/>
      <c r="DIP314" s="104"/>
      <c r="DIQ314" s="104"/>
      <c r="DIR314" s="104"/>
      <c r="DIS314" s="104"/>
      <c r="DIT314" s="104"/>
      <c r="DIU314" s="104"/>
      <c r="DIV314" s="104"/>
      <c r="DIW314" s="104"/>
      <c r="DIX314" s="104"/>
      <c r="DIY314" s="104"/>
      <c r="DIZ314" s="104"/>
      <c r="DJA314" s="104"/>
      <c r="DJB314" s="104"/>
      <c r="DJC314" s="104"/>
      <c r="DJD314" s="104"/>
      <c r="DJE314" s="104"/>
      <c r="DJF314" s="104"/>
      <c r="DJG314" s="104"/>
      <c r="DJH314" s="104"/>
      <c r="DJI314" s="104"/>
      <c r="DJJ314" s="104"/>
      <c r="DJK314" s="104"/>
      <c r="DJL314" s="104"/>
      <c r="DJM314" s="104"/>
      <c r="DJN314" s="104"/>
      <c r="DJO314" s="104"/>
      <c r="DJP314" s="104"/>
      <c r="DJQ314" s="104"/>
      <c r="DJR314" s="104"/>
      <c r="DJS314" s="104"/>
      <c r="DJT314" s="104"/>
      <c r="DJU314" s="104"/>
      <c r="DJV314" s="104"/>
      <c r="DJW314" s="104"/>
      <c r="DJX314" s="104"/>
      <c r="DJY314" s="104"/>
      <c r="DJZ314" s="104"/>
      <c r="DKA314" s="104"/>
      <c r="DKB314" s="104"/>
      <c r="DKC314" s="104"/>
      <c r="DKD314" s="104"/>
      <c r="DKE314" s="104"/>
      <c r="DKF314" s="104"/>
      <c r="DKG314" s="104"/>
      <c r="DKH314" s="104"/>
      <c r="DKI314" s="104"/>
      <c r="DKJ314" s="104"/>
      <c r="DKK314" s="104"/>
      <c r="DKL314" s="104"/>
      <c r="DKM314" s="104"/>
      <c r="DKN314" s="104"/>
      <c r="DKO314" s="104"/>
      <c r="DKP314" s="104"/>
      <c r="DKQ314" s="104"/>
      <c r="DKR314" s="104"/>
      <c r="DKS314" s="104"/>
      <c r="DKT314" s="104"/>
      <c r="DKU314" s="104"/>
      <c r="DKV314" s="104"/>
      <c r="DKW314" s="104"/>
      <c r="DKX314" s="104"/>
      <c r="DKY314" s="104"/>
      <c r="DKZ314" s="104"/>
      <c r="DLA314" s="104"/>
      <c r="DLB314" s="104"/>
      <c r="DLC314" s="104"/>
      <c r="DLD314" s="104"/>
      <c r="DLE314" s="104"/>
      <c r="DLF314" s="104"/>
      <c r="DLG314" s="104"/>
      <c r="DLH314" s="104"/>
      <c r="DLI314" s="104"/>
      <c r="DLJ314" s="104"/>
      <c r="DLK314" s="104"/>
      <c r="DLL314" s="104"/>
      <c r="DLM314" s="104"/>
      <c r="DLN314" s="104"/>
      <c r="DLO314" s="104"/>
      <c r="DLP314" s="104"/>
      <c r="DLQ314" s="104"/>
      <c r="DLR314" s="104"/>
      <c r="DLS314" s="104"/>
      <c r="DLT314" s="104"/>
      <c r="DLU314" s="104"/>
      <c r="DLV314" s="104"/>
      <c r="DLW314" s="104"/>
      <c r="DLX314" s="104"/>
      <c r="DLY314" s="104"/>
      <c r="DLZ314" s="104"/>
      <c r="DMA314" s="104"/>
      <c r="DMB314" s="104"/>
      <c r="DMC314" s="104"/>
      <c r="DMD314" s="104"/>
      <c r="DME314" s="104"/>
      <c r="DMF314" s="104"/>
      <c r="DMG314" s="104"/>
      <c r="DMH314" s="104"/>
      <c r="DMI314" s="104"/>
      <c r="DMJ314" s="104"/>
      <c r="DMK314" s="104"/>
      <c r="DML314" s="104"/>
      <c r="DMM314" s="104"/>
      <c r="DMN314" s="104"/>
      <c r="DMO314" s="104"/>
      <c r="DMP314" s="104"/>
      <c r="DMQ314" s="104"/>
      <c r="DMR314" s="104"/>
      <c r="DMS314" s="104"/>
      <c r="DMT314" s="104"/>
      <c r="DMU314" s="104"/>
      <c r="DMV314" s="104"/>
      <c r="DMW314" s="104"/>
      <c r="DMX314" s="104"/>
      <c r="DMY314" s="104"/>
      <c r="DMZ314" s="104"/>
      <c r="DNA314" s="104"/>
      <c r="DNB314" s="104"/>
      <c r="DNC314" s="104"/>
      <c r="DND314" s="104"/>
      <c r="DNE314" s="104"/>
      <c r="DNF314" s="104"/>
      <c r="DNG314" s="104"/>
      <c r="DNH314" s="104"/>
      <c r="DNI314" s="104"/>
      <c r="DNJ314" s="104"/>
      <c r="DNK314" s="104"/>
      <c r="DNL314" s="104"/>
      <c r="DNM314" s="104"/>
      <c r="DNN314" s="104"/>
      <c r="DNO314" s="104"/>
      <c r="DNP314" s="104"/>
      <c r="DNQ314" s="104"/>
      <c r="DNR314" s="104"/>
      <c r="DNS314" s="104"/>
      <c r="DNT314" s="104"/>
      <c r="DNU314" s="104"/>
      <c r="DNV314" s="104"/>
      <c r="DNW314" s="104"/>
      <c r="DNX314" s="104"/>
      <c r="DNY314" s="104"/>
      <c r="DNZ314" s="104"/>
      <c r="DOA314" s="104"/>
      <c r="DOB314" s="104"/>
      <c r="DOC314" s="104"/>
      <c r="DOD314" s="104"/>
      <c r="DOE314" s="104"/>
      <c r="DOF314" s="104"/>
      <c r="DOG314" s="104"/>
      <c r="DOH314" s="104"/>
      <c r="DOI314" s="104"/>
      <c r="DOJ314" s="104"/>
      <c r="DOK314" s="104"/>
      <c r="DOL314" s="104"/>
      <c r="DOM314" s="104"/>
      <c r="DON314" s="104"/>
      <c r="DOO314" s="104"/>
      <c r="DOP314" s="104"/>
      <c r="DOQ314" s="104"/>
      <c r="DOR314" s="104"/>
      <c r="DOS314" s="104"/>
      <c r="DOT314" s="104"/>
      <c r="DOU314" s="104"/>
      <c r="DOV314" s="104"/>
      <c r="DOW314" s="104"/>
      <c r="DOX314" s="104"/>
      <c r="DOY314" s="104"/>
      <c r="DOZ314" s="104"/>
      <c r="DPA314" s="104"/>
      <c r="DPB314" s="104"/>
      <c r="DPC314" s="104"/>
      <c r="DPD314" s="104"/>
      <c r="DPE314" s="104"/>
      <c r="DPF314" s="104"/>
      <c r="DPG314" s="104"/>
      <c r="DPH314" s="104"/>
      <c r="DPI314" s="104"/>
      <c r="DPJ314" s="104"/>
      <c r="DPK314" s="104"/>
      <c r="DPL314" s="104"/>
      <c r="DPM314" s="104"/>
      <c r="DPN314" s="104"/>
      <c r="DPO314" s="104"/>
      <c r="DPP314" s="104"/>
      <c r="DPQ314" s="104"/>
      <c r="DPR314" s="104"/>
      <c r="DPS314" s="104"/>
      <c r="DPT314" s="104"/>
      <c r="DPU314" s="104"/>
      <c r="DPV314" s="104"/>
      <c r="DPW314" s="104"/>
      <c r="DPX314" s="104"/>
      <c r="DPY314" s="104"/>
      <c r="DPZ314" s="104"/>
      <c r="DQA314" s="104"/>
      <c r="DQB314" s="104"/>
      <c r="DQC314" s="104"/>
      <c r="DQD314" s="104"/>
      <c r="DQE314" s="104"/>
      <c r="DQF314" s="104"/>
      <c r="DQG314" s="104"/>
      <c r="DQH314" s="104"/>
      <c r="DQI314" s="104"/>
      <c r="DQJ314" s="104"/>
      <c r="DQK314" s="104"/>
      <c r="DQL314" s="104"/>
      <c r="DQM314" s="104"/>
      <c r="DQN314" s="104"/>
      <c r="DQO314" s="104"/>
      <c r="DQP314" s="104"/>
      <c r="DQQ314" s="104"/>
      <c r="DQR314" s="104"/>
      <c r="DQS314" s="104"/>
      <c r="DQT314" s="104"/>
      <c r="DQU314" s="104"/>
      <c r="DQV314" s="104"/>
      <c r="DQW314" s="104"/>
      <c r="DQX314" s="104"/>
      <c r="DQY314" s="104"/>
      <c r="DQZ314" s="104"/>
      <c r="DRA314" s="104"/>
      <c r="DRB314" s="104"/>
      <c r="DRC314" s="104"/>
      <c r="DRD314" s="104"/>
      <c r="DRE314" s="104"/>
      <c r="DRF314" s="104"/>
      <c r="DRG314" s="104"/>
      <c r="DRH314" s="104"/>
      <c r="DRI314" s="104"/>
      <c r="DRJ314" s="104"/>
      <c r="DRK314" s="104"/>
      <c r="DRL314" s="104"/>
      <c r="DRM314" s="104"/>
      <c r="DRN314" s="104"/>
      <c r="DRO314" s="104"/>
      <c r="DRP314" s="104"/>
      <c r="DRQ314" s="104"/>
      <c r="DRR314" s="104"/>
      <c r="DRS314" s="104"/>
      <c r="DRT314" s="104"/>
      <c r="DRU314" s="104"/>
      <c r="DRV314" s="104"/>
      <c r="DRW314" s="104"/>
      <c r="DRX314" s="104"/>
      <c r="DRY314" s="104"/>
      <c r="DRZ314" s="104"/>
      <c r="DSA314" s="104"/>
      <c r="DSB314" s="104"/>
      <c r="DSC314" s="104"/>
      <c r="DSD314" s="104"/>
      <c r="DSE314" s="104"/>
      <c r="DSF314" s="104"/>
      <c r="DSG314" s="104"/>
      <c r="DSH314" s="104"/>
      <c r="DSI314" s="104"/>
      <c r="DSJ314" s="104"/>
      <c r="DSK314" s="104"/>
      <c r="DSL314" s="104"/>
      <c r="DSM314" s="104"/>
      <c r="DSN314" s="104"/>
      <c r="DSO314" s="104"/>
      <c r="DSP314" s="104"/>
      <c r="DSQ314" s="104"/>
      <c r="DSR314" s="104"/>
      <c r="DSS314" s="104"/>
      <c r="DST314" s="104"/>
      <c r="DSU314" s="104"/>
      <c r="DSV314" s="104"/>
      <c r="DSW314" s="104"/>
      <c r="DSX314" s="104"/>
      <c r="DSY314" s="104"/>
      <c r="DSZ314" s="104"/>
      <c r="DTA314" s="104"/>
      <c r="DTB314" s="104"/>
      <c r="DTC314" s="104"/>
      <c r="DTD314" s="104"/>
      <c r="DTE314" s="104"/>
      <c r="DTF314" s="104"/>
      <c r="DTG314" s="104"/>
      <c r="DTH314" s="104"/>
      <c r="DTI314" s="104"/>
      <c r="DTJ314" s="104"/>
      <c r="DTK314" s="104"/>
      <c r="DTL314" s="104"/>
      <c r="DTM314" s="104"/>
      <c r="DTN314" s="104"/>
      <c r="DTO314" s="104"/>
      <c r="DTP314" s="104"/>
      <c r="DTQ314" s="104"/>
      <c r="DTR314" s="104"/>
      <c r="DTS314" s="104"/>
      <c r="DTT314" s="104"/>
      <c r="DTU314" s="104"/>
      <c r="DTV314" s="104"/>
      <c r="DTW314" s="104"/>
      <c r="DTX314" s="104"/>
      <c r="DTY314" s="104"/>
      <c r="DTZ314" s="104"/>
      <c r="DUA314" s="104"/>
      <c r="DUB314" s="104"/>
      <c r="DUC314" s="104"/>
      <c r="DUD314" s="104"/>
      <c r="DUE314" s="104"/>
      <c r="DUF314" s="104"/>
      <c r="DUG314" s="104"/>
      <c r="DUH314" s="104"/>
      <c r="DUI314" s="104"/>
      <c r="DUJ314" s="104"/>
      <c r="DUK314" s="104"/>
      <c r="DUL314" s="104"/>
      <c r="DUM314" s="104"/>
      <c r="DUN314" s="104"/>
      <c r="DUO314" s="104"/>
      <c r="DUP314" s="104"/>
      <c r="DUQ314" s="104"/>
      <c r="DUR314" s="104"/>
      <c r="DUS314" s="104"/>
      <c r="DUT314" s="104"/>
      <c r="DUU314" s="104"/>
      <c r="DUV314" s="104"/>
      <c r="DUW314" s="104"/>
      <c r="DUX314" s="104"/>
      <c r="DUY314" s="104"/>
      <c r="DUZ314" s="104"/>
      <c r="DVA314" s="104"/>
      <c r="DVB314" s="104"/>
      <c r="DVC314" s="104"/>
      <c r="DVD314" s="104"/>
      <c r="DVE314" s="104"/>
      <c r="DVF314" s="104"/>
      <c r="DVG314" s="104"/>
      <c r="DVH314" s="104"/>
      <c r="DVI314" s="104"/>
      <c r="DVJ314" s="104"/>
      <c r="DVK314" s="104"/>
      <c r="DVL314" s="104"/>
      <c r="DVM314" s="104"/>
      <c r="DVN314" s="104"/>
      <c r="DVO314" s="104"/>
      <c r="DVP314" s="104"/>
      <c r="DVQ314" s="104"/>
      <c r="DVR314" s="104"/>
      <c r="DVS314" s="104"/>
      <c r="DVT314" s="104"/>
      <c r="DVU314" s="104"/>
      <c r="DVV314" s="104"/>
      <c r="DVW314" s="104"/>
      <c r="DVX314" s="104"/>
      <c r="DVY314" s="104"/>
      <c r="DVZ314" s="104"/>
      <c r="DWA314" s="104"/>
      <c r="DWB314" s="104"/>
      <c r="DWC314" s="104"/>
      <c r="DWD314" s="104"/>
      <c r="DWE314" s="104"/>
      <c r="DWF314" s="104"/>
      <c r="DWG314" s="104"/>
      <c r="DWH314" s="104"/>
      <c r="DWI314" s="104"/>
      <c r="DWJ314" s="104"/>
      <c r="DWK314" s="104"/>
      <c r="DWL314" s="104"/>
      <c r="DWM314" s="104"/>
      <c r="DWN314" s="104"/>
      <c r="DWO314" s="104"/>
      <c r="DWP314" s="104"/>
      <c r="DWQ314" s="104"/>
      <c r="DWR314" s="104"/>
      <c r="DWS314" s="104"/>
      <c r="DWT314" s="104"/>
      <c r="DWU314" s="104"/>
      <c r="DWV314" s="104"/>
      <c r="DWW314" s="104"/>
      <c r="DWX314" s="104"/>
      <c r="DWY314" s="104"/>
      <c r="DWZ314" s="104"/>
      <c r="DXA314" s="104"/>
      <c r="DXB314" s="104"/>
      <c r="DXC314" s="104"/>
      <c r="DXD314" s="104"/>
      <c r="DXE314" s="104"/>
      <c r="DXF314" s="104"/>
      <c r="DXG314" s="104"/>
      <c r="DXH314" s="104"/>
      <c r="DXI314" s="104"/>
      <c r="DXJ314" s="104"/>
      <c r="DXK314" s="104"/>
      <c r="DXL314" s="104"/>
      <c r="DXM314" s="104"/>
      <c r="DXN314" s="104"/>
      <c r="DXO314" s="104"/>
      <c r="DXP314" s="104"/>
      <c r="DXQ314" s="104"/>
      <c r="DXR314" s="104"/>
      <c r="DXS314" s="104"/>
      <c r="DXT314" s="104"/>
      <c r="DXU314" s="104"/>
      <c r="DXV314" s="104"/>
      <c r="DXW314" s="104"/>
      <c r="DXX314" s="104"/>
      <c r="DXY314" s="104"/>
      <c r="DXZ314" s="104"/>
      <c r="DYA314" s="104"/>
      <c r="DYB314" s="104"/>
      <c r="DYC314" s="104"/>
      <c r="DYD314" s="104"/>
      <c r="DYE314" s="104"/>
      <c r="DYF314" s="104"/>
      <c r="DYG314" s="104"/>
      <c r="DYH314" s="104"/>
      <c r="DYI314" s="104"/>
      <c r="DYJ314" s="104"/>
      <c r="DYK314" s="104"/>
      <c r="DYL314" s="104"/>
      <c r="DYM314" s="104"/>
      <c r="DYN314" s="104"/>
      <c r="DYO314" s="104"/>
      <c r="DYP314" s="104"/>
      <c r="DYQ314" s="104"/>
      <c r="DYR314" s="104"/>
      <c r="DYS314" s="104"/>
      <c r="DYT314" s="104"/>
      <c r="DYU314" s="104"/>
      <c r="DYV314" s="104"/>
      <c r="DYW314" s="104"/>
      <c r="DYX314" s="104"/>
      <c r="DYY314" s="104"/>
      <c r="DYZ314" s="104"/>
      <c r="DZA314" s="104"/>
      <c r="DZB314" s="104"/>
      <c r="DZC314" s="104"/>
      <c r="DZD314" s="104"/>
      <c r="DZE314" s="104"/>
      <c r="DZF314" s="104"/>
      <c r="DZG314" s="104"/>
      <c r="DZH314" s="104"/>
      <c r="DZI314" s="104"/>
      <c r="DZJ314" s="104"/>
      <c r="DZK314" s="104"/>
      <c r="DZL314" s="104"/>
      <c r="DZM314" s="104"/>
      <c r="DZN314" s="104"/>
      <c r="DZO314" s="104"/>
      <c r="DZP314" s="104"/>
      <c r="DZQ314" s="104"/>
      <c r="DZR314" s="104"/>
      <c r="DZS314" s="104"/>
      <c r="DZT314" s="104"/>
      <c r="DZU314" s="104"/>
      <c r="DZV314" s="104"/>
      <c r="DZW314" s="104"/>
      <c r="DZX314" s="104"/>
      <c r="DZY314" s="104"/>
      <c r="DZZ314" s="104"/>
      <c r="EAA314" s="104"/>
      <c r="EAB314" s="104"/>
      <c r="EAC314" s="104"/>
      <c r="EAD314" s="104"/>
      <c r="EAE314" s="104"/>
      <c r="EAF314" s="104"/>
      <c r="EAG314" s="104"/>
      <c r="EAH314" s="104"/>
      <c r="EAI314" s="104"/>
      <c r="EAJ314" s="104"/>
      <c r="EAK314" s="104"/>
      <c r="EAL314" s="104"/>
      <c r="EAM314" s="104"/>
      <c r="EAN314" s="104"/>
      <c r="EAO314" s="104"/>
      <c r="EAP314" s="104"/>
      <c r="EAQ314" s="104"/>
      <c r="EAR314" s="104"/>
      <c r="EAS314" s="104"/>
      <c r="EAT314" s="104"/>
      <c r="EAU314" s="104"/>
      <c r="EAV314" s="104"/>
      <c r="EAW314" s="104"/>
      <c r="EAX314" s="104"/>
      <c r="EAY314" s="104"/>
      <c r="EAZ314" s="104"/>
      <c r="EBA314" s="104"/>
      <c r="EBB314" s="104"/>
      <c r="EBC314" s="104"/>
      <c r="EBD314" s="104"/>
      <c r="EBE314" s="104"/>
      <c r="EBF314" s="104"/>
      <c r="EBG314" s="104"/>
      <c r="EBH314" s="104"/>
      <c r="EBI314" s="104"/>
      <c r="EBJ314" s="104"/>
      <c r="EBK314" s="104"/>
      <c r="EBL314" s="104"/>
      <c r="EBM314" s="104"/>
      <c r="EBN314" s="104"/>
      <c r="EBO314" s="104"/>
      <c r="EBP314" s="104"/>
      <c r="EBQ314" s="104"/>
      <c r="EBR314" s="104"/>
      <c r="EBS314" s="104"/>
      <c r="EBT314" s="104"/>
      <c r="EBU314" s="104"/>
      <c r="EBV314" s="104"/>
      <c r="EBW314" s="104"/>
      <c r="EBX314" s="104"/>
      <c r="EBY314" s="104"/>
      <c r="EBZ314" s="104"/>
      <c r="ECA314" s="104"/>
      <c r="ECB314" s="104"/>
      <c r="ECC314" s="104"/>
      <c r="ECD314" s="104"/>
      <c r="ECE314" s="104"/>
      <c r="ECF314" s="104"/>
      <c r="ECG314" s="104"/>
      <c r="ECH314" s="104"/>
      <c r="ECI314" s="104"/>
      <c r="ECJ314" s="104"/>
      <c r="ECK314" s="104"/>
      <c r="ECL314" s="104"/>
      <c r="ECM314" s="104"/>
      <c r="ECN314" s="104"/>
      <c r="ECO314" s="104"/>
      <c r="ECP314" s="104"/>
      <c r="ECQ314" s="104"/>
      <c r="ECR314" s="104"/>
      <c r="ECS314" s="104"/>
      <c r="ECT314" s="104"/>
      <c r="ECU314" s="104"/>
      <c r="ECV314" s="104"/>
      <c r="ECW314" s="104"/>
      <c r="ECX314" s="104"/>
      <c r="ECY314" s="104"/>
      <c r="ECZ314" s="104"/>
      <c r="EDA314" s="104"/>
      <c r="EDB314" s="104"/>
      <c r="EDC314" s="104"/>
      <c r="EDD314" s="104"/>
      <c r="EDE314" s="104"/>
      <c r="EDF314" s="104"/>
      <c r="EDG314" s="104"/>
      <c r="EDH314" s="104"/>
      <c r="EDI314" s="104"/>
      <c r="EDJ314" s="104"/>
      <c r="EDK314" s="104"/>
      <c r="EDL314" s="104"/>
      <c r="EDM314" s="104"/>
      <c r="EDN314" s="104"/>
      <c r="EDO314" s="104"/>
      <c r="EDP314" s="104"/>
      <c r="EDQ314" s="104"/>
      <c r="EDR314" s="104"/>
      <c r="EDS314" s="104"/>
      <c r="EDT314" s="104"/>
      <c r="EDU314" s="104"/>
      <c r="EDV314" s="104"/>
      <c r="EDW314" s="104"/>
      <c r="EDX314" s="104"/>
      <c r="EDY314" s="104"/>
      <c r="EDZ314" s="104"/>
      <c r="EEA314" s="104"/>
      <c r="EEB314" s="104"/>
      <c r="EEC314" s="104"/>
      <c r="EED314" s="104"/>
      <c r="EEE314" s="104"/>
      <c r="EEF314" s="104"/>
      <c r="EEG314" s="104"/>
      <c r="EEH314" s="104"/>
      <c r="EEI314" s="104"/>
      <c r="EEJ314" s="104"/>
      <c r="EEK314" s="104"/>
      <c r="EEL314" s="104"/>
      <c r="EEM314" s="104"/>
      <c r="EEN314" s="104"/>
      <c r="EEO314" s="104"/>
      <c r="EEP314" s="104"/>
      <c r="EEQ314" s="104"/>
      <c r="EER314" s="104"/>
      <c r="EES314" s="104"/>
      <c r="EET314" s="104"/>
      <c r="EEU314" s="104"/>
      <c r="EEV314" s="104"/>
      <c r="EEW314" s="104"/>
      <c r="EEX314" s="104"/>
      <c r="EEY314" s="104"/>
      <c r="EEZ314" s="104"/>
      <c r="EFA314" s="104"/>
      <c r="EFB314" s="104"/>
      <c r="EFC314" s="104"/>
      <c r="EFD314" s="104"/>
      <c r="EFE314" s="104"/>
      <c r="EFF314" s="104"/>
      <c r="EFG314" s="104"/>
      <c r="EFH314" s="104"/>
      <c r="EFI314" s="104"/>
      <c r="EFJ314" s="104"/>
      <c r="EFK314" s="104"/>
      <c r="EFL314" s="104"/>
      <c r="EFM314" s="104"/>
      <c r="EFN314" s="104"/>
      <c r="EFO314" s="104"/>
      <c r="EFP314" s="104"/>
      <c r="EFQ314" s="104"/>
      <c r="EFR314" s="104"/>
      <c r="EFS314" s="104"/>
      <c r="EFT314" s="104"/>
      <c r="EFU314" s="104"/>
      <c r="EFV314" s="104"/>
      <c r="EFW314" s="104"/>
      <c r="EFX314" s="104"/>
      <c r="EFY314" s="104"/>
      <c r="EFZ314" s="104"/>
      <c r="EGA314" s="104"/>
      <c r="EGB314" s="104"/>
      <c r="EGC314" s="104"/>
      <c r="EGD314" s="104"/>
      <c r="EGE314" s="104"/>
      <c r="EGF314" s="104"/>
      <c r="EGG314" s="104"/>
      <c r="EGH314" s="104"/>
      <c r="EGI314" s="104"/>
      <c r="EGJ314" s="104"/>
      <c r="EGK314" s="104"/>
      <c r="EGL314" s="104"/>
      <c r="EGM314" s="104"/>
      <c r="EGN314" s="104"/>
      <c r="EGO314" s="104"/>
      <c r="EGP314" s="104"/>
      <c r="EGQ314" s="104"/>
      <c r="EGR314" s="104"/>
      <c r="EGS314" s="104"/>
      <c r="EGT314" s="104"/>
      <c r="EGU314" s="104"/>
      <c r="EGV314" s="104"/>
      <c r="EGW314" s="104"/>
      <c r="EGX314" s="104"/>
      <c r="EGY314" s="104"/>
      <c r="EGZ314" s="104"/>
      <c r="EHA314" s="104"/>
      <c r="EHB314" s="104"/>
      <c r="EHC314" s="104"/>
      <c r="EHD314" s="104"/>
      <c r="EHE314" s="104"/>
      <c r="EHF314" s="104"/>
      <c r="EHG314" s="104"/>
      <c r="EHH314" s="104"/>
      <c r="EHI314" s="104"/>
      <c r="EHJ314" s="104"/>
      <c r="EHK314" s="104"/>
      <c r="EHL314" s="104"/>
      <c r="EHM314" s="104"/>
      <c r="EHN314" s="104"/>
      <c r="EHO314" s="104"/>
      <c r="EHP314" s="104"/>
      <c r="EHQ314" s="104"/>
      <c r="EHR314" s="104"/>
      <c r="EHS314" s="104"/>
      <c r="EHT314" s="104"/>
      <c r="EHU314" s="104"/>
      <c r="EHV314" s="104"/>
      <c r="EHW314" s="104"/>
      <c r="EHX314" s="104"/>
      <c r="EHY314" s="104"/>
      <c r="EHZ314" s="104"/>
      <c r="EIA314" s="104"/>
      <c r="EIB314" s="104"/>
      <c r="EIC314" s="104"/>
      <c r="EID314" s="104"/>
      <c r="EIE314" s="104"/>
      <c r="EIF314" s="104"/>
      <c r="EIG314" s="104"/>
      <c r="EIH314" s="104"/>
      <c r="EII314" s="104"/>
      <c r="EIJ314" s="104"/>
      <c r="EIK314" s="104"/>
      <c r="EIL314" s="104"/>
      <c r="EIM314" s="104"/>
      <c r="EIN314" s="104"/>
      <c r="EIO314" s="104"/>
      <c r="EIP314" s="104"/>
      <c r="EIQ314" s="104"/>
      <c r="EIR314" s="104"/>
      <c r="EIS314" s="104"/>
      <c r="EIT314" s="104"/>
      <c r="EIU314" s="104"/>
      <c r="EIV314" s="104"/>
      <c r="EIW314" s="104"/>
      <c r="EIX314" s="104"/>
      <c r="EIY314" s="104"/>
      <c r="EIZ314" s="104"/>
      <c r="EJA314" s="104"/>
      <c r="EJB314" s="104"/>
      <c r="EJC314" s="104"/>
      <c r="EJD314" s="104"/>
      <c r="EJE314" s="104"/>
      <c r="EJF314" s="104"/>
      <c r="EJG314" s="104"/>
      <c r="EJH314" s="104"/>
      <c r="EJI314" s="104"/>
      <c r="EJJ314" s="104"/>
      <c r="EJK314" s="104"/>
      <c r="EJL314" s="104"/>
      <c r="EJM314" s="104"/>
      <c r="EJN314" s="104"/>
      <c r="EJO314" s="104"/>
      <c r="EJP314" s="104"/>
      <c r="EJQ314" s="104"/>
      <c r="EJR314" s="104"/>
      <c r="EJS314" s="104"/>
      <c r="EJT314" s="104"/>
      <c r="EJU314" s="104"/>
      <c r="EJV314" s="104"/>
      <c r="EJW314" s="104"/>
      <c r="EJX314" s="104"/>
      <c r="EJY314" s="104"/>
      <c r="EJZ314" s="104"/>
      <c r="EKA314" s="104"/>
      <c r="EKB314" s="104"/>
      <c r="EKC314" s="104"/>
      <c r="EKD314" s="104"/>
      <c r="EKE314" s="104"/>
      <c r="EKF314" s="104"/>
      <c r="EKG314" s="104"/>
      <c r="EKH314" s="104"/>
      <c r="EKI314" s="104"/>
      <c r="EKJ314" s="104"/>
      <c r="EKK314" s="104"/>
      <c r="EKL314" s="104"/>
      <c r="EKM314" s="104"/>
      <c r="EKN314" s="104"/>
      <c r="EKO314" s="104"/>
      <c r="EKP314" s="104"/>
      <c r="EKQ314" s="104"/>
      <c r="EKR314" s="104"/>
      <c r="EKS314" s="104"/>
      <c r="EKT314" s="104"/>
      <c r="EKU314" s="104"/>
      <c r="EKV314" s="104"/>
      <c r="EKW314" s="104"/>
      <c r="EKX314" s="104"/>
      <c r="EKY314" s="104"/>
      <c r="EKZ314" s="104"/>
      <c r="ELA314" s="104"/>
      <c r="ELB314" s="104"/>
      <c r="ELC314" s="104"/>
      <c r="ELD314" s="104"/>
      <c r="ELE314" s="104"/>
      <c r="ELF314" s="104"/>
      <c r="ELG314" s="104"/>
      <c r="ELH314" s="104"/>
      <c r="ELI314" s="104"/>
      <c r="ELJ314" s="104"/>
      <c r="ELK314" s="104"/>
      <c r="ELL314" s="104"/>
      <c r="ELM314" s="104"/>
      <c r="ELN314" s="104"/>
      <c r="ELO314" s="104"/>
      <c r="ELP314" s="104"/>
      <c r="ELQ314" s="104"/>
      <c r="ELR314" s="104"/>
      <c r="ELS314" s="104"/>
      <c r="ELT314" s="104"/>
      <c r="ELU314" s="104"/>
      <c r="ELV314" s="104"/>
      <c r="ELW314" s="104"/>
      <c r="ELX314" s="104"/>
      <c r="ELY314" s="104"/>
      <c r="ELZ314" s="104"/>
      <c r="EMA314" s="104"/>
      <c r="EMB314" s="104"/>
      <c r="EMC314" s="104"/>
      <c r="EMD314" s="104"/>
      <c r="EME314" s="104"/>
      <c r="EMF314" s="104"/>
      <c r="EMG314" s="104"/>
      <c r="EMH314" s="104"/>
      <c r="EMI314" s="104"/>
      <c r="EMJ314" s="104"/>
      <c r="EMK314" s="104"/>
      <c r="EML314" s="104"/>
      <c r="EMM314" s="104"/>
      <c r="EMN314" s="104"/>
      <c r="EMO314" s="104"/>
      <c r="EMP314" s="104"/>
      <c r="EMQ314" s="104"/>
      <c r="EMR314" s="104"/>
      <c r="EMS314" s="104"/>
      <c r="EMT314" s="104"/>
      <c r="EMU314" s="104"/>
      <c r="EMV314" s="104"/>
      <c r="EMW314" s="104"/>
      <c r="EMX314" s="104"/>
      <c r="EMY314" s="104"/>
      <c r="EMZ314" s="104"/>
      <c r="ENA314" s="104"/>
      <c r="ENB314" s="104"/>
      <c r="ENC314" s="104"/>
      <c r="END314" s="104"/>
      <c r="ENE314" s="104"/>
      <c r="ENF314" s="104"/>
      <c r="ENG314" s="104"/>
      <c r="ENH314" s="104"/>
      <c r="ENI314" s="104"/>
      <c r="ENJ314" s="104"/>
      <c r="ENK314" s="104"/>
      <c r="ENL314" s="104"/>
      <c r="ENM314" s="104"/>
      <c r="ENN314" s="104"/>
      <c r="ENO314" s="104"/>
      <c r="ENP314" s="104"/>
      <c r="ENQ314" s="104"/>
      <c r="ENR314" s="104"/>
      <c r="ENS314" s="104"/>
      <c r="ENT314" s="104"/>
      <c r="ENU314" s="104"/>
      <c r="ENV314" s="104"/>
      <c r="ENW314" s="104"/>
      <c r="ENX314" s="104"/>
      <c r="ENY314" s="104"/>
      <c r="ENZ314" s="104"/>
      <c r="EOA314" s="104"/>
      <c r="EOB314" s="104"/>
      <c r="EOC314" s="104"/>
      <c r="EOD314" s="104"/>
      <c r="EOE314" s="104"/>
      <c r="EOF314" s="104"/>
      <c r="EOG314" s="104"/>
      <c r="EOH314" s="104"/>
      <c r="EOI314" s="104"/>
      <c r="EOJ314" s="104"/>
      <c r="EOK314" s="104"/>
      <c r="EOL314" s="104"/>
      <c r="EOM314" s="104"/>
      <c r="EON314" s="104"/>
      <c r="EOO314" s="104"/>
      <c r="EOP314" s="104"/>
      <c r="EOQ314" s="104"/>
      <c r="EOR314" s="104"/>
      <c r="EOS314" s="104"/>
      <c r="EOT314" s="104"/>
      <c r="EOU314" s="104"/>
      <c r="EOV314" s="104"/>
      <c r="EOW314" s="104"/>
      <c r="EOX314" s="104"/>
      <c r="EOY314" s="104"/>
      <c r="EOZ314" s="104"/>
      <c r="EPA314" s="104"/>
      <c r="EPB314" s="104"/>
      <c r="EPC314" s="104"/>
      <c r="EPD314" s="104"/>
      <c r="EPE314" s="104"/>
      <c r="EPF314" s="104"/>
      <c r="EPG314" s="104"/>
      <c r="EPH314" s="104"/>
      <c r="EPI314" s="104"/>
      <c r="EPJ314" s="104"/>
      <c r="EPK314" s="104"/>
      <c r="EPL314" s="104"/>
      <c r="EPM314" s="104"/>
      <c r="EPN314" s="104"/>
      <c r="EPO314" s="104"/>
      <c r="EPP314" s="104"/>
      <c r="EPQ314" s="104"/>
      <c r="EPR314" s="104"/>
      <c r="EPS314" s="104"/>
      <c r="EPT314" s="104"/>
      <c r="EPU314" s="104"/>
      <c r="EPV314" s="104"/>
      <c r="EPW314" s="104"/>
      <c r="EPX314" s="104"/>
      <c r="EPY314" s="104"/>
      <c r="EPZ314" s="104"/>
      <c r="EQA314" s="104"/>
      <c r="EQB314" s="104"/>
      <c r="EQC314" s="104"/>
      <c r="EQD314" s="104"/>
      <c r="EQE314" s="104"/>
      <c r="EQF314" s="104"/>
      <c r="EQG314" s="104"/>
      <c r="EQH314" s="104"/>
      <c r="EQI314" s="104"/>
      <c r="EQJ314" s="104"/>
      <c r="EQK314" s="104"/>
      <c r="EQL314" s="104"/>
      <c r="EQM314" s="104"/>
      <c r="EQN314" s="104"/>
      <c r="EQO314" s="104"/>
      <c r="EQP314" s="104"/>
      <c r="EQQ314" s="104"/>
      <c r="EQR314" s="104"/>
      <c r="EQS314" s="104"/>
      <c r="EQT314" s="104"/>
      <c r="EQU314" s="104"/>
      <c r="EQV314" s="104"/>
      <c r="EQW314" s="104"/>
      <c r="EQX314" s="104"/>
      <c r="EQY314" s="104"/>
      <c r="EQZ314" s="104"/>
      <c r="ERA314" s="104"/>
      <c r="ERB314" s="104"/>
      <c r="ERC314" s="104"/>
      <c r="ERD314" s="104"/>
      <c r="ERE314" s="104"/>
      <c r="ERF314" s="104"/>
      <c r="ERG314" s="104"/>
      <c r="ERH314" s="104"/>
      <c r="ERI314" s="104"/>
      <c r="ERJ314" s="104"/>
      <c r="ERK314" s="104"/>
      <c r="ERL314" s="104"/>
      <c r="ERM314" s="104"/>
      <c r="ERN314" s="104"/>
      <c r="ERO314" s="104"/>
      <c r="ERP314" s="104"/>
      <c r="ERQ314" s="104"/>
      <c r="ERR314" s="104"/>
      <c r="ERS314" s="104"/>
      <c r="ERT314" s="104"/>
      <c r="ERU314" s="104"/>
      <c r="ERV314" s="104"/>
      <c r="ERW314" s="104"/>
      <c r="ERX314" s="104"/>
      <c r="ERY314" s="104"/>
      <c r="ERZ314" s="104"/>
      <c r="ESA314" s="104"/>
      <c r="ESB314" s="104"/>
      <c r="ESC314" s="104"/>
      <c r="ESD314" s="104"/>
      <c r="ESE314" s="104"/>
      <c r="ESF314" s="104"/>
      <c r="ESG314" s="104"/>
      <c r="ESH314" s="104"/>
      <c r="ESI314" s="104"/>
      <c r="ESJ314" s="104"/>
      <c r="ESK314" s="104"/>
      <c r="ESL314" s="104"/>
      <c r="ESM314" s="104"/>
      <c r="ESN314" s="104"/>
      <c r="ESO314" s="104"/>
      <c r="ESP314" s="104"/>
      <c r="ESQ314" s="104"/>
      <c r="ESR314" s="104"/>
      <c r="ESS314" s="104"/>
      <c r="EST314" s="104"/>
      <c r="ESU314" s="104"/>
      <c r="ESV314" s="104"/>
      <c r="ESW314" s="104"/>
      <c r="ESX314" s="104"/>
      <c r="ESY314" s="104"/>
      <c r="ESZ314" s="104"/>
      <c r="ETA314" s="104"/>
      <c r="ETB314" s="104"/>
      <c r="ETC314" s="104"/>
      <c r="ETD314" s="104"/>
      <c r="ETE314" s="104"/>
      <c r="ETF314" s="104"/>
      <c r="ETG314" s="104"/>
      <c r="ETH314" s="104"/>
      <c r="ETI314" s="104"/>
      <c r="ETJ314" s="104"/>
      <c r="ETK314" s="104"/>
      <c r="ETL314" s="104"/>
      <c r="ETM314" s="104"/>
      <c r="ETN314" s="104"/>
      <c r="ETO314" s="104"/>
      <c r="ETP314" s="104"/>
      <c r="ETQ314" s="104"/>
      <c r="ETR314" s="104"/>
      <c r="ETS314" s="104"/>
      <c r="ETT314" s="104"/>
      <c r="ETU314" s="104"/>
      <c r="ETV314" s="104"/>
      <c r="ETW314" s="104"/>
      <c r="ETX314" s="104"/>
      <c r="ETY314" s="104"/>
      <c r="ETZ314" s="104"/>
      <c r="EUA314" s="104"/>
      <c r="EUB314" s="104"/>
      <c r="EUC314" s="104"/>
      <c r="EUD314" s="104"/>
      <c r="EUE314" s="104"/>
      <c r="EUF314" s="104"/>
      <c r="EUG314" s="104"/>
      <c r="EUH314" s="104"/>
      <c r="EUI314" s="104"/>
      <c r="EUJ314" s="104"/>
      <c r="EUK314" s="104"/>
      <c r="EUL314" s="104"/>
      <c r="EUM314" s="104"/>
      <c r="EUN314" s="104"/>
      <c r="EUO314" s="104"/>
      <c r="EUP314" s="104"/>
      <c r="EUQ314" s="104"/>
      <c r="EUR314" s="104"/>
      <c r="EUS314" s="104"/>
      <c r="EUT314" s="104"/>
      <c r="EUU314" s="104"/>
      <c r="EUV314" s="104"/>
      <c r="EUW314" s="104"/>
      <c r="EUX314" s="104"/>
      <c r="EUY314" s="104"/>
      <c r="EUZ314" s="104"/>
      <c r="EVA314" s="104"/>
      <c r="EVB314" s="104"/>
      <c r="EVC314" s="104"/>
      <c r="EVD314" s="104"/>
      <c r="EVE314" s="104"/>
      <c r="EVF314" s="104"/>
      <c r="EVG314" s="104"/>
      <c r="EVH314" s="104"/>
      <c r="EVI314" s="104"/>
      <c r="EVJ314" s="104"/>
      <c r="EVK314" s="104"/>
      <c r="EVL314" s="104"/>
      <c r="EVM314" s="104"/>
      <c r="EVN314" s="104"/>
      <c r="EVO314" s="104"/>
      <c r="EVP314" s="104"/>
      <c r="EVQ314" s="104"/>
      <c r="EVR314" s="104"/>
      <c r="EVS314" s="104"/>
      <c r="EVT314" s="104"/>
      <c r="EVU314" s="104"/>
      <c r="EVV314" s="104"/>
      <c r="EVW314" s="104"/>
      <c r="EVX314" s="104"/>
      <c r="EVY314" s="104"/>
      <c r="EVZ314" s="104"/>
      <c r="EWA314" s="104"/>
      <c r="EWB314" s="104"/>
      <c r="EWC314" s="104"/>
      <c r="EWD314" s="104"/>
      <c r="EWE314" s="104"/>
      <c r="EWF314" s="104"/>
      <c r="EWG314" s="104"/>
      <c r="EWH314" s="104"/>
      <c r="EWI314" s="104"/>
      <c r="EWJ314" s="104"/>
      <c r="EWK314" s="104"/>
      <c r="EWL314" s="104"/>
      <c r="EWM314" s="104"/>
      <c r="EWN314" s="104"/>
      <c r="EWO314" s="104"/>
      <c r="EWP314" s="104"/>
      <c r="EWQ314" s="104"/>
      <c r="EWR314" s="104"/>
      <c r="EWS314" s="104"/>
      <c r="EWT314" s="104"/>
      <c r="EWU314" s="104"/>
      <c r="EWV314" s="104"/>
      <c r="EWW314" s="104"/>
      <c r="EWX314" s="104"/>
      <c r="EWY314" s="104"/>
      <c r="EWZ314" s="104"/>
      <c r="EXA314" s="104"/>
      <c r="EXB314" s="104"/>
      <c r="EXC314" s="104"/>
      <c r="EXD314" s="104"/>
      <c r="EXE314" s="104"/>
      <c r="EXF314" s="104"/>
      <c r="EXG314" s="104"/>
      <c r="EXH314" s="104"/>
      <c r="EXI314" s="104"/>
      <c r="EXJ314" s="104"/>
      <c r="EXK314" s="104"/>
      <c r="EXL314" s="104"/>
      <c r="EXM314" s="104"/>
      <c r="EXN314" s="104"/>
      <c r="EXO314" s="104"/>
      <c r="EXP314" s="104"/>
      <c r="EXQ314" s="104"/>
      <c r="EXR314" s="104"/>
      <c r="EXS314" s="104"/>
      <c r="EXT314" s="104"/>
      <c r="EXU314" s="104"/>
      <c r="EXV314" s="104"/>
      <c r="EXW314" s="104"/>
      <c r="EXX314" s="104"/>
      <c r="EXY314" s="104"/>
      <c r="EXZ314" s="104"/>
      <c r="EYA314" s="104"/>
      <c r="EYB314" s="104"/>
      <c r="EYC314" s="104"/>
      <c r="EYD314" s="104"/>
      <c r="EYE314" s="104"/>
      <c r="EYF314" s="104"/>
      <c r="EYG314" s="104"/>
      <c r="EYH314" s="104"/>
      <c r="EYI314" s="104"/>
      <c r="EYJ314" s="104"/>
      <c r="EYK314" s="104"/>
      <c r="EYL314" s="104"/>
      <c r="EYM314" s="104"/>
      <c r="EYN314" s="104"/>
      <c r="EYO314" s="104"/>
      <c r="EYP314" s="104"/>
      <c r="EYQ314" s="104"/>
      <c r="EYR314" s="104"/>
      <c r="EYS314" s="104"/>
      <c r="EYT314" s="104"/>
      <c r="EYU314" s="104"/>
      <c r="EYV314" s="104"/>
      <c r="EYW314" s="104"/>
      <c r="EYX314" s="104"/>
      <c r="EYY314" s="104"/>
      <c r="EYZ314" s="104"/>
      <c r="EZA314" s="104"/>
      <c r="EZB314" s="104"/>
      <c r="EZC314" s="104"/>
      <c r="EZD314" s="104"/>
      <c r="EZE314" s="104"/>
      <c r="EZF314" s="104"/>
      <c r="EZG314" s="104"/>
      <c r="EZH314" s="104"/>
      <c r="EZI314" s="104"/>
      <c r="EZJ314" s="104"/>
      <c r="EZK314" s="104"/>
      <c r="EZL314" s="104"/>
      <c r="EZM314" s="104"/>
      <c r="EZN314" s="104"/>
      <c r="EZO314" s="104"/>
      <c r="EZP314" s="104"/>
      <c r="EZQ314" s="104"/>
      <c r="EZR314" s="104"/>
      <c r="EZS314" s="104"/>
      <c r="EZT314" s="104"/>
      <c r="EZU314" s="104"/>
      <c r="EZV314" s="104"/>
      <c r="EZW314" s="104"/>
      <c r="EZX314" s="104"/>
      <c r="EZY314" s="104"/>
      <c r="EZZ314" s="104"/>
      <c r="FAA314" s="104"/>
      <c r="FAB314" s="104"/>
      <c r="FAC314" s="104"/>
      <c r="FAD314" s="104"/>
      <c r="FAE314" s="104"/>
      <c r="FAF314" s="104"/>
      <c r="FAG314" s="104"/>
      <c r="FAH314" s="104"/>
      <c r="FAI314" s="104"/>
      <c r="FAJ314" s="104"/>
      <c r="FAK314" s="104"/>
      <c r="FAL314" s="104"/>
      <c r="FAM314" s="104"/>
      <c r="FAN314" s="104"/>
      <c r="FAO314" s="104"/>
      <c r="FAP314" s="104"/>
      <c r="FAQ314" s="104"/>
      <c r="FAR314" s="104"/>
      <c r="FAS314" s="104"/>
      <c r="FAT314" s="104"/>
      <c r="FAU314" s="104"/>
      <c r="FAV314" s="104"/>
      <c r="FAW314" s="104"/>
      <c r="FAX314" s="104"/>
      <c r="FAY314" s="104"/>
      <c r="FAZ314" s="104"/>
      <c r="FBA314" s="104"/>
      <c r="FBB314" s="104"/>
      <c r="FBC314" s="104"/>
      <c r="FBD314" s="104"/>
      <c r="FBE314" s="104"/>
      <c r="FBF314" s="104"/>
      <c r="FBG314" s="104"/>
      <c r="FBH314" s="104"/>
      <c r="FBI314" s="104"/>
      <c r="FBJ314" s="104"/>
      <c r="FBK314" s="104"/>
      <c r="FBL314" s="104"/>
      <c r="FBM314" s="104"/>
      <c r="FBN314" s="104"/>
      <c r="FBO314" s="104"/>
      <c r="FBP314" s="104"/>
      <c r="FBQ314" s="104"/>
      <c r="FBR314" s="104"/>
      <c r="FBS314" s="104"/>
      <c r="FBT314" s="104"/>
      <c r="FBU314" s="104"/>
      <c r="FBV314" s="104"/>
      <c r="FBW314" s="104"/>
      <c r="FBX314" s="104"/>
      <c r="FBY314" s="104"/>
      <c r="FBZ314" s="104"/>
      <c r="FCA314" s="104"/>
      <c r="FCB314" s="104"/>
      <c r="FCC314" s="104"/>
      <c r="FCD314" s="104"/>
      <c r="FCE314" s="104"/>
      <c r="FCF314" s="104"/>
      <c r="FCG314" s="104"/>
      <c r="FCH314" s="104"/>
      <c r="FCI314" s="104"/>
      <c r="FCJ314" s="104"/>
      <c r="FCK314" s="104"/>
      <c r="FCL314" s="104"/>
      <c r="FCM314" s="104"/>
      <c r="FCN314" s="104"/>
      <c r="FCO314" s="104"/>
      <c r="FCP314" s="104"/>
      <c r="FCQ314" s="104"/>
      <c r="FCR314" s="104"/>
      <c r="FCS314" s="104"/>
      <c r="FCT314" s="104"/>
      <c r="FCU314" s="104"/>
      <c r="FCV314" s="104"/>
      <c r="FCW314" s="104"/>
      <c r="FCX314" s="104"/>
      <c r="FCY314" s="104"/>
      <c r="FCZ314" s="104"/>
      <c r="FDA314" s="104"/>
      <c r="FDB314" s="104"/>
      <c r="FDC314" s="104"/>
      <c r="FDD314" s="104"/>
      <c r="FDE314" s="104"/>
      <c r="FDF314" s="104"/>
      <c r="FDG314" s="104"/>
      <c r="FDH314" s="104"/>
      <c r="FDI314" s="104"/>
      <c r="FDJ314" s="104"/>
      <c r="FDK314" s="104"/>
      <c r="FDL314" s="104"/>
      <c r="FDM314" s="104"/>
      <c r="FDN314" s="104"/>
      <c r="FDO314" s="104"/>
      <c r="FDP314" s="104"/>
      <c r="FDQ314" s="104"/>
      <c r="FDR314" s="104"/>
      <c r="FDS314" s="104"/>
      <c r="FDT314" s="104"/>
      <c r="FDU314" s="104"/>
      <c r="FDV314" s="104"/>
      <c r="FDW314" s="104"/>
      <c r="FDX314" s="104"/>
      <c r="FDY314" s="104"/>
      <c r="FDZ314" s="104"/>
      <c r="FEA314" s="104"/>
      <c r="FEB314" s="104"/>
      <c r="FEC314" s="104"/>
      <c r="FED314" s="104"/>
      <c r="FEE314" s="104"/>
      <c r="FEF314" s="104"/>
      <c r="FEG314" s="104"/>
      <c r="FEH314" s="104"/>
      <c r="FEI314" s="104"/>
      <c r="FEJ314" s="104"/>
      <c r="FEK314" s="104"/>
      <c r="FEL314" s="104"/>
      <c r="FEM314" s="104"/>
      <c r="FEN314" s="104"/>
      <c r="FEO314" s="104"/>
      <c r="FEP314" s="104"/>
      <c r="FEQ314" s="104"/>
      <c r="FER314" s="104"/>
      <c r="FES314" s="104"/>
      <c r="FET314" s="104"/>
      <c r="FEU314" s="104"/>
      <c r="FEV314" s="104"/>
      <c r="FEW314" s="104"/>
      <c r="FEX314" s="104"/>
      <c r="FEY314" s="104"/>
      <c r="FEZ314" s="104"/>
      <c r="FFA314" s="104"/>
      <c r="FFB314" s="104"/>
      <c r="FFC314" s="104"/>
      <c r="FFD314" s="104"/>
      <c r="FFE314" s="104"/>
      <c r="FFF314" s="104"/>
      <c r="FFG314" s="104"/>
      <c r="FFH314" s="104"/>
      <c r="FFI314" s="104"/>
      <c r="FFJ314" s="104"/>
      <c r="FFK314" s="104"/>
      <c r="FFL314" s="104"/>
      <c r="FFM314" s="104"/>
      <c r="FFN314" s="104"/>
      <c r="FFO314" s="104"/>
      <c r="FFP314" s="104"/>
      <c r="FFQ314" s="104"/>
      <c r="FFR314" s="104"/>
      <c r="FFS314" s="104"/>
      <c r="FFT314" s="104"/>
      <c r="FFU314" s="104"/>
      <c r="FFV314" s="104"/>
      <c r="FFW314" s="104"/>
      <c r="FFX314" s="104"/>
      <c r="FFY314" s="104"/>
      <c r="FFZ314" s="104"/>
      <c r="FGA314" s="104"/>
      <c r="FGB314" s="104"/>
      <c r="FGC314" s="104"/>
      <c r="FGD314" s="104"/>
      <c r="FGE314" s="104"/>
      <c r="FGF314" s="104"/>
      <c r="FGG314" s="104"/>
      <c r="FGH314" s="104"/>
      <c r="FGI314" s="104"/>
      <c r="FGJ314" s="104"/>
      <c r="FGK314" s="104"/>
      <c r="FGL314" s="104"/>
      <c r="FGM314" s="104"/>
      <c r="FGN314" s="104"/>
      <c r="FGO314" s="104"/>
      <c r="FGP314" s="104"/>
      <c r="FGQ314" s="104"/>
      <c r="FGR314" s="104"/>
      <c r="FGS314" s="104"/>
      <c r="FGT314" s="104"/>
      <c r="FGU314" s="104"/>
      <c r="FGV314" s="104"/>
      <c r="FGW314" s="104"/>
      <c r="FGX314" s="104"/>
      <c r="FGY314" s="104"/>
      <c r="FGZ314" s="104"/>
      <c r="FHA314" s="104"/>
      <c r="FHB314" s="104"/>
      <c r="FHC314" s="104"/>
      <c r="FHD314" s="104"/>
      <c r="FHE314" s="104"/>
      <c r="FHF314" s="104"/>
      <c r="FHG314" s="104"/>
      <c r="FHH314" s="104"/>
      <c r="FHI314" s="104"/>
      <c r="FHJ314" s="104"/>
      <c r="FHK314" s="104"/>
      <c r="FHL314" s="104"/>
      <c r="FHM314" s="104"/>
      <c r="FHN314" s="104"/>
      <c r="FHO314" s="104"/>
      <c r="FHP314" s="104"/>
      <c r="FHQ314" s="104"/>
      <c r="FHR314" s="104"/>
      <c r="FHS314" s="104"/>
      <c r="FHT314" s="104"/>
      <c r="FHU314" s="104"/>
      <c r="FHV314" s="104"/>
      <c r="FHW314" s="104"/>
      <c r="FHX314" s="104"/>
      <c r="FHY314" s="104"/>
      <c r="FHZ314" s="104"/>
      <c r="FIA314" s="104"/>
      <c r="FIB314" s="104"/>
      <c r="FIC314" s="104"/>
      <c r="FID314" s="104"/>
      <c r="FIE314" s="104"/>
      <c r="FIF314" s="104"/>
      <c r="FIG314" s="104"/>
      <c r="FIH314" s="104"/>
      <c r="FII314" s="104"/>
      <c r="FIJ314" s="104"/>
      <c r="FIK314" s="104"/>
      <c r="FIL314" s="104"/>
      <c r="FIM314" s="104"/>
      <c r="FIN314" s="104"/>
      <c r="FIO314" s="104"/>
      <c r="FIP314" s="104"/>
      <c r="FIQ314" s="104"/>
      <c r="FIR314" s="104"/>
      <c r="FIS314" s="104"/>
      <c r="FIT314" s="104"/>
      <c r="FIU314" s="104"/>
      <c r="FIV314" s="104"/>
      <c r="FIW314" s="104"/>
      <c r="FIX314" s="104"/>
      <c r="FIY314" s="104"/>
      <c r="FIZ314" s="104"/>
      <c r="FJA314" s="104"/>
      <c r="FJB314" s="104"/>
      <c r="FJC314" s="104"/>
      <c r="FJD314" s="104"/>
      <c r="FJE314" s="104"/>
      <c r="FJF314" s="104"/>
      <c r="FJG314" s="104"/>
      <c r="FJH314" s="104"/>
      <c r="FJI314" s="104"/>
      <c r="FJJ314" s="104"/>
      <c r="FJK314" s="104"/>
      <c r="FJL314" s="104"/>
      <c r="FJM314" s="104"/>
      <c r="FJN314" s="104"/>
      <c r="FJO314" s="104"/>
      <c r="FJP314" s="104"/>
      <c r="FJQ314" s="104"/>
      <c r="FJR314" s="104"/>
      <c r="FJS314" s="104"/>
      <c r="FJT314" s="104"/>
      <c r="FJU314" s="104"/>
      <c r="FJV314" s="104"/>
      <c r="FJW314" s="104"/>
      <c r="FJX314" s="104"/>
      <c r="FJY314" s="104"/>
      <c r="FJZ314" s="104"/>
      <c r="FKA314" s="104"/>
      <c r="FKB314" s="104"/>
      <c r="FKC314" s="104"/>
      <c r="FKD314" s="104"/>
      <c r="FKE314" s="104"/>
      <c r="FKF314" s="104"/>
      <c r="FKG314" s="104"/>
      <c r="FKH314" s="104"/>
      <c r="FKI314" s="104"/>
      <c r="FKJ314" s="104"/>
      <c r="FKK314" s="104"/>
      <c r="FKL314" s="104"/>
      <c r="FKM314" s="104"/>
      <c r="FKN314" s="104"/>
      <c r="FKO314" s="104"/>
      <c r="FKP314" s="104"/>
      <c r="FKQ314" s="104"/>
      <c r="FKR314" s="104"/>
      <c r="FKS314" s="104"/>
      <c r="FKT314" s="104"/>
      <c r="FKU314" s="104"/>
      <c r="FKV314" s="104"/>
      <c r="FKW314" s="104"/>
      <c r="FKX314" s="104"/>
      <c r="FKY314" s="104"/>
      <c r="FKZ314" s="104"/>
      <c r="FLA314" s="104"/>
      <c r="FLB314" s="104"/>
      <c r="FLC314" s="104"/>
      <c r="FLD314" s="104"/>
      <c r="FLE314" s="104"/>
      <c r="FLF314" s="104"/>
      <c r="FLG314" s="104"/>
      <c r="FLH314" s="104"/>
      <c r="FLI314" s="104"/>
      <c r="FLJ314" s="104"/>
      <c r="FLK314" s="104"/>
      <c r="FLL314" s="104"/>
      <c r="FLM314" s="104"/>
      <c r="FLN314" s="104"/>
      <c r="FLO314" s="104"/>
      <c r="FLP314" s="104"/>
      <c r="FLQ314" s="104"/>
      <c r="FLR314" s="104"/>
      <c r="FLS314" s="104"/>
      <c r="FLT314" s="104"/>
      <c r="FLU314" s="104"/>
      <c r="FLV314" s="104"/>
      <c r="FLW314" s="104"/>
      <c r="FLX314" s="104"/>
      <c r="FLY314" s="104"/>
      <c r="FLZ314" s="104"/>
      <c r="FMA314" s="104"/>
      <c r="FMB314" s="104"/>
      <c r="FMC314" s="104"/>
      <c r="FMD314" s="104"/>
      <c r="FME314" s="104"/>
      <c r="FMF314" s="104"/>
      <c r="FMG314" s="104"/>
      <c r="FMH314" s="104"/>
      <c r="FMI314" s="104"/>
      <c r="FMJ314" s="104"/>
      <c r="FMK314" s="104"/>
      <c r="FML314" s="104"/>
      <c r="FMM314" s="104"/>
      <c r="FMN314" s="104"/>
      <c r="FMO314" s="104"/>
      <c r="FMP314" s="104"/>
      <c r="FMQ314" s="104"/>
      <c r="FMR314" s="104"/>
      <c r="FMS314" s="104"/>
      <c r="FMT314" s="104"/>
      <c r="FMU314" s="104"/>
      <c r="FMV314" s="104"/>
      <c r="FMW314" s="104"/>
      <c r="FMX314" s="104"/>
      <c r="FMY314" s="104"/>
      <c r="FMZ314" s="104"/>
      <c r="FNA314" s="104"/>
      <c r="FNB314" s="104"/>
      <c r="FNC314" s="104"/>
      <c r="FND314" s="104"/>
      <c r="FNE314" s="104"/>
      <c r="FNF314" s="104"/>
      <c r="FNG314" s="104"/>
      <c r="FNH314" s="104"/>
      <c r="FNI314" s="104"/>
      <c r="FNJ314" s="104"/>
      <c r="FNK314" s="104"/>
      <c r="FNL314" s="104"/>
      <c r="FNM314" s="104"/>
      <c r="FNN314" s="104"/>
      <c r="FNO314" s="104"/>
      <c r="FNP314" s="104"/>
      <c r="FNQ314" s="104"/>
      <c r="FNR314" s="104"/>
      <c r="FNS314" s="104"/>
      <c r="FNT314" s="104"/>
      <c r="FNU314" s="104"/>
      <c r="FNV314" s="104"/>
      <c r="FNW314" s="104"/>
      <c r="FNX314" s="104"/>
      <c r="FNY314" s="104"/>
      <c r="FNZ314" s="104"/>
      <c r="FOA314" s="104"/>
      <c r="FOB314" s="104"/>
      <c r="FOC314" s="104"/>
      <c r="FOD314" s="104"/>
      <c r="FOE314" s="104"/>
      <c r="FOF314" s="104"/>
      <c r="FOG314" s="104"/>
      <c r="FOH314" s="104"/>
      <c r="FOI314" s="104"/>
      <c r="FOJ314" s="104"/>
      <c r="FOK314" s="104"/>
      <c r="FOL314" s="104"/>
      <c r="FOM314" s="104"/>
      <c r="FON314" s="104"/>
      <c r="FOO314" s="104"/>
      <c r="FOP314" s="104"/>
      <c r="FOQ314" s="104"/>
      <c r="FOR314" s="104"/>
      <c r="FOS314" s="104"/>
      <c r="FOT314" s="104"/>
      <c r="FOU314" s="104"/>
      <c r="FOV314" s="104"/>
      <c r="FOW314" s="104"/>
      <c r="FOX314" s="104"/>
      <c r="FOY314" s="104"/>
      <c r="FOZ314" s="104"/>
      <c r="FPA314" s="104"/>
      <c r="FPB314" s="104"/>
      <c r="FPC314" s="104"/>
      <c r="FPD314" s="104"/>
      <c r="FPE314" s="104"/>
      <c r="FPF314" s="104"/>
      <c r="FPG314" s="104"/>
      <c r="FPH314" s="104"/>
      <c r="FPI314" s="104"/>
      <c r="FPJ314" s="104"/>
      <c r="FPK314" s="104"/>
      <c r="FPL314" s="104"/>
      <c r="FPM314" s="104"/>
      <c r="FPN314" s="104"/>
      <c r="FPO314" s="104"/>
      <c r="FPP314" s="104"/>
      <c r="FPQ314" s="104"/>
      <c r="FPR314" s="104"/>
      <c r="FPS314" s="104"/>
      <c r="FPT314" s="104"/>
      <c r="FPU314" s="104"/>
      <c r="FPV314" s="104"/>
      <c r="FPW314" s="104"/>
      <c r="FPX314" s="104"/>
      <c r="FPY314" s="104"/>
      <c r="FPZ314" s="104"/>
      <c r="FQA314" s="104"/>
      <c r="FQB314" s="104"/>
      <c r="FQC314" s="104"/>
      <c r="FQD314" s="104"/>
      <c r="FQE314" s="104"/>
      <c r="FQF314" s="104"/>
      <c r="FQG314" s="104"/>
      <c r="FQH314" s="104"/>
      <c r="FQI314" s="104"/>
      <c r="FQJ314" s="104"/>
      <c r="FQK314" s="104"/>
      <c r="FQL314" s="104"/>
      <c r="FQM314" s="104"/>
      <c r="FQN314" s="104"/>
      <c r="FQO314" s="104"/>
      <c r="FQP314" s="104"/>
      <c r="FQQ314" s="104"/>
      <c r="FQR314" s="104"/>
      <c r="FQS314" s="104"/>
      <c r="FQT314" s="104"/>
      <c r="FQU314" s="104"/>
      <c r="FQV314" s="104"/>
      <c r="FQW314" s="104"/>
      <c r="FQX314" s="104"/>
      <c r="FQY314" s="104"/>
      <c r="FQZ314" s="104"/>
      <c r="FRA314" s="104"/>
      <c r="FRB314" s="104"/>
      <c r="FRC314" s="104"/>
      <c r="FRD314" s="104"/>
      <c r="FRE314" s="104"/>
      <c r="FRF314" s="104"/>
      <c r="FRG314" s="104"/>
      <c r="FRH314" s="104"/>
      <c r="FRI314" s="104"/>
      <c r="FRJ314" s="104"/>
      <c r="FRK314" s="104"/>
      <c r="FRL314" s="104"/>
      <c r="FRM314" s="104"/>
      <c r="FRN314" s="104"/>
      <c r="FRO314" s="104"/>
      <c r="FRP314" s="104"/>
      <c r="FRQ314" s="104"/>
      <c r="FRR314" s="104"/>
      <c r="FRS314" s="104"/>
      <c r="FRT314" s="104"/>
      <c r="FRU314" s="104"/>
      <c r="FRV314" s="104"/>
      <c r="FRW314" s="104"/>
      <c r="FRX314" s="104"/>
      <c r="FRY314" s="104"/>
      <c r="FRZ314" s="104"/>
      <c r="FSA314" s="104"/>
      <c r="FSB314" s="104"/>
      <c r="FSC314" s="104"/>
      <c r="FSD314" s="104"/>
      <c r="FSE314" s="104"/>
      <c r="FSF314" s="104"/>
      <c r="FSG314" s="104"/>
      <c r="FSH314" s="104"/>
      <c r="FSI314" s="104"/>
      <c r="FSJ314" s="104"/>
      <c r="FSK314" s="104"/>
      <c r="FSL314" s="104"/>
      <c r="FSM314" s="104"/>
      <c r="FSN314" s="104"/>
      <c r="FSO314" s="104"/>
      <c r="FSP314" s="104"/>
      <c r="FSQ314" s="104"/>
      <c r="FSR314" s="104"/>
      <c r="FSS314" s="104"/>
      <c r="FST314" s="104"/>
      <c r="FSU314" s="104"/>
      <c r="FSV314" s="104"/>
      <c r="FSW314" s="104"/>
      <c r="FSX314" s="104"/>
      <c r="FSY314" s="104"/>
      <c r="FSZ314" s="104"/>
      <c r="FTA314" s="104"/>
      <c r="FTB314" s="104"/>
      <c r="FTC314" s="104"/>
      <c r="FTD314" s="104"/>
      <c r="FTE314" s="104"/>
      <c r="FTF314" s="104"/>
      <c r="FTG314" s="104"/>
      <c r="FTH314" s="104"/>
      <c r="FTI314" s="104"/>
      <c r="FTJ314" s="104"/>
      <c r="FTK314" s="104"/>
      <c r="FTL314" s="104"/>
      <c r="FTM314" s="104"/>
      <c r="FTN314" s="104"/>
      <c r="FTO314" s="104"/>
      <c r="FTP314" s="104"/>
      <c r="FTQ314" s="104"/>
      <c r="FTR314" s="104"/>
      <c r="FTS314" s="104"/>
      <c r="FTT314" s="104"/>
      <c r="FTU314" s="104"/>
      <c r="FTV314" s="104"/>
      <c r="FTW314" s="104"/>
      <c r="FTX314" s="104"/>
      <c r="FTY314" s="104"/>
      <c r="FTZ314" s="104"/>
      <c r="FUA314" s="104"/>
      <c r="FUB314" s="104"/>
      <c r="FUC314" s="104"/>
      <c r="FUD314" s="104"/>
      <c r="FUE314" s="104"/>
      <c r="FUF314" s="104"/>
      <c r="FUG314" s="104"/>
      <c r="FUH314" s="104"/>
      <c r="FUI314" s="104"/>
      <c r="FUJ314" s="104"/>
      <c r="FUK314" s="104"/>
      <c r="FUL314" s="104"/>
      <c r="FUM314" s="104"/>
      <c r="FUN314" s="104"/>
      <c r="FUO314" s="104"/>
      <c r="FUP314" s="104"/>
      <c r="FUQ314" s="104"/>
      <c r="FUR314" s="104"/>
      <c r="FUS314" s="104"/>
      <c r="FUT314" s="104"/>
      <c r="FUU314" s="104"/>
      <c r="FUV314" s="104"/>
      <c r="FUW314" s="104"/>
      <c r="FUX314" s="104"/>
      <c r="FUY314" s="104"/>
      <c r="FUZ314" s="104"/>
      <c r="FVA314" s="104"/>
      <c r="FVB314" s="104"/>
      <c r="FVC314" s="104"/>
      <c r="FVD314" s="104"/>
      <c r="FVE314" s="104"/>
      <c r="FVF314" s="104"/>
      <c r="FVG314" s="104"/>
      <c r="FVH314" s="104"/>
      <c r="FVI314" s="104"/>
      <c r="FVJ314" s="104"/>
      <c r="FVK314" s="104"/>
      <c r="FVL314" s="104"/>
      <c r="FVM314" s="104"/>
      <c r="FVN314" s="104"/>
      <c r="FVO314" s="104"/>
      <c r="FVP314" s="104"/>
      <c r="FVQ314" s="104"/>
      <c r="FVR314" s="104"/>
      <c r="FVS314" s="104"/>
      <c r="FVT314" s="104"/>
      <c r="FVU314" s="104"/>
      <c r="FVV314" s="104"/>
      <c r="FVW314" s="104"/>
      <c r="FVX314" s="104"/>
      <c r="FVY314" s="104"/>
      <c r="FVZ314" s="104"/>
      <c r="FWA314" s="104"/>
      <c r="FWB314" s="104"/>
      <c r="FWC314" s="104"/>
      <c r="FWD314" s="104"/>
      <c r="FWE314" s="104"/>
      <c r="FWF314" s="104"/>
      <c r="FWG314" s="104"/>
      <c r="FWH314" s="104"/>
      <c r="FWI314" s="104"/>
      <c r="FWJ314" s="104"/>
      <c r="FWK314" s="104"/>
      <c r="FWL314" s="104"/>
      <c r="FWM314" s="104"/>
      <c r="FWN314" s="104"/>
      <c r="FWO314" s="104"/>
      <c r="FWP314" s="104"/>
      <c r="FWQ314" s="104"/>
      <c r="FWR314" s="104"/>
      <c r="FWS314" s="104"/>
      <c r="FWT314" s="104"/>
      <c r="FWU314" s="104"/>
      <c r="FWV314" s="104"/>
      <c r="FWW314" s="104"/>
      <c r="FWX314" s="104"/>
      <c r="FWY314" s="104"/>
      <c r="FWZ314" s="104"/>
      <c r="FXA314" s="104"/>
      <c r="FXB314" s="104"/>
      <c r="FXC314" s="104"/>
      <c r="FXD314" s="104"/>
      <c r="FXE314" s="104"/>
      <c r="FXF314" s="104"/>
      <c r="FXG314" s="104"/>
      <c r="FXH314" s="104"/>
      <c r="FXI314" s="104"/>
      <c r="FXJ314" s="104"/>
      <c r="FXK314" s="104"/>
      <c r="FXL314" s="104"/>
      <c r="FXM314" s="104"/>
      <c r="FXN314" s="104"/>
      <c r="FXO314" s="104"/>
      <c r="FXP314" s="104"/>
      <c r="FXQ314" s="104"/>
      <c r="FXR314" s="104"/>
      <c r="FXS314" s="104"/>
      <c r="FXT314" s="104"/>
      <c r="FXU314" s="104"/>
      <c r="FXV314" s="104"/>
      <c r="FXW314" s="104"/>
      <c r="FXX314" s="104"/>
      <c r="FXY314" s="104"/>
      <c r="FXZ314" s="104"/>
      <c r="FYA314" s="104"/>
      <c r="FYB314" s="104"/>
      <c r="FYC314" s="104"/>
      <c r="FYD314" s="104"/>
      <c r="FYE314" s="104"/>
      <c r="FYF314" s="104"/>
      <c r="FYG314" s="104"/>
      <c r="FYH314" s="104"/>
      <c r="FYI314" s="104"/>
      <c r="FYJ314" s="104"/>
      <c r="FYK314" s="104"/>
      <c r="FYL314" s="104"/>
      <c r="FYM314" s="104"/>
      <c r="FYN314" s="104"/>
      <c r="FYO314" s="104"/>
      <c r="FYP314" s="104"/>
      <c r="FYQ314" s="104"/>
      <c r="FYR314" s="104"/>
      <c r="FYS314" s="104"/>
      <c r="FYT314" s="104"/>
      <c r="FYU314" s="104"/>
      <c r="FYV314" s="104"/>
      <c r="FYW314" s="104"/>
      <c r="FYX314" s="104"/>
      <c r="FYY314" s="104"/>
      <c r="FYZ314" s="104"/>
      <c r="FZA314" s="104"/>
      <c r="FZB314" s="104"/>
      <c r="FZC314" s="104"/>
      <c r="FZD314" s="104"/>
      <c r="FZE314" s="104"/>
      <c r="FZF314" s="104"/>
      <c r="FZG314" s="104"/>
      <c r="FZH314" s="104"/>
      <c r="FZI314" s="104"/>
      <c r="FZJ314" s="104"/>
      <c r="FZK314" s="104"/>
      <c r="FZL314" s="104"/>
      <c r="FZM314" s="104"/>
      <c r="FZN314" s="104"/>
      <c r="FZO314" s="104"/>
      <c r="FZP314" s="104"/>
      <c r="FZQ314" s="104"/>
      <c r="FZR314" s="104"/>
      <c r="FZS314" s="104"/>
      <c r="FZT314" s="104"/>
      <c r="FZU314" s="104"/>
      <c r="FZV314" s="104"/>
      <c r="FZW314" s="104"/>
      <c r="FZX314" s="104"/>
      <c r="FZY314" s="104"/>
      <c r="FZZ314" s="104"/>
      <c r="GAA314" s="104"/>
      <c r="GAB314" s="104"/>
      <c r="GAC314" s="104"/>
      <c r="GAD314" s="104"/>
      <c r="GAE314" s="104"/>
      <c r="GAF314" s="104"/>
      <c r="GAG314" s="104"/>
      <c r="GAH314" s="104"/>
      <c r="GAI314" s="104"/>
      <c r="GAJ314" s="104"/>
      <c r="GAK314" s="104"/>
      <c r="GAL314" s="104"/>
      <c r="GAM314" s="104"/>
      <c r="GAN314" s="104"/>
      <c r="GAO314" s="104"/>
      <c r="GAP314" s="104"/>
      <c r="GAQ314" s="104"/>
      <c r="GAR314" s="104"/>
      <c r="GAS314" s="104"/>
      <c r="GAT314" s="104"/>
      <c r="GAU314" s="104"/>
      <c r="GAV314" s="104"/>
      <c r="GAW314" s="104"/>
      <c r="GAX314" s="104"/>
      <c r="GAY314" s="104"/>
      <c r="GAZ314" s="104"/>
      <c r="GBA314" s="104"/>
      <c r="GBB314" s="104"/>
      <c r="GBC314" s="104"/>
      <c r="GBD314" s="104"/>
      <c r="GBE314" s="104"/>
      <c r="GBF314" s="104"/>
      <c r="GBG314" s="104"/>
      <c r="GBH314" s="104"/>
      <c r="GBI314" s="104"/>
      <c r="GBJ314" s="104"/>
      <c r="GBK314" s="104"/>
      <c r="GBL314" s="104"/>
      <c r="GBM314" s="104"/>
      <c r="GBN314" s="104"/>
      <c r="GBO314" s="104"/>
      <c r="GBP314" s="104"/>
      <c r="GBQ314" s="104"/>
      <c r="GBR314" s="104"/>
      <c r="GBS314" s="104"/>
      <c r="GBT314" s="104"/>
      <c r="GBU314" s="104"/>
      <c r="GBV314" s="104"/>
      <c r="GBW314" s="104"/>
      <c r="GBX314" s="104"/>
      <c r="GBY314" s="104"/>
      <c r="GBZ314" s="104"/>
      <c r="GCA314" s="104"/>
      <c r="GCB314" s="104"/>
      <c r="GCC314" s="104"/>
      <c r="GCD314" s="104"/>
      <c r="GCE314" s="104"/>
      <c r="GCF314" s="104"/>
      <c r="GCG314" s="104"/>
      <c r="GCH314" s="104"/>
      <c r="GCI314" s="104"/>
      <c r="GCJ314" s="104"/>
      <c r="GCK314" s="104"/>
      <c r="GCL314" s="104"/>
      <c r="GCM314" s="104"/>
      <c r="GCN314" s="104"/>
      <c r="GCO314" s="104"/>
      <c r="GCP314" s="104"/>
      <c r="GCQ314" s="104"/>
      <c r="GCR314" s="104"/>
      <c r="GCS314" s="104"/>
      <c r="GCT314" s="104"/>
      <c r="GCU314" s="104"/>
      <c r="GCV314" s="104"/>
      <c r="GCW314" s="104"/>
      <c r="GCX314" s="104"/>
      <c r="GCY314" s="104"/>
      <c r="GCZ314" s="104"/>
      <c r="GDA314" s="104"/>
      <c r="GDB314" s="104"/>
      <c r="GDC314" s="104"/>
      <c r="GDD314" s="104"/>
      <c r="GDE314" s="104"/>
      <c r="GDF314" s="104"/>
      <c r="GDG314" s="104"/>
      <c r="GDH314" s="104"/>
      <c r="GDI314" s="104"/>
      <c r="GDJ314" s="104"/>
      <c r="GDK314" s="104"/>
      <c r="GDL314" s="104"/>
      <c r="GDM314" s="104"/>
      <c r="GDN314" s="104"/>
      <c r="GDO314" s="104"/>
      <c r="GDP314" s="104"/>
      <c r="GDQ314" s="104"/>
      <c r="GDR314" s="104"/>
      <c r="GDS314" s="104"/>
      <c r="GDT314" s="104"/>
      <c r="GDU314" s="104"/>
      <c r="GDV314" s="104"/>
      <c r="GDW314" s="104"/>
      <c r="GDX314" s="104"/>
      <c r="GDY314" s="104"/>
      <c r="GDZ314" s="104"/>
      <c r="GEA314" s="104"/>
      <c r="GEB314" s="104"/>
      <c r="GEC314" s="104"/>
      <c r="GED314" s="104"/>
      <c r="GEE314" s="104"/>
      <c r="GEF314" s="104"/>
      <c r="GEG314" s="104"/>
      <c r="GEH314" s="104"/>
      <c r="GEI314" s="104"/>
      <c r="GEJ314" s="104"/>
      <c r="GEK314" s="104"/>
      <c r="GEL314" s="104"/>
      <c r="GEM314" s="104"/>
      <c r="GEN314" s="104"/>
      <c r="GEO314" s="104"/>
      <c r="GEP314" s="104"/>
      <c r="GEQ314" s="104"/>
      <c r="GER314" s="104"/>
      <c r="GES314" s="104"/>
      <c r="GET314" s="104"/>
      <c r="GEU314" s="104"/>
      <c r="GEV314" s="104"/>
      <c r="GEW314" s="104"/>
      <c r="GEX314" s="104"/>
      <c r="GEY314" s="104"/>
      <c r="GEZ314" s="104"/>
      <c r="GFA314" s="104"/>
      <c r="GFB314" s="104"/>
      <c r="GFC314" s="104"/>
      <c r="GFD314" s="104"/>
      <c r="GFE314" s="104"/>
      <c r="GFF314" s="104"/>
      <c r="GFG314" s="104"/>
      <c r="GFH314" s="104"/>
      <c r="GFI314" s="104"/>
      <c r="GFJ314" s="104"/>
      <c r="GFK314" s="104"/>
      <c r="GFL314" s="104"/>
      <c r="GFM314" s="104"/>
      <c r="GFN314" s="104"/>
      <c r="GFO314" s="104"/>
      <c r="GFP314" s="104"/>
      <c r="GFQ314" s="104"/>
      <c r="GFR314" s="104"/>
      <c r="GFS314" s="104"/>
      <c r="GFT314" s="104"/>
      <c r="GFU314" s="104"/>
      <c r="GFV314" s="104"/>
      <c r="GFW314" s="104"/>
      <c r="GFX314" s="104"/>
      <c r="GFY314" s="104"/>
      <c r="GFZ314" s="104"/>
      <c r="GGA314" s="104"/>
      <c r="GGB314" s="104"/>
      <c r="GGC314" s="104"/>
      <c r="GGD314" s="104"/>
      <c r="GGE314" s="104"/>
      <c r="GGF314" s="104"/>
      <c r="GGG314" s="104"/>
      <c r="GGH314" s="104"/>
      <c r="GGI314" s="104"/>
      <c r="GGJ314" s="104"/>
      <c r="GGK314" s="104"/>
      <c r="GGL314" s="104"/>
      <c r="GGM314" s="104"/>
      <c r="GGN314" s="104"/>
      <c r="GGO314" s="104"/>
      <c r="GGP314" s="104"/>
      <c r="GGQ314" s="104"/>
      <c r="GGR314" s="104"/>
      <c r="GGS314" s="104"/>
      <c r="GGT314" s="104"/>
      <c r="GGU314" s="104"/>
      <c r="GGV314" s="104"/>
      <c r="GGW314" s="104"/>
      <c r="GGX314" s="104"/>
      <c r="GGY314" s="104"/>
      <c r="GGZ314" s="104"/>
      <c r="GHA314" s="104"/>
      <c r="GHB314" s="104"/>
      <c r="GHC314" s="104"/>
      <c r="GHD314" s="104"/>
      <c r="GHE314" s="104"/>
      <c r="GHF314" s="104"/>
      <c r="GHG314" s="104"/>
      <c r="GHH314" s="104"/>
      <c r="GHI314" s="104"/>
      <c r="GHJ314" s="104"/>
      <c r="GHK314" s="104"/>
      <c r="GHL314" s="104"/>
      <c r="GHM314" s="104"/>
      <c r="GHN314" s="104"/>
      <c r="GHO314" s="104"/>
      <c r="GHP314" s="104"/>
      <c r="GHQ314" s="104"/>
      <c r="GHR314" s="104"/>
      <c r="GHS314" s="104"/>
      <c r="GHT314" s="104"/>
      <c r="GHU314" s="104"/>
      <c r="GHV314" s="104"/>
      <c r="GHW314" s="104"/>
      <c r="GHX314" s="104"/>
      <c r="GHY314" s="104"/>
      <c r="GHZ314" s="104"/>
      <c r="GIA314" s="104"/>
      <c r="GIB314" s="104"/>
      <c r="GIC314" s="104"/>
      <c r="GID314" s="104"/>
      <c r="GIE314" s="104"/>
      <c r="GIF314" s="104"/>
      <c r="GIG314" s="104"/>
      <c r="GIH314" s="104"/>
      <c r="GII314" s="104"/>
      <c r="GIJ314" s="104"/>
      <c r="GIK314" s="104"/>
      <c r="GIL314" s="104"/>
      <c r="GIM314" s="104"/>
      <c r="GIN314" s="104"/>
      <c r="GIO314" s="104"/>
      <c r="GIP314" s="104"/>
      <c r="GIQ314" s="104"/>
      <c r="GIR314" s="104"/>
      <c r="GIS314" s="104"/>
      <c r="GIT314" s="104"/>
      <c r="GIU314" s="104"/>
      <c r="GIV314" s="104"/>
      <c r="GIW314" s="104"/>
      <c r="GIX314" s="104"/>
      <c r="GIY314" s="104"/>
      <c r="GIZ314" s="104"/>
      <c r="GJA314" s="104"/>
      <c r="GJB314" s="104"/>
      <c r="GJC314" s="104"/>
      <c r="GJD314" s="104"/>
      <c r="GJE314" s="104"/>
      <c r="GJF314" s="104"/>
      <c r="GJG314" s="104"/>
      <c r="GJH314" s="104"/>
      <c r="GJI314" s="104"/>
      <c r="GJJ314" s="104"/>
      <c r="GJK314" s="104"/>
      <c r="GJL314" s="104"/>
      <c r="GJM314" s="104"/>
      <c r="GJN314" s="104"/>
      <c r="GJO314" s="104"/>
      <c r="GJP314" s="104"/>
      <c r="GJQ314" s="104"/>
      <c r="GJR314" s="104"/>
      <c r="GJS314" s="104"/>
      <c r="GJT314" s="104"/>
      <c r="GJU314" s="104"/>
      <c r="GJV314" s="104"/>
      <c r="GJW314" s="104"/>
      <c r="GJX314" s="104"/>
      <c r="GJY314" s="104"/>
      <c r="GJZ314" s="104"/>
      <c r="GKA314" s="104"/>
      <c r="GKB314" s="104"/>
      <c r="GKC314" s="104"/>
      <c r="GKD314" s="104"/>
      <c r="GKE314" s="104"/>
      <c r="GKF314" s="104"/>
      <c r="GKG314" s="104"/>
      <c r="GKH314" s="104"/>
      <c r="GKI314" s="104"/>
      <c r="GKJ314" s="104"/>
      <c r="GKK314" s="104"/>
      <c r="GKL314" s="104"/>
      <c r="GKM314" s="104"/>
      <c r="GKN314" s="104"/>
      <c r="GKO314" s="104"/>
      <c r="GKP314" s="104"/>
      <c r="GKQ314" s="104"/>
      <c r="GKR314" s="104"/>
      <c r="GKS314" s="104"/>
      <c r="GKT314" s="104"/>
      <c r="GKU314" s="104"/>
      <c r="GKV314" s="104"/>
      <c r="GKW314" s="104"/>
      <c r="GKX314" s="104"/>
      <c r="GKY314" s="104"/>
      <c r="GKZ314" s="104"/>
      <c r="GLA314" s="104"/>
      <c r="GLB314" s="104"/>
      <c r="GLC314" s="104"/>
      <c r="GLD314" s="104"/>
      <c r="GLE314" s="104"/>
      <c r="GLF314" s="104"/>
      <c r="GLG314" s="104"/>
      <c r="GLH314" s="104"/>
      <c r="GLI314" s="104"/>
      <c r="GLJ314" s="104"/>
      <c r="GLK314" s="104"/>
      <c r="GLL314" s="104"/>
      <c r="GLM314" s="104"/>
      <c r="GLN314" s="104"/>
      <c r="GLO314" s="104"/>
      <c r="GLP314" s="104"/>
      <c r="GLQ314" s="104"/>
      <c r="GLR314" s="104"/>
      <c r="GLS314" s="104"/>
      <c r="GLT314" s="104"/>
      <c r="GLU314" s="104"/>
      <c r="GLV314" s="104"/>
      <c r="GLW314" s="104"/>
      <c r="GLX314" s="104"/>
      <c r="GLY314" s="104"/>
      <c r="GLZ314" s="104"/>
      <c r="GMA314" s="104"/>
      <c r="GMB314" s="104"/>
      <c r="GMC314" s="104"/>
      <c r="GMD314" s="104"/>
      <c r="GME314" s="104"/>
      <c r="GMF314" s="104"/>
      <c r="GMG314" s="104"/>
      <c r="GMH314" s="104"/>
      <c r="GMI314" s="104"/>
      <c r="GMJ314" s="104"/>
      <c r="GMK314" s="104"/>
      <c r="GML314" s="104"/>
      <c r="GMM314" s="104"/>
      <c r="GMN314" s="104"/>
      <c r="GMO314" s="104"/>
      <c r="GMP314" s="104"/>
      <c r="GMQ314" s="104"/>
      <c r="GMR314" s="104"/>
      <c r="GMS314" s="104"/>
      <c r="GMT314" s="104"/>
      <c r="GMU314" s="104"/>
      <c r="GMV314" s="104"/>
      <c r="GMW314" s="104"/>
      <c r="GMX314" s="104"/>
      <c r="GMY314" s="104"/>
      <c r="GMZ314" s="104"/>
      <c r="GNA314" s="104"/>
      <c r="GNB314" s="104"/>
      <c r="GNC314" s="104"/>
      <c r="GND314" s="104"/>
      <c r="GNE314" s="104"/>
      <c r="GNF314" s="104"/>
      <c r="GNG314" s="104"/>
      <c r="GNH314" s="104"/>
      <c r="GNI314" s="104"/>
      <c r="GNJ314" s="104"/>
      <c r="GNK314" s="104"/>
      <c r="GNL314" s="104"/>
      <c r="GNM314" s="104"/>
      <c r="GNN314" s="104"/>
      <c r="GNO314" s="104"/>
      <c r="GNP314" s="104"/>
      <c r="GNQ314" s="104"/>
      <c r="GNR314" s="104"/>
      <c r="GNS314" s="104"/>
      <c r="GNT314" s="104"/>
      <c r="GNU314" s="104"/>
      <c r="GNV314" s="104"/>
      <c r="GNW314" s="104"/>
      <c r="GNX314" s="104"/>
      <c r="GNY314" s="104"/>
      <c r="GNZ314" s="104"/>
      <c r="GOA314" s="104"/>
      <c r="GOB314" s="104"/>
      <c r="GOC314" s="104"/>
      <c r="GOD314" s="104"/>
      <c r="GOE314" s="104"/>
      <c r="GOF314" s="104"/>
      <c r="GOG314" s="104"/>
      <c r="GOH314" s="104"/>
      <c r="GOI314" s="104"/>
      <c r="GOJ314" s="104"/>
      <c r="GOK314" s="104"/>
      <c r="GOL314" s="104"/>
      <c r="GOM314" s="104"/>
      <c r="GON314" s="104"/>
      <c r="GOO314" s="104"/>
      <c r="GOP314" s="104"/>
      <c r="GOQ314" s="104"/>
      <c r="GOR314" s="104"/>
      <c r="GOS314" s="104"/>
      <c r="GOT314" s="104"/>
      <c r="GOU314" s="104"/>
      <c r="GOV314" s="104"/>
      <c r="GOW314" s="104"/>
      <c r="GOX314" s="104"/>
      <c r="GOY314" s="104"/>
      <c r="GOZ314" s="104"/>
      <c r="GPA314" s="104"/>
      <c r="GPB314" s="104"/>
      <c r="GPC314" s="104"/>
      <c r="GPD314" s="104"/>
      <c r="GPE314" s="104"/>
      <c r="GPF314" s="104"/>
      <c r="GPG314" s="104"/>
      <c r="GPH314" s="104"/>
      <c r="GPI314" s="104"/>
      <c r="GPJ314" s="104"/>
      <c r="GPK314" s="104"/>
      <c r="GPL314" s="104"/>
      <c r="GPM314" s="104"/>
      <c r="GPN314" s="104"/>
      <c r="GPO314" s="104"/>
      <c r="GPP314" s="104"/>
      <c r="GPQ314" s="104"/>
      <c r="GPR314" s="104"/>
      <c r="GPS314" s="104"/>
      <c r="GPT314" s="104"/>
      <c r="GPU314" s="104"/>
      <c r="GPV314" s="104"/>
      <c r="GPW314" s="104"/>
      <c r="GPX314" s="104"/>
      <c r="GPY314" s="104"/>
      <c r="GPZ314" s="104"/>
      <c r="GQA314" s="104"/>
      <c r="GQB314" s="104"/>
      <c r="GQC314" s="104"/>
      <c r="GQD314" s="104"/>
      <c r="GQE314" s="104"/>
      <c r="GQF314" s="104"/>
      <c r="GQG314" s="104"/>
      <c r="GQH314" s="104"/>
      <c r="GQI314" s="104"/>
      <c r="GQJ314" s="104"/>
      <c r="GQK314" s="104"/>
      <c r="GQL314" s="104"/>
      <c r="GQM314" s="104"/>
      <c r="GQN314" s="104"/>
      <c r="GQO314" s="104"/>
      <c r="GQP314" s="104"/>
      <c r="GQQ314" s="104"/>
      <c r="GQR314" s="104"/>
      <c r="GQS314" s="104"/>
      <c r="GQT314" s="104"/>
      <c r="GQU314" s="104"/>
      <c r="GQV314" s="104"/>
      <c r="GQW314" s="104"/>
      <c r="GQX314" s="104"/>
      <c r="GQY314" s="104"/>
      <c r="GQZ314" s="104"/>
      <c r="GRA314" s="104"/>
      <c r="GRB314" s="104"/>
      <c r="GRC314" s="104"/>
      <c r="GRD314" s="104"/>
      <c r="GRE314" s="104"/>
      <c r="GRF314" s="104"/>
      <c r="GRG314" s="104"/>
      <c r="GRH314" s="104"/>
      <c r="GRI314" s="104"/>
      <c r="GRJ314" s="104"/>
      <c r="GRK314" s="104"/>
      <c r="GRL314" s="104"/>
      <c r="GRM314" s="104"/>
      <c r="GRN314" s="104"/>
      <c r="GRO314" s="104"/>
      <c r="GRP314" s="104"/>
      <c r="GRQ314" s="104"/>
      <c r="GRR314" s="104"/>
      <c r="GRS314" s="104"/>
      <c r="GRT314" s="104"/>
      <c r="GRU314" s="104"/>
      <c r="GRV314" s="104"/>
      <c r="GRW314" s="104"/>
      <c r="GRX314" s="104"/>
      <c r="GRY314" s="104"/>
      <c r="GRZ314" s="104"/>
      <c r="GSA314" s="104"/>
      <c r="GSB314" s="104"/>
      <c r="GSC314" s="104"/>
      <c r="GSD314" s="104"/>
      <c r="GSE314" s="104"/>
      <c r="GSF314" s="104"/>
      <c r="GSG314" s="104"/>
      <c r="GSH314" s="104"/>
      <c r="GSI314" s="104"/>
      <c r="GSJ314" s="104"/>
      <c r="GSK314" s="104"/>
      <c r="GSL314" s="104"/>
      <c r="GSM314" s="104"/>
      <c r="GSN314" s="104"/>
      <c r="GSO314" s="104"/>
      <c r="GSP314" s="104"/>
      <c r="GSQ314" s="104"/>
      <c r="GSR314" s="104"/>
      <c r="GSS314" s="104"/>
      <c r="GST314" s="104"/>
      <c r="GSU314" s="104"/>
      <c r="GSV314" s="104"/>
      <c r="GSW314" s="104"/>
      <c r="GSX314" s="104"/>
      <c r="GSY314" s="104"/>
      <c r="GSZ314" s="104"/>
      <c r="GTA314" s="104"/>
      <c r="GTB314" s="104"/>
      <c r="GTC314" s="104"/>
      <c r="GTD314" s="104"/>
      <c r="GTE314" s="104"/>
      <c r="GTF314" s="104"/>
      <c r="GTG314" s="104"/>
      <c r="GTH314" s="104"/>
      <c r="GTI314" s="104"/>
      <c r="GTJ314" s="104"/>
      <c r="GTK314" s="104"/>
      <c r="GTL314" s="104"/>
      <c r="GTM314" s="104"/>
      <c r="GTN314" s="104"/>
      <c r="GTO314" s="104"/>
      <c r="GTP314" s="104"/>
      <c r="GTQ314" s="104"/>
      <c r="GTR314" s="104"/>
      <c r="GTS314" s="104"/>
      <c r="GTT314" s="104"/>
      <c r="GTU314" s="104"/>
      <c r="GTV314" s="104"/>
      <c r="GTW314" s="104"/>
      <c r="GTX314" s="104"/>
      <c r="GTY314" s="104"/>
      <c r="GTZ314" s="104"/>
      <c r="GUA314" s="104"/>
      <c r="GUB314" s="104"/>
      <c r="GUC314" s="104"/>
      <c r="GUD314" s="104"/>
      <c r="GUE314" s="104"/>
      <c r="GUF314" s="104"/>
      <c r="GUG314" s="104"/>
      <c r="GUH314" s="104"/>
      <c r="GUI314" s="104"/>
      <c r="GUJ314" s="104"/>
      <c r="GUK314" s="104"/>
      <c r="GUL314" s="104"/>
      <c r="GUM314" s="104"/>
      <c r="GUN314" s="104"/>
      <c r="GUO314" s="104"/>
      <c r="GUP314" s="104"/>
      <c r="GUQ314" s="104"/>
      <c r="GUR314" s="104"/>
      <c r="GUS314" s="104"/>
      <c r="GUT314" s="104"/>
      <c r="GUU314" s="104"/>
      <c r="GUV314" s="104"/>
      <c r="GUW314" s="104"/>
      <c r="GUX314" s="104"/>
      <c r="GUY314" s="104"/>
      <c r="GUZ314" s="104"/>
      <c r="GVA314" s="104"/>
      <c r="GVB314" s="104"/>
      <c r="GVC314" s="104"/>
      <c r="GVD314" s="104"/>
      <c r="GVE314" s="104"/>
      <c r="GVF314" s="104"/>
      <c r="GVG314" s="104"/>
      <c r="GVH314" s="104"/>
      <c r="GVI314" s="104"/>
      <c r="GVJ314" s="104"/>
      <c r="GVK314" s="104"/>
      <c r="GVL314" s="104"/>
      <c r="GVM314" s="104"/>
      <c r="GVN314" s="104"/>
      <c r="GVO314" s="104"/>
      <c r="GVP314" s="104"/>
      <c r="GVQ314" s="104"/>
      <c r="GVR314" s="104"/>
      <c r="GVS314" s="104"/>
      <c r="GVT314" s="104"/>
      <c r="GVU314" s="104"/>
      <c r="GVV314" s="104"/>
      <c r="GVW314" s="104"/>
      <c r="GVX314" s="104"/>
      <c r="GVY314" s="104"/>
      <c r="GVZ314" s="104"/>
      <c r="GWA314" s="104"/>
      <c r="GWB314" s="104"/>
      <c r="GWC314" s="104"/>
      <c r="GWD314" s="104"/>
      <c r="GWE314" s="104"/>
      <c r="GWF314" s="104"/>
      <c r="GWG314" s="104"/>
      <c r="GWH314" s="104"/>
      <c r="GWI314" s="104"/>
      <c r="GWJ314" s="104"/>
      <c r="GWK314" s="104"/>
      <c r="GWL314" s="104"/>
      <c r="GWM314" s="104"/>
      <c r="GWN314" s="104"/>
      <c r="GWO314" s="104"/>
      <c r="GWP314" s="104"/>
      <c r="GWQ314" s="104"/>
      <c r="GWR314" s="104"/>
      <c r="GWS314" s="104"/>
      <c r="GWT314" s="104"/>
      <c r="GWU314" s="104"/>
      <c r="GWV314" s="104"/>
      <c r="GWW314" s="104"/>
      <c r="GWX314" s="104"/>
      <c r="GWY314" s="104"/>
      <c r="GWZ314" s="104"/>
      <c r="GXA314" s="104"/>
      <c r="GXB314" s="104"/>
      <c r="GXC314" s="104"/>
      <c r="GXD314" s="104"/>
      <c r="GXE314" s="104"/>
      <c r="GXF314" s="104"/>
      <c r="GXG314" s="104"/>
      <c r="GXH314" s="104"/>
      <c r="GXI314" s="104"/>
      <c r="GXJ314" s="104"/>
      <c r="GXK314" s="104"/>
      <c r="GXL314" s="104"/>
      <c r="GXM314" s="104"/>
      <c r="GXN314" s="104"/>
      <c r="GXO314" s="104"/>
      <c r="GXP314" s="104"/>
      <c r="GXQ314" s="104"/>
      <c r="GXR314" s="104"/>
      <c r="GXS314" s="104"/>
      <c r="GXT314" s="104"/>
      <c r="GXU314" s="104"/>
      <c r="GXV314" s="104"/>
      <c r="GXW314" s="104"/>
      <c r="GXX314" s="104"/>
      <c r="GXY314" s="104"/>
      <c r="GXZ314" s="104"/>
      <c r="GYA314" s="104"/>
      <c r="GYB314" s="104"/>
      <c r="GYC314" s="104"/>
      <c r="GYD314" s="104"/>
      <c r="GYE314" s="104"/>
      <c r="GYF314" s="104"/>
      <c r="GYG314" s="104"/>
      <c r="GYH314" s="104"/>
      <c r="GYI314" s="104"/>
      <c r="GYJ314" s="104"/>
      <c r="GYK314" s="104"/>
      <c r="GYL314" s="104"/>
      <c r="GYM314" s="104"/>
      <c r="GYN314" s="104"/>
      <c r="GYO314" s="104"/>
      <c r="GYP314" s="104"/>
      <c r="GYQ314" s="104"/>
      <c r="GYR314" s="104"/>
      <c r="GYS314" s="104"/>
      <c r="GYT314" s="104"/>
      <c r="GYU314" s="104"/>
      <c r="GYV314" s="104"/>
      <c r="GYW314" s="104"/>
      <c r="GYX314" s="104"/>
      <c r="GYY314" s="104"/>
      <c r="GYZ314" s="104"/>
      <c r="GZA314" s="104"/>
      <c r="GZB314" s="104"/>
      <c r="GZC314" s="104"/>
      <c r="GZD314" s="104"/>
      <c r="GZE314" s="104"/>
      <c r="GZF314" s="104"/>
      <c r="GZG314" s="104"/>
      <c r="GZH314" s="104"/>
      <c r="GZI314" s="104"/>
      <c r="GZJ314" s="104"/>
      <c r="GZK314" s="104"/>
      <c r="GZL314" s="104"/>
      <c r="GZM314" s="104"/>
      <c r="GZN314" s="104"/>
      <c r="GZO314" s="104"/>
      <c r="GZP314" s="104"/>
      <c r="GZQ314" s="104"/>
      <c r="GZR314" s="104"/>
      <c r="GZS314" s="104"/>
      <c r="GZT314" s="104"/>
      <c r="GZU314" s="104"/>
      <c r="GZV314" s="104"/>
      <c r="GZW314" s="104"/>
      <c r="GZX314" s="104"/>
      <c r="GZY314" s="104"/>
      <c r="GZZ314" s="104"/>
      <c r="HAA314" s="104"/>
      <c r="HAB314" s="104"/>
      <c r="HAC314" s="104"/>
      <c r="HAD314" s="104"/>
      <c r="HAE314" s="104"/>
      <c r="HAF314" s="104"/>
      <c r="HAG314" s="104"/>
      <c r="HAH314" s="104"/>
      <c r="HAI314" s="104"/>
      <c r="HAJ314" s="104"/>
      <c r="HAK314" s="104"/>
      <c r="HAL314" s="104"/>
      <c r="HAM314" s="104"/>
      <c r="HAN314" s="104"/>
      <c r="HAO314" s="104"/>
      <c r="HAP314" s="104"/>
      <c r="HAQ314" s="104"/>
      <c r="HAR314" s="104"/>
      <c r="HAS314" s="104"/>
      <c r="HAT314" s="104"/>
      <c r="HAU314" s="104"/>
      <c r="HAV314" s="104"/>
      <c r="HAW314" s="104"/>
      <c r="HAX314" s="104"/>
      <c r="HAY314" s="104"/>
      <c r="HAZ314" s="104"/>
      <c r="HBA314" s="104"/>
      <c r="HBB314" s="104"/>
      <c r="HBC314" s="104"/>
      <c r="HBD314" s="104"/>
      <c r="HBE314" s="104"/>
      <c r="HBF314" s="104"/>
      <c r="HBG314" s="104"/>
      <c r="HBH314" s="104"/>
      <c r="HBI314" s="104"/>
      <c r="HBJ314" s="104"/>
      <c r="HBK314" s="104"/>
      <c r="HBL314" s="104"/>
      <c r="HBM314" s="104"/>
      <c r="HBN314" s="104"/>
      <c r="HBO314" s="104"/>
      <c r="HBP314" s="104"/>
      <c r="HBQ314" s="104"/>
      <c r="HBR314" s="104"/>
      <c r="HBS314" s="104"/>
      <c r="HBT314" s="104"/>
      <c r="HBU314" s="104"/>
      <c r="HBV314" s="104"/>
      <c r="HBW314" s="104"/>
      <c r="HBX314" s="104"/>
      <c r="HBY314" s="104"/>
      <c r="HBZ314" s="104"/>
      <c r="HCA314" s="104"/>
      <c r="HCB314" s="104"/>
      <c r="HCC314" s="104"/>
      <c r="HCD314" s="104"/>
      <c r="HCE314" s="104"/>
      <c r="HCF314" s="104"/>
      <c r="HCG314" s="104"/>
      <c r="HCH314" s="104"/>
      <c r="HCI314" s="104"/>
      <c r="HCJ314" s="104"/>
      <c r="HCK314" s="104"/>
      <c r="HCL314" s="104"/>
      <c r="HCM314" s="104"/>
      <c r="HCN314" s="104"/>
      <c r="HCO314" s="104"/>
      <c r="HCP314" s="104"/>
      <c r="HCQ314" s="104"/>
      <c r="HCR314" s="104"/>
      <c r="HCS314" s="104"/>
      <c r="HCT314" s="104"/>
      <c r="HCU314" s="104"/>
      <c r="HCV314" s="104"/>
      <c r="HCW314" s="104"/>
      <c r="HCX314" s="104"/>
      <c r="HCY314" s="104"/>
      <c r="HCZ314" s="104"/>
      <c r="HDA314" s="104"/>
      <c r="HDB314" s="104"/>
      <c r="HDC314" s="104"/>
      <c r="HDD314" s="104"/>
      <c r="HDE314" s="104"/>
      <c r="HDF314" s="104"/>
      <c r="HDG314" s="104"/>
      <c r="HDH314" s="104"/>
      <c r="HDI314" s="104"/>
      <c r="HDJ314" s="104"/>
      <c r="HDK314" s="104"/>
      <c r="HDL314" s="104"/>
      <c r="HDM314" s="104"/>
      <c r="HDN314" s="104"/>
      <c r="HDO314" s="104"/>
      <c r="HDP314" s="104"/>
      <c r="HDQ314" s="104"/>
      <c r="HDR314" s="104"/>
      <c r="HDS314" s="104"/>
      <c r="HDT314" s="104"/>
      <c r="HDU314" s="104"/>
      <c r="HDV314" s="104"/>
      <c r="HDW314" s="104"/>
      <c r="HDX314" s="104"/>
      <c r="HDY314" s="104"/>
      <c r="HDZ314" s="104"/>
      <c r="HEA314" s="104"/>
      <c r="HEB314" s="104"/>
      <c r="HEC314" s="104"/>
      <c r="HED314" s="104"/>
      <c r="HEE314" s="104"/>
      <c r="HEF314" s="104"/>
      <c r="HEG314" s="104"/>
      <c r="HEH314" s="104"/>
      <c r="HEI314" s="104"/>
      <c r="HEJ314" s="104"/>
      <c r="HEK314" s="104"/>
      <c r="HEL314" s="104"/>
      <c r="HEM314" s="104"/>
      <c r="HEN314" s="104"/>
      <c r="HEO314" s="104"/>
      <c r="HEP314" s="104"/>
      <c r="HEQ314" s="104"/>
      <c r="HER314" s="104"/>
      <c r="HES314" s="104"/>
      <c r="HET314" s="104"/>
      <c r="HEU314" s="104"/>
      <c r="HEV314" s="104"/>
      <c r="HEW314" s="104"/>
      <c r="HEX314" s="104"/>
      <c r="HEY314" s="104"/>
      <c r="HEZ314" s="104"/>
      <c r="HFA314" s="104"/>
      <c r="HFB314" s="104"/>
      <c r="HFC314" s="104"/>
      <c r="HFD314" s="104"/>
      <c r="HFE314" s="104"/>
      <c r="HFF314" s="104"/>
      <c r="HFG314" s="104"/>
      <c r="HFH314" s="104"/>
      <c r="HFI314" s="104"/>
      <c r="HFJ314" s="104"/>
      <c r="HFK314" s="104"/>
      <c r="HFL314" s="104"/>
      <c r="HFM314" s="104"/>
      <c r="HFN314" s="104"/>
      <c r="HFO314" s="104"/>
      <c r="HFP314" s="104"/>
      <c r="HFQ314" s="104"/>
      <c r="HFR314" s="104"/>
      <c r="HFS314" s="104"/>
      <c r="HFT314" s="104"/>
      <c r="HFU314" s="104"/>
      <c r="HFV314" s="104"/>
      <c r="HFW314" s="104"/>
      <c r="HFX314" s="104"/>
      <c r="HFY314" s="104"/>
      <c r="HFZ314" s="104"/>
      <c r="HGA314" s="104"/>
      <c r="HGB314" s="104"/>
      <c r="HGC314" s="104"/>
      <c r="HGD314" s="104"/>
      <c r="HGE314" s="104"/>
      <c r="HGF314" s="104"/>
      <c r="HGG314" s="104"/>
      <c r="HGH314" s="104"/>
      <c r="HGI314" s="104"/>
      <c r="HGJ314" s="104"/>
      <c r="HGK314" s="104"/>
      <c r="HGL314" s="104"/>
      <c r="HGM314" s="104"/>
      <c r="HGN314" s="104"/>
      <c r="HGO314" s="104"/>
      <c r="HGP314" s="104"/>
      <c r="HGQ314" s="104"/>
      <c r="HGR314" s="104"/>
      <c r="HGS314" s="104"/>
      <c r="HGT314" s="104"/>
      <c r="HGU314" s="104"/>
      <c r="HGV314" s="104"/>
      <c r="HGW314" s="104"/>
      <c r="HGX314" s="104"/>
      <c r="HGY314" s="104"/>
      <c r="HGZ314" s="104"/>
      <c r="HHA314" s="104"/>
      <c r="HHB314" s="104"/>
      <c r="HHC314" s="104"/>
      <c r="HHD314" s="104"/>
      <c r="HHE314" s="104"/>
      <c r="HHF314" s="104"/>
      <c r="HHG314" s="104"/>
      <c r="HHH314" s="104"/>
      <c r="HHI314" s="104"/>
      <c r="HHJ314" s="104"/>
      <c r="HHK314" s="104"/>
      <c r="HHL314" s="104"/>
      <c r="HHM314" s="104"/>
      <c r="HHN314" s="104"/>
      <c r="HHO314" s="104"/>
      <c r="HHP314" s="104"/>
      <c r="HHQ314" s="104"/>
      <c r="HHR314" s="104"/>
      <c r="HHS314" s="104"/>
      <c r="HHT314" s="104"/>
      <c r="HHU314" s="104"/>
      <c r="HHV314" s="104"/>
      <c r="HHW314" s="104"/>
      <c r="HHX314" s="104"/>
      <c r="HHY314" s="104"/>
      <c r="HHZ314" s="104"/>
      <c r="HIA314" s="104"/>
      <c r="HIB314" s="104"/>
      <c r="HIC314" s="104"/>
      <c r="HID314" s="104"/>
      <c r="HIE314" s="104"/>
      <c r="HIF314" s="104"/>
      <c r="HIG314" s="104"/>
      <c r="HIH314" s="104"/>
      <c r="HII314" s="104"/>
      <c r="HIJ314" s="104"/>
      <c r="HIK314" s="104"/>
      <c r="HIL314" s="104"/>
      <c r="HIM314" s="104"/>
      <c r="HIN314" s="104"/>
      <c r="HIO314" s="104"/>
      <c r="HIP314" s="104"/>
      <c r="HIQ314" s="104"/>
      <c r="HIR314" s="104"/>
      <c r="HIS314" s="104"/>
      <c r="HIT314" s="104"/>
      <c r="HIU314" s="104"/>
      <c r="HIV314" s="104"/>
      <c r="HIW314" s="104"/>
      <c r="HIX314" s="104"/>
      <c r="HIY314" s="104"/>
      <c r="HIZ314" s="104"/>
      <c r="HJA314" s="104"/>
      <c r="HJB314" s="104"/>
      <c r="HJC314" s="104"/>
      <c r="HJD314" s="104"/>
      <c r="HJE314" s="104"/>
      <c r="HJF314" s="104"/>
      <c r="HJG314" s="104"/>
      <c r="HJH314" s="104"/>
      <c r="HJI314" s="104"/>
      <c r="HJJ314" s="104"/>
      <c r="HJK314" s="104"/>
      <c r="HJL314" s="104"/>
      <c r="HJM314" s="104"/>
      <c r="HJN314" s="104"/>
      <c r="HJO314" s="104"/>
      <c r="HJP314" s="104"/>
      <c r="HJQ314" s="104"/>
      <c r="HJR314" s="104"/>
      <c r="HJS314" s="104"/>
      <c r="HJT314" s="104"/>
      <c r="HJU314" s="104"/>
      <c r="HJV314" s="104"/>
      <c r="HJW314" s="104"/>
      <c r="HJX314" s="104"/>
      <c r="HJY314" s="104"/>
      <c r="HJZ314" s="104"/>
      <c r="HKA314" s="104"/>
      <c r="HKB314" s="104"/>
      <c r="HKC314" s="104"/>
      <c r="HKD314" s="104"/>
      <c r="HKE314" s="104"/>
      <c r="HKF314" s="104"/>
      <c r="HKG314" s="104"/>
      <c r="HKH314" s="104"/>
      <c r="HKI314" s="104"/>
      <c r="HKJ314" s="104"/>
      <c r="HKK314" s="104"/>
      <c r="HKL314" s="104"/>
      <c r="HKM314" s="104"/>
      <c r="HKN314" s="104"/>
      <c r="HKO314" s="104"/>
      <c r="HKP314" s="104"/>
      <c r="HKQ314" s="104"/>
      <c r="HKR314" s="104"/>
      <c r="HKS314" s="104"/>
      <c r="HKT314" s="104"/>
      <c r="HKU314" s="104"/>
      <c r="HKV314" s="104"/>
      <c r="HKW314" s="104"/>
      <c r="HKX314" s="104"/>
      <c r="HKY314" s="104"/>
      <c r="HKZ314" s="104"/>
      <c r="HLA314" s="104"/>
      <c r="HLB314" s="104"/>
      <c r="HLC314" s="104"/>
      <c r="HLD314" s="104"/>
      <c r="HLE314" s="104"/>
      <c r="HLF314" s="104"/>
      <c r="HLG314" s="104"/>
      <c r="HLH314" s="104"/>
      <c r="HLI314" s="104"/>
      <c r="HLJ314" s="104"/>
      <c r="HLK314" s="104"/>
      <c r="HLL314" s="104"/>
      <c r="HLM314" s="104"/>
      <c r="HLN314" s="104"/>
      <c r="HLO314" s="104"/>
      <c r="HLP314" s="104"/>
      <c r="HLQ314" s="104"/>
      <c r="HLR314" s="104"/>
      <c r="HLS314" s="104"/>
      <c r="HLT314" s="104"/>
      <c r="HLU314" s="104"/>
      <c r="HLV314" s="104"/>
      <c r="HLW314" s="104"/>
      <c r="HLX314" s="104"/>
      <c r="HLY314" s="104"/>
      <c r="HLZ314" s="104"/>
      <c r="HMA314" s="104"/>
      <c r="HMB314" s="104"/>
      <c r="HMC314" s="104"/>
      <c r="HMD314" s="104"/>
      <c r="HME314" s="104"/>
      <c r="HMF314" s="104"/>
      <c r="HMG314" s="104"/>
      <c r="HMH314" s="104"/>
      <c r="HMI314" s="104"/>
      <c r="HMJ314" s="104"/>
      <c r="HMK314" s="104"/>
      <c r="HML314" s="104"/>
      <c r="HMM314" s="104"/>
      <c r="HMN314" s="104"/>
      <c r="HMO314" s="104"/>
      <c r="HMP314" s="104"/>
      <c r="HMQ314" s="104"/>
      <c r="HMR314" s="104"/>
      <c r="HMS314" s="104"/>
      <c r="HMT314" s="104"/>
      <c r="HMU314" s="104"/>
      <c r="HMV314" s="104"/>
      <c r="HMW314" s="104"/>
      <c r="HMX314" s="104"/>
      <c r="HMY314" s="104"/>
      <c r="HMZ314" s="104"/>
      <c r="HNA314" s="104"/>
      <c r="HNB314" s="104"/>
      <c r="HNC314" s="104"/>
      <c r="HND314" s="104"/>
      <c r="HNE314" s="104"/>
      <c r="HNF314" s="104"/>
      <c r="HNG314" s="104"/>
      <c r="HNH314" s="104"/>
      <c r="HNI314" s="104"/>
      <c r="HNJ314" s="104"/>
      <c r="HNK314" s="104"/>
      <c r="HNL314" s="104"/>
      <c r="HNM314" s="104"/>
      <c r="HNN314" s="104"/>
      <c r="HNO314" s="104"/>
      <c r="HNP314" s="104"/>
      <c r="HNQ314" s="104"/>
      <c r="HNR314" s="104"/>
      <c r="HNS314" s="104"/>
      <c r="HNT314" s="104"/>
      <c r="HNU314" s="104"/>
      <c r="HNV314" s="104"/>
      <c r="HNW314" s="104"/>
      <c r="HNX314" s="104"/>
      <c r="HNY314" s="104"/>
      <c r="HNZ314" s="104"/>
      <c r="HOA314" s="104"/>
      <c r="HOB314" s="104"/>
      <c r="HOC314" s="104"/>
      <c r="HOD314" s="104"/>
      <c r="HOE314" s="104"/>
      <c r="HOF314" s="104"/>
      <c r="HOG314" s="104"/>
      <c r="HOH314" s="104"/>
      <c r="HOI314" s="104"/>
      <c r="HOJ314" s="104"/>
      <c r="HOK314" s="104"/>
      <c r="HOL314" s="104"/>
      <c r="HOM314" s="104"/>
      <c r="HON314" s="104"/>
      <c r="HOO314" s="104"/>
      <c r="HOP314" s="104"/>
      <c r="HOQ314" s="104"/>
      <c r="HOR314" s="104"/>
      <c r="HOS314" s="104"/>
      <c r="HOT314" s="104"/>
      <c r="HOU314" s="104"/>
      <c r="HOV314" s="104"/>
      <c r="HOW314" s="104"/>
      <c r="HOX314" s="104"/>
      <c r="HOY314" s="104"/>
      <c r="HOZ314" s="104"/>
      <c r="HPA314" s="104"/>
      <c r="HPB314" s="104"/>
      <c r="HPC314" s="104"/>
      <c r="HPD314" s="104"/>
      <c r="HPE314" s="104"/>
      <c r="HPF314" s="104"/>
      <c r="HPG314" s="104"/>
      <c r="HPH314" s="104"/>
      <c r="HPI314" s="104"/>
      <c r="HPJ314" s="104"/>
      <c r="HPK314" s="104"/>
      <c r="HPL314" s="104"/>
      <c r="HPM314" s="104"/>
      <c r="HPN314" s="104"/>
      <c r="HPO314" s="104"/>
      <c r="HPP314" s="104"/>
      <c r="HPQ314" s="104"/>
      <c r="HPR314" s="104"/>
      <c r="HPS314" s="104"/>
      <c r="HPT314" s="104"/>
      <c r="HPU314" s="104"/>
      <c r="HPV314" s="104"/>
      <c r="HPW314" s="104"/>
      <c r="HPX314" s="104"/>
      <c r="HPY314" s="104"/>
      <c r="HPZ314" s="104"/>
      <c r="HQA314" s="104"/>
      <c r="HQB314" s="104"/>
      <c r="HQC314" s="104"/>
      <c r="HQD314" s="104"/>
      <c r="HQE314" s="104"/>
      <c r="HQF314" s="104"/>
      <c r="HQG314" s="104"/>
      <c r="HQH314" s="104"/>
      <c r="HQI314" s="104"/>
      <c r="HQJ314" s="104"/>
      <c r="HQK314" s="104"/>
      <c r="HQL314" s="104"/>
      <c r="HQM314" s="104"/>
      <c r="HQN314" s="104"/>
      <c r="HQO314" s="104"/>
      <c r="HQP314" s="104"/>
      <c r="HQQ314" s="104"/>
      <c r="HQR314" s="104"/>
      <c r="HQS314" s="104"/>
      <c r="HQT314" s="104"/>
      <c r="HQU314" s="104"/>
      <c r="HQV314" s="104"/>
      <c r="HQW314" s="104"/>
      <c r="HQX314" s="104"/>
      <c r="HQY314" s="104"/>
      <c r="HQZ314" s="104"/>
      <c r="HRA314" s="104"/>
      <c r="HRB314" s="104"/>
      <c r="HRC314" s="104"/>
      <c r="HRD314" s="104"/>
      <c r="HRE314" s="104"/>
      <c r="HRF314" s="104"/>
      <c r="HRG314" s="104"/>
      <c r="HRH314" s="104"/>
      <c r="HRI314" s="104"/>
      <c r="HRJ314" s="104"/>
      <c r="HRK314" s="104"/>
      <c r="HRL314" s="104"/>
      <c r="HRM314" s="104"/>
      <c r="HRN314" s="104"/>
      <c r="HRO314" s="104"/>
      <c r="HRP314" s="104"/>
      <c r="HRQ314" s="104"/>
      <c r="HRR314" s="104"/>
      <c r="HRS314" s="104"/>
      <c r="HRT314" s="104"/>
      <c r="HRU314" s="104"/>
      <c r="HRV314" s="104"/>
      <c r="HRW314" s="104"/>
      <c r="HRX314" s="104"/>
      <c r="HRY314" s="104"/>
      <c r="HRZ314" s="104"/>
      <c r="HSA314" s="104"/>
      <c r="HSB314" s="104"/>
      <c r="HSC314" s="104"/>
      <c r="HSD314" s="104"/>
      <c r="HSE314" s="104"/>
      <c r="HSF314" s="104"/>
      <c r="HSG314" s="104"/>
      <c r="HSH314" s="104"/>
      <c r="HSI314" s="104"/>
      <c r="HSJ314" s="104"/>
      <c r="HSK314" s="104"/>
      <c r="HSL314" s="104"/>
      <c r="HSM314" s="104"/>
      <c r="HSN314" s="104"/>
      <c r="HSO314" s="104"/>
      <c r="HSP314" s="104"/>
      <c r="HSQ314" s="104"/>
      <c r="HSR314" s="104"/>
      <c r="HSS314" s="104"/>
      <c r="HST314" s="104"/>
      <c r="HSU314" s="104"/>
      <c r="HSV314" s="104"/>
      <c r="HSW314" s="104"/>
      <c r="HSX314" s="104"/>
      <c r="HSY314" s="104"/>
      <c r="HSZ314" s="104"/>
      <c r="HTA314" s="104"/>
      <c r="HTB314" s="104"/>
      <c r="HTC314" s="104"/>
      <c r="HTD314" s="104"/>
      <c r="HTE314" s="104"/>
      <c r="HTF314" s="104"/>
      <c r="HTG314" s="104"/>
      <c r="HTH314" s="104"/>
      <c r="HTI314" s="104"/>
      <c r="HTJ314" s="104"/>
      <c r="HTK314" s="104"/>
      <c r="HTL314" s="104"/>
      <c r="HTM314" s="104"/>
      <c r="HTN314" s="104"/>
      <c r="HTO314" s="104"/>
      <c r="HTP314" s="104"/>
      <c r="HTQ314" s="104"/>
      <c r="HTR314" s="104"/>
      <c r="HTS314" s="104"/>
      <c r="HTT314" s="104"/>
      <c r="HTU314" s="104"/>
      <c r="HTV314" s="104"/>
      <c r="HTW314" s="104"/>
      <c r="HTX314" s="104"/>
      <c r="HTY314" s="104"/>
      <c r="HTZ314" s="104"/>
      <c r="HUA314" s="104"/>
      <c r="HUB314" s="104"/>
      <c r="HUC314" s="104"/>
      <c r="HUD314" s="104"/>
      <c r="HUE314" s="104"/>
      <c r="HUF314" s="104"/>
      <c r="HUG314" s="104"/>
      <c r="HUH314" s="104"/>
      <c r="HUI314" s="104"/>
      <c r="HUJ314" s="104"/>
      <c r="HUK314" s="104"/>
      <c r="HUL314" s="104"/>
      <c r="HUM314" s="104"/>
      <c r="HUN314" s="104"/>
      <c r="HUO314" s="104"/>
      <c r="HUP314" s="104"/>
      <c r="HUQ314" s="104"/>
      <c r="HUR314" s="104"/>
      <c r="HUS314" s="104"/>
      <c r="HUT314" s="104"/>
      <c r="HUU314" s="104"/>
      <c r="HUV314" s="104"/>
      <c r="HUW314" s="104"/>
      <c r="HUX314" s="104"/>
      <c r="HUY314" s="104"/>
      <c r="HUZ314" s="104"/>
      <c r="HVA314" s="104"/>
      <c r="HVB314" s="104"/>
      <c r="HVC314" s="104"/>
      <c r="HVD314" s="104"/>
      <c r="HVE314" s="104"/>
      <c r="HVF314" s="104"/>
      <c r="HVG314" s="104"/>
      <c r="HVH314" s="104"/>
      <c r="HVI314" s="104"/>
      <c r="HVJ314" s="104"/>
      <c r="HVK314" s="104"/>
      <c r="HVL314" s="104"/>
      <c r="HVM314" s="104"/>
      <c r="HVN314" s="104"/>
      <c r="HVO314" s="104"/>
      <c r="HVP314" s="104"/>
      <c r="HVQ314" s="104"/>
      <c r="HVR314" s="104"/>
      <c r="HVS314" s="104"/>
      <c r="HVT314" s="104"/>
      <c r="HVU314" s="104"/>
      <c r="HVV314" s="104"/>
      <c r="HVW314" s="104"/>
      <c r="HVX314" s="104"/>
      <c r="HVY314" s="104"/>
      <c r="HVZ314" s="104"/>
      <c r="HWA314" s="104"/>
      <c r="HWB314" s="104"/>
      <c r="HWC314" s="104"/>
      <c r="HWD314" s="104"/>
      <c r="HWE314" s="104"/>
      <c r="HWF314" s="104"/>
      <c r="HWG314" s="104"/>
      <c r="HWH314" s="104"/>
      <c r="HWI314" s="104"/>
      <c r="HWJ314" s="104"/>
      <c r="HWK314" s="104"/>
      <c r="HWL314" s="104"/>
      <c r="HWM314" s="104"/>
      <c r="HWN314" s="104"/>
      <c r="HWO314" s="104"/>
      <c r="HWP314" s="104"/>
      <c r="HWQ314" s="104"/>
      <c r="HWR314" s="104"/>
      <c r="HWS314" s="104"/>
      <c r="HWT314" s="104"/>
      <c r="HWU314" s="104"/>
      <c r="HWV314" s="104"/>
      <c r="HWW314" s="104"/>
      <c r="HWX314" s="104"/>
      <c r="HWY314" s="104"/>
      <c r="HWZ314" s="104"/>
      <c r="HXA314" s="104"/>
      <c r="HXB314" s="104"/>
      <c r="HXC314" s="104"/>
      <c r="HXD314" s="104"/>
      <c r="HXE314" s="104"/>
      <c r="HXF314" s="104"/>
      <c r="HXG314" s="104"/>
      <c r="HXH314" s="104"/>
      <c r="HXI314" s="104"/>
      <c r="HXJ314" s="104"/>
      <c r="HXK314" s="104"/>
      <c r="HXL314" s="104"/>
      <c r="HXM314" s="104"/>
      <c r="HXN314" s="104"/>
      <c r="HXO314" s="104"/>
      <c r="HXP314" s="104"/>
      <c r="HXQ314" s="104"/>
      <c r="HXR314" s="104"/>
      <c r="HXS314" s="104"/>
      <c r="HXT314" s="104"/>
      <c r="HXU314" s="104"/>
      <c r="HXV314" s="104"/>
      <c r="HXW314" s="104"/>
      <c r="HXX314" s="104"/>
      <c r="HXY314" s="104"/>
      <c r="HXZ314" s="104"/>
      <c r="HYA314" s="104"/>
      <c r="HYB314" s="104"/>
      <c r="HYC314" s="104"/>
      <c r="HYD314" s="104"/>
      <c r="HYE314" s="104"/>
      <c r="HYF314" s="104"/>
      <c r="HYG314" s="104"/>
      <c r="HYH314" s="104"/>
      <c r="HYI314" s="104"/>
      <c r="HYJ314" s="104"/>
      <c r="HYK314" s="104"/>
      <c r="HYL314" s="104"/>
      <c r="HYM314" s="104"/>
      <c r="HYN314" s="104"/>
      <c r="HYO314" s="104"/>
      <c r="HYP314" s="104"/>
      <c r="HYQ314" s="104"/>
      <c r="HYR314" s="104"/>
      <c r="HYS314" s="104"/>
      <c r="HYT314" s="104"/>
      <c r="HYU314" s="104"/>
      <c r="HYV314" s="104"/>
      <c r="HYW314" s="104"/>
      <c r="HYX314" s="104"/>
      <c r="HYY314" s="104"/>
      <c r="HYZ314" s="104"/>
      <c r="HZA314" s="104"/>
      <c r="HZB314" s="104"/>
      <c r="HZC314" s="104"/>
      <c r="HZD314" s="104"/>
      <c r="HZE314" s="104"/>
      <c r="HZF314" s="104"/>
      <c r="HZG314" s="104"/>
      <c r="HZH314" s="104"/>
      <c r="HZI314" s="104"/>
      <c r="HZJ314" s="104"/>
      <c r="HZK314" s="104"/>
      <c r="HZL314" s="104"/>
      <c r="HZM314" s="104"/>
      <c r="HZN314" s="104"/>
      <c r="HZO314" s="104"/>
      <c r="HZP314" s="104"/>
      <c r="HZQ314" s="104"/>
      <c r="HZR314" s="104"/>
      <c r="HZS314" s="104"/>
      <c r="HZT314" s="104"/>
      <c r="HZU314" s="104"/>
      <c r="HZV314" s="104"/>
      <c r="HZW314" s="104"/>
      <c r="HZX314" s="104"/>
      <c r="HZY314" s="104"/>
      <c r="HZZ314" s="104"/>
      <c r="IAA314" s="104"/>
      <c r="IAB314" s="104"/>
      <c r="IAC314" s="104"/>
      <c r="IAD314" s="104"/>
      <c r="IAE314" s="104"/>
      <c r="IAF314" s="104"/>
      <c r="IAG314" s="104"/>
      <c r="IAH314" s="104"/>
      <c r="IAI314" s="104"/>
      <c r="IAJ314" s="104"/>
      <c r="IAK314" s="104"/>
      <c r="IAL314" s="104"/>
      <c r="IAM314" s="104"/>
      <c r="IAN314" s="104"/>
      <c r="IAO314" s="104"/>
      <c r="IAP314" s="104"/>
      <c r="IAQ314" s="104"/>
      <c r="IAR314" s="104"/>
      <c r="IAS314" s="104"/>
      <c r="IAT314" s="104"/>
      <c r="IAU314" s="104"/>
      <c r="IAV314" s="104"/>
      <c r="IAW314" s="104"/>
      <c r="IAX314" s="104"/>
      <c r="IAY314" s="104"/>
      <c r="IAZ314" s="104"/>
      <c r="IBA314" s="104"/>
      <c r="IBB314" s="104"/>
      <c r="IBC314" s="104"/>
      <c r="IBD314" s="104"/>
      <c r="IBE314" s="104"/>
      <c r="IBF314" s="104"/>
      <c r="IBG314" s="104"/>
      <c r="IBH314" s="104"/>
      <c r="IBI314" s="104"/>
      <c r="IBJ314" s="104"/>
      <c r="IBK314" s="104"/>
      <c r="IBL314" s="104"/>
      <c r="IBM314" s="104"/>
      <c r="IBN314" s="104"/>
      <c r="IBO314" s="104"/>
      <c r="IBP314" s="104"/>
      <c r="IBQ314" s="104"/>
      <c r="IBR314" s="104"/>
      <c r="IBS314" s="104"/>
      <c r="IBT314" s="104"/>
      <c r="IBU314" s="104"/>
      <c r="IBV314" s="104"/>
      <c r="IBW314" s="104"/>
      <c r="IBX314" s="104"/>
      <c r="IBY314" s="104"/>
      <c r="IBZ314" s="104"/>
      <c r="ICA314" s="104"/>
      <c r="ICB314" s="104"/>
      <c r="ICC314" s="104"/>
      <c r="ICD314" s="104"/>
      <c r="ICE314" s="104"/>
      <c r="ICF314" s="104"/>
      <c r="ICG314" s="104"/>
      <c r="ICH314" s="104"/>
      <c r="ICI314" s="104"/>
      <c r="ICJ314" s="104"/>
      <c r="ICK314" s="104"/>
      <c r="ICL314" s="104"/>
      <c r="ICM314" s="104"/>
      <c r="ICN314" s="104"/>
      <c r="ICO314" s="104"/>
      <c r="ICP314" s="104"/>
      <c r="ICQ314" s="104"/>
      <c r="ICR314" s="104"/>
      <c r="ICS314" s="104"/>
      <c r="ICT314" s="104"/>
      <c r="ICU314" s="104"/>
      <c r="ICV314" s="104"/>
      <c r="ICW314" s="104"/>
      <c r="ICX314" s="104"/>
      <c r="ICY314" s="104"/>
      <c r="ICZ314" s="104"/>
      <c r="IDA314" s="104"/>
      <c r="IDB314" s="104"/>
      <c r="IDC314" s="104"/>
      <c r="IDD314" s="104"/>
      <c r="IDE314" s="104"/>
      <c r="IDF314" s="104"/>
      <c r="IDG314" s="104"/>
      <c r="IDH314" s="104"/>
      <c r="IDI314" s="104"/>
      <c r="IDJ314" s="104"/>
      <c r="IDK314" s="104"/>
      <c r="IDL314" s="104"/>
      <c r="IDM314" s="104"/>
      <c r="IDN314" s="104"/>
      <c r="IDO314" s="104"/>
      <c r="IDP314" s="104"/>
      <c r="IDQ314" s="104"/>
      <c r="IDR314" s="104"/>
      <c r="IDS314" s="104"/>
      <c r="IDT314" s="104"/>
      <c r="IDU314" s="104"/>
      <c r="IDV314" s="104"/>
      <c r="IDW314" s="104"/>
      <c r="IDX314" s="104"/>
      <c r="IDY314" s="104"/>
      <c r="IDZ314" s="104"/>
      <c r="IEA314" s="104"/>
      <c r="IEB314" s="104"/>
      <c r="IEC314" s="104"/>
      <c r="IED314" s="104"/>
      <c r="IEE314" s="104"/>
      <c r="IEF314" s="104"/>
      <c r="IEG314" s="104"/>
      <c r="IEH314" s="104"/>
      <c r="IEI314" s="104"/>
      <c r="IEJ314" s="104"/>
      <c r="IEK314" s="104"/>
      <c r="IEL314" s="104"/>
      <c r="IEM314" s="104"/>
      <c r="IEN314" s="104"/>
      <c r="IEO314" s="104"/>
      <c r="IEP314" s="104"/>
      <c r="IEQ314" s="104"/>
      <c r="IER314" s="104"/>
      <c r="IES314" s="104"/>
      <c r="IET314" s="104"/>
      <c r="IEU314" s="104"/>
      <c r="IEV314" s="104"/>
      <c r="IEW314" s="104"/>
      <c r="IEX314" s="104"/>
      <c r="IEY314" s="104"/>
      <c r="IEZ314" s="104"/>
      <c r="IFA314" s="104"/>
      <c r="IFB314" s="104"/>
      <c r="IFC314" s="104"/>
      <c r="IFD314" s="104"/>
      <c r="IFE314" s="104"/>
      <c r="IFF314" s="104"/>
      <c r="IFG314" s="104"/>
      <c r="IFH314" s="104"/>
      <c r="IFI314" s="104"/>
      <c r="IFJ314" s="104"/>
      <c r="IFK314" s="104"/>
      <c r="IFL314" s="104"/>
      <c r="IFM314" s="104"/>
      <c r="IFN314" s="104"/>
      <c r="IFO314" s="104"/>
      <c r="IFP314" s="104"/>
      <c r="IFQ314" s="104"/>
      <c r="IFR314" s="104"/>
      <c r="IFS314" s="104"/>
      <c r="IFT314" s="104"/>
      <c r="IFU314" s="104"/>
      <c r="IFV314" s="104"/>
      <c r="IFW314" s="104"/>
      <c r="IFX314" s="104"/>
      <c r="IFY314" s="104"/>
      <c r="IFZ314" s="104"/>
      <c r="IGA314" s="104"/>
      <c r="IGB314" s="104"/>
      <c r="IGC314" s="104"/>
      <c r="IGD314" s="104"/>
      <c r="IGE314" s="104"/>
      <c r="IGF314" s="104"/>
      <c r="IGG314" s="104"/>
      <c r="IGH314" s="104"/>
      <c r="IGI314" s="104"/>
      <c r="IGJ314" s="104"/>
      <c r="IGK314" s="104"/>
      <c r="IGL314" s="104"/>
      <c r="IGM314" s="104"/>
      <c r="IGN314" s="104"/>
      <c r="IGO314" s="104"/>
      <c r="IGP314" s="104"/>
      <c r="IGQ314" s="104"/>
      <c r="IGR314" s="104"/>
      <c r="IGS314" s="104"/>
      <c r="IGT314" s="104"/>
      <c r="IGU314" s="104"/>
      <c r="IGV314" s="104"/>
      <c r="IGW314" s="104"/>
      <c r="IGX314" s="104"/>
      <c r="IGY314" s="104"/>
      <c r="IGZ314" s="104"/>
      <c r="IHA314" s="104"/>
      <c r="IHB314" s="104"/>
      <c r="IHC314" s="104"/>
      <c r="IHD314" s="104"/>
      <c r="IHE314" s="104"/>
      <c r="IHF314" s="104"/>
      <c r="IHG314" s="104"/>
      <c r="IHH314" s="104"/>
      <c r="IHI314" s="104"/>
      <c r="IHJ314" s="104"/>
      <c r="IHK314" s="104"/>
      <c r="IHL314" s="104"/>
      <c r="IHM314" s="104"/>
      <c r="IHN314" s="104"/>
      <c r="IHO314" s="104"/>
      <c r="IHP314" s="104"/>
      <c r="IHQ314" s="104"/>
      <c r="IHR314" s="104"/>
      <c r="IHS314" s="104"/>
      <c r="IHT314" s="104"/>
      <c r="IHU314" s="104"/>
      <c r="IHV314" s="104"/>
      <c r="IHW314" s="104"/>
      <c r="IHX314" s="104"/>
      <c r="IHY314" s="104"/>
      <c r="IHZ314" s="104"/>
      <c r="IIA314" s="104"/>
      <c r="IIB314" s="104"/>
      <c r="IIC314" s="104"/>
      <c r="IID314" s="104"/>
      <c r="IIE314" s="104"/>
      <c r="IIF314" s="104"/>
      <c r="IIG314" s="104"/>
      <c r="IIH314" s="104"/>
      <c r="III314" s="104"/>
      <c r="IIJ314" s="104"/>
      <c r="IIK314" s="104"/>
      <c r="IIL314" s="104"/>
      <c r="IIM314" s="104"/>
      <c r="IIN314" s="104"/>
      <c r="IIO314" s="104"/>
      <c r="IIP314" s="104"/>
      <c r="IIQ314" s="104"/>
      <c r="IIR314" s="104"/>
      <c r="IIS314" s="104"/>
      <c r="IIT314" s="104"/>
      <c r="IIU314" s="104"/>
      <c r="IIV314" s="104"/>
      <c r="IIW314" s="104"/>
      <c r="IIX314" s="104"/>
      <c r="IIY314" s="104"/>
      <c r="IIZ314" s="104"/>
      <c r="IJA314" s="104"/>
      <c r="IJB314" s="104"/>
      <c r="IJC314" s="104"/>
      <c r="IJD314" s="104"/>
      <c r="IJE314" s="104"/>
      <c r="IJF314" s="104"/>
      <c r="IJG314" s="104"/>
      <c r="IJH314" s="104"/>
      <c r="IJI314" s="104"/>
      <c r="IJJ314" s="104"/>
      <c r="IJK314" s="104"/>
      <c r="IJL314" s="104"/>
      <c r="IJM314" s="104"/>
      <c r="IJN314" s="104"/>
      <c r="IJO314" s="104"/>
      <c r="IJP314" s="104"/>
      <c r="IJQ314" s="104"/>
      <c r="IJR314" s="104"/>
      <c r="IJS314" s="104"/>
      <c r="IJT314" s="104"/>
      <c r="IJU314" s="104"/>
      <c r="IJV314" s="104"/>
      <c r="IJW314" s="104"/>
      <c r="IJX314" s="104"/>
      <c r="IJY314" s="104"/>
      <c r="IJZ314" s="104"/>
      <c r="IKA314" s="104"/>
      <c r="IKB314" s="104"/>
      <c r="IKC314" s="104"/>
      <c r="IKD314" s="104"/>
      <c r="IKE314" s="104"/>
      <c r="IKF314" s="104"/>
      <c r="IKG314" s="104"/>
      <c r="IKH314" s="104"/>
      <c r="IKI314" s="104"/>
      <c r="IKJ314" s="104"/>
      <c r="IKK314" s="104"/>
      <c r="IKL314" s="104"/>
      <c r="IKM314" s="104"/>
      <c r="IKN314" s="104"/>
      <c r="IKO314" s="104"/>
      <c r="IKP314" s="104"/>
      <c r="IKQ314" s="104"/>
      <c r="IKR314" s="104"/>
      <c r="IKS314" s="104"/>
      <c r="IKT314" s="104"/>
      <c r="IKU314" s="104"/>
      <c r="IKV314" s="104"/>
      <c r="IKW314" s="104"/>
      <c r="IKX314" s="104"/>
      <c r="IKY314" s="104"/>
      <c r="IKZ314" s="104"/>
      <c r="ILA314" s="104"/>
      <c r="ILB314" s="104"/>
      <c r="ILC314" s="104"/>
      <c r="ILD314" s="104"/>
      <c r="ILE314" s="104"/>
      <c r="ILF314" s="104"/>
      <c r="ILG314" s="104"/>
      <c r="ILH314" s="104"/>
      <c r="ILI314" s="104"/>
      <c r="ILJ314" s="104"/>
      <c r="ILK314" s="104"/>
      <c r="ILL314" s="104"/>
      <c r="ILM314" s="104"/>
      <c r="ILN314" s="104"/>
      <c r="ILO314" s="104"/>
      <c r="ILP314" s="104"/>
      <c r="ILQ314" s="104"/>
      <c r="ILR314" s="104"/>
      <c r="ILS314" s="104"/>
      <c r="ILT314" s="104"/>
      <c r="ILU314" s="104"/>
      <c r="ILV314" s="104"/>
      <c r="ILW314" s="104"/>
      <c r="ILX314" s="104"/>
      <c r="ILY314" s="104"/>
      <c r="ILZ314" s="104"/>
      <c r="IMA314" s="104"/>
      <c r="IMB314" s="104"/>
      <c r="IMC314" s="104"/>
      <c r="IMD314" s="104"/>
      <c r="IME314" s="104"/>
      <c r="IMF314" s="104"/>
      <c r="IMG314" s="104"/>
      <c r="IMH314" s="104"/>
      <c r="IMI314" s="104"/>
      <c r="IMJ314" s="104"/>
      <c r="IMK314" s="104"/>
      <c r="IML314" s="104"/>
      <c r="IMM314" s="104"/>
      <c r="IMN314" s="104"/>
      <c r="IMO314" s="104"/>
      <c r="IMP314" s="104"/>
      <c r="IMQ314" s="104"/>
      <c r="IMR314" s="104"/>
      <c r="IMS314" s="104"/>
      <c r="IMT314" s="104"/>
      <c r="IMU314" s="104"/>
      <c r="IMV314" s="104"/>
      <c r="IMW314" s="104"/>
      <c r="IMX314" s="104"/>
      <c r="IMY314" s="104"/>
      <c r="IMZ314" s="104"/>
      <c r="INA314" s="104"/>
      <c r="INB314" s="104"/>
      <c r="INC314" s="104"/>
      <c r="IND314" s="104"/>
      <c r="INE314" s="104"/>
      <c r="INF314" s="104"/>
      <c r="ING314" s="104"/>
      <c r="INH314" s="104"/>
      <c r="INI314" s="104"/>
      <c r="INJ314" s="104"/>
      <c r="INK314" s="104"/>
      <c r="INL314" s="104"/>
      <c r="INM314" s="104"/>
      <c r="INN314" s="104"/>
      <c r="INO314" s="104"/>
      <c r="INP314" s="104"/>
      <c r="INQ314" s="104"/>
      <c r="INR314" s="104"/>
      <c r="INS314" s="104"/>
      <c r="INT314" s="104"/>
      <c r="INU314" s="104"/>
      <c r="INV314" s="104"/>
      <c r="INW314" s="104"/>
      <c r="INX314" s="104"/>
      <c r="INY314" s="104"/>
      <c r="INZ314" s="104"/>
      <c r="IOA314" s="104"/>
      <c r="IOB314" s="104"/>
      <c r="IOC314" s="104"/>
      <c r="IOD314" s="104"/>
      <c r="IOE314" s="104"/>
      <c r="IOF314" s="104"/>
      <c r="IOG314" s="104"/>
      <c r="IOH314" s="104"/>
      <c r="IOI314" s="104"/>
      <c r="IOJ314" s="104"/>
      <c r="IOK314" s="104"/>
      <c r="IOL314" s="104"/>
      <c r="IOM314" s="104"/>
      <c r="ION314" s="104"/>
      <c r="IOO314" s="104"/>
      <c r="IOP314" s="104"/>
      <c r="IOQ314" s="104"/>
      <c r="IOR314" s="104"/>
      <c r="IOS314" s="104"/>
      <c r="IOT314" s="104"/>
      <c r="IOU314" s="104"/>
      <c r="IOV314" s="104"/>
      <c r="IOW314" s="104"/>
      <c r="IOX314" s="104"/>
      <c r="IOY314" s="104"/>
      <c r="IOZ314" s="104"/>
      <c r="IPA314" s="104"/>
      <c r="IPB314" s="104"/>
      <c r="IPC314" s="104"/>
      <c r="IPD314" s="104"/>
      <c r="IPE314" s="104"/>
      <c r="IPF314" s="104"/>
      <c r="IPG314" s="104"/>
      <c r="IPH314" s="104"/>
      <c r="IPI314" s="104"/>
      <c r="IPJ314" s="104"/>
      <c r="IPK314" s="104"/>
      <c r="IPL314" s="104"/>
      <c r="IPM314" s="104"/>
      <c r="IPN314" s="104"/>
      <c r="IPO314" s="104"/>
      <c r="IPP314" s="104"/>
      <c r="IPQ314" s="104"/>
      <c r="IPR314" s="104"/>
      <c r="IPS314" s="104"/>
      <c r="IPT314" s="104"/>
      <c r="IPU314" s="104"/>
      <c r="IPV314" s="104"/>
      <c r="IPW314" s="104"/>
      <c r="IPX314" s="104"/>
      <c r="IPY314" s="104"/>
      <c r="IPZ314" s="104"/>
      <c r="IQA314" s="104"/>
      <c r="IQB314" s="104"/>
      <c r="IQC314" s="104"/>
      <c r="IQD314" s="104"/>
      <c r="IQE314" s="104"/>
      <c r="IQF314" s="104"/>
      <c r="IQG314" s="104"/>
      <c r="IQH314" s="104"/>
      <c r="IQI314" s="104"/>
      <c r="IQJ314" s="104"/>
      <c r="IQK314" s="104"/>
      <c r="IQL314" s="104"/>
      <c r="IQM314" s="104"/>
      <c r="IQN314" s="104"/>
      <c r="IQO314" s="104"/>
      <c r="IQP314" s="104"/>
      <c r="IQQ314" s="104"/>
      <c r="IQR314" s="104"/>
      <c r="IQS314" s="104"/>
      <c r="IQT314" s="104"/>
      <c r="IQU314" s="104"/>
      <c r="IQV314" s="104"/>
      <c r="IQW314" s="104"/>
      <c r="IQX314" s="104"/>
      <c r="IQY314" s="104"/>
      <c r="IQZ314" s="104"/>
      <c r="IRA314" s="104"/>
      <c r="IRB314" s="104"/>
      <c r="IRC314" s="104"/>
      <c r="IRD314" s="104"/>
      <c r="IRE314" s="104"/>
      <c r="IRF314" s="104"/>
      <c r="IRG314" s="104"/>
      <c r="IRH314" s="104"/>
      <c r="IRI314" s="104"/>
      <c r="IRJ314" s="104"/>
      <c r="IRK314" s="104"/>
      <c r="IRL314" s="104"/>
      <c r="IRM314" s="104"/>
      <c r="IRN314" s="104"/>
      <c r="IRO314" s="104"/>
      <c r="IRP314" s="104"/>
      <c r="IRQ314" s="104"/>
      <c r="IRR314" s="104"/>
      <c r="IRS314" s="104"/>
      <c r="IRT314" s="104"/>
      <c r="IRU314" s="104"/>
      <c r="IRV314" s="104"/>
      <c r="IRW314" s="104"/>
      <c r="IRX314" s="104"/>
      <c r="IRY314" s="104"/>
      <c r="IRZ314" s="104"/>
      <c r="ISA314" s="104"/>
      <c r="ISB314" s="104"/>
      <c r="ISC314" s="104"/>
      <c r="ISD314" s="104"/>
      <c r="ISE314" s="104"/>
      <c r="ISF314" s="104"/>
      <c r="ISG314" s="104"/>
      <c r="ISH314" s="104"/>
      <c r="ISI314" s="104"/>
      <c r="ISJ314" s="104"/>
      <c r="ISK314" s="104"/>
      <c r="ISL314" s="104"/>
      <c r="ISM314" s="104"/>
      <c r="ISN314" s="104"/>
      <c r="ISO314" s="104"/>
      <c r="ISP314" s="104"/>
      <c r="ISQ314" s="104"/>
      <c r="ISR314" s="104"/>
      <c r="ISS314" s="104"/>
      <c r="IST314" s="104"/>
      <c r="ISU314" s="104"/>
      <c r="ISV314" s="104"/>
      <c r="ISW314" s="104"/>
      <c r="ISX314" s="104"/>
      <c r="ISY314" s="104"/>
      <c r="ISZ314" s="104"/>
      <c r="ITA314" s="104"/>
      <c r="ITB314" s="104"/>
      <c r="ITC314" s="104"/>
      <c r="ITD314" s="104"/>
      <c r="ITE314" s="104"/>
      <c r="ITF314" s="104"/>
      <c r="ITG314" s="104"/>
      <c r="ITH314" s="104"/>
      <c r="ITI314" s="104"/>
      <c r="ITJ314" s="104"/>
      <c r="ITK314" s="104"/>
      <c r="ITL314" s="104"/>
      <c r="ITM314" s="104"/>
      <c r="ITN314" s="104"/>
      <c r="ITO314" s="104"/>
      <c r="ITP314" s="104"/>
      <c r="ITQ314" s="104"/>
      <c r="ITR314" s="104"/>
      <c r="ITS314" s="104"/>
      <c r="ITT314" s="104"/>
      <c r="ITU314" s="104"/>
      <c r="ITV314" s="104"/>
      <c r="ITW314" s="104"/>
      <c r="ITX314" s="104"/>
      <c r="ITY314" s="104"/>
      <c r="ITZ314" s="104"/>
      <c r="IUA314" s="104"/>
      <c r="IUB314" s="104"/>
      <c r="IUC314" s="104"/>
      <c r="IUD314" s="104"/>
      <c r="IUE314" s="104"/>
      <c r="IUF314" s="104"/>
      <c r="IUG314" s="104"/>
      <c r="IUH314" s="104"/>
      <c r="IUI314" s="104"/>
      <c r="IUJ314" s="104"/>
      <c r="IUK314" s="104"/>
      <c r="IUL314" s="104"/>
      <c r="IUM314" s="104"/>
      <c r="IUN314" s="104"/>
      <c r="IUO314" s="104"/>
      <c r="IUP314" s="104"/>
      <c r="IUQ314" s="104"/>
      <c r="IUR314" s="104"/>
      <c r="IUS314" s="104"/>
      <c r="IUT314" s="104"/>
      <c r="IUU314" s="104"/>
      <c r="IUV314" s="104"/>
      <c r="IUW314" s="104"/>
      <c r="IUX314" s="104"/>
      <c r="IUY314" s="104"/>
      <c r="IUZ314" s="104"/>
      <c r="IVA314" s="104"/>
      <c r="IVB314" s="104"/>
      <c r="IVC314" s="104"/>
      <c r="IVD314" s="104"/>
      <c r="IVE314" s="104"/>
      <c r="IVF314" s="104"/>
      <c r="IVG314" s="104"/>
      <c r="IVH314" s="104"/>
      <c r="IVI314" s="104"/>
      <c r="IVJ314" s="104"/>
      <c r="IVK314" s="104"/>
      <c r="IVL314" s="104"/>
      <c r="IVM314" s="104"/>
      <c r="IVN314" s="104"/>
      <c r="IVO314" s="104"/>
      <c r="IVP314" s="104"/>
      <c r="IVQ314" s="104"/>
      <c r="IVR314" s="104"/>
      <c r="IVS314" s="104"/>
      <c r="IVT314" s="104"/>
      <c r="IVU314" s="104"/>
      <c r="IVV314" s="104"/>
      <c r="IVW314" s="104"/>
      <c r="IVX314" s="104"/>
      <c r="IVY314" s="104"/>
      <c r="IVZ314" s="104"/>
      <c r="IWA314" s="104"/>
      <c r="IWB314" s="104"/>
      <c r="IWC314" s="104"/>
      <c r="IWD314" s="104"/>
      <c r="IWE314" s="104"/>
      <c r="IWF314" s="104"/>
      <c r="IWG314" s="104"/>
      <c r="IWH314" s="104"/>
      <c r="IWI314" s="104"/>
      <c r="IWJ314" s="104"/>
      <c r="IWK314" s="104"/>
      <c r="IWL314" s="104"/>
      <c r="IWM314" s="104"/>
      <c r="IWN314" s="104"/>
      <c r="IWO314" s="104"/>
      <c r="IWP314" s="104"/>
      <c r="IWQ314" s="104"/>
      <c r="IWR314" s="104"/>
      <c r="IWS314" s="104"/>
      <c r="IWT314" s="104"/>
      <c r="IWU314" s="104"/>
      <c r="IWV314" s="104"/>
      <c r="IWW314" s="104"/>
      <c r="IWX314" s="104"/>
      <c r="IWY314" s="104"/>
      <c r="IWZ314" s="104"/>
      <c r="IXA314" s="104"/>
      <c r="IXB314" s="104"/>
      <c r="IXC314" s="104"/>
      <c r="IXD314" s="104"/>
      <c r="IXE314" s="104"/>
      <c r="IXF314" s="104"/>
      <c r="IXG314" s="104"/>
      <c r="IXH314" s="104"/>
      <c r="IXI314" s="104"/>
      <c r="IXJ314" s="104"/>
      <c r="IXK314" s="104"/>
      <c r="IXL314" s="104"/>
      <c r="IXM314" s="104"/>
      <c r="IXN314" s="104"/>
      <c r="IXO314" s="104"/>
      <c r="IXP314" s="104"/>
      <c r="IXQ314" s="104"/>
      <c r="IXR314" s="104"/>
      <c r="IXS314" s="104"/>
      <c r="IXT314" s="104"/>
      <c r="IXU314" s="104"/>
      <c r="IXV314" s="104"/>
      <c r="IXW314" s="104"/>
      <c r="IXX314" s="104"/>
      <c r="IXY314" s="104"/>
      <c r="IXZ314" s="104"/>
      <c r="IYA314" s="104"/>
      <c r="IYB314" s="104"/>
      <c r="IYC314" s="104"/>
      <c r="IYD314" s="104"/>
      <c r="IYE314" s="104"/>
      <c r="IYF314" s="104"/>
      <c r="IYG314" s="104"/>
      <c r="IYH314" s="104"/>
      <c r="IYI314" s="104"/>
      <c r="IYJ314" s="104"/>
      <c r="IYK314" s="104"/>
      <c r="IYL314" s="104"/>
      <c r="IYM314" s="104"/>
      <c r="IYN314" s="104"/>
      <c r="IYO314" s="104"/>
      <c r="IYP314" s="104"/>
      <c r="IYQ314" s="104"/>
      <c r="IYR314" s="104"/>
      <c r="IYS314" s="104"/>
      <c r="IYT314" s="104"/>
      <c r="IYU314" s="104"/>
      <c r="IYV314" s="104"/>
      <c r="IYW314" s="104"/>
      <c r="IYX314" s="104"/>
      <c r="IYY314" s="104"/>
      <c r="IYZ314" s="104"/>
      <c r="IZA314" s="104"/>
      <c r="IZB314" s="104"/>
      <c r="IZC314" s="104"/>
      <c r="IZD314" s="104"/>
      <c r="IZE314" s="104"/>
      <c r="IZF314" s="104"/>
      <c r="IZG314" s="104"/>
      <c r="IZH314" s="104"/>
      <c r="IZI314" s="104"/>
      <c r="IZJ314" s="104"/>
      <c r="IZK314" s="104"/>
      <c r="IZL314" s="104"/>
      <c r="IZM314" s="104"/>
      <c r="IZN314" s="104"/>
      <c r="IZO314" s="104"/>
      <c r="IZP314" s="104"/>
      <c r="IZQ314" s="104"/>
      <c r="IZR314" s="104"/>
      <c r="IZS314" s="104"/>
      <c r="IZT314" s="104"/>
      <c r="IZU314" s="104"/>
      <c r="IZV314" s="104"/>
      <c r="IZW314" s="104"/>
      <c r="IZX314" s="104"/>
      <c r="IZY314" s="104"/>
      <c r="IZZ314" s="104"/>
      <c r="JAA314" s="104"/>
      <c r="JAB314" s="104"/>
      <c r="JAC314" s="104"/>
      <c r="JAD314" s="104"/>
      <c r="JAE314" s="104"/>
      <c r="JAF314" s="104"/>
      <c r="JAG314" s="104"/>
      <c r="JAH314" s="104"/>
      <c r="JAI314" s="104"/>
      <c r="JAJ314" s="104"/>
      <c r="JAK314" s="104"/>
      <c r="JAL314" s="104"/>
      <c r="JAM314" s="104"/>
      <c r="JAN314" s="104"/>
      <c r="JAO314" s="104"/>
      <c r="JAP314" s="104"/>
      <c r="JAQ314" s="104"/>
      <c r="JAR314" s="104"/>
      <c r="JAS314" s="104"/>
      <c r="JAT314" s="104"/>
      <c r="JAU314" s="104"/>
      <c r="JAV314" s="104"/>
      <c r="JAW314" s="104"/>
      <c r="JAX314" s="104"/>
      <c r="JAY314" s="104"/>
      <c r="JAZ314" s="104"/>
      <c r="JBA314" s="104"/>
      <c r="JBB314" s="104"/>
      <c r="JBC314" s="104"/>
      <c r="JBD314" s="104"/>
      <c r="JBE314" s="104"/>
      <c r="JBF314" s="104"/>
      <c r="JBG314" s="104"/>
      <c r="JBH314" s="104"/>
      <c r="JBI314" s="104"/>
      <c r="JBJ314" s="104"/>
      <c r="JBK314" s="104"/>
      <c r="JBL314" s="104"/>
      <c r="JBM314" s="104"/>
      <c r="JBN314" s="104"/>
      <c r="JBO314" s="104"/>
      <c r="JBP314" s="104"/>
      <c r="JBQ314" s="104"/>
      <c r="JBR314" s="104"/>
      <c r="JBS314" s="104"/>
      <c r="JBT314" s="104"/>
      <c r="JBU314" s="104"/>
      <c r="JBV314" s="104"/>
      <c r="JBW314" s="104"/>
      <c r="JBX314" s="104"/>
      <c r="JBY314" s="104"/>
      <c r="JBZ314" s="104"/>
      <c r="JCA314" s="104"/>
      <c r="JCB314" s="104"/>
      <c r="JCC314" s="104"/>
      <c r="JCD314" s="104"/>
      <c r="JCE314" s="104"/>
      <c r="JCF314" s="104"/>
      <c r="JCG314" s="104"/>
      <c r="JCH314" s="104"/>
      <c r="JCI314" s="104"/>
      <c r="JCJ314" s="104"/>
      <c r="JCK314" s="104"/>
      <c r="JCL314" s="104"/>
      <c r="JCM314" s="104"/>
      <c r="JCN314" s="104"/>
      <c r="JCO314" s="104"/>
      <c r="JCP314" s="104"/>
      <c r="JCQ314" s="104"/>
      <c r="JCR314" s="104"/>
      <c r="JCS314" s="104"/>
      <c r="JCT314" s="104"/>
      <c r="JCU314" s="104"/>
      <c r="JCV314" s="104"/>
      <c r="JCW314" s="104"/>
      <c r="JCX314" s="104"/>
      <c r="JCY314" s="104"/>
      <c r="JCZ314" s="104"/>
      <c r="JDA314" s="104"/>
      <c r="JDB314" s="104"/>
      <c r="JDC314" s="104"/>
      <c r="JDD314" s="104"/>
      <c r="JDE314" s="104"/>
      <c r="JDF314" s="104"/>
      <c r="JDG314" s="104"/>
      <c r="JDH314" s="104"/>
      <c r="JDI314" s="104"/>
      <c r="JDJ314" s="104"/>
      <c r="JDK314" s="104"/>
      <c r="JDL314" s="104"/>
      <c r="JDM314" s="104"/>
      <c r="JDN314" s="104"/>
      <c r="JDO314" s="104"/>
      <c r="JDP314" s="104"/>
      <c r="JDQ314" s="104"/>
      <c r="JDR314" s="104"/>
      <c r="JDS314" s="104"/>
      <c r="JDT314" s="104"/>
      <c r="JDU314" s="104"/>
      <c r="JDV314" s="104"/>
      <c r="JDW314" s="104"/>
      <c r="JDX314" s="104"/>
      <c r="JDY314" s="104"/>
      <c r="JDZ314" s="104"/>
      <c r="JEA314" s="104"/>
      <c r="JEB314" s="104"/>
      <c r="JEC314" s="104"/>
      <c r="JED314" s="104"/>
      <c r="JEE314" s="104"/>
      <c r="JEF314" s="104"/>
      <c r="JEG314" s="104"/>
      <c r="JEH314" s="104"/>
      <c r="JEI314" s="104"/>
      <c r="JEJ314" s="104"/>
      <c r="JEK314" s="104"/>
      <c r="JEL314" s="104"/>
      <c r="JEM314" s="104"/>
      <c r="JEN314" s="104"/>
      <c r="JEO314" s="104"/>
      <c r="JEP314" s="104"/>
      <c r="JEQ314" s="104"/>
      <c r="JER314" s="104"/>
      <c r="JES314" s="104"/>
      <c r="JET314" s="104"/>
      <c r="JEU314" s="104"/>
      <c r="JEV314" s="104"/>
      <c r="JEW314" s="104"/>
      <c r="JEX314" s="104"/>
      <c r="JEY314" s="104"/>
      <c r="JEZ314" s="104"/>
      <c r="JFA314" s="104"/>
      <c r="JFB314" s="104"/>
      <c r="JFC314" s="104"/>
      <c r="JFD314" s="104"/>
      <c r="JFE314" s="104"/>
      <c r="JFF314" s="104"/>
      <c r="JFG314" s="104"/>
      <c r="JFH314" s="104"/>
      <c r="JFI314" s="104"/>
      <c r="JFJ314" s="104"/>
      <c r="JFK314" s="104"/>
      <c r="JFL314" s="104"/>
      <c r="JFM314" s="104"/>
      <c r="JFN314" s="104"/>
      <c r="JFO314" s="104"/>
      <c r="JFP314" s="104"/>
      <c r="JFQ314" s="104"/>
      <c r="JFR314" s="104"/>
      <c r="JFS314" s="104"/>
      <c r="JFT314" s="104"/>
      <c r="JFU314" s="104"/>
      <c r="JFV314" s="104"/>
      <c r="JFW314" s="104"/>
      <c r="JFX314" s="104"/>
      <c r="JFY314" s="104"/>
      <c r="JFZ314" s="104"/>
      <c r="JGA314" s="104"/>
      <c r="JGB314" s="104"/>
      <c r="JGC314" s="104"/>
      <c r="JGD314" s="104"/>
      <c r="JGE314" s="104"/>
      <c r="JGF314" s="104"/>
      <c r="JGG314" s="104"/>
      <c r="JGH314" s="104"/>
      <c r="JGI314" s="104"/>
      <c r="JGJ314" s="104"/>
      <c r="JGK314" s="104"/>
      <c r="JGL314" s="104"/>
      <c r="JGM314" s="104"/>
      <c r="JGN314" s="104"/>
      <c r="JGO314" s="104"/>
      <c r="JGP314" s="104"/>
      <c r="JGQ314" s="104"/>
      <c r="JGR314" s="104"/>
      <c r="JGS314" s="104"/>
      <c r="JGT314" s="104"/>
      <c r="JGU314" s="104"/>
      <c r="JGV314" s="104"/>
      <c r="JGW314" s="104"/>
      <c r="JGX314" s="104"/>
      <c r="JGY314" s="104"/>
      <c r="JGZ314" s="104"/>
      <c r="JHA314" s="104"/>
      <c r="JHB314" s="104"/>
      <c r="JHC314" s="104"/>
      <c r="JHD314" s="104"/>
      <c r="JHE314" s="104"/>
      <c r="JHF314" s="104"/>
      <c r="JHG314" s="104"/>
      <c r="JHH314" s="104"/>
      <c r="JHI314" s="104"/>
      <c r="JHJ314" s="104"/>
      <c r="JHK314" s="104"/>
      <c r="JHL314" s="104"/>
      <c r="JHM314" s="104"/>
      <c r="JHN314" s="104"/>
      <c r="JHO314" s="104"/>
      <c r="JHP314" s="104"/>
      <c r="JHQ314" s="104"/>
      <c r="JHR314" s="104"/>
      <c r="JHS314" s="104"/>
      <c r="JHT314" s="104"/>
      <c r="JHU314" s="104"/>
      <c r="JHV314" s="104"/>
      <c r="JHW314" s="104"/>
      <c r="JHX314" s="104"/>
      <c r="JHY314" s="104"/>
      <c r="JHZ314" s="104"/>
      <c r="JIA314" s="104"/>
      <c r="JIB314" s="104"/>
      <c r="JIC314" s="104"/>
      <c r="JID314" s="104"/>
      <c r="JIE314" s="104"/>
      <c r="JIF314" s="104"/>
      <c r="JIG314" s="104"/>
      <c r="JIH314" s="104"/>
      <c r="JII314" s="104"/>
      <c r="JIJ314" s="104"/>
      <c r="JIK314" s="104"/>
      <c r="JIL314" s="104"/>
      <c r="JIM314" s="104"/>
      <c r="JIN314" s="104"/>
      <c r="JIO314" s="104"/>
      <c r="JIP314" s="104"/>
      <c r="JIQ314" s="104"/>
      <c r="JIR314" s="104"/>
      <c r="JIS314" s="104"/>
      <c r="JIT314" s="104"/>
      <c r="JIU314" s="104"/>
      <c r="JIV314" s="104"/>
      <c r="JIW314" s="104"/>
      <c r="JIX314" s="104"/>
      <c r="JIY314" s="104"/>
      <c r="JIZ314" s="104"/>
      <c r="JJA314" s="104"/>
      <c r="JJB314" s="104"/>
      <c r="JJC314" s="104"/>
      <c r="JJD314" s="104"/>
      <c r="JJE314" s="104"/>
      <c r="JJF314" s="104"/>
      <c r="JJG314" s="104"/>
      <c r="JJH314" s="104"/>
      <c r="JJI314" s="104"/>
      <c r="JJJ314" s="104"/>
      <c r="JJK314" s="104"/>
      <c r="JJL314" s="104"/>
      <c r="JJM314" s="104"/>
      <c r="JJN314" s="104"/>
      <c r="JJO314" s="104"/>
      <c r="JJP314" s="104"/>
      <c r="JJQ314" s="104"/>
      <c r="JJR314" s="104"/>
      <c r="JJS314" s="104"/>
      <c r="JJT314" s="104"/>
      <c r="JJU314" s="104"/>
      <c r="JJV314" s="104"/>
      <c r="JJW314" s="104"/>
      <c r="JJX314" s="104"/>
      <c r="JJY314" s="104"/>
      <c r="JJZ314" s="104"/>
      <c r="JKA314" s="104"/>
      <c r="JKB314" s="104"/>
      <c r="JKC314" s="104"/>
      <c r="JKD314" s="104"/>
      <c r="JKE314" s="104"/>
      <c r="JKF314" s="104"/>
      <c r="JKG314" s="104"/>
      <c r="JKH314" s="104"/>
      <c r="JKI314" s="104"/>
      <c r="JKJ314" s="104"/>
      <c r="JKK314" s="104"/>
      <c r="JKL314" s="104"/>
      <c r="JKM314" s="104"/>
      <c r="JKN314" s="104"/>
      <c r="JKO314" s="104"/>
      <c r="JKP314" s="104"/>
      <c r="JKQ314" s="104"/>
      <c r="JKR314" s="104"/>
      <c r="JKS314" s="104"/>
      <c r="JKT314" s="104"/>
      <c r="JKU314" s="104"/>
      <c r="JKV314" s="104"/>
      <c r="JKW314" s="104"/>
      <c r="JKX314" s="104"/>
      <c r="JKY314" s="104"/>
      <c r="JKZ314" s="104"/>
      <c r="JLA314" s="104"/>
      <c r="JLB314" s="104"/>
      <c r="JLC314" s="104"/>
      <c r="JLD314" s="104"/>
      <c r="JLE314" s="104"/>
      <c r="JLF314" s="104"/>
      <c r="JLG314" s="104"/>
      <c r="JLH314" s="104"/>
      <c r="JLI314" s="104"/>
      <c r="JLJ314" s="104"/>
      <c r="JLK314" s="104"/>
      <c r="JLL314" s="104"/>
      <c r="JLM314" s="104"/>
      <c r="JLN314" s="104"/>
      <c r="JLO314" s="104"/>
      <c r="JLP314" s="104"/>
      <c r="JLQ314" s="104"/>
      <c r="JLR314" s="104"/>
      <c r="JLS314" s="104"/>
      <c r="JLT314" s="104"/>
      <c r="JLU314" s="104"/>
      <c r="JLV314" s="104"/>
      <c r="JLW314" s="104"/>
      <c r="JLX314" s="104"/>
      <c r="JLY314" s="104"/>
      <c r="JLZ314" s="104"/>
      <c r="JMA314" s="104"/>
      <c r="JMB314" s="104"/>
      <c r="JMC314" s="104"/>
      <c r="JMD314" s="104"/>
      <c r="JME314" s="104"/>
      <c r="JMF314" s="104"/>
      <c r="JMG314" s="104"/>
      <c r="JMH314" s="104"/>
      <c r="JMI314" s="104"/>
      <c r="JMJ314" s="104"/>
      <c r="JMK314" s="104"/>
      <c r="JML314" s="104"/>
      <c r="JMM314" s="104"/>
      <c r="JMN314" s="104"/>
      <c r="JMO314" s="104"/>
      <c r="JMP314" s="104"/>
      <c r="JMQ314" s="104"/>
      <c r="JMR314" s="104"/>
      <c r="JMS314" s="104"/>
      <c r="JMT314" s="104"/>
      <c r="JMU314" s="104"/>
      <c r="JMV314" s="104"/>
      <c r="JMW314" s="104"/>
      <c r="JMX314" s="104"/>
      <c r="JMY314" s="104"/>
      <c r="JMZ314" s="104"/>
      <c r="JNA314" s="104"/>
      <c r="JNB314" s="104"/>
      <c r="JNC314" s="104"/>
      <c r="JND314" s="104"/>
      <c r="JNE314" s="104"/>
      <c r="JNF314" s="104"/>
      <c r="JNG314" s="104"/>
      <c r="JNH314" s="104"/>
      <c r="JNI314" s="104"/>
      <c r="JNJ314" s="104"/>
      <c r="JNK314" s="104"/>
      <c r="JNL314" s="104"/>
      <c r="JNM314" s="104"/>
      <c r="JNN314" s="104"/>
      <c r="JNO314" s="104"/>
      <c r="JNP314" s="104"/>
      <c r="JNQ314" s="104"/>
      <c r="JNR314" s="104"/>
      <c r="JNS314" s="104"/>
      <c r="JNT314" s="104"/>
      <c r="JNU314" s="104"/>
      <c r="JNV314" s="104"/>
      <c r="JNW314" s="104"/>
      <c r="JNX314" s="104"/>
      <c r="JNY314" s="104"/>
      <c r="JNZ314" s="104"/>
      <c r="JOA314" s="104"/>
      <c r="JOB314" s="104"/>
      <c r="JOC314" s="104"/>
      <c r="JOD314" s="104"/>
      <c r="JOE314" s="104"/>
      <c r="JOF314" s="104"/>
      <c r="JOG314" s="104"/>
      <c r="JOH314" s="104"/>
      <c r="JOI314" s="104"/>
      <c r="JOJ314" s="104"/>
      <c r="JOK314" s="104"/>
      <c r="JOL314" s="104"/>
      <c r="JOM314" s="104"/>
      <c r="JON314" s="104"/>
      <c r="JOO314" s="104"/>
      <c r="JOP314" s="104"/>
      <c r="JOQ314" s="104"/>
      <c r="JOR314" s="104"/>
      <c r="JOS314" s="104"/>
      <c r="JOT314" s="104"/>
      <c r="JOU314" s="104"/>
      <c r="JOV314" s="104"/>
      <c r="JOW314" s="104"/>
      <c r="JOX314" s="104"/>
      <c r="JOY314" s="104"/>
      <c r="JOZ314" s="104"/>
      <c r="JPA314" s="104"/>
      <c r="JPB314" s="104"/>
      <c r="JPC314" s="104"/>
      <c r="JPD314" s="104"/>
      <c r="JPE314" s="104"/>
      <c r="JPF314" s="104"/>
      <c r="JPG314" s="104"/>
      <c r="JPH314" s="104"/>
      <c r="JPI314" s="104"/>
      <c r="JPJ314" s="104"/>
      <c r="JPK314" s="104"/>
      <c r="JPL314" s="104"/>
      <c r="JPM314" s="104"/>
      <c r="JPN314" s="104"/>
      <c r="JPO314" s="104"/>
      <c r="JPP314" s="104"/>
      <c r="JPQ314" s="104"/>
      <c r="JPR314" s="104"/>
      <c r="JPS314" s="104"/>
      <c r="JPT314" s="104"/>
      <c r="JPU314" s="104"/>
      <c r="JPV314" s="104"/>
      <c r="JPW314" s="104"/>
      <c r="JPX314" s="104"/>
      <c r="JPY314" s="104"/>
      <c r="JPZ314" s="104"/>
      <c r="JQA314" s="104"/>
      <c r="JQB314" s="104"/>
      <c r="JQC314" s="104"/>
      <c r="JQD314" s="104"/>
      <c r="JQE314" s="104"/>
      <c r="JQF314" s="104"/>
      <c r="JQG314" s="104"/>
      <c r="JQH314" s="104"/>
      <c r="JQI314" s="104"/>
      <c r="JQJ314" s="104"/>
      <c r="JQK314" s="104"/>
      <c r="JQL314" s="104"/>
      <c r="JQM314" s="104"/>
      <c r="JQN314" s="104"/>
      <c r="JQO314" s="104"/>
      <c r="JQP314" s="104"/>
      <c r="JQQ314" s="104"/>
      <c r="JQR314" s="104"/>
      <c r="JQS314" s="104"/>
      <c r="JQT314" s="104"/>
      <c r="JQU314" s="104"/>
      <c r="JQV314" s="104"/>
      <c r="JQW314" s="104"/>
      <c r="JQX314" s="104"/>
      <c r="JQY314" s="104"/>
      <c r="JQZ314" s="104"/>
      <c r="JRA314" s="104"/>
      <c r="JRB314" s="104"/>
      <c r="JRC314" s="104"/>
      <c r="JRD314" s="104"/>
      <c r="JRE314" s="104"/>
      <c r="JRF314" s="104"/>
      <c r="JRG314" s="104"/>
      <c r="JRH314" s="104"/>
      <c r="JRI314" s="104"/>
      <c r="JRJ314" s="104"/>
      <c r="JRK314" s="104"/>
      <c r="JRL314" s="104"/>
      <c r="JRM314" s="104"/>
      <c r="JRN314" s="104"/>
      <c r="JRO314" s="104"/>
      <c r="JRP314" s="104"/>
      <c r="JRQ314" s="104"/>
      <c r="JRR314" s="104"/>
      <c r="JRS314" s="104"/>
      <c r="JRT314" s="104"/>
      <c r="JRU314" s="104"/>
      <c r="JRV314" s="104"/>
      <c r="JRW314" s="104"/>
      <c r="JRX314" s="104"/>
      <c r="JRY314" s="104"/>
      <c r="JRZ314" s="104"/>
      <c r="JSA314" s="104"/>
      <c r="JSB314" s="104"/>
      <c r="JSC314" s="104"/>
      <c r="JSD314" s="104"/>
      <c r="JSE314" s="104"/>
      <c r="JSF314" s="104"/>
      <c r="JSG314" s="104"/>
      <c r="JSH314" s="104"/>
      <c r="JSI314" s="104"/>
      <c r="JSJ314" s="104"/>
      <c r="JSK314" s="104"/>
      <c r="JSL314" s="104"/>
      <c r="JSM314" s="104"/>
      <c r="JSN314" s="104"/>
      <c r="JSO314" s="104"/>
      <c r="JSP314" s="104"/>
      <c r="JSQ314" s="104"/>
      <c r="JSR314" s="104"/>
      <c r="JSS314" s="104"/>
      <c r="JST314" s="104"/>
      <c r="JSU314" s="104"/>
      <c r="JSV314" s="104"/>
      <c r="JSW314" s="104"/>
      <c r="JSX314" s="104"/>
      <c r="JSY314" s="104"/>
      <c r="JSZ314" s="104"/>
      <c r="JTA314" s="104"/>
      <c r="JTB314" s="104"/>
      <c r="JTC314" s="104"/>
      <c r="JTD314" s="104"/>
      <c r="JTE314" s="104"/>
      <c r="JTF314" s="104"/>
      <c r="JTG314" s="104"/>
      <c r="JTH314" s="104"/>
      <c r="JTI314" s="104"/>
      <c r="JTJ314" s="104"/>
      <c r="JTK314" s="104"/>
      <c r="JTL314" s="104"/>
      <c r="JTM314" s="104"/>
      <c r="JTN314" s="104"/>
      <c r="JTO314" s="104"/>
      <c r="JTP314" s="104"/>
      <c r="JTQ314" s="104"/>
      <c r="JTR314" s="104"/>
      <c r="JTS314" s="104"/>
      <c r="JTT314" s="104"/>
      <c r="JTU314" s="104"/>
      <c r="JTV314" s="104"/>
      <c r="JTW314" s="104"/>
      <c r="JTX314" s="104"/>
      <c r="JTY314" s="104"/>
      <c r="JTZ314" s="104"/>
      <c r="JUA314" s="104"/>
      <c r="JUB314" s="104"/>
      <c r="JUC314" s="104"/>
      <c r="JUD314" s="104"/>
      <c r="JUE314" s="104"/>
      <c r="JUF314" s="104"/>
      <c r="JUG314" s="104"/>
      <c r="JUH314" s="104"/>
      <c r="JUI314" s="104"/>
      <c r="JUJ314" s="104"/>
      <c r="JUK314" s="104"/>
      <c r="JUL314" s="104"/>
      <c r="JUM314" s="104"/>
      <c r="JUN314" s="104"/>
      <c r="JUO314" s="104"/>
      <c r="JUP314" s="104"/>
      <c r="JUQ314" s="104"/>
      <c r="JUR314" s="104"/>
      <c r="JUS314" s="104"/>
      <c r="JUT314" s="104"/>
      <c r="JUU314" s="104"/>
      <c r="JUV314" s="104"/>
      <c r="JUW314" s="104"/>
      <c r="JUX314" s="104"/>
      <c r="JUY314" s="104"/>
      <c r="JUZ314" s="104"/>
      <c r="JVA314" s="104"/>
      <c r="JVB314" s="104"/>
      <c r="JVC314" s="104"/>
      <c r="JVD314" s="104"/>
      <c r="JVE314" s="104"/>
      <c r="JVF314" s="104"/>
      <c r="JVG314" s="104"/>
      <c r="JVH314" s="104"/>
      <c r="JVI314" s="104"/>
      <c r="JVJ314" s="104"/>
      <c r="JVK314" s="104"/>
      <c r="JVL314" s="104"/>
      <c r="JVM314" s="104"/>
      <c r="JVN314" s="104"/>
      <c r="JVO314" s="104"/>
      <c r="JVP314" s="104"/>
      <c r="JVQ314" s="104"/>
      <c r="JVR314" s="104"/>
      <c r="JVS314" s="104"/>
      <c r="JVT314" s="104"/>
      <c r="JVU314" s="104"/>
      <c r="JVV314" s="104"/>
      <c r="JVW314" s="104"/>
      <c r="JVX314" s="104"/>
      <c r="JVY314" s="104"/>
      <c r="JVZ314" s="104"/>
      <c r="JWA314" s="104"/>
      <c r="JWB314" s="104"/>
      <c r="JWC314" s="104"/>
      <c r="JWD314" s="104"/>
      <c r="JWE314" s="104"/>
      <c r="JWF314" s="104"/>
      <c r="JWG314" s="104"/>
      <c r="JWH314" s="104"/>
      <c r="JWI314" s="104"/>
      <c r="JWJ314" s="104"/>
      <c r="JWK314" s="104"/>
      <c r="JWL314" s="104"/>
      <c r="JWM314" s="104"/>
      <c r="JWN314" s="104"/>
      <c r="JWO314" s="104"/>
      <c r="JWP314" s="104"/>
      <c r="JWQ314" s="104"/>
      <c r="JWR314" s="104"/>
      <c r="JWS314" s="104"/>
      <c r="JWT314" s="104"/>
      <c r="JWU314" s="104"/>
      <c r="JWV314" s="104"/>
      <c r="JWW314" s="104"/>
      <c r="JWX314" s="104"/>
      <c r="JWY314" s="104"/>
      <c r="JWZ314" s="104"/>
      <c r="JXA314" s="104"/>
      <c r="JXB314" s="104"/>
      <c r="JXC314" s="104"/>
      <c r="JXD314" s="104"/>
      <c r="JXE314" s="104"/>
      <c r="JXF314" s="104"/>
      <c r="JXG314" s="104"/>
      <c r="JXH314" s="104"/>
      <c r="JXI314" s="104"/>
      <c r="JXJ314" s="104"/>
      <c r="JXK314" s="104"/>
      <c r="JXL314" s="104"/>
      <c r="JXM314" s="104"/>
      <c r="JXN314" s="104"/>
      <c r="JXO314" s="104"/>
      <c r="JXP314" s="104"/>
      <c r="JXQ314" s="104"/>
      <c r="JXR314" s="104"/>
      <c r="JXS314" s="104"/>
      <c r="JXT314" s="104"/>
      <c r="JXU314" s="104"/>
      <c r="JXV314" s="104"/>
      <c r="JXW314" s="104"/>
      <c r="JXX314" s="104"/>
      <c r="JXY314" s="104"/>
      <c r="JXZ314" s="104"/>
      <c r="JYA314" s="104"/>
      <c r="JYB314" s="104"/>
      <c r="JYC314" s="104"/>
      <c r="JYD314" s="104"/>
      <c r="JYE314" s="104"/>
      <c r="JYF314" s="104"/>
      <c r="JYG314" s="104"/>
      <c r="JYH314" s="104"/>
      <c r="JYI314" s="104"/>
      <c r="JYJ314" s="104"/>
      <c r="JYK314" s="104"/>
      <c r="JYL314" s="104"/>
      <c r="JYM314" s="104"/>
      <c r="JYN314" s="104"/>
      <c r="JYO314" s="104"/>
      <c r="JYP314" s="104"/>
      <c r="JYQ314" s="104"/>
      <c r="JYR314" s="104"/>
      <c r="JYS314" s="104"/>
      <c r="JYT314" s="104"/>
      <c r="JYU314" s="104"/>
      <c r="JYV314" s="104"/>
      <c r="JYW314" s="104"/>
      <c r="JYX314" s="104"/>
      <c r="JYY314" s="104"/>
      <c r="JYZ314" s="104"/>
      <c r="JZA314" s="104"/>
      <c r="JZB314" s="104"/>
      <c r="JZC314" s="104"/>
      <c r="JZD314" s="104"/>
      <c r="JZE314" s="104"/>
      <c r="JZF314" s="104"/>
      <c r="JZG314" s="104"/>
      <c r="JZH314" s="104"/>
      <c r="JZI314" s="104"/>
      <c r="JZJ314" s="104"/>
      <c r="JZK314" s="104"/>
      <c r="JZL314" s="104"/>
      <c r="JZM314" s="104"/>
      <c r="JZN314" s="104"/>
      <c r="JZO314" s="104"/>
      <c r="JZP314" s="104"/>
      <c r="JZQ314" s="104"/>
      <c r="JZR314" s="104"/>
      <c r="JZS314" s="104"/>
      <c r="JZT314" s="104"/>
      <c r="JZU314" s="104"/>
      <c r="JZV314" s="104"/>
      <c r="JZW314" s="104"/>
      <c r="JZX314" s="104"/>
      <c r="JZY314" s="104"/>
      <c r="JZZ314" s="104"/>
      <c r="KAA314" s="104"/>
      <c r="KAB314" s="104"/>
      <c r="KAC314" s="104"/>
      <c r="KAD314" s="104"/>
      <c r="KAE314" s="104"/>
      <c r="KAF314" s="104"/>
      <c r="KAG314" s="104"/>
      <c r="KAH314" s="104"/>
      <c r="KAI314" s="104"/>
      <c r="KAJ314" s="104"/>
      <c r="KAK314" s="104"/>
      <c r="KAL314" s="104"/>
      <c r="KAM314" s="104"/>
      <c r="KAN314" s="104"/>
      <c r="KAO314" s="104"/>
      <c r="KAP314" s="104"/>
      <c r="KAQ314" s="104"/>
      <c r="KAR314" s="104"/>
      <c r="KAS314" s="104"/>
      <c r="KAT314" s="104"/>
      <c r="KAU314" s="104"/>
      <c r="KAV314" s="104"/>
      <c r="KAW314" s="104"/>
      <c r="KAX314" s="104"/>
      <c r="KAY314" s="104"/>
      <c r="KAZ314" s="104"/>
      <c r="KBA314" s="104"/>
      <c r="KBB314" s="104"/>
      <c r="KBC314" s="104"/>
      <c r="KBD314" s="104"/>
      <c r="KBE314" s="104"/>
      <c r="KBF314" s="104"/>
      <c r="KBG314" s="104"/>
      <c r="KBH314" s="104"/>
      <c r="KBI314" s="104"/>
      <c r="KBJ314" s="104"/>
      <c r="KBK314" s="104"/>
      <c r="KBL314" s="104"/>
      <c r="KBM314" s="104"/>
      <c r="KBN314" s="104"/>
      <c r="KBO314" s="104"/>
      <c r="KBP314" s="104"/>
      <c r="KBQ314" s="104"/>
      <c r="KBR314" s="104"/>
      <c r="KBS314" s="104"/>
      <c r="KBT314" s="104"/>
      <c r="KBU314" s="104"/>
      <c r="KBV314" s="104"/>
      <c r="KBW314" s="104"/>
      <c r="KBX314" s="104"/>
      <c r="KBY314" s="104"/>
      <c r="KBZ314" s="104"/>
      <c r="KCA314" s="104"/>
      <c r="KCB314" s="104"/>
      <c r="KCC314" s="104"/>
      <c r="KCD314" s="104"/>
      <c r="KCE314" s="104"/>
      <c r="KCF314" s="104"/>
      <c r="KCG314" s="104"/>
      <c r="KCH314" s="104"/>
      <c r="KCI314" s="104"/>
      <c r="KCJ314" s="104"/>
      <c r="KCK314" s="104"/>
      <c r="KCL314" s="104"/>
      <c r="KCM314" s="104"/>
      <c r="KCN314" s="104"/>
      <c r="KCO314" s="104"/>
      <c r="KCP314" s="104"/>
      <c r="KCQ314" s="104"/>
      <c r="KCR314" s="104"/>
      <c r="KCS314" s="104"/>
      <c r="KCT314" s="104"/>
      <c r="KCU314" s="104"/>
      <c r="KCV314" s="104"/>
      <c r="KCW314" s="104"/>
      <c r="KCX314" s="104"/>
      <c r="KCY314" s="104"/>
      <c r="KCZ314" s="104"/>
      <c r="KDA314" s="104"/>
      <c r="KDB314" s="104"/>
      <c r="KDC314" s="104"/>
      <c r="KDD314" s="104"/>
      <c r="KDE314" s="104"/>
      <c r="KDF314" s="104"/>
      <c r="KDG314" s="104"/>
      <c r="KDH314" s="104"/>
      <c r="KDI314" s="104"/>
      <c r="KDJ314" s="104"/>
      <c r="KDK314" s="104"/>
      <c r="KDL314" s="104"/>
      <c r="KDM314" s="104"/>
      <c r="KDN314" s="104"/>
      <c r="KDO314" s="104"/>
      <c r="KDP314" s="104"/>
      <c r="KDQ314" s="104"/>
      <c r="KDR314" s="104"/>
      <c r="KDS314" s="104"/>
      <c r="KDT314" s="104"/>
      <c r="KDU314" s="104"/>
      <c r="KDV314" s="104"/>
      <c r="KDW314" s="104"/>
      <c r="KDX314" s="104"/>
      <c r="KDY314" s="104"/>
      <c r="KDZ314" s="104"/>
      <c r="KEA314" s="104"/>
      <c r="KEB314" s="104"/>
      <c r="KEC314" s="104"/>
      <c r="KED314" s="104"/>
      <c r="KEE314" s="104"/>
      <c r="KEF314" s="104"/>
      <c r="KEG314" s="104"/>
      <c r="KEH314" s="104"/>
      <c r="KEI314" s="104"/>
      <c r="KEJ314" s="104"/>
      <c r="KEK314" s="104"/>
      <c r="KEL314" s="104"/>
      <c r="KEM314" s="104"/>
      <c r="KEN314" s="104"/>
      <c r="KEO314" s="104"/>
      <c r="KEP314" s="104"/>
      <c r="KEQ314" s="104"/>
      <c r="KER314" s="104"/>
      <c r="KES314" s="104"/>
      <c r="KET314" s="104"/>
      <c r="KEU314" s="104"/>
      <c r="KEV314" s="104"/>
      <c r="KEW314" s="104"/>
      <c r="KEX314" s="104"/>
      <c r="KEY314" s="104"/>
      <c r="KEZ314" s="104"/>
      <c r="KFA314" s="104"/>
      <c r="KFB314" s="104"/>
      <c r="KFC314" s="104"/>
      <c r="KFD314" s="104"/>
      <c r="KFE314" s="104"/>
      <c r="KFF314" s="104"/>
      <c r="KFG314" s="104"/>
      <c r="KFH314" s="104"/>
      <c r="KFI314" s="104"/>
      <c r="KFJ314" s="104"/>
      <c r="KFK314" s="104"/>
      <c r="KFL314" s="104"/>
      <c r="KFM314" s="104"/>
      <c r="KFN314" s="104"/>
      <c r="KFO314" s="104"/>
      <c r="KFP314" s="104"/>
      <c r="KFQ314" s="104"/>
      <c r="KFR314" s="104"/>
      <c r="KFS314" s="104"/>
      <c r="KFT314" s="104"/>
      <c r="KFU314" s="104"/>
      <c r="KFV314" s="104"/>
      <c r="KFW314" s="104"/>
      <c r="KFX314" s="104"/>
      <c r="KFY314" s="104"/>
      <c r="KFZ314" s="104"/>
      <c r="KGA314" s="104"/>
      <c r="KGB314" s="104"/>
      <c r="KGC314" s="104"/>
      <c r="KGD314" s="104"/>
      <c r="KGE314" s="104"/>
      <c r="KGF314" s="104"/>
      <c r="KGG314" s="104"/>
      <c r="KGH314" s="104"/>
      <c r="KGI314" s="104"/>
      <c r="KGJ314" s="104"/>
      <c r="KGK314" s="104"/>
      <c r="KGL314" s="104"/>
      <c r="KGM314" s="104"/>
      <c r="KGN314" s="104"/>
      <c r="KGO314" s="104"/>
      <c r="KGP314" s="104"/>
      <c r="KGQ314" s="104"/>
      <c r="KGR314" s="104"/>
      <c r="KGS314" s="104"/>
      <c r="KGT314" s="104"/>
      <c r="KGU314" s="104"/>
      <c r="KGV314" s="104"/>
      <c r="KGW314" s="104"/>
      <c r="KGX314" s="104"/>
      <c r="KGY314" s="104"/>
      <c r="KGZ314" s="104"/>
      <c r="KHA314" s="104"/>
      <c r="KHB314" s="104"/>
      <c r="KHC314" s="104"/>
      <c r="KHD314" s="104"/>
      <c r="KHE314" s="104"/>
      <c r="KHF314" s="104"/>
      <c r="KHG314" s="104"/>
      <c r="KHH314" s="104"/>
      <c r="KHI314" s="104"/>
      <c r="KHJ314" s="104"/>
      <c r="KHK314" s="104"/>
      <c r="KHL314" s="104"/>
      <c r="KHM314" s="104"/>
      <c r="KHN314" s="104"/>
      <c r="KHO314" s="104"/>
      <c r="KHP314" s="104"/>
      <c r="KHQ314" s="104"/>
      <c r="KHR314" s="104"/>
      <c r="KHS314" s="104"/>
      <c r="KHT314" s="104"/>
      <c r="KHU314" s="104"/>
      <c r="KHV314" s="104"/>
      <c r="KHW314" s="104"/>
      <c r="KHX314" s="104"/>
      <c r="KHY314" s="104"/>
      <c r="KHZ314" s="104"/>
      <c r="KIA314" s="104"/>
      <c r="KIB314" s="104"/>
      <c r="KIC314" s="104"/>
      <c r="KID314" s="104"/>
      <c r="KIE314" s="104"/>
      <c r="KIF314" s="104"/>
      <c r="KIG314" s="104"/>
      <c r="KIH314" s="104"/>
      <c r="KII314" s="104"/>
      <c r="KIJ314" s="104"/>
      <c r="KIK314" s="104"/>
      <c r="KIL314" s="104"/>
      <c r="KIM314" s="104"/>
      <c r="KIN314" s="104"/>
      <c r="KIO314" s="104"/>
      <c r="KIP314" s="104"/>
      <c r="KIQ314" s="104"/>
      <c r="KIR314" s="104"/>
      <c r="KIS314" s="104"/>
      <c r="KIT314" s="104"/>
      <c r="KIU314" s="104"/>
      <c r="KIV314" s="104"/>
      <c r="KIW314" s="104"/>
      <c r="KIX314" s="104"/>
      <c r="KIY314" s="104"/>
      <c r="KIZ314" s="104"/>
      <c r="KJA314" s="104"/>
      <c r="KJB314" s="104"/>
      <c r="KJC314" s="104"/>
      <c r="KJD314" s="104"/>
      <c r="KJE314" s="104"/>
      <c r="KJF314" s="104"/>
      <c r="KJG314" s="104"/>
      <c r="KJH314" s="104"/>
      <c r="KJI314" s="104"/>
      <c r="KJJ314" s="104"/>
      <c r="KJK314" s="104"/>
      <c r="KJL314" s="104"/>
      <c r="KJM314" s="104"/>
      <c r="KJN314" s="104"/>
      <c r="KJO314" s="104"/>
      <c r="KJP314" s="104"/>
      <c r="KJQ314" s="104"/>
      <c r="KJR314" s="104"/>
      <c r="KJS314" s="104"/>
      <c r="KJT314" s="104"/>
      <c r="KJU314" s="104"/>
      <c r="KJV314" s="104"/>
      <c r="KJW314" s="104"/>
      <c r="KJX314" s="104"/>
      <c r="KJY314" s="104"/>
      <c r="KJZ314" s="104"/>
      <c r="KKA314" s="104"/>
      <c r="KKB314" s="104"/>
      <c r="KKC314" s="104"/>
      <c r="KKD314" s="104"/>
      <c r="KKE314" s="104"/>
      <c r="KKF314" s="104"/>
      <c r="KKG314" s="104"/>
      <c r="KKH314" s="104"/>
      <c r="KKI314" s="104"/>
      <c r="KKJ314" s="104"/>
      <c r="KKK314" s="104"/>
      <c r="KKL314" s="104"/>
      <c r="KKM314" s="104"/>
      <c r="KKN314" s="104"/>
      <c r="KKO314" s="104"/>
      <c r="KKP314" s="104"/>
      <c r="KKQ314" s="104"/>
      <c r="KKR314" s="104"/>
      <c r="KKS314" s="104"/>
      <c r="KKT314" s="104"/>
      <c r="KKU314" s="104"/>
      <c r="KKV314" s="104"/>
      <c r="KKW314" s="104"/>
      <c r="KKX314" s="104"/>
      <c r="KKY314" s="104"/>
      <c r="KKZ314" s="104"/>
      <c r="KLA314" s="104"/>
      <c r="KLB314" s="104"/>
      <c r="KLC314" s="104"/>
      <c r="KLD314" s="104"/>
      <c r="KLE314" s="104"/>
      <c r="KLF314" s="104"/>
      <c r="KLG314" s="104"/>
      <c r="KLH314" s="104"/>
      <c r="KLI314" s="104"/>
      <c r="KLJ314" s="104"/>
      <c r="KLK314" s="104"/>
      <c r="KLL314" s="104"/>
      <c r="KLM314" s="104"/>
      <c r="KLN314" s="104"/>
      <c r="KLO314" s="104"/>
      <c r="KLP314" s="104"/>
      <c r="KLQ314" s="104"/>
      <c r="KLR314" s="104"/>
      <c r="KLS314" s="104"/>
      <c r="KLT314" s="104"/>
      <c r="KLU314" s="104"/>
      <c r="KLV314" s="104"/>
      <c r="KLW314" s="104"/>
      <c r="KLX314" s="104"/>
      <c r="KLY314" s="104"/>
      <c r="KLZ314" s="104"/>
      <c r="KMA314" s="104"/>
      <c r="KMB314" s="104"/>
      <c r="KMC314" s="104"/>
      <c r="KMD314" s="104"/>
      <c r="KME314" s="104"/>
      <c r="KMF314" s="104"/>
      <c r="KMG314" s="104"/>
      <c r="KMH314" s="104"/>
      <c r="KMI314" s="104"/>
      <c r="KMJ314" s="104"/>
      <c r="KMK314" s="104"/>
      <c r="KML314" s="104"/>
      <c r="KMM314" s="104"/>
      <c r="KMN314" s="104"/>
      <c r="KMO314" s="104"/>
      <c r="KMP314" s="104"/>
      <c r="KMQ314" s="104"/>
      <c r="KMR314" s="104"/>
      <c r="KMS314" s="104"/>
      <c r="KMT314" s="104"/>
      <c r="KMU314" s="104"/>
      <c r="KMV314" s="104"/>
      <c r="KMW314" s="104"/>
      <c r="KMX314" s="104"/>
      <c r="KMY314" s="104"/>
      <c r="KMZ314" s="104"/>
      <c r="KNA314" s="104"/>
      <c r="KNB314" s="104"/>
      <c r="KNC314" s="104"/>
      <c r="KND314" s="104"/>
      <c r="KNE314" s="104"/>
      <c r="KNF314" s="104"/>
      <c r="KNG314" s="104"/>
      <c r="KNH314" s="104"/>
      <c r="KNI314" s="104"/>
      <c r="KNJ314" s="104"/>
      <c r="KNK314" s="104"/>
      <c r="KNL314" s="104"/>
      <c r="KNM314" s="104"/>
      <c r="KNN314" s="104"/>
      <c r="KNO314" s="104"/>
      <c r="KNP314" s="104"/>
      <c r="KNQ314" s="104"/>
      <c r="KNR314" s="104"/>
      <c r="KNS314" s="104"/>
      <c r="KNT314" s="104"/>
      <c r="KNU314" s="104"/>
      <c r="KNV314" s="104"/>
      <c r="KNW314" s="104"/>
      <c r="KNX314" s="104"/>
      <c r="KNY314" s="104"/>
      <c r="KNZ314" s="104"/>
      <c r="KOA314" s="104"/>
      <c r="KOB314" s="104"/>
      <c r="KOC314" s="104"/>
      <c r="KOD314" s="104"/>
      <c r="KOE314" s="104"/>
      <c r="KOF314" s="104"/>
      <c r="KOG314" s="104"/>
      <c r="KOH314" s="104"/>
      <c r="KOI314" s="104"/>
      <c r="KOJ314" s="104"/>
      <c r="KOK314" s="104"/>
      <c r="KOL314" s="104"/>
      <c r="KOM314" s="104"/>
      <c r="KON314" s="104"/>
      <c r="KOO314" s="104"/>
      <c r="KOP314" s="104"/>
      <c r="KOQ314" s="104"/>
      <c r="KOR314" s="104"/>
      <c r="KOS314" s="104"/>
      <c r="KOT314" s="104"/>
      <c r="KOU314" s="104"/>
      <c r="KOV314" s="104"/>
      <c r="KOW314" s="104"/>
      <c r="KOX314" s="104"/>
      <c r="KOY314" s="104"/>
      <c r="KOZ314" s="104"/>
      <c r="KPA314" s="104"/>
      <c r="KPB314" s="104"/>
      <c r="KPC314" s="104"/>
      <c r="KPD314" s="104"/>
      <c r="KPE314" s="104"/>
      <c r="KPF314" s="104"/>
      <c r="KPG314" s="104"/>
      <c r="KPH314" s="104"/>
      <c r="KPI314" s="104"/>
      <c r="KPJ314" s="104"/>
      <c r="KPK314" s="104"/>
      <c r="KPL314" s="104"/>
      <c r="KPM314" s="104"/>
      <c r="KPN314" s="104"/>
      <c r="KPO314" s="104"/>
      <c r="KPP314" s="104"/>
      <c r="KPQ314" s="104"/>
      <c r="KPR314" s="104"/>
      <c r="KPS314" s="104"/>
      <c r="KPT314" s="104"/>
      <c r="KPU314" s="104"/>
      <c r="KPV314" s="104"/>
      <c r="KPW314" s="104"/>
      <c r="KPX314" s="104"/>
      <c r="KPY314" s="104"/>
      <c r="KPZ314" s="104"/>
      <c r="KQA314" s="104"/>
      <c r="KQB314" s="104"/>
      <c r="KQC314" s="104"/>
      <c r="KQD314" s="104"/>
      <c r="KQE314" s="104"/>
      <c r="KQF314" s="104"/>
      <c r="KQG314" s="104"/>
      <c r="KQH314" s="104"/>
      <c r="KQI314" s="104"/>
      <c r="KQJ314" s="104"/>
      <c r="KQK314" s="104"/>
      <c r="KQL314" s="104"/>
      <c r="KQM314" s="104"/>
      <c r="KQN314" s="104"/>
      <c r="KQO314" s="104"/>
      <c r="KQP314" s="104"/>
      <c r="KQQ314" s="104"/>
      <c r="KQR314" s="104"/>
      <c r="KQS314" s="104"/>
      <c r="KQT314" s="104"/>
      <c r="KQU314" s="104"/>
      <c r="KQV314" s="104"/>
      <c r="KQW314" s="104"/>
      <c r="KQX314" s="104"/>
      <c r="KQY314" s="104"/>
      <c r="KQZ314" s="104"/>
      <c r="KRA314" s="104"/>
      <c r="KRB314" s="104"/>
      <c r="KRC314" s="104"/>
      <c r="KRD314" s="104"/>
      <c r="KRE314" s="104"/>
      <c r="KRF314" s="104"/>
      <c r="KRG314" s="104"/>
      <c r="KRH314" s="104"/>
      <c r="KRI314" s="104"/>
      <c r="KRJ314" s="104"/>
      <c r="KRK314" s="104"/>
      <c r="KRL314" s="104"/>
      <c r="KRM314" s="104"/>
      <c r="KRN314" s="104"/>
      <c r="KRO314" s="104"/>
      <c r="KRP314" s="104"/>
      <c r="KRQ314" s="104"/>
      <c r="KRR314" s="104"/>
      <c r="KRS314" s="104"/>
      <c r="KRT314" s="104"/>
      <c r="KRU314" s="104"/>
      <c r="KRV314" s="104"/>
      <c r="KRW314" s="104"/>
      <c r="KRX314" s="104"/>
      <c r="KRY314" s="104"/>
      <c r="KRZ314" s="104"/>
      <c r="KSA314" s="104"/>
      <c r="KSB314" s="104"/>
      <c r="KSC314" s="104"/>
      <c r="KSD314" s="104"/>
      <c r="KSE314" s="104"/>
      <c r="KSF314" s="104"/>
      <c r="KSG314" s="104"/>
      <c r="KSH314" s="104"/>
      <c r="KSI314" s="104"/>
      <c r="KSJ314" s="104"/>
      <c r="KSK314" s="104"/>
      <c r="KSL314" s="104"/>
      <c r="KSM314" s="104"/>
      <c r="KSN314" s="104"/>
      <c r="KSO314" s="104"/>
      <c r="KSP314" s="104"/>
      <c r="KSQ314" s="104"/>
      <c r="KSR314" s="104"/>
      <c r="KSS314" s="104"/>
      <c r="KST314" s="104"/>
      <c r="KSU314" s="104"/>
      <c r="KSV314" s="104"/>
      <c r="KSW314" s="104"/>
      <c r="KSX314" s="104"/>
      <c r="KSY314" s="104"/>
      <c r="KSZ314" s="104"/>
      <c r="KTA314" s="104"/>
      <c r="KTB314" s="104"/>
      <c r="KTC314" s="104"/>
      <c r="KTD314" s="104"/>
      <c r="KTE314" s="104"/>
      <c r="KTF314" s="104"/>
      <c r="KTG314" s="104"/>
      <c r="KTH314" s="104"/>
      <c r="KTI314" s="104"/>
      <c r="KTJ314" s="104"/>
      <c r="KTK314" s="104"/>
      <c r="KTL314" s="104"/>
      <c r="KTM314" s="104"/>
      <c r="KTN314" s="104"/>
      <c r="KTO314" s="104"/>
      <c r="KTP314" s="104"/>
      <c r="KTQ314" s="104"/>
      <c r="KTR314" s="104"/>
      <c r="KTS314" s="104"/>
      <c r="KTT314" s="104"/>
      <c r="KTU314" s="104"/>
      <c r="KTV314" s="104"/>
      <c r="KTW314" s="104"/>
      <c r="KTX314" s="104"/>
      <c r="KTY314" s="104"/>
      <c r="KTZ314" s="104"/>
      <c r="KUA314" s="104"/>
      <c r="KUB314" s="104"/>
      <c r="KUC314" s="104"/>
      <c r="KUD314" s="104"/>
      <c r="KUE314" s="104"/>
      <c r="KUF314" s="104"/>
      <c r="KUG314" s="104"/>
      <c r="KUH314" s="104"/>
      <c r="KUI314" s="104"/>
      <c r="KUJ314" s="104"/>
      <c r="KUK314" s="104"/>
      <c r="KUL314" s="104"/>
      <c r="KUM314" s="104"/>
      <c r="KUN314" s="104"/>
      <c r="KUO314" s="104"/>
      <c r="KUP314" s="104"/>
      <c r="KUQ314" s="104"/>
      <c r="KUR314" s="104"/>
      <c r="KUS314" s="104"/>
      <c r="KUT314" s="104"/>
      <c r="KUU314" s="104"/>
      <c r="KUV314" s="104"/>
      <c r="KUW314" s="104"/>
      <c r="KUX314" s="104"/>
      <c r="KUY314" s="104"/>
      <c r="KUZ314" s="104"/>
      <c r="KVA314" s="104"/>
      <c r="KVB314" s="104"/>
      <c r="KVC314" s="104"/>
      <c r="KVD314" s="104"/>
      <c r="KVE314" s="104"/>
      <c r="KVF314" s="104"/>
      <c r="KVG314" s="104"/>
      <c r="KVH314" s="104"/>
      <c r="KVI314" s="104"/>
      <c r="KVJ314" s="104"/>
      <c r="KVK314" s="104"/>
      <c r="KVL314" s="104"/>
      <c r="KVM314" s="104"/>
      <c r="KVN314" s="104"/>
      <c r="KVO314" s="104"/>
      <c r="KVP314" s="104"/>
      <c r="KVQ314" s="104"/>
      <c r="KVR314" s="104"/>
      <c r="KVS314" s="104"/>
      <c r="KVT314" s="104"/>
      <c r="KVU314" s="104"/>
      <c r="KVV314" s="104"/>
      <c r="KVW314" s="104"/>
      <c r="KVX314" s="104"/>
      <c r="KVY314" s="104"/>
      <c r="KVZ314" s="104"/>
      <c r="KWA314" s="104"/>
      <c r="KWB314" s="104"/>
      <c r="KWC314" s="104"/>
      <c r="KWD314" s="104"/>
      <c r="KWE314" s="104"/>
      <c r="KWF314" s="104"/>
      <c r="KWG314" s="104"/>
      <c r="KWH314" s="104"/>
      <c r="KWI314" s="104"/>
      <c r="KWJ314" s="104"/>
      <c r="KWK314" s="104"/>
      <c r="KWL314" s="104"/>
      <c r="KWM314" s="104"/>
      <c r="KWN314" s="104"/>
      <c r="KWO314" s="104"/>
      <c r="KWP314" s="104"/>
      <c r="KWQ314" s="104"/>
      <c r="KWR314" s="104"/>
      <c r="KWS314" s="104"/>
      <c r="KWT314" s="104"/>
      <c r="KWU314" s="104"/>
      <c r="KWV314" s="104"/>
      <c r="KWW314" s="104"/>
      <c r="KWX314" s="104"/>
      <c r="KWY314" s="104"/>
      <c r="KWZ314" s="104"/>
      <c r="KXA314" s="104"/>
      <c r="KXB314" s="104"/>
      <c r="KXC314" s="104"/>
      <c r="KXD314" s="104"/>
      <c r="KXE314" s="104"/>
      <c r="KXF314" s="104"/>
      <c r="KXG314" s="104"/>
      <c r="KXH314" s="104"/>
      <c r="KXI314" s="104"/>
      <c r="KXJ314" s="104"/>
      <c r="KXK314" s="104"/>
      <c r="KXL314" s="104"/>
      <c r="KXM314" s="104"/>
      <c r="KXN314" s="104"/>
      <c r="KXO314" s="104"/>
      <c r="KXP314" s="104"/>
      <c r="KXQ314" s="104"/>
      <c r="KXR314" s="104"/>
      <c r="KXS314" s="104"/>
      <c r="KXT314" s="104"/>
      <c r="KXU314" s="104"/>
      <c r="KXV314" s="104"/>
      <c r="KXW314" s="104"/>
      <c r="KXX314" s="104"/>
      <c r="KXY314" s="104"/>
      <c r="KXZ314" s="104"/>
      <c r="KYA314" s="104"/>
      <c r="KYB314" s="104"/>
      <c r="KYC314" s="104"/>
      <c r="KYD314" s="104"/>
      <c r="KYE314" s="104"/>
      <c r="KYF314" s="104"/>
      <c r="KYG314" s="104"/>
      <c r="KYH314" s="104"/>
      <c r="KYI314" s="104"/>
      <c r="KYJ314" s="104"/>
      <c r="KYK314" s="104"/>
      <c r="KYL314" s="104"/>
      <c r="KYM314" s="104"/>
      <c r="KYN314" s="104"/>
      <c r="KYO314" s="104"/>
      <c r="KYP314" s="104"/>
      <c r="KYQ314" s="104"/>
      <c r="KYR314" s="104"/>
      <c r="KYS314" s="104"/>
      <c r="KYT314" s="104"/>
      <c r="KYU314" s="104"/>
      <c r="KYV314" s="104"/>
      <c r="KYW314" s="104"/>
      <c r="KYX314" s="104"/>
      <c r="KYY314" s="104"/>
      <c r="KYZ314" s="104"/>
      <c r="KZA314" s="104"/>
      <c r="KZB314" s="104"/>
      <c r="KZC314" s="104"/>
      <c r="KZD314" s="104"/>
      <c r="KZE314" s="104"/>
      <c r="KZF314" s="104"/>
      <c r="KZG314" s="104"/>
      <c r="KZH314" s="104"/>
      <c r="KZI314" s="104"/>
      <c r="KZJ314" s="104"/>
      <c r="KZK314" s="104"/>
      <c r="KZL314" s="104"/>
      <c r="KZM314" s="104"/>
      <c r="KZN314" s="104"/>
      <c r="KZO314" s="104"/>
      <c r="KZP314" s="104"/>
      <c r="KZQ314" s="104"/>
      <c r="KZR314" s="104"/>
      <c r="KZS314" s="104"/>
      <c r="KZT314" s="104"/>
      <c r="KZU314" s="104"/>
      <c r="KZV314" s="104"/>
      <c r="KZW314" s="104"/>
      <c r="KZX314" s="104"/>
      <c r="KZY314" s="104"/>
      <c r="KZZ314" s="104"/>
      <c r="LAA314" s="104"/>
      <c r="LAB314" s="104"/>
      <c r="LAC314" s="104"/>
      <c r="LAD314" s="104"/>
      <c r="LAE314" s="104"/>
      <c r="LAF314" s="104"/>
      <c r="LAG314" s="104"/>
      <c r="LAH314" s="104"/>
      <c r="LAI314" s="104"/>
      <c r="LAJ314" s="104"/>
      <c r="LAK314" s="104"/>
      <c r="LAL314" s="104"/>
      <c r="LAM314" s="104"/>
      <c r="LAN314" s="104"/>
      <c r="LAO314" s="104"/>
      <c r="LAP314" s="104"/>
      <c r="LAQ314" s="104"/>
      <c r="LAR314" s="104"/>
      <c r="LAS314" s="104"/>
      <c r="LAT314" s="104"/>
      <c r="LAU314" s="104"/>
      <c r="LAV314" s="104"/>
      <c r="LAW314" s="104"/>
      <c r="LAX314" s="104"/>
      <c r="LAY314" s="104"/>
      <c r="LAZ314" s="104"/>
      <c r="LBA314" s="104"/>
      <c r="LBB314" s="104"/>
      <c r="LBC314" s="104"/>
      <c r="LBD314" s="104"/>
      <c r="LBE314" s="104"/>
      <c r="LBF314" s="104"/>
      <c r="LBG314" s="104"/>
      <c r="LBH314" s="104"/>
      <c r="LBI314" s="104"/>
      <c r="LBJ314" s="104"/>
      <c r="LBK314" s="104"/>
      <c r="LBL314" s="104"/>
      <c r="LBM314" s="104"/>
      <c r="LBN314" s="104"/>
      <c r="LBO314" s="104"/>
      <c r="LBP314" s="104"/>
      <c r="LBQ314" s="104"/>
      <c r="LBR314" s="104"/>
      <c r="LBS314" s="104"/>
      <c r="LBT314" s="104"/>
      <c r="LBU314" s="104"/>
      <c r="LBV314" s="104"/>
      <c r="LBW314" s="104"/>
      <c r="LBX314" s="104"/>
      <c r="LBY314" s="104"/>
      <c r="LBZ314" s="104"/>
      <c r="LCA314" s="104"/>
      <c r="LCB314" s="104"/>
      <c r="LCC314" s="104"/>
      <c r="LCD314" s="104"/>
      <c r="LCE314" s="104"/>
      <c r="LCF314" s="104"/>
      <c r="LCG314" s="104"/>
      <c r="LCH314" s="104"/>
      <c r="LCI314" s="104"/>
      <c r="LCJ314" s="104"/>
      <c r="LCK314" s="104"/>
      <c r="LCL314" s="104"/>
      <c r="LCM314" s="104"/>
      <c r="LCN314" s="104"/>
      <c r="LCO314" s="104"/>
      <c r="LCP314" s="104"/>
      <c r="LCQ314" s="104"/>
      <c r="LCR314" s="104"/>
      <c r="LCS314" s="104"/>
      <c r="LCT314" s="104"/>
      <c r="LCU314" s="104"/>
      <c r="LCV314" s="104"/>
      <c r="LCW314" s="104"/>
      <c r="LCX314" s="104"/>
      <c r="LCY314" s="104"/>
      <c r="LCZ314" s="104"/>
      <c r="LDA314" s="104"/>
      <c r="LDB314" s="104"/>
      <c r="LDC314" s="104"/>
      <c r="LDD314" s="104"/>
      <c r="LDE314" s="104"/>
      <c r="LDF314" s="104"/>
      <c r="LDG314" s="104"/>
      <c r="LDH314" s="104"/>
      <c r="LDI314" s="104"/>
      <c r="LDJ314" s="104"/>
      <c r="LDK314" s="104"/>
      <c r="LDL314" s="104"/>
      <c r="LDM314" s="104"/>
      <c r="LDN314" s="104"/>
      <c r="LDO314" s="104"/>
      <c r="LDP314" s="104"/>
      <c r="LDQ314" s="104"/>
      <c r="LDR314" s="104"/>
      <c r="LDS314" s="104"/>
      <c r="LDT314" s="104"/>
      <c r="LDU314" s="104"/>
      <c r="LDV314" s="104"/>
      <c r="LDW314" s="104"/>
      <c r="LDX314" s="104"/>
      <c r="LDY314" s="104"/>
      <c r="LDZ314" s="104"/>
      <c r="LEA314" s="104"/>
      <c r="LEB314" s="104"/>
      <c r="LEC314" s="104"/>
      <c r="LED314" s="104"/>
      <c r="LEE314" s="104"/>
      <c r="LEF314" s="104"/>
      <c r="LEG314" s="104"/>
      <c r="LEH314" s="104"/>
      <c r="LEI314" s="104"/>
      <c r="LEJ314" s="104"/>
      <c r="LEK314" s="104"/>
      <c r="LEL314" s="104"/>
      <c r="LEM314" s="104"/>
      <c r="LEN314" s="104"/>
      <c r="LEO314" s="104"/>
      <c r="LEP314" s="104"/>
      <c r="LEQ314" s="104"/>
      <c r="LER314" s="104"/>
      <c r="LES314" s="104"/>
      <c r="LET314" s="104"/>
      <c r="LEU314" s="104"/>
      <c r="LEV314" s="104"/>
      <c r="LEW314" s="104"/>
      <c r="LEX314" s="104"/>
      <c r="LEY314" s="104"/>
      <c r="LEZ314" s="104"/>
      <c r="LFA314" s="104"/>
      <c r="LFB314" s="104"/>
      <c r="LFC314" s="104"/>
      <c r="LFD314" s="104"/>
      <c r="LFE314" s="104"/>
      <c r="LFF314" s="104"/>
      <c r="LFG314" s="104"/>
      <c r="LFH314" s="104"/>
      <c r="LFI314" s="104"/>
      <c r="LFJ314" s="104"/>
      <c r="LFK314" s="104"/>
      <c r="LFL314" s="104"/>
      <c r="LFM314" s="104"/>
      <c r="LFN314" s="104"/>
      <c r="LFO314" s="104"/>
      <c r="LFP314" s="104"/>
      <c r="LFQ314" s="104"/>
      <c r="LFR314" s="104"/>
      <c r="LFS314" s="104"/>
      <c r="LFT314" s="104"/>
      <c r="LFU314" s="104"/>
      <c r="LFV314" s="104"/>
      <c r="LFW314" s="104"/>
      <c r="LFX314" s="104"/>
      <c r="LFY314" s="104"/>
      <c r="LFZ314" s="104"/>
      <c r="LGA314" s="104"/>
      <c r="LGB314" s="104"/>
      <c r="LGC314" s="104"/>
      <c r="LGD314" s="104"/>
      <c r="LGE314" s="104"/>
      <c r="LGF314" s="104"/>
      <c r="LGG314" s="104"/>
      <c r="LGH314" s="104"/>
      <c r="LGI314" s="104"/>
      <c r="LGJ314" s="104"/>
      <c r="LGK314" s="104"/>
      <c r="LGL314" s="104"/>
      <c r="LGM314" s="104"/>
      <c r="LGN314" s="104"/>
      <c r="LGO314" s="104"/>
      <c r="LGP314" s="104"/>
      <c r="LGQ314" s="104"/>
      <c r="LGR314" s="104"/>
      <c r="LGS314" s="104"/>
      <c r="LGT314" s="104"/>
      <c r="LGU314" s="104"/>
      <c r="LGV314" s="104"/>
      <c r="LGW314" s="104"/>
      <c r="LGX314" s="104"/>
      <c r="LGY314" s="104"/>
      <c r="LGZ314" s="104"/>
      <c r="LHA314" s="104"/>
      <c r="LHB314" s="104"/>
      <c r="LHC314" s="104"/>
      <c r="LHD314" s="104"/>
      <c r="LHE314" s="104"/>
      <c r="LHF314" s="104"/>
      <c r="LHG314" s="104"/>
      <c r="LHH314" s="104"/>
      <c r="LHI314" s="104"/>
      <c r="LHJ314" s="104"/>
      <c r="LHK314" s="104"/>
      <c r="LHL314" s="104"/>
      <c r="LHM314" s="104"/>
      <c r="LHN314" s="104"/>
      <c r="LHO314" s="104"/>
      <c r="LHP314" s="104"/>
      <c r="LHQ314" s="104"/>
      <c r="LHR314" s="104"/>
      <c r="LHS314" s="104"/>
      <c r="LHT314" s="104"/>
      <c r="LHU314" s="104"/>
      <c r="LHV314" s="104"/>
      <c r="LHW314" s="104"/>
      <c r="LHX314" s="104"/>
      <c r="LHY314" s="104"/>
      <c r="LHZ314" s="104"/>
      <c r="LIA314" s="104"/>
      <c r="LIB314" s="104"/>
      <c r="LIC314" s="104"/>
      <c r="LID314" s="104"/>
      <c r="LIE314" s="104"/>
      <c r="LIF314" s="104"/>
      <c r="LIG314" s="104"/>
      <c r="LIH314" s="104"/>
      <c r="LII314" s="104"/>
      <c r="LIJ314" s="104"/>
      <c r="LIK314" s="104"/>
      <c r="LIL314" s="104"/>
      <c r="LIM314" s="104"/>
      <c r="LIN314" s="104"/>
      <c r="LIO314" s="104"/>
      <c r="LIP314" s="104"/>
      <c r="LIQ314" s="104"/>
      <c r="LIR314" s="104"/>
      <c r="LIS314" s="104"/>
      <c r="LIT314" s="104"/>
      <c r="LIU314" s="104"/>
      <c r="LIV314" s="104"/>
      <c r="LIW314" s="104"/>
      <c r="LIX314" s="104"/>
      <c r="LIY314" s="104"/>
      <c r="LIZ314" s="104"/>
      <c r="LJA314" s="104"/>
      <c r="LJB314" s="104"/>
      <c r="LJC314" s="104"/>
      <c r="LJD314" s="104"/>
      <c r="LJE314" s="104"/>
      <c r="LJF314" s="104"/>
      <c r="LJG314" s="104"/>
      <c r="LJH314" s="104"/>
      <c r="LJI314" s="104"/>
      <c r="LJJ314" s="104"/>
      <c r="LJK314" s="104"/>
      <c r="LJL314" s="104"/>
      <c r="LJM314" s="104"/>
      <c r="LJN314" s="104"/>
      <c r="LJO314" s="104"/>
      <c r="LJP314" s="104"/>
      <c r="LJQ314" s="104"/>
      <c r="LJR314" s="104"/>
      <c r="LJS314" s="104"/>
      <c r="LJT314" s="104"/>
      <c r="LJU314" s="104"/>
      <c r="LJV314" s="104"/>
      <c r="LJW314" s="104"/>
      <c r="LJX314" s="104"/>
      <c r="LJY314" s="104"/>
      <c r="LJZ314" s="104"/>
      <c r="LKA314" s="104"/>
      <c r="LKB314" s="104"/>
      <c r="LKC314" s="104"/>
      <c r="LKD314" s="104"/>
      <c r="LKE314" s="104"/>
      <c r="LKF314" s="104"/>
      <c r="LKG314" s="104"/>
      <c r="LKH314" s="104"/>
      <c r="LKI314" s="104"/>
      <c r="LKJ314" s="104"/>
      <c r="LKK314" s="104"/>
      <c r="LKL314" s="104"/>
      <c r="LKM314" s="104"/>
      <c r="LKN314" s="104"/>
      <c r="LKO314" s="104"/>
      <c r="LKP314" s="104"/>
      <c r="LKQ314" s="104"/>
      <c r="LKR314" s="104"/>
      <c r="LKS314" s="104"/>
      <c r="LKT314" s="104"/>
      <c r="LKU314" s="104"/>
      <c r="LKV314" s="104"/>
      <c r="LKW314" s="104"/>
      <c r="LKX314" s="104"/>
      <c r="LKY314" s="104"/>
      <c r="LKZ314" s="104"/>
      <c r="LLA314" s="104"/>
      <c r="LLB314" s="104"/>
      <c r="LLC314" s="104"/>
      <c r="LLD314" s="104"/>
      <c r="LLE314" s="104"/>
      <c r="LLF314" s="104"/>
      <c r="LLG314" s="104"/>
      <c r="LLH314" s="104"/>
      <c r="LLI314" s="104"/>
      <c r="LLJ314" s="104"/>
      <c r="LLK314" s="104"/>
      <c r="LLL314" s="104"/>
      <c r="LLM314" s="104"/>
      <c r="LLN314" s="104"/>
      <c r="LLO314" s="104"/>
      <c r="LLP314" s="104"/>
      <c r="LLQ314" s="104"/>
      <c r="LLR314" s="104"/>
      <c r="LLS314" s="104"/>
      <c r="LLT314" s="104"/>
      <c r="LLU314" s="104"/>
      <c r="LLV314" s="104"/>
      <c r="LLW314" s="104"/>
      <c r="LLX314" s="104"/>
      <c r="LLY314" s="104"/>
      <c r="LLZ314" s="104"/>
      <c r="LMA314" s="104"/>
      <c r="LMB314" s="104"/>
      <c r="LMC314" s="104"/>
      <c r="LMD314" s="104"/>
      <c r="LME314" s="104"/>
      <c r="LMF314" s="104"/>
      <c r="LMG314" s="104"/>
      <c r="LMH314" s="104"/>
      <c r="LMI314" s="104"/>
      <c r="LMJ314" s="104"/>
      <c r="LMK314" s="104"/>
      <c r="LML314" s="104"/>
      <c r="LMM314" s="104"/>
      <c r="LMN314" s="104"/>
      <c r="LMO314" s="104"/>
      <c r="LMP314" s="104"/>
      <c r="LMQ314" s="104"/>
      <c r="LMR314" s="104"/>
      <c r="LMS314" s="104"/>
      <c r="LMT314" s="104"/>
      <c r="LMU314" s="104"/>
      <c r="LMV314" s="104"/>
      <c r="LMW314" s="104"/>
      <c r="LMX314" s="104"/>
      <c r="LMY314" s="104"/>
      <c r="LMZ314" s="104"/>
      <c r="LNA314" s="104"/>
      <c r="LNB314" s="104"/>
      <c r="LNC314" s="104"/>
      <c r="LND314" s="104"/>
      <c r="LNE314" s="104"/>
      <c r="LNF314" s="104"/>
      <c r="LNG314" s="104"/>
      <c r="LNH314" s="104"/>
      <c r="LNI314" s="104"/>
      <c r="LNJ314" s="104"/>
      <c r="LNK314" s="104"/>
      <c r="LNL314" s="104"/>
      <c r="LNM314" s="104"/>
      <c r="LNN314" s="104"/>
      <c r="LNO314" s="104"/>
      <c r="LNP314" s="104"/>
      <c r="LNQ314" s="104"/>
      <c r="LNR314" s="104"/>
      <c r="LNS314" s="104"/>
      <c r="LNT314" s="104"/>
      <c r="LNU314" s="104"/>
      <c r="LNV314" s="104"/>
      <c r="LNW314" s="104"/>
      <c r="LNX314" s="104"/>
      <c r="LNY314" s="104"/>
      <c r="LNZ314" s="104"/>
      <c r="LOA314" s="104"/>
      <c r="LOB314" s="104"/>
      <c r="LOC314" s="104"/>
      <c r="LOD314" s="104"/>
      <c r="LOE314" s="104"/>
      <c r="LOF314" s="104"/>
      <c r="LOG314" s="104"/>
      <c r="LOH314" s="104"/>
      <c r="LOI314" s="104"/>
      <c r="LOJ314" s="104"/>
      <c r="LOK314" s="104"/>
      <c r="LOL314" s="104"/>
      <c r="LOM314" s="104"/>
      <c r="LON314" s="104"/>
      <c r="LOO314" s="104"/>
      <c r="LOP314" s="104"/>
      <c r="LOQ314" s="104"/>
      <c r="LOR314" s="104"/>
      <c r="LOS314" s="104"/>
      <c r="LOT314" s="104"/>
      <c r="LOU314" s="104"/>
      <c r="LOV314" s="104"/>
      <c r="LOW314" s="104"/>
      <c r="LOX314" s="104"/>
      <c r="LOY314" s="104"/>
      <c r="LOZ314" s="104"/>
      <c r="LPA314" s="104"/>
      <c r="LPB314" s="104"/>
      <c r="LPC314" s="104"/>
      <c r="LPD314" s="104"/>
      <c r="LPE314" s="104"/>
      <c r="LPF314" s="104"/>
      <c r="LPG314" s="104"/>
      <c r="LPH314" s="104"/>
      <c r="LPI314" s="104"/>
      <c r="LPJ314" s="104"/>
      <c r="LPK314" s="104"/>
      <c r="LPL314" s="104"/>
      <c r="LPM314" s="104"/>
      <c r="LPN314" s="104"/>
      <c r="LPO314" s="104"/>
      <c r="LPP314" s="104"/>
      <c r="LPQ314" s="104"/>
      <c r="LPR314" s="104"/>
      <c r="LPS314" s="104"/>
      <c r="LPT314" s="104"/>
      <c r="LPU314" s="104"/>
      <c r="LPV314" s="104"/>
      <c r="LPW314" s="104"/>
      <c r="LPX314" s="104"/>
      <c r="LPY314" s="104"/>
      <c r="LPZ314" s="104"/>
      <c r="LQA314" s="104"/>
      <c r="LQB314" s="104"/>
      <c r="LQC314" s="104"/>
      <c r="LQD314" s="104"/>
      <c r="LQE314" s="104"/>
      <c r="LQF314" s="104"/>
      <c r="LQG314" s="104"/>
      <c r="LQH314" s="104"/>
      <c r="LQI314" s="104"/>
      <c r="LQJ314" s="104"/>
      <c r="LQK314" s="104"/>
      <c r="LQL314" s="104"/>
      <c r="LQM314" s="104"/>
      <c r="LQN314" s="104"/>
      <c r="LQO314" s="104"/>
      <c r="LQP314" s="104"/>
      <c r="LQQ314" s="104"/>
      <c r="LQR314" s="104"/>
      <c r="LQS314" s="104"/>
      <c r="LQT314" s="104"/>
      <c r="LQU314" s="104"/>
      <c r="LQV314" s="104"/>
      <c r="LQW314" s="104"/>
      <c r="LQX314" s="104"/>
      <c r="LQY314" s="104"/>
      <c r="LQZ314" s="104"/>
      <c r="LRA314" s="104"/>
      <c r="LRB314" s="104"/>
      <c r="LRC314" s="104"/>
      <c r="LRD314" s="104"/>
      <c r="LRE314" s="104"/>
      <c r="LRF314" s="104"/>
      <c r="LRG314" s="104"/>
      <c r="LRH314" s="104"/>
      <c r="LRI314" s="104"/>
      <c r="LRJ314" s="104"/>
      <c r="LRK314" s="104"/>
      <c r="LRL314" s="104"/>
      <c r="LRM314" s="104"/>
      <c r="LRN314" s="104"/>
      <c r="LRO314" s="104"/>
      <c r="LRP314" s="104"/>
      <c r="LRQ314" s="104"/>
      <c r="LRR314" s="104"/>
      <c r="LRS314" s="104"/>
      <c r="LRT314" s="104"/>
      <c r="LRU314" s="104"/>
      <c r="LRV314" s="104"/>
      <c r="LRW314" s="104"/>
      <c r="LRX314" s="104"/>
      <c r="LRY314" s="104"/>
      <c r="LRZ314" s="104"/>
      <c r="LSA314" s="104"/>
      <c r="LSB314" s="104"/>
      <c r="LSC314" s="104"/>
      <c r="LSD314" s="104"/>
      <c r="LSE314" s="104"/>
      <c r="LSF314" s="104"/>
      <c r="LSG314" s="104"/>
      <c r="LSH314" s="104"/>
      <c r="LSI314" s="104"/>
      <c r="LSJ314" s="104"/>
      <c r="LSK314" s="104"/>
      <c r="LSL314" s="104"/>
      <c r="LSM314" s="104"/>
      <c r="LSN314" s="104"/>
      <c r="LSO314" s="104"/>
      <c r="LSP314" s="104"/>
      <c r="LSQ314" s="104"/>
      <c r="LSR314" s="104"/>
      <c r="LSS314" s="104"/>
      <c r="LST314" s="104"/>
      <c r="LSU314" s="104"/>
      <c r="LSV314" s="104"/>
      <c r="LSW314" s="104"/>
      <c r="LSX314" s="104"/>
      <c r="LSY314" s="104"/>
      <c r="LSZ314" s="104"/>
      <c r="LTA314" s="104"/>
      <c r="LTB314" s="104"/>
      <c r="LTC314" s="104"/>
      <c r="LTD314" s="104"/>
      <c r="LTE314" s="104"/>
      <c r="LTF314" s="104"/>
      <c r="LTG314" s="104"/>
      <c r="LTH314" s="104"/>
      <c r="LTI314" s="104"/>
      <c r="LTJ314" s="104"/>
      <c r="LTK314" s="104"/>
      <c r="LTL314" s="104"/>
      <c r="LTM314" s="104"/>
      <c r="LTN314" s="104"/>
      <c r="LTO314" s="104"/>
      <c r="LTP314" s="104"/>
      <c r="LTQ314" s="104"/>
      <c r="LTR314" s="104"/>
      <c r="LTS314" s="104"/>
      <c r="LTT314" s="104"/>
      <c r="LTU314" s="104"/>
      <c r="LTV314" s="104"/>
      <c r="LTW314" s="104"/>
      <c r="LTX314" s="104"/>
      <c r="LTY314" s="104"/>
      <c r="LTZ314" s="104"/>
      <c r="LUA314" s="104"/>
      <c r="LUB314" s="104"/>
      <c r="LUC314" s="104"/>
      <c r="LUD314" s="104"/>
      <c r="LUE314" s="104"/>
      <c r="LUF314" s="104"/>
      <c r="LUG314" s="104"/>
      <c r="LUH314" s="104"/>
      <c r="LUI314" s="104"/>
      <c r="LUJ314" s="104"/>
      <c r="LUK314" s="104"/>
      <c r="LUL314" s="104"/>
      <c r="LUM314" s="104"/>
      <c r="LUN314" s="104"/>
      <c r="LUO314" s="104"/>
      <c r="LUP314" s="104"/>
      <c r="LUQ314" s="104"/>
      <c r="LUR314" s="104"/>
      <c r="LUS314" s="104"/>
      <c r="LUT314" s="104"/>
      <c r="LUU314" s="104"/>
      <c r="LUV314" s="104"/>
      <c r="LUW314" s="104"/>
      <c r="LUX314" s="104"/>
      <c r="LUY314" s="104"/>
      <c r="LUZ314" s="104"/>
      <c r="LVA314" s="104"/>
      <c r="LVB314" s="104"/>
      <c r="LVC314" s="104"/>
      <c r="LVD314" s="104"/>
      <c r="LVE314" s="104"/>
      <c r="LVF314" s="104"/>
      <c r="LVG314" s="104"/>
      <c r="LVH314" s="104"/>
      <c r="LVI314" s="104"/>
      <c r="LVJ314" s="104"/>
      <c r="LVK314" s="104"/>
      <c r="LVL314" s="104"/>
      <c r="LVM314" s="104"/>
      <c r="LVN314" s="104"/>
      <c r="LVO314" s="104"/>
      <c r="LVP314" s="104"/>
      <c r="LVQ314" s="104"/>
      <c r="LVR314" s="104"/>
      <c r="LVS314" s="104"/>
      <c r="LVT314" s="104"/>
      <c r="LVU314" s="104"/>
      <c r="LVV314" s="104"/>
      <c r="LVW314" s="104"/>
      <c r="LVX314" s="104"/>
      <c r="LVY314" s="104"/>
      <c r="LVZ314" s="104"/>
      <c r="LWA314" s="104"/>
      <c r="LWB314" s="104"/>
      <c r="LWC314" s="104"/>
      <c r="LWD314" s="104"/>
      <c r="LWE314" s="104"/>
      <c r="LWF314" s="104"/>
      <c r="LWG314" s="104"/>
      <c r="LWH314" s="104"/>
      <c r="LWI314" s="104"/>
      <c r="LWJ314" s="104"/>
      <c r="LWK314" s="104"/>
      <c r="LWL314" s="104"/>
      <c r="LWM314" s="104"/>
      <c r="LWN314" s="104"/>
      <c r="LWO314" s="104"/>
      <c r="LWP314" s="104"/>
      <c r="LWQ314" s="104"/>
      <c r="LWR314" s="104"/>
      <c r="LWS314" s="104"/>
      <c r="LWT314" s="104"/>
      <c r="LWU314" s="104"/>
      <c r="LWV314" s="104"/>
      <c r="LWW314" s="104"/>
      <c r="LWX314" s="104"/>
      <c r="LWY314" s="104"/>
      <c r="LWZ314" s="104"/>
      <c r="LXA314" s="104"/>
      <c r="LXB314" s="104"/>
      <c r="LXC314" s="104"/>
      <c r="LXD314" s="104"/>
      <c r="LXE314" s="104"/>
      <c r="LXF314" s="104"/>
      <c r="LXG314" s="104"/>
      <c r="LXH314" s="104"/>
      <c r="LXI314" s="104"/>
      <c r="LXJ314" s="104"/>
      <c r="LXK314" s="104"/>
      <c r="LXL314" s="104"/>
      <c r="LXM314" s="104"/>
      <c r="LXN314" s="104"/>
      <c r="LXO314" s="104"/>
      <c r="LXP314" s="104"/>
      <c r="LXQ314" s="104"/>
      <c r="LXR314" s="104"/>
      <c r="LXS314" s="104"/>
      <c r="LXT314" s="104"/>
      <c r="LXU314" s="104"/>
      <c r="LXV314" s="104"/>
      <c r="LXW314" s="104"/>
      <c r="LXX314" s="104"/>
      <c r="LXY314" s="104"/>
      <c r="LXZ314" s="104"/>
      <c r="LYA314" s="104"/>
      <c r="LYB314" s="104"/>
      <c r="LYC314" s="104"/>
      <c r="LYD314" s="104"/>
      <c r="LYE314" s="104"/>
      <c r="LYF314" s="104"/>
      <c r="LYG314" s="104"/>
      <c r="LYH314" s="104"/>
      <c r="LYI314" s="104"/>
      <c r="LYJ314" s="104"/>
      <c r="LYK314" s="104"/>
      <c r="LYL314" s="104"/>
      <c r="LYM314" s="104"/>
      <c r="LYN314" s="104"/>
      <c r="LYO314" s="104"/>
      <c r="LYP314" s="104"/>
      <c r="LYQ314" s="104"/>
      <c r="LYR314" s="104"/>
      <c r="LYS314" s="104"/>
      <c r="LYT314" s="104"/>
      <c r="LYU314" s="104"/>
      <c r="LYV314" s="104"/>
      <c r="LYW314" s="104"/>
      <c r="LYX314" s="104"/>
      <c r="LYY314" s="104"/>
      <c r="LYZ314" s="104"/>
      <c r="LZA314" s="104"/>
      <c r="LZB314" s="104"/>
      <c r="LZC314" s="104"/>
      <c r="LZD314" s="104"/>
      <c r="LZE314" s="104"/>
      <c r="LZF314" s="104"/>
      <c r="LZG314" s="104"/>
      <c r="LZH314" s="104"/>
      <c r="LZI314" s="104"/>
      <c r="LZJ314" s="104"/>
      <c r="LZK314" s="104"/>
      <c r="LZL314" s="104"/>
      <c r="LZM314" s="104"/>
      <c r="LZN314" s="104"/>
      <c r="LZO314" s="104"/>
      <c r="LZP314" s="104"/>
      <c r="LZQ314" s="104"/>
      <c r="LZR314" s="104"/>
      <c r="LZS314" s="104"/>
      <c r="LZT314" s="104"/>
      <c r="LZU314" s="104"/>
      <c r="LZV314" s="104"/>
      <c r="LZW314" s="104"/>
      <c r="LZX314" s="104"/>
      <c r="LZY314" s="104"/>
      <c r="LZZ314" s="104"/>
      <c r="MAA314" s="104"/>
      <c r="MAB314" s="104"/>
      <c r="MAC314" s="104"/>
      <c r="MAD314" s="104"/>
      <c r="MAE314" s="104"/>
      <c r="MAF314" s="104"/>
      <c r="MAG314" s="104"/>
      <c r="MAH314" s="104"/>
      <c r="MAI314" s="104"/>
      <c r="MAJ314" s="104"/>
      <c r="MAK314" s="104"/>
      <c r="MAL314" s="104"/>
      <c r="MAM314" s="104"/>
      <c r="MAN314" s="104"/>
      <c r="MAO314" s="104"/>
      <c r="MAP314" s="104"/>
      <c r="MAQ314" s="104"/>
      <c r="MAR314" s="104"/>
      <c r="MAS314" s="104"/>
      <c r="MAT314" s="104"/>
      <c r="MAU314" s="104"/>
      <c r="MAV314" s="104"/>
      <c r="MAW314" s="104"/>
      <c r="MAX314" s="104"/>
      <c r="MAY314" s="104"/>
      <c r="MAZ314" s="104"/>
      <c r="MBA314" s="104"/>
      <c r="MBB314" s="104"/>
      <c r="MBC314" s="104"/>
      <c r="MBD314" s="104"/>
      <c r="MBE314" s="104"/>
      <c r="MBF314" s="104"/>
      <c r="MBG314" s="104"/>
      <c r="MBH314" s="104"/>
      <c r="MBI314" s="104"/>
      <c r="MBJ314" s="104"/>
      <c r="MBK314" s="104"/>
      <c r="MBL314" s="104"/>
      <c r="MBM314" s="104"/>
      <c r="MBN314" s="104"/>
      <c r="MBO314" s="104"/>
      <c r="MBP314" s="104"/>
      <c r="MBQ314" s="104"/>
      <c r="MBR314" s="104"/>
      <c r="MBS314" s="104"/>
      <c r="MBT314" s="104"/>
      <c r="MBU314" s="104"/>
      <c r="MBV314" s="104"/>
      <c r="MBW314" s="104"/>
      <c r="MBX314" s="104"/>
      <c r="MBY314" s="104"/>
      <c r="MBZ314" s="104"/>
      <c r="MCA314" s="104"/>
      <c r="MCB314" s="104"/>
      <c r="MCC314" s="104"/>
      <c r="MCD314" s="104"/>
      <c r="MCE314" s="104"/>
      <c r="MCF314" s="104"/>
      <c r="MCG314" s="104"/>
      <c r="MCH314" s="104"/>
      <c r="MCI314" s="104"/>
      <c r="MCJ314" s="104"/>
      <c r="MCK314" s="104"/>
      <c r="MCL314" s="104"/>
      <c r="MCM314" s="104"/>
      <c r="MCN314" s="104"/>
      <c r="MCO314" s="104"/>
      <c r="MCP314" s="104"/>
      <c r="MCQ314" s="104"/>
      <c r="MCR314" s="104"/>
      <c r="MCS314" s="104"/>
      <c r="MCT314" s="104"/>
      <c r="MCU314" s="104"/>
      <c r="MCV314" s="104"/>
      <c r="MCW314" s="104"/>
      <c r="MCX314" s="104"/>
      <c r="MCY314" s="104"/>
      <c r="MCZ314" s="104"/>
      <c r="MDA314" s="104"/>
      <c r="MDB314" s="104"/>
      <c r="MDC314" s="104"/>
      <c r="MDD314" s="104"/>
      <c r="MDE314" s="104"/>
      <c r="MDF314" s="104"/>
      <c r="MDG314" s="104"/>
      <c r="MDH314" s="104"/>
      <c r="MDI314" s="104"/>
      <c r="MDJ314" s="104"/>
      <c r="MDK314" s="104"/>
      <c r="MDL314" s="104"/>
      <c r="MDM314" s="104"/>
      <c r="MDN314" s="104"/>
      <c r="MDO314" s="104"/>
      <c r="MDP314" s="104"/>
      <c r="MDQ314" s="104"/>
      <c r="MDR314" s="104"/>
      <c r="MDS314" s="104"/>
      <c r="MDT314" s="104"/>
      <c r="MDU314" s="104"/>
      <c r="MDV314" s="104"/>
      <c r="MDW314" s="104"/>
      <c r="MDX314" s="104"/>
      <c r="MDY314" s="104"/>
      <c r="MDZ314" s="104"/>
      <c r="MEA314" s="104"/>
      <c r="MEB314" s="104"/>
      <c r="MEC314" s="104"/>
      <c r="MED314" s="104"/>
      <c r="MEE314" s="104"/>
      <c r="MEF314" s="104"/>
      <c r="MEG314" s="104"/>
      <c r="MEH314" s="104"/>
      <c r="MEI314" s="104"/>
      <c r="MEJ314" s="104"/>
      <c r="MEK314" s="104"/>
      <c r="MEL314" s="104"/>
      <c r="MEM314" s="104"/>
      <c r="MEN314" s="104"/>
      <c r="MEO314" s="104"/>
      <c r="MEP314" s="104"/>
      <c r="MEQ314" s="104"/>
      <c r="MER314" s="104"/>
      <c r="MES314" s="104"/>
      <c r="MET314" s="104"/>
      <c r="MEU314" s="104"/>
      <c r="MEV314" s="104"/>
      <c r="MEW314" s="104"/>
      <c r="MEX314" s="104"/>
      <c r="MEY314" s="104"/>
      <c r="MEZ314" s="104"/>
      <c r="MFA314" s="104"/>
      <c r="MFB314" s="104"/>
      <c r="MFC314" s="104"/>
      <c r="MFD314" s="104"/>
      <c r="MFE314" s="104"/>
      <c r="MFF314" s="104"/>
      <c r="MFG314" s="104"/>
      <c r="MFH314" s="104"/>
      <c r="MFI314" s="104"/>
      <c r="MFJ314" s="104"/>
      <c r="MFK314" s="104"/>
      <c r="MFL314" s="104"/>
      <c r="MFM314" s="104"/>
      <c r="MFN314" s="104"/>
      <c r="MFO314" s="104"/>
      <c r="MFP314" s="104"/>
      <c r="MFQ314" s="104"/>
      <c r="MFR314" s="104"/>
      <c r="MFS314" s="104"/>
      <c r="MFT314" s="104"/>
      <c r="MFU314" s="104"/>
      <c r="MFV314" s="104"/>
      <c r="MFW314" s="104"/>
      <c r="MFX314" s="104"/>
      <c r="MFY314" s="104"/>
      <c r="MFZ314" s="104"/>
      <c r="MGA314" s="104"/>
      <c r="MGB314" s="104"/>
      <c r="MGC314" s="104"/>
      <c r="MGD314" s="104"/>
      <c r="MGE314" s="104"/>
      <c r="MGF314" s="104"/>
      <c r="MGG314" s="104"/>
      <c r="MGH314" s="104"/>
      <c r="MGI314" s="104"/>
      <c r="MGJ314" s="104"/>
      <c r="MGK314" s="104"/>
      <c r="MGL314" s="104"/>
      <c r="MGM314" s="104"/>
      <c r="MGN314" s="104"/>
      <c r="MGO314" s="104"/>
      <c r="MGP314" s="104"/>
      <c r="MGQ314" s="104"/>
      <c r="MGR314" s="104"/>
      <c r="MGS314" s="104"/>
      <c r="MGT314" s="104"/>
      <c r="MGU314" s="104"/>
      <c r="MGV314" s="104"/>
      <c r="MGW314" s="104"/>
      <c r="MGX314" s="104"/>
      <c r="MGY314" s="104"/>
      <c r="MGZ314" s="104"/>
      <c r="MHA314" s="104"/>
      <c r="MHB314" s="104"/>
      <c r="MHC314" s="104"/>
      <c r="MHD314" s="104"/>
      <c r="MHE314" s="104"/>
      <c r="MHF314" s="104"/>
      <c r="MHG314" s="104"/>
      <c r="MHH314" s="104"/>
      <c r="MHI314" s="104"/>
      <c r="MHJ314" s="104"/>
      <c r="MHK314" s="104"/>
      <c r="MHL314" s="104"/>
      <c r="MHM314" s="104"/>
      <c r="MHN314" s="104"/>
      <c r="MHO314" s="104"/>
      <c r="MHP314" s="104"/>
      <c r="MHQ314" s="104"/>
      <c r="MHR314" s="104"/>
      <c r="MHS314" s="104"/>
      <c r="MHT314" s="104"/>
      <c r="MHU314" s="104"/>
      <c r="MHV314" s="104"/>
      <c r="MHW314" s="104"/>
      <c r="MHX314" s="104"/>
      <c r="MHY314" s="104"/>
      <c r="MHZ314" s="104"/>
      <c r="MIA314" s="104"/>
      <c r="MIB314" s="104"/>
      <c r="MIC314" s="104"/>
      <c r="MID314" s="104"/>
      <c r="MIE314" s="104"/>
      <c r="MIF314" s="104"/>
      <c r="MIG314" s="104"/>
      <c r="MIH314" s="104"/>
      <c r="MII314" s="104"/>
      <c r="MIJ314" s="104"/>
      <c r="MIK314" s="104"/>
      <c r="MIL314" s="104"/>
      <c r="MIM314" s="104"/>
      <c r="MIN314" s="104"/>
      <c r="MIO314" s="104"/>
      <c r="MIP314" s="104"/>
      <c r="MIQ314" s="104"/>
      <c r="MIR314" s="104"/>
      <c r="MIS314" s="104"/>
      <c r="MIT314" s="104"/>
      <c r="MIU314" s="104"/>
      <c r="MIV314" s="104"/>
      <c r="MIW314" s="104"/>
      <c r="MIX314" s="104"/>
      <c r="MIY314" s="104"/>
      <c r="MIZ314" s="104"/>
      <c r="MJA314" s="104"/>
      <c r="MJB314" s="104"/>
      <c r="MJC314" s="104"/>
      <c r="MJD314" s="104"/>
      <c r="MJE314" s="104"/>
      <c r="MJF314" s="104"/>
      <c r="MJG314" s="104"/>
      <c r="MJH314" s="104"/>
      <c r="MJI314" s="104"/>
      <c r="MJJ314" s="104"/>
      <c r="MJK314" s="104"/>
      <c r="MJL314" s="104"/>
      <c r="MJM314" s="104"/>
      <c r="MJN314" s="104"/>
      <c r="MJO314" s="104"/>
      <c r="MJP314" s="104"/>
      <c r="MJQ314" s="104"/>
      <c r="MJR314" s="104"/>
      <c r="MJS314" s="104"/>
      <c r="MJT314" s="104"/>
      <c r="MJU314" s="104"/>
      <c r="MJV314" s="104"/>
      <c r="MJW314" s="104"/>
      <c r="MJX314" s="104"/>
      <c r="MJY314" s="104"/>
      <c r="MJZ314" s="104"/>
      <c r="MKA314" s="104"/>
      <c r="MKB314" s="104"/>
      <c r="MKC314" s="104"/>
      <c r="MKD314" s="104"/>
      <c r="MKE314" s="104"/>
      <c r="MKF314" s="104"/>
      <c r="MKG314" s="104"/>
      <c r="MKH314" s="104"/>
      <c r="MKI314" s="104"/>
      <c r="MKJ314" s="104"/>
      <c r="MKK314" s="104"/>
      <c r="MKL314" s="104"/>
      <c r="MKM314" s="104"/>
      <c r="MKN314" s="104"/>
      <c r="MKO314" s="104"/>
      <c r="MKP314" s="104"/>
      <c r="MKQ314" s="104"/>
      <c r="MKR314" s="104"/>
      <c r="MKS314" s="104"/>
      <c r="MKT314" s="104"/>
      <c r="MKU314" s="104"/>
      <c r="MKV314" s="104"/>
      <c r="MKW314" s="104"/>
      <c r="MKX314" s="104"/>
      <c r="MKY314" s="104"/>
      <c r="MKZ314" s="104"/>
      <c r="MLA314" s="104"/>
      <c r="MLB314" s="104"/>
      <c r="MLC314" s="104"/>
      <c r="MLD314" s="104"/>
      <c r="MLE314" s="104"/>
      <c r="MLF314" s="104"/>
      <c r="MLG314" s="104"/>
      <c r="MLH314" s="104"/>
      <c r="MLI314" s="104"/>
      <c r="MLJ314" s="104"/>
      <c r="MLK314" s="104"/>
      <c r="MLL314" s="104"/>
      <c r="MLM314" s="104"/>
      <c r="MLN314" s="104"/>
      <c r="MLO314" s="104"/>
      <c r="MLP314" s="104"/>
      <c r="MLQ314" s="104"/>
      <c r="MLR314" s="104"/>
      <c r="MLS314" s="104"/>
      <c r="MLT314" s="104"/>
      <c r="MLU314" s="104"/>
      <c r="MLV314" s="104"/>
      <c r="MLW314" s="104"/>
      <c r="MLX314" s="104"/>
      <c r="MLY314" s="104"/>
      <c r="MLZ314" s="104"/>
      <c r="MMA314" s="104"/>
      <c r="MMB314" s="104"/>
      <c r="MMC314" s="104"/>
      <c r="MMD314" s="104"/>
      <c r="MME314" s="104"/>
      <c r="MMF314" s="104"/>
      <c r="MMG314" s="104"/>
      <c r="MMH314" s="104"/>
      <c r="MMI314" s="104"/>
      <c r="MMJ314" s="104"/>
      <c r="MMK314" s="104"/>
      <c r="MML314" s="104"/>
      <c r="MMM314" s="104"/>
      <c r="MMN314" s="104"/>
      <c r="MMO314" s="104"/>
      <c r="MMP314" s="104"/>
      <c r="MMQ314" s="104"/>
      <c r="MMR314" s="104"/>
      <c r="MMS314" s="104"/>
      <c r="MMT314" s="104"/>
      <c r="MMU314" s="104"/>
      <c r="MMV314" s="104"/>
      <c r="MMW314" s="104"/>
      <c r="MMX314" s="104"/>
      <c r="MMY314" s="104"/>
      <c r="MMZ314" s="104"/>
      <c r="MNA314" s="104"/>
      <c r="MNB314" s="104"/>
      <c r="MNC314" s="104"/>
      <c r="MND314" s="104"/>
      <c r="MNE314" s="104"/>
      <c r="MNF314" s="104"/>
      <c r="MNG314" s="104"/>
      <c r="MNH314" s="104"/>
      <c r="MNI314" s="104"/>
      <c r="MNJ314" s="104"/>
      <c r="MNK314" s="104"/>
      <c r="MNL314" s="104"/>
      <c r="MNM314" s="104"/>
      <c r="MNN314" s="104"/>
      <c r="MNO314" s="104"/>
      <c r="MNP314" s="104"/>
      <c r="MNQ314" s="104"/>
      <c r="MNR314" s="104"/>
      <c r="MNS314" s="104"/>
      <c r="MNT314" s="104"/>
      <c r="MNU314" s="104"/>
      <c r="MNV314" s="104"/>
      <c r="MNW314" s="104"/>
      <c r="MNX314" s="104"/>
      <c r="MNY314" s="104"/>
      <c r="MNZ314" s="104"/>
      <c r="MOA314" s="104"/>
      <c r="MOB314" s="104"/>
      <c r="MOC314" s="104"/>
      <c r="MOD314" s="104"/>
      <c r="MOE314" s="104"/>
      <c r="MOF314" s="104"/>
      <c r="MOG314" s="104"/>
      <c r="MOH314" s="104"/>
      <c r="MOI314" s="104"/>
      <c r="MOJ314" s="104"/>
      <c r="MOK314" s="104"/>
      <c r="MOL314" s="104"/>
      <c r="MOM314" s="104"/>
      <c r="MON314" s="104"/>
      <c r="MOO314" s="104"/>
      <c r="MOP314" s="104"/>
      <c r="MOQ314" s="104"/>
      <c r="MOR314" s="104"/>
      <c r="MOS314" s="104"/>
      <c r="MOT314" s="104"/>
      <c r="MOU314" s="104"/>
      <c r="MOV314" s="104"/>
      <c r="MOW314" s="104"/>
      <c r="MOX314" s="104"/>
      <c r="MOY314" s="104"/>
      <c r="MOZ314" s="104"/>
      <c r="MPA314" s="104"/>
      <c r="MPB314" s="104"/>
      <c r="MPC314" s="104"/>
      <c r="MPD314" s="104"/>
      <c r="MPE314" s="104"/>
      <c r="MPF314" s="104"/>
      <c r="MPG314" s="104"/>
      <c r="MPH314" s="104"/>
      <c r="MPI314" s="104"/>
      <c r="MPJ314" s="104"/>
      <c r="MPK314" s="104"/>
      <c r="MPL314" s="104"/>
      <c r="MPM314" s="104"/>
      <c r="MPN314" s="104"/>
      <c r="MPO314" s="104"/>
      <c r="MPP314" s="104"/>
      <c r="MPQ314" s="104"/>
      <c r="MPR314" s="104"/>
      <c r="MPS314" s="104"/>
      <c r="MPT314" s="104"/>
      <c r="MPU314" s="104"/>
      <c r="MPV314" s="104"/>
      <c r="MPW314" s="104"/>
      <c r="MPX314" s="104"/>
      <c r="MPY314" s="104"/>
      <c r="MPZ314" s="104"/>
      <c r="MQA314" s="104"/>
      <c r="MQB314" s="104"/>
      <c r="MQC314" s="104"/>
      <c r="MQD314" s="104"/>
      <c r="MQE314" s="104"/>
      <c r="MQF314" s="104"/>
      <c r="MQG314" s="104"/>
      <c r="MQH314" s="104"/>
      <c r="MQI314" s="104"/>
      <c r="MQJ314" s="104"/>
      <c r="MQK314" s="104"/>
      <c r="MQL314" s="104"/>
      <c r="MQM314" s="104"/>
      <c r="MQN314" s="104"/>
      <c r="MQO314" s="104"/>
      <c r="MQP314" s="104"/>
      <c r="MQQ314" s="104"/>
      <c r="MQR314" s="104"/>
      <c r="MQS314" s="104"/>
      <c r="MQT314" s="104"/>
      <c r="MQU314" s="104"/>
      <c r="MQV314" s="104"/>
      <c r="MQW314" s="104"/>
      <c r="MQX314" s="104"/>
      <c r="MQY314" s="104"/>
      <c r="MQZ314" s="104"/>
      <c r="MRA314" s="104"/>
      <c r="MRB314" s="104"/>
      <c r="MRC314" s="104"/>
      <c r="MRD314" s="104"/>
      <c r="MRE314" s="104"/>
      <c r="MRF314" s="104"/>
      <c r="MRG314" s="104"/>
      <c r="MRH314" s="104"/>
      <c r="MRI314" s="104"/>
      <c r="MRJ314" s="104"/>
      <c r="MRK314" s="104"/>
      <c r="MRL314" s="104"/>
      <c r="MRM314" s="104"/>
      <c r="MRN314" s="104"/>
      <c r="MRO314" s="104"/>
      <c r="MRP314" s="104"/>
      <c r="MRQ314" s="104"/>
      <c r="MRR314" s="104"/>
      <c r="MRS314" s="104"/>
      <c r="MRT314" s="104"/>
      <c r="MRU314" s="104"/>
      <c r="MRV314" s="104"/>
      <c r="MRW314" s="104"/>
      <c r="MRX314" s="104"/>
      <c r="MRY314" s="104"/>
      <c r="MRZ314" s="104"/>
      <c r="MSA314" s="104"/>
      <c r="MSB314" s="104"/>
      <c r="MSC314" s="104"/>
      <c r="MSD314" s="104"/>
      <c r="MSE314" s="104"/>
      <c r="MSF314" s="104"/>
      <c r="MSG314" s="104"/>
      <c r="MSH314" s="104"/>
      <c r="MSI314" s="104"/>
      <c r="MSJ314" s="104"/>
      <c r="MSK314" s="104"/>
      <c r="MSL314" s="104"/>
      <c r="MSM314" s="104"/>
      <c r="MSN314" s="104"/>
      <c r="MSO314" s="104"/>
      <c r="MSP314" s="104"/>
      <c r="MSQ314" s="104"/>
      <c r="MSR314" s="104"/>
      <c r="MSS314" s="104"/>
      <c r="MST314" s="104"/>
      <c r="MSU314" s="104"/>
      <c r="MSV314" s="104"/>
      <c r="MSW314" s="104"/>
      <c r="MSX314" s="104"/>
      <c r="MSY314" s="104"/>
      <c r="MSZ314" s="104"/>
      <c r="MTA314" s="104"/>
      <c r="MTB314" s="104"/>
      <c r="MTC314" s="104"/>
      <c r="MTD314" s="104"/>
      <c r="MTE314" s="104"/>
      <c r="MTF314" s="104"/>
      <c r="MTG314" s="104"/>
      <c r="MTH314" s="104"/>
      <c r="MTI314" s="104"/>
      <c r="MTJ314" s="104"/>
      <c r="MTK314" s="104"/>
      <c r="MTL314" s="104"/>
      <c r="MTM314" s="104"/>
      <c r="MTN314" s="104"/>
      <c r="MTO314" s="104"/>
      <c r="MTP314" s="104"/>
      <c r="MTQ314" s="104"/>
      <c r="MTR314" s="104"/>
      <c r="MTS314" s="104"/>
      <c r="MTT314" s="104"/>
      <c r="MTU314" s="104"/>
      <c r="MTV314" s="104"/>
      <c r="MTW314" s="104"/>
      <c r="MTX314" s="104"/>
      <c r="MTY314" s="104"/>
      <c r="MTZ314" s="104"/>
      <c r="MUA314" s="104"/>
      <c r="MUB314" s="104"/>
      <c r="MUC314" s="104"/>
      <c r="MUD314" s="104"/>
      <c r="MUE314" s="104"/>
      <c r="MUF314" s="104"/>
      <c r="MUG314" s="104"/>
      <c r="MUH314" s="104"/>
      <c r="MUI314" s="104"/>
      <c r="MUJ314" s="104"/>
      <c r="MUK314" s="104"/>
      <c r="MUL314" s="104"/>
      <c r="MUM314" s="104"/>
      <c r="MUN314" s="104"/>
      <c r="MUO314" s="104"/>
      <c r="MUP314" s="104"/>
      <c r="MUQ314" s="104"/>
      <c r="MUR314" s="104"/>
      <c r="MUS314" s="104"/>
      <c r="MUT314" s="104"/>
      <c r="MUU314" s="104"/>
      <c r="MUV314" s="104"/>
      <c r="MUW314" s="104"/>
      <c r="MUX314" s="104"/>
      <c r="MUY314" s="104"/>
      <c r="MUZ314" s="104"/>
      <c r="MVA314" s="104"/>
      <c r="MVB314" s="104"/>
      <c r="MVC314" s="104"/>
      <c r="MVD314" s="104"/>
      <c r="MVE314" s="104"/>
      <c r="MVF314" s="104"/>
      <c r="MVG314" s="104"/>
      <c r="MVH314" s="104"/>
      <c r="MVI314" s="104"/>
      <c r="MVJ314" s="104"/>
      <c r="MVK314" s="104"/>
      <c r="MVL314" s="104"/>
      <c r="MVM314" s="104"/>
      <c r="MVN314" s="104"/>
      <c r="MVO314" s="104"/>
      <c r="MVP314" s="104"/>
      <c r="MVQ314" s="104"/>
      <c r="MVR314" s="104"/>
      <c r="MVS314" s="104"/>
      <c r="MVT314" s="104"/>
      <c r="MVU314" s="104"/>
      <c r="MVV314" s="104"/>
      <c r="MVW314" s="104"/>
      <c r="MVX314" s="104"/>
      <c r="MVY314" s="104"/>
      <c r="MVZ314" s="104"/>
      <c r="MWA314" s="104"/>
      <c r="MWB314" s="104"/>
      <c r="MWC314" s="104"/>
      <c r="MWD314" s="104"/>
      <c r="MWE314" s="104"/>
      <c r="MWF314" s="104"/>
      <c r="MWG314" s="104"/>
      <c r="MWH314" s="104"/>
      <c r="MWI314" s="104"/>
      <c r="MWJ314" s="104"/>
      <c r="MWK314" s="104"/>
      <c r="MWL314" s="104"/>
      <c r="MWM314" s="104"/>
      <c r="MWN314" s="104"/>
      <c r="MWO314" s="104"/>
      <c r="MWP314" s="104"/>
      <c r="MWQ314" s="104"/>
      <c r="MWR314" s="104"/>
      <c r="MWS314" s="104"/>
      <c r="MWT314" s="104"/>
      <c r="MWU314" s="104"/>
      <c r="MWV314" s="104"/>
      <c r="MWW314" s="104"/>
      <c r="MWX314" s="104"/>
      <c r="MWY314" s="104"/>
      <c r="MWZ314" s="104"/>
      <c r="MXA314" s="104"/>
      <c r="MXB314" s="104"/>
      <c r="MXC314" s="104"/>
      <c r="MXD314" s="104"/>
      <c r="MXE314" s="104"/>
      <c r="MXF314" s="104"/>
      <c r="MXG314" s="104"/>
      <c r="MXH314" s="104"/>
      <c r="MXI314" s="104"/>
      <c r="MXJ314" s="104"/>
      <c r="MXK314" s="104"/>
      <c r="MXL314" s="104"/>
      <c r="MXM314" s="104"/>
      <c r="MXN314" s="104"/>
      <c r="MXO314" s="104"/>
      <c r="MXP314" s="104"/>
      <c r="MXQ314" s="104"/>
      <c r="MXR314" s="104"/>
      <c r="MXS314" s="104"/>
      <c r="MXT314" s="104"/>
      <c r="MXU314" s="104"/>
      <c r="MXV314" s="104"/>
      <c r="MXW314" s="104"/>
      <c r="MXX314" s="104"/>
      <c r="MXY314" s="104"/>
      <c r="MXZ314" s="104"/>
      <c r="MYA314" s="104"/>
      <c r="MYB314" s="104"/>
      <c r="MYC314" s="104"/>
      <c r="MYD314" s="104"/>
      <c r="MYE314" s="104"/>
      <c r="MYF314" s="104"/>
      <c r="MYG314" s="104"/>
      <c r="MYH314" s="104"/>
      <c r="MYI314" s="104"/>
      <c r="MYJ314" s="104"/>
      <c r="MYK314" s="104"/>
      <c r="MYL314" s="104"/>
      <c r="MYM314" s="104"/>
      <c r="MYN314" s="104"/>
      <c r="MYO314" s="104"/>
      <c r="MYP314" s="104"/>
      <c r="MYQ314" s="104"/>
      <c r="MYR314" s="104"/>
      <c r="MYS314" s="104"/>
      <c r="MYT314" s="104"/>
      <c r="MYU314" s="104"/>
      <c r="MYV314" s="104"/>
      <c r="MYW314" s="104"/>
      <c r="MYX314" s="104"/>
      <c r="MYY314" s="104"/>
      <c r="MYZ314" s="104"/>
      <c r="MZA314" s="104"/>
      <c r="MZB314" s="104"/>
      <c r="MZC314" s="104"/>
      <c r="MZD314" s="104"/>
      <c r="MZE314" s="104"/>
      <c r="MZF314" s="104"/>
      <c r="MZG314" s="104"/>
      <c r="MZH314" s="104"/>
      <c r="MZI314" s="104"/>
      <c r="MZJ314" s="104"/>
      <c r="MZK314" s="104"/>
      <c r="MZL314" s="104"/>
      <c r="MZM314" s="104"/>
      <c r="MZN314" s="104"/>
      <c r="MZO314" s="104"/>
      <c r="MZP314" s="104"/>
      <c r="MZQ314" s="104"/>
      <c r="MZR314" s="104"/>
      <c r="MZS314" s="104"/>
      <c r="MZT314" s="104"/>
      <c r="MZU314" s="104"/>
      <c r="MZV314" s="104"/>
      <c r="MZW314" s="104"/>
      <c r="MZX314" s="104"/>
      <c r="MZY314" s="104"/>
      <c r="MZZ314" s="104"/>
      <c r="NAA314" s="104"/>
      <c r="NAB314" s="104"/>
      <c r="NAC314" s="104"/>
      <c r="NAD314" s="104"/>
      <c r="NAE314" s="104"/>
      <c r="NAF314" s="104"/>
      <c r="NAG314" s="104"/>
      <c r="NAH314" s="104"/>
      <c r="NAI314" s="104"/>
      <c r="NAJ314" s="104"/>
      <c r="NAK314" s="104"/>
      <c r="NAL314" s="104"/>
      <c r="NAM314" s="104"/>
      <c r="NAN314" s="104"/>
      <c r="NAO314" s="104"/>
      <c r="NAP314" s="104"/>
      <c r="NAQ314" s="104"/>
      <c r="NAR314" s="104"/>
      <c r="NAS314" s="104"/>
      <c r="NAT314" s="104"/>
      <c r="NAU314" s="104"/>
      <c r="NAV314" s="104"/>
      <c r="NAW314" s="104"/>
      <c r="NAX314" s="104"/>
      <c r="NAY314" s="104"/>
      <c r="NAZ314" s="104"/>
      <c r="NBA314" s="104"/>
      <c r="NBB314" s="104"/>
      <c r="NBC314" s="104"/>
      <c r="NBD314" s="104"/>
      <c r="NBE314" s="104"/>
      <c r="NBF314" s="104"/>
      <c r="NBG314" s="104"/>
      <c r="NBH314" s="104"/>
      <c r="NBI314" s="104"/>
      <c r="NBJ314" s="104"/>
      <c r="NBK314" s="104"/>
      <c r="NBL314" s="104"/>
      <c r="NBM314" s="104"/>
      <c r="NBN314" s="104"/>
      <c r="NBO314" s="104"/>
      <c r="NBP314" s="104"/>
      <c r="NBQ314" s="104"/>
      <c r="NBR314" s="104"/>
      <c r="NBS314" s="104"/>
      <c r="NBT314" s="104"/>
      <c r="NBU314" s="104"/>
      <c r="NBV314" s="104"/>
      <c r="NBW314" s="104"/>
      <c r="NBX314" s="104"/>
      <c r="NBY314" s="104"/>
      <c r="NBZ314" s="104"/>
      <c r="NCA314" s="104"/>
      <c r="NCB314" s="104"/>
      <c r="NCC314" s="104"/>
      <c r="NCD314" s="104"/>
      <c r="NCE314" s="104"/>
      <c r="NCF314" s="104"/>
      <c r="NCG314" s="104"/>
      <c r="NCH314" s="104"/>
      <c r="NCI314" s="104"/>
      <c r="NCJ314" s="104"/>
      <c r="NCK314" s="104"/>
      <c r="NCL314" s="104"/>
      <c r="NCM314" s="104"/>
      <c r="NCN314" s="104"/>
      <c r="NCO314" s="104"/>
      <c r="NCP314" s="104"/>
      <c r="NCQ314" s="104"/>
      <c r="NCR314" s="104"/>
      <c r="NCS314" s="104"/>
      <c r="NCT314" s="104"/>
      <c r="NCU314" s="104"/>
      <c r="NCV314" s="104"/>
      <c r="NCW314" s="104"/>
      <c r="NCX314" s="104"/>
      <c r="NCY314" s="104"/>
      <c r="NCZ314" s="104"/>
      <c r="NDA314" s="104"/>
      <c r="NDB314" s="104"/>
      <c r="NDC314" s="104"/>
      <c r="NDD314" s="104"/>
      <c r="NDE314" s="104"/>
      <c r="NDF314" s="104"/>
      <c r="NDG314" s="104"/>
      <c r="NDH314" s="104"/>
      <c r="NDI314" s="104"/>
      <c r="NDJ314" s="104"/>
      <c r="NDK314" s="104"/>
      <c r="NDL314" s="104"/>
      <c r="NDM314" s="104"/>
      <c r="NDN314" s="104"/>
      <c r="NDO314" s="104"/>
      <c r="NDP314" s="104"/>
      <c r="NDQ314" s="104"/>
      <c r="NDR314" s="104"/>
      <c r="NDS314" s="104"/>
      <c r="NDT314" s="104"/>
      <c r="NDU314" s="104"/>
      <c r="NDV314" s="104"/>
      <c r="NDW314" s="104"/>
      <c r="NDX314" s="104"/>
      <c r="NDY314" s="104"/>
      <c r="NDZ314" s="104"/>
      <c r="NEA314" s="104"/>
      <c r="NEB314" s="104"/>
      <c r="NEC314" s="104"/>
      <c r="NED314" s="104"/>
      <c r="NEE314" s="104"/>
      <c r="NEF314" s="104"/>
      <c r="NEG314" s="104"/>
      <c r="NEH314" s="104"/>
      <c r="NEI314" s="104"/>
      <c r="NEJ314" s="104"/>
      <c r="NEK314" s="104"/>
      <c r="NEL314" s="104"/>
      <c r="NEM314" s="104"/>
      <c r="NEN314" s="104"/>
      <c r="NEO314" s="104"/>
      <c r="NEP314" s="104"/>
      <c r="NEQ314" s="104"/>
      <c r="NER314" s="104"/>
      <c r="NES314" s="104"/>
      <c r="NET314" s="104"/>
      <c r="NEU314" s="104"/>
      <c r="NEV314" s="104"/>
      <c r="NEW314" s="104"/>
      <c r="NEX314" s="104"/>
      <c r="NEY314" s="104"/>
      <c r="NEZ314" s="104"/>
      <c r="NFA314" s="104"/>
      <c r="NFB314" s="104"/>
      <c r="NFC314" s="104"/>
      <c r="NFD314" s="104"/>
      <c r="NFE314" s="104"/>
      <c r="NFF314" s="104"/>
      <c r="NFG314" s="104"/>
      <c r="NFH314" s="104"/>
      <c r="NFI314" s="104"/>
      <c r="NFJ314" s="104"/>
      <c r="NFK314" s="104"/>
      <c r="NFL314" s="104"/>
      <c r="NFM314" s="104"/>
      <c r="NFN314" s="104"/>
      <c r="NFO314" s="104"/>
      <c r="NFP314" s="104"/>
      <c r="NFQ314" s="104"/>
      <c r="NFR314" s="104"/>
      <c r="NFS314" s="104"/>
      <c r="NFT314" s="104"/>
      <c r="NFU314" s="104"/>
      <c r="NFV314" s="104"/>
      <c r="NFW314" s="104"/>
      <c r="NFX314" s="104"/>
      <c r="NFY314" s="104"/>
      <c r="NFZ314" s="104"/>
      <c r="NGA314" s="104"/>
      <c r="NGB314" s="104"/>
      <c r="NGC314" s="104"/>
      <c r="NGD314" s="104"/>
      <c r="NGE314" s="104"/>
      <c r="NGF314" s="104"/>
      <c r="NGG314" s="104"/>
      <c r="NGH314" s="104"/>
      <c r="NGI314" s="104"/>
      <c r="NGJ314" s="104"/>
      <c r="NGK314" s="104"/>
      <c r="NGL314" s="104"/>
      <c r="NGM314" s="104"/>
      <c r="NGN314" s="104"/>
      <c r="NGO314" s="104"/>
      <c r="NGP314" s="104"/>
      <c r="NGQ314" s="104"/>
      <c r="NGR314" s="104"/>
      <c r="NGS314" s="104"/>
      <c r="NGT314" s="104"/>
      <c r="NGU314" s="104"/>
      <c r="NGV314" s="104"/>
      <c r="NGW314" s="104"/>
      <c r="NGX314" s="104"/>
      <c r="NGY314" s="104"/>
      <c r="NGZ314" s="104"/>
      <c r="NHA314" s="104"/>
      <c r="NHB314" s="104"/>
      <c r="NHC314" s="104"/>
      <c r="NHD314" s="104"/>
      <c r="NHE314" s="104"/>
      <c r="NHF314" s="104"/>
      <c r="NHG314" s="104"/>
      <c r="NHH314" s="104"/>
      <c r="NHI314" s="104"/>
      <c r="NHJ314" s="104"/>
      <c r="NHK314" s="104"/>
      <c r="NHL314" s="104"/>
      <c r="NHM314" s="104"/>
      <c r="NHN314" s="104"/>
      <c r="NHO314" s="104"/>
      <c r="NHP314" s="104"/>
      <c r="NHQ314" s="104"/>
      <c r="NHR314" s="104"/>
      <c r="NHS314" s="104"/>
      <c r="NHT314" s="104"/>
      <c r="NHU314" s="104"/>
      <c r="NHV314" s="104"/>
      <c r="NHW314" s="104"/>
      <c r="NHX314" s="104"/>
      <c r="NHY314" s="104"/>
      <c r="NHZ314" s="104"/>
      <c r="NIA314" s="104"/>
      <c r="NIB314" s="104"/>
      <c r="NIC314" s="104"/>
      <c r="NID314" s="104"/>
      <c r="NIE314" s="104"/>
      <c r="NIF314" s="104"/>
      <c r="NIG314" s="104"/>
      <c r="NIH314" s="104"/>
      <c r="NII314" s="104"/>
      <c r="NIJ314" s="104"/>
      <c r="NIK314" s="104"/>
      <c r="NIL314" s="104"/>
      <c r="NIM314" s="104"/>
      <c r="NIN314" s="104"/>
      <c r="NIO314" s="104"/>
      <c r="NIP314" s="104"/>
      <c r="NIQ314" s="104"/>
      <c r="NIR314" s="104"/>
      <c r="NIS314" s="104"/>
      <c r="NIT314" s="104"/>
      <c r="NIU314" s="104"/>
      <c r="NIV314" s="104"/>
      <c r="NIW314" s="104"/>
      <c r="NIX314" s="104"/>
      <c r="NIY314" s="104"/>
      <c r="NIZ314" s="104"/>
      <c r="NJA314" s="104"/>
      <c r="NJB314" s="104"/>
      <c r="NJC314" s="104"/>
      <c r="NJD314" s="104"/>
      <c r="NJE314" s="104"/>
      <c r="NJF314" s="104"/>
      <c r="NJG314" s="104"/>
      <c r="NJH314" s="104"/>
      <c r="NJI314" s="104"/>
      <c r="NJJ314" s="104"/>
      <c r="NJK314" s="104"/>
      <c r="NJL314" s="104"/>
      <c r="NJM314" s="104"/>
      <c r="NJN314" s="104"/>
      <c r="NJO314" s="104"/>
      <c r="NJP314" s="104"/>
      <c r="NJQ314" s="104"/>
      <c r="NJR314" s="104"/>
      <c r="NJS314" s="104"/>
      <c r="NJT314" s="104"/>
      <c r="NJU314" s="104"/>
      <c r="NJV314" s="104"/>
      <c r="NJW314" s="104"/>
      <c r="NJX314" s="104"/>
      <c r="NJY314" s="104"/>
      <c r="NJZ314" s="104"/>
      <c r="NKA314" s="104"/>
      <c r="NKB314" s="104"/>
      <c r="NKC314" s="104"/>
      <c r="NKD314" s="104"/>
      <c r="NKE314" s="104"/>
      <c r="NKF314" s="104"/>
      <c r="NKG314" s="104"/>
      <c r="NKH314" s="104"/>
      <c r="NKI314" s="104"/>
      <c r="NKJ314" s="104"/>
      <c r="NKK314" s="104"/>
      <c r="NKL314" s="104"/>
      <c r="NKM314" s="104"/>
      <c r="NKN314" s="104"/>
      <c r="NKO314" s="104"/>
      <c r="NKP314" s="104"/>
      <c r="NKQ314" s="104"/>
      <c r="NKR314" s="104"/>
      <c r="NKS314" s="104"/>
      <c r="NKT314" s="104"/>
      <c r="NKU314" s="104"/>
      <c r="NKV314" s="104"/>
      <c r="NKW314" s="104"/>
      <c r="NKX314" s="104"/>
      <c r="NKY314" s="104"/>
      <c r="NKZ314" s="104"/>
      <c r="NLA314" s="104"/>
      <c r="NLB314" s="104"/>
      <c r="NLC314" s="104"/>
      <c r="NLD314" s="104"/>
      <c r="NLE314" s="104"/>
      <c r="NLF314" s="104"/>
      <c r="NLG314" s="104"/>
      <c r="NLH314" s="104"/>
      <c r="NLI314" s="104"/>
      <c r="NLJ314" s="104"/>
      <c r="NLK314" s="104"/>
      <c r="NLL314" s="104"/>
      <c r="NLM314" s="104"/>
      <c r="NLN314" s="104"/>
      <c r="NLO314" s="104"/>
      <c r="NLP314" s="104"/>
      <c r="NLQ314" s="104"/>
      <c r="NLR314" s="104"/>
      <c r="NLS314" s="104"/>
      <c r="NLT314" s="104"/>
      <c r="NLU314" s="104"/>
      <c r="NLV314" s="104"/>
      <c r="NLW314" s="104"/>
      <c r="NLX314" s="104"/>
      <c r="NLY314" s="104"/>
      <c r="NLZ314" s="104"/>
      <c r="NMA314" s="104"/>
      <c r="NMB314" s="104"/>
      <c r="NMC314" s="104"/>
      <c r="NMD314" s="104"/>
      <c r="NME314" s="104"/>
      <c r="NMF314" s="104"/>
      <c r="NMG314" s="104"/>
      <c r="NMH314" s="104"/>
      <c r="NMI314" s="104"/>
      <c r="NMJ314" s="104"/>
      <c r="NMK314" s="104"/>
      <c r="NML314" s="104"/>
      <c r="NMM314" s="104"/>
      <c r="NMN314" s="104"/>
      <c r="NMO314" s="104"/>
      <c r="NMP314" s="104"/>
      <c r="NMQ314" s="104"/>
      <c r="NMR314" s="104"/>
      <c r="NMS314" s="104"/>
      <c r="NMT314" s="104"/>
      <c r="NMU314" s="104"/>
      <c r="NMV314" s="104"/>
      <c r="NMW314" s="104"/>
      <c r="NMX314" s="104"/>
      <c r="NMY314" s="104"/>
      <c r="NMZ314" s="104"/>
      <c r="NNA314" s="104"/>
      <c r="NNB314" s="104"/>
      <c r="NNC314" s="104"/>
      <c r="NND314" s="104"/>
      <c r="NNE314" s="104"/>
      <c r="NNF314" s="104"/>
      <c r="NNG314" s="104"/>
      <c r="NNH314" s="104"/>
      <c r="NNI314" s="104"/>
      <c r="NNJ314" s="104"/>
      <c r="NNK314" s="104"/>
      <c r="NNL314" s="104"/>
      <c r="NNM314" s="104"/>
      <c r="NNN314" s="104"/>
      <c r="NNO314" s="104"/>
      <c r="NNP314" s="104"/>
      <c r="NNQ314" s="104"/>
      <c r="NNR314" s="104"/>
      <c r="NNS314" s="104"/>
      <c r="NNT314" s="104"/>
      <c r="NNU314" s="104"/>
      <c r="NNV314" s="104"/>
      <c r="NNW314" s="104"/>
      <c r="NNX314" s="104"/>
      <c r="NNY314" s="104"/>
      <c r="NNZ314" s="104"/>
      <c r="NOA314" s="104"/>
      <c r="NOB314" s="104"/>
      <c r="NOC314" s="104"/>
      <c r="NOD314" s="104"/>
      <c r="NOE314" s="104"/>
      <c r="NOF314" s="104"/>
      <c r="NOG314" s="104"/>
      <c r="NOH314" s="104"/>
      <c r="NOI314" s="104"/>
      <c r="NOJ314" s="104"/>
      <c r="NOK314" s="104"/>
      <c r="NOL314" s="104"/>
      <c r="NOM314" s="104"/>
      <c r="NON314" s="104"/>
      <c r="NOO314" s="104"/>
      <c r="NOP314" s="104"/>
      <c r="NOQ314" s="104"/>
      <c r="NOR314" s="104"/>
      <c r="NOS314" s="104"/>
      <c r="NOT314" s="104"/>
      <c r="NOU314" s="104"/>
      <c r="NOV314" s="104"/>
      <c r="NOW314" s="104"/>
      <c r="NOX314" s="104"/>
      <c r="NOY314" s="104"/>
      <c r="NOZ314" s="104"/>
      <c r="NPA314" s="104"/>
      <c r="NPB314" s="104"/>
      <c r="NPC314" s="104"/>
      <c r="NPD314" s="104"/>
      <c r="NPE314" s="104"/>
      <c r="NPF314" s="104"/>
      <c r="NPG314" s="104"/>
      <c r="NPH314" s="104"/>
      <c r="NPI314" s="104"/>
      <c r="NPJ314" s="104"/>
      <c r="NPK314" s="104"/>
      <c r="NPL314" s="104"/>
      <c r="NPM314" s="104"/>
      <c r="NPN314" s="104"/>
      <c r="NPO314" s="104"/>
      <c r="NPP314" s="104"/>
      <c r="NPQ314" s="104"/>
      <c r="NPR314" s="104"/>
      <c r="NPS314" s="104"/>
      <c r="NPT314" s="104"/>
      <c r="NPU314" s="104"/>
      <c r="NPV314" s="104"/>
      <c r="NPW314" s="104"/>
      <c r="NPX314" s="104"/>
      <c r="NPY314" s="104"/>
      <c r="NPZ314" s="104"/>
      <c r="NQA314" s="104"/>
      <c r="NQB314" s="104"/>
      <c r="NQC314" s="104"/>
      <c r="NQD314" s="104"/>
      <c r="NQE314" s="104"/>
      <c r="NQF314" s="104"/>
      <c r="NQG314" s="104"/>
      <c r="NQH314" s="104"/>
      <c r="NQI314" s="104"/>
      <c r="NQJ314" s="104"/>
      <c r="NQK314" s="104"/>
      <c r="NQL314" s="104"/>
      <c r="NQM314" s="104"/>
      <c r="NQN314" s="104"/>
      <c r="NQO314" s="104"/>
      <c r="NQP314" s="104"/>
      <c r="NQQ314" s="104"/>
      <c r="NQR314" s="104"/>
      <c r="NQS314" s="104"/>
      <c r="NQT314" s="104"/>
      <c r="NQU314" s="104"/>
      <c r="NQV314" s="104"/>
      <c r="NQW314" s="104"/>
      <c r="NQX314" s="104"/>
      <c r="NQY314" s="104"/>
      <c r="NQZ314" s="104"/>
      <c r="NRA314" s="104"/>
      <c r="NRB314" s="104"/>
      <c r="NRC314" s="104"/>
      <c r="NRD314" s="104"/>
      <c r="NRE314" s="104"/>
      <c r="NRF314" s="104"/>
      <c r="NRG314" s="104"/>
      <c r="NRH314" s="104"/>
      <c r="NRI314" s="104"/>
      <c r="NRJ314" s="104"/>
      <c r="NRK314" s="104"/>
      <c r="NRL314" s="104"/>
      <c r="NRM314" s="104"/>
      <c r="NRN314" s="104"/>
      <c r="NRO314" s="104"/>
      <c r="NRP314" s="104"/>
      <c r="NRQ314" s="104"/>
      <c r="NRR314" s="104"/>
      <c r="NRS314" s="104"/>
      <c r="NRT314" s="104"/>
      <c r="NRU314" s="104"/>
      <c r="NRV314" s="104"/>
      <c r="NRW314" s="104"/>
      <c r="NRX314" s="104"/>
      <c r="NRY314" s="104"/>
      <c r="NRZ314" s="104"/>
      <c r="NSA314" s="104"/>
      <c r="NSB314" s="104"/>
      <c r="NSC314" s="104"/>
      <c r="NSD314" s="104"/>
      <c r="NSE314" s="104"/>
      <c r="NSF314" s="104"/>
      <c r="NSG314" s="104"/>
      <c r="NSH314" s="104"/>
      <c r="NSI314" s="104"/>
      <c r="NSJ314" s="104"/>
      <c r="NSK314" s="104"/>
      <c r="NSL314" s="104"/>
      <c r="NSM314" s="104"/>
      <c r="NSN314" s="104"/>
      <c r="NSO314" s="104"/>
      <c r="NSP314" s="104"/>
      <c r="NSQ314" s="104"/>
      <c r="NSR314" s="104"/>
      <c r="NSS314" s="104"/>
      <c r="NST314" s="104"/>
      <c r="NSU314" s="104"/>
      <c r="NSV314" s="104"/>
      <c r="NSW314" s="104"/>
      <c r="NSX314" s="104"/>
      <c r="NSY314" s="104"/>
      <c r="NSZ314" s="104"/>
      <c r="NTA314" s="104"/>
      <c r="NTB314" s="104"/>
      <c r="NTC314" s="104"/>
      <c r="NTD314" s="104"/>
      <c r="NTE314" s="104"/>
      <c r="NTF314" s="104"/>
      <c r="NTG314" s="104"/>
      <c r="NTH314" s="104"/>
      <c r="NTI314" s="104"/>
      <c r="NTJ314" s="104"/>
      <c r="NTK314" s="104"/>
      <c r="NTL314" s="104"/>
      <c r="NTM314" s="104"/>
      <c r="NTN314" s="104"/>
      <c r="NTO314" s="104"/>
      <c r="NTP314" s="104"/>
      <c r="NTQ314" s="104"/>
      <c r="NTR314" s="104"/>
      <c r="NTS314" s="104"/>
      <c r="NTT314" s="104"/>
      <c r="NTU314" s="104"/>
      <c r="NTV314" s="104"/>
      <c r="NTW314" s="104"/>
      <c r="NTX314" s="104"/>
      <c r="NTY314" s="104"/>
      <c r="NTZ314" s="104"/>
      <c r="NUA314" s="104"/>
      <c r="NUB314" s="104"/>
      <c r="NUC314" s="104"/>
      <c r="NUD314" s="104"/>
      <c r="NUE314" s="104"/>
      <c r="NUF314" s="104"/>
      <c r="NUG314" s="104"/>
      <c r="NUH314" s="104"/>
      <c r="NUI314" s="104"/>
      <c r="NUJ314" s="104"/>
      <c r="NUK314" s="104"/>
      <c r="NUL314" s="104"/>
      <c r="NUM314" s="104"/>
      <c r="NUN314" s="104"/>
      <c r="NUO314" s="104"/>
      <c r="NUP314" s="104"/>
      <c r="NUQ314" s="104"/>
      <c r="NUR314" s="104"/>
      <c r="NUS314" s="104"/>
      <c r="NUT314" s="104"/>
      <c r="NUU314" s="104"/>
      <c r="NUV314" s="104"/>
      <c r="NUW314" s="104"/>
      <c r="NUX314" s="104"/>
      <c r="NUY314" s="104"/>
      <c r="NUZ314" s="104"/>
      <c r="NVA314" s="104"/>
      <c r="NVB314" s="104"/>
      <c r="NVC314" s="104"/>
      <c r="NVD314" s="104"/>
      <c r="NVE314" s="104"/>
      <c r="NVF314" s="104"/>
      <c r="NVG314" s="104"/>
      <c r="NVH314" s="104"/>
      <c r="NVI314" s="104"/>
      <c r="NVJ314" s="104"/>
      <c r="NVK314" s="104"/>
      <c r="NVL314" s="104"/>
      <c r="NVM314" s="104"/>
      <c r="NVN314" s="104"/>
      <c r="NVO314" s="104"/>
      <c r="NVP314" s="104"/>
      <c r="NVQ314" s="104"/>
      <c r="NVR314" s="104"/>
      <c r="NVS314" s="104"/>
      <c r="NVT314" s="104"/>
      <c r="NVU314" s="104"/>
      <c r="NVV314" s="104"/>
      <c r="NVW314" s="104"/>
      <c r="NVX314" s="104"/>
      <c r="NVY314" s="104"/>
      <c r="NVZ314" s="104"/>
      <c r="NWA314" s="104"/>
      <c r="NWB314" s="104"/>
      <c r="NWC314" s="104"/>
      <c r="NWD314" s="104"/>
      <c r="NWE314" s="104"/>
      <c r="NWF314" s="104"/>
      <c r="NWG314" s="104"/>
      <c r="NWH314" s="104"/>
      <c r="NWI314" s="104"/>
      <c r="NWJ314" s="104"/>
      <c r="NWK314" s="104"/>
      <c r="NWL314" s="104"/>
      <c r="NWM314" s="104"/>
      <c r="NWN314" s="104"/>
      <c r="NWO314" s="104"/>
      <c r="NWP314" s="104"/>
      <c r="NWQ314" s="104"/>
      <c r="NWR314" s="104"/>
      <c r="NWS314" s="104"/>
      <c r="NWT314" s="104"/>
      <c r="NWU314" s="104"/>
      <c r="NWV314" s="104"/>
      <c r="NWW314" s="104"/>
      <c r="NWX314" s="104"/>
      <c r="NWY314" s="104"/>
      <c r="NWZ314" s="104"/>
      <c r="NXA314" s="104"/>
      <c r="NXB314" s="104"/>
      <c r="NXC314" s="104"/>
      <c r="NXD314" s="104"/>
      <c r="NXE314" s="104"/>
      <c r="NXF314" s="104"/>
      <c r="NXG314" s="104"/>
      <c r="NXH314" s="104"/>
      <c r="NXI314" s="104"/>
      <c r="NXJ314" s="104"/>
      <c r="NXK314" s="104"/>
      <c r="NXL314" s="104"/>
      <c r="NXM314" s="104"/>
      <c r="NXN314" s="104"/>
      <c r="NXO314" s="104"/>
      <c r="NXP314" s="104"/>
      <c r="NXQ314" s="104"/>
      <c r="NXR314" s="104"/>
      <c r="NXS314" s="104"/>
      <c r="NXT314" s="104"/>
      <c r="NXU314" s="104"/>
      <c r="NXV314" s="104"/>
      <c r="NXW314" s="104"/>
      <c r="NXX314" s="104"/>
      <c r="NXY314" s="104"/>
      <c r="NXZ314" s="104"/>
      <c r="NYA314" s="104"/>
      <c r="NYB314" s="104"/>
      <c r="NYC314" s="104"/>
      <c r="NYD314" s="104"/>
      <c r="NYE314" s="104"/>
      <c r="NYF314" s="104"/>
      <c r="NYG314" s="104"/>
      <c r="NYH314" s="104"/>
      <c r="NYI314" s="104"/>
      <c r="NYJ314" s="104"/>
      <c r="NYK314" s="104"/>
      <c r="NYL314" s="104"/>
      <c r="NYM314" s="104"/>
      <c r="NYN314" s="104"/>
      <c r="NYO314" s="104"/>
      <c r="NYP314" s="104"/>
      <c r="NYQ314" s="104"/>
      <c r="NYR314" s="104"/>
      <c r="NYS314" s="104"/>
      <c r="NYT314" s="104"/>
      <c r="NYU314" s="104"/>
      <c r="NYV314" s="104"/>
      <c r="NYW314" s="104"/>
      <c r="NYX314" s="104"/>
      <c r="NYY314" s="104"/>
      <c r="NYZ314" s="104"/>
      <c r="NZA314" s="104"/>
      <c r="NZB314" s="104"/>
      <c r="NZC314" s="104"/>
      <c r="NZD314" s="104"/>
      <c r="NZE314" s="104"/>
      <c r="NZF314" s="104"/>
      <c r="NZG314" s="104"/>
      <c r="NZH314" s="104"/>
      <c r="NZI314" s="104"/>
      <c r="NZJ314" s="104"/>
      <c r="NZK314" s="104"/>
      <c r="NZL314" s="104"/>
      <c r="NZM314" s="104"/>
      <c r="NZN314" s="104"/>
      <c r="NZO314" s="104"/>
      <c r="NZP314" s="104"/>
      <c r="NZQ314" s="104"/>
      <c r="NZR314" s="104"/>
      <c r="NZS314" s="104"/>
      <c r="NZT314" s="104"/>
      <c r="NZU314" s="104"/>
      <c r="NZV314" s="104"/>
      <c r="NZW314" s="104"/>
      <c r="NZX314" s="104"/>
      <c r="NZY314" s="104"/>
      <c r="NZZ314" s="104"/>
      <c r="OAA314" s="104"/>
      <c r="OAB314" s="104"/>
      <c r="OAC314" s="104"/>
      <c r="OAD314" s="104"/>
      <c r="OAE314" s="104"/>
      <c r="OAF314" s="104"/>
      <c r="OAG314" s="104"/>
      <c r="OAH314" s="104"/>
      <c r="OAI314" s="104"/>
      <c r="OAJ314" s="104"/>
      <c r="OAK314" s="104"/>
      <c r="OAL314" s="104"/>
      <c r="OAM314" s="104"/>
      <c r="OAN314" s="104"/>
      <c r="OAO314" s="104"/>
      <c r="OAP314" s="104"/>
      <c r="OAQ314" s="104"/>
      <c r="OAR314" s="104"/>
      <c r="OAS314" s="104"/>
      <c r="OAT314" s="104"/>
      <c r="OAU314" s="104"/>
      <c r="OAV314" s="104"/>
      <c r="OAW314" s="104"/>
      <c r="OAX314" s="104"/>
      <c r="OAY314" s="104"/>
      <c r="OAZ314" s="104"/>
      <c r="OBA314" s="104"/>
      <c r="OBB314" s="104"/>
      <c r="OBC314" s="104"/>
      <c r="OBD314" s="104"/>
      <c r="OBE314" s="104"/>
      <c r="OBF314" s="104"/>
      <c r="OBG314" s="104"/>
      <c r="OBH314" s="104"/>
      <c r="OBI314" s="104"/>
      <c r="OBJ314" s="104"/>
      <c r="OBK314" s="104"/>
      <c r="OBL314" s="104"/>
      <c r="OBM314" s="104"/>
      <c r="OBN314" s="104"/>
      <c r="OBO314" s="104"/>
      <c r="OBP314" s="104"/>
      <c r="OBQ314" s="104"/>
      <c r="OBR314" s="104"/>
      <c r="OBS314" s="104"/>
      <c r="OBT314" s="104"/>
      <c r="OBU314" s="104"/>
      <c r="OBV314" s="104"/>
      <c r="OBW314" s="104"/>
      <c r="OBX314" s="104"/>
      <c r="OBY314" s="104"/>
      <c r="OBZ314" s="104"/>
      <c r="OCA314" s="104"/>
      <c r="OCB314" s="104"/>
      <c r="OCC314" s="104"/>
      <c r="OCD314" s="104"/>
      <c r="OCE314" s="104"/>
      <c r="OCF314" s="104"/>
      <c r="OCG314" s="104"/>
      <c r="OCH314" s="104"/>
      <c r="OCI314" s="104"/>
      <c r="OCJ314" s="104"/>
      <c r="OCK314" s="104"/>
      <c r="OCL314" s="104"/>
      <c r="OCM314" s="104"/>
      <c r="OCN314" s="104"/>
      <c r="OCO314" s="104"/>
      <c r="OCP314" s="104"/>
      <c r="OCQ314" s="104"/>
      <c r="OCR314" s="104"/>
      <c r="OCS314" s="104"/>
      <c r="OCT314" s="104"/>
      <c r="OCU314" s="104"/>
      <c r="OCV314" s="104"/>
      <c r="OCW314" s="104"/>
      <c r="OCX314" s="104"/>
      <c r="OCY314" s="104"/>
      <c r="OCZ314" s="104"/>
      <c r="ODA314" s="104"/>
      <c r="ODB314" s="104"/>
      <c r="ODC314" s="104"/>
      <c r="ODD314" s="104"/>
      <c r="ODE314" s="104"/>
      <c r="ODF314" s="104"/>
      <c r="ODG314" s="104"/>
      <c r="ODH314" s="104"/>
      <c r="ODI314" s="104"/>
      <c r="ODJ314" s="104"/>
      <c r="ODK314" s="104"/>
      <c r="ODL314" s="104"/>
      <c r="ODM314" s="104"/>
      <c r="ODN314" s="104"/>
      <c r="ODO314" s="104"/>
      <c r="ODP314" s="104"/>
      <c r="ODQ314" s="104"/>
      <c r="ODR314" s="104"/>
      <c r="ODS314" s="104"/>
      <c r="ODT314" s="104"/>
      <c r="ODU314" s="104"/>
      <c r="ODV314" s="104"/>
      <c r="ODW314" s="104"/>
      <c r="ODX314" s="104"/>
      <c r="ODY314" s="104"/>
      <c r="ODZ314" s="104"/>
      <c r="OEA314" s="104"/>
      <c r="OEB314" s="104"/>
      <c r="OEC314" s="104"/>
      <c r="OED314" s="104"/>
      <c r="OEE314" s="104"/>
      <c r="OEF314" s="104"/>
      <c r="OEG314" s="104"/>
      <c r="OEH314" s="104"/>
      <c r="OEI314" s="104"/>
      <c r="OEJ314" s="104"/>
      <c r="OEK314" s="104"/>
      <c r="OEL314" s="104"/>
      <c r="OEM314" s="104"/>
      <c r="OEN314" s="104"/>
      <c r="OEO314" s="104"/>
      <c r="OEP314" s="104"/>
      <c r="OEQ314" s="104"/>
      <c r="OER314" s="104"/>
      <c r="OES314" s="104"/>
      <c r="OET314" s="104"/>
      <c r="OEU314" s="104"/>
      <c r="OEV314" s="104"/>
      <c r="OEW314" s="104"/>
      <c r="OEX314" s="104"/>
      <c r="OEY314" s="104"/>
      <c r="OEZ314" s="104"/>
      <c r="OFA314" s="104"/>
      <c r="OFB314" s="104"/>
      <c r="OFC314" s="104"/>
      <c r="OFD314" s="104"/>
      <c r="OFE314" s="104"/>
      <c r="OFF314" s="104"/>
      <c r="OFG314" s="104"/>
      <c r="OFH314" s="104"/>
      <c r="OFI314" s="104"/>
      <c r="OFJ314" s="104"/>
      <c r="OFK314" s="104"/>
      <c r="OFL314" s="104"/>
      <c r="OFM314" s="104"/>
      <c r="OFN314" s="104"/>
      <c r="OFO314" s="104"/>
      <c r="OFP314" s="104"/>
      <c r="OFQ314" s="104"/>
      <c r="OFR314" s="104"/>
      <c r="OFS314" s="104"/>
      <c r="OFT314" s="104"/>
      <c r="OFU314" s="104"/>
      <c r="OFV314" s="104"/>
      <c r="OFW314" s="104"/>
      <c r="OFX314" s="104"/>
      <c r="OFY314" s="104"/>
      <c r="OFZ314" s="104"/>
      <c r="OGA314" s="104"/>
      <c r="OGB314" s="104"/>
      <c r="OGC314" s="104"/>
      <c r="OGD314" s="104"/>
      <c r="OGE314" s="104"/>
      <c r="OGF314" s="104"/>
      <c r="OGG314" s="104"/>
      <c r="OGH314" s="104"/>
      <c r="OGI314" s="104"/>
      <c r="OGJ314" s="104"/>
      <c r="OGK314" s="104"/>
      <c r="OGL314" s="104"/>
      <c r="OGM314" s="104"/>
      <c r="OGN314" s="104"/>
      <c r="OGO314" s="104"/>
      <c r="OGP314" s="104"/>
      <c r="OGQ314" s="104"/>
      <c r="OGR314" s="104"/>
      <c r="OGS314" s="104"/>
      <c r="OGT314" s="104"/>
      <c r="OGU314" s="104"/>
      <c r="OGV314" s="104"/>
      <c r="OGW314" s="104"/>
      <c r="OGX314" s="104"/>
      <c r="OGY314" s="104"/>
      <c r="OGZ314" s="104"/>
      <c r="OHA314" s="104"/>
      <c r="OHB314" s="104"/>
      <c r="OHC314" s="104"/>
      <c r="OHD314" s="104"/>
      <c r="OHE314" s="104"/>
      <c r="OHF314" s="104"/>
      <c r="OHG314" s="104"/>
      <c r="OHH314" s="104"/>
      <c r="OHI314" s="104"/>
      <c r="OHJ314" s="104"/>
      <c r="OHK314" s="104"/>
      <c r="OHL314" s="104"/>
      <c r="OHM314" s="104"/>
      <c r="OHN314" s="104"/>
      <c r="OHO314" s="104"/>
      <c r="OHP314" s="104"/>
      <c r="OHQ314" s="104"/>
      <c r="OHR314" s="104"/>
      <c r="OHS314" s="104"/>
      <c r="OHT314" s="104"/>
      <c r="OHU314" s="104"/>
      <c r="OHV314" s="104"/>
      <c r="OHW314" s="104"/>
      <c r="OHX314" s="104"/>
      <c r="OHY314" s="104"/>
      <c r="OHZ314" s="104"/>
      <c r="OIA314" s="104"/>
      <c r="OIB314" s="104"/>
      <c r="OIC314" s="104"/>
      <c r="OID314" s="104"/>
      <c r="OIE314" s="104"/>
      <c r="OIF314" s="104"/>
      <c r="OIG314" s="104"/>
      <c r="OIH314" s="104"/>
      <c r="OII314" s="104"/>
      <c r="OIJ314" s="104"/>
      <c r="OIK314" s="104"/>
      <c r="OIL314" s="104"/>
      <c r="OIM314" s="104"/>
      <c r="OIN314" s="104"/>
      <c r="OIO314" s="104"/>
      <c r="OIP314" s="104"/>
      <c r="OIQ314" s="104"/>
      <c r="OIR314" s="104"/>
      <c r="OIS314" s="104"/>
      <c r="OIT314" s="104"/>
      <c r="OIU314" s="104"/>
      <c r="OIV314" s="104"/>
      <c r="OIW314" s="104"/>
      <c r="OIX314" s="104"/>
      <c r="OIY314" s="104"/>
      <c r="OIZ314" s="104"/>
      <c r="OJA314" s="104"/>
      <c r="OJB314" s="104"/>
      <c r="OJC314" s="104"/>
      <c r="OJD314" s="104"/>
      <c r="OJE314" s="104"/>
      <c r="OJF314" s="104"/>
      <c r="OJG314" s="104"/>
      <c r="OJH314" s="104"/>
      <c r="OJI314" s="104"/>
      <c r="OJJ314" s="104"/>
      <c r="OJK314" s="104"/>
      <c r="OJL314" s="104"/>
      <c r="OJM314" s="104"/>
      <c r="OJN314" s="104"/>
      <c r="OJO314" s="104"/>
      <c r="OJP314" s="104"/>
      <c r="OJQ314" s="104"/>
      <c r="OJR314" s="104"/>
      <c r="OJS314" s="104"/>
      <c r="OJT314" s="104"/>
      <c r="OJU314" s="104"/>
      <c r="OJV314" s="104"/>
      <c r="OJW314" s="104"/>
      <c r="OJX314" s="104"/>
      <c r="OJY314" s="104"/>
      <c r="OJZ314" s="104"/>
      <c r="OKA314" s="104"/>
      <c r="OKB314" s="104"/>
      <c r="OKC314" s="104"/>
      <c r="OKD314" s="104"/>
      <c r="OKE314" s="104"/>
      <c r="OKF314" s="104"/>
      <c r="OKG314" s="104"/>
      <c r="OKH314" s="104"/>
      <c r="OKI314" s="104"/>
      <c r="OKJ314" s="104"/>
      <c r="OKK314" s="104"/>
      <c r="OKL314" s="104"/>
      <c r="OKM314" s="104"/>
      <c r="OKN314" s="104"/>
      <c r="OKO314" s="104"/>
      <c r="OKP314" s="104"/>
      <c r="OKQ314" s="104"/>
      <c r="OKR314" s="104"/>
      <c r="OKS314" s="104"/>
      <c r="OKT314" s="104"/>
      <c r="OKU314" s="104"/>
      <c r="OKV314" s="104"/>
      <c r="OKW314" s="104"/>
      <c r="OKX314" s="104"/>
      <c r="OKY314" s="104"/>
      <c r="OKZ314" s="104"/>
      <c r="OLA314" s="104"/>
      <c r="OLB314" s="104"/>
      <c r="OLC314" s="104"/>
      <c r="OLD314" s="104"/>
      <c r="OLE314" s="104"/>
      <c r="OLF314" s="104"/>
      <c r="OLG314" s="104"/>
      <c r="OLH314" s="104"/>
      <c r="OLI314" s="104"/>
      <c r="OLJ314" s="104"/>
      <c r="OLK314" s="104"/>
      <c r="OLL314" s="104"/>
      <c r="OLM314" s="104"/>
      <c r="OLN314" s="104"/>
      <c r="OLO314" s="104"/>
      <c r="OLP314" s="104"/>
      <c r="OLQ314" s="104"/>
      <c r="OLR314" s="104"/>
      <c r="OLS314" s="104"/>
      <c r="OLT314" s="104"/>
      <c r="OLU314" s="104"/>
      <c r="OLV314" s="104"/>
      <c r="OLW314" s="104"/>
      <c r="OLX314" s="104"/>
      <c r="OLY314" s="104"/>
      <c r="OLZ314" s="104"/>
      <c r="OMA314" s="104"/>
      <c r="OMB314" s="104"/>
      <c r="OMC314" s="104"/>
      <c r="OMD314" s="104"/>
      <c r="OME314" s="104"/>
      <c r="OMF314" s="104"/>
      <c r="OMG314" s="104"/>
      <c r="OMH314" s="104"/>
      <c r="OMI314" s="104"/>
      <c r="OMJ314" s="104"/>
      <c r="OMK314" s="104"/>
      <c r="OML314" s="104"/>
      <c r="OMM314" s="104"/>
      <c r="OMN314" s="104"/>
      <c r="OMO314" s="104"/>
      <c r="OMP314" s="104"/>
      <c r="OMQ314" s="104"/>
      <c r="OMR314" s="104"/>
      <c r="OMS314" s="104"/>
      <c r="OMT314" s="104"/>
      <c r="OMU314" s="104"/>
      <c r="OMV314" s="104"/>
      <c r="OMW314" s="104"/>
      <c r="OMX314" s="104"/>
      <c r="OMY314" s="104"/>
      <c r="OMZ314" s="104"/>
      <c r="ONA314" s="104"/>
      <c r="ONB314" s="104"/>
      <c r="ONC314" s="104"/>
      <c r="OND314" s="104"/>
      <c r="ONE314" s="104"/>
      <c r="ONF314" s="104"/>
      <c r="ONG314" s="104"/>
      <c r="ONH314" s="104"/>
      <c r="ONI314" s="104"/>
      <c r="ONJ314" s="104"/>
      <c r="ONK314" s="104"/>
      <c r="ONL314" s="104"/>
      <c r="ONM314" s="104"/>
      <c r="ONN314" s="104"/>
      <c r="ONO314" s="104"/>
      <c r="ONP314" s="104"/>
      <c r="ONQ314" s="104"/>
      <c r="ONR314" s="104"/>
      <c r="ONS314" s="104"/>
      <c r="ONT314" s="104"/>
      <c r="ONU314" s="104"/>
      <c r="ONV314" s="104"/>
      <c r="ONW314" s="104"/>
      <c r="ONX314" s="104"/>
      <c r="ONY314" s="104"/>
      <c r="ONZ314" s="104"/>
      <c r="OOA314" s="104"/>
      <c r="OOB314" s="104"/>
      <c r="OOC314" s="104"/>
      <c r="OOD314" s="104"/>
      <c r="OOE314" s="104"/>
      <c r="OOF314" s="104"/>
      <c r="OOG314" s="104"/>
      <c r="OOH314" s="104"/>
      <c r="OOI314" s="104"/>
      <c r="OOJ314" s="104"/>
      <c r="OOK314" s="104"/>
      <c r="OOL314" s="104"/>
      <c r="OOM314" s="104"/>
      <c r="OON314" s="104"/>
      <c r="OOO314" s="104"/>
      <c r="OOP314" s="104"/>
      <c r="OOQ314" s="104"/>
      <c r="OOR314" s="104"/>
      <c r="OOS314" s="104"/>
      <c r="OOT314" s="104"/>
      <c r="OOU314" s="104"/>
      <c r="OOV314" s="104"/>
      <c r="OOW314" s="104"/>
      <c r="OOX314" s="104"/>
      <c r="OOY314" s="104"/>
      <c r="OOZ314" s="104"/>
      <c r="OPA314" s="104"/>
      <c r="OPB314" s="104"/>
      <c r="OPC314" s="104"/>
      <c r="OPD314" s="104"/>
      <c r="OPE314" s="104"/>
      <c r="OPF314" s="104"/>
      <c r="OPG314" s="104"/>
      <c r="OPH314" s="104"/>
      <c r="OPI314" s="104"/>
      <c r="OPJ314" s="104"/>
      <c r="OPK314" s="104"/>
      <c r="OPL314" s="104"/>
      <c r="OPM314" s="104"/>
      <c r="OPN314" s="104"/>
      <c r="OPO314" s="104"/>
      <c r="OPP314" s="104"/>
      <c r="OPQ314" s="104"/>
      <c r="OPR314" s="104"/>
      <c r="OPS314" s="104"/>
      <c r="OPT314" s="104"/>
      <c r="OPU314" s="104"/>
      <c r="OPV314" s="104"/>
      <c r="OPW314" s="104"/>
      <c r="OPX314" s="104"/>
      <c r="OPY314" s="104"/>
      <c r="OPZ314" s="104"/>
      <c r="OQA314" s="104"/>
      <c r="OQB314" s="104"/>
      <c r="OQC314" s="104"/>
      <c r="OQD314" s="104"/>
      <c r="OQE314" s="104"/>
      <c r="OQF314" s="104"/>
      <c r="OQG314" s="104"/>
      <c r="OQH314" s="104"/>
      <c r="OQI314" s="104"/>
      <c r="OQJ314" s="104"/>
      <c r="OQK314" s="104"/>
      <c r="OQL314" s="104"/>
      <c r="OQM314" s="104"/>
      <c r="OQN314" s="104"/>
      <c r="OQO314" s="104"/>
      <c r="OQP314" s="104"/>
      <c r="OQQ314" s="104"/>
      <c r="OQR314" s="104"/>
      <c r="OQS314" s="104"/>
      <c r="OQT314" s="104"/>
      <c r="OQU314" s="104"/>
      <c r="OQV314" s="104"/>
      <c r="OQW314" s="104"/>
      <c r="OQX314" s="104"/>
      <c r="OQY314" s="104"/>
      <c r="OQZ314" s="104"/>
      <c r="ORA314" s="104"/>
      <c r="ORB314" s="104"/>
      <c r="ORC314" s="104"/>
      <c r="ORD314" s="104"/>
      <c r="ORE314" s="104"/>
      <c r="ORF314" s="104"/>
      <c r="ORG314" s="104"/>
      <c r="ORH314" s="104"/>
      <c r="ORI314" s="104"/>
      <c r="ORJ314" s="104"/>
      <c r="ORK314" s="104"/>
      <c r="ORL314" s="104"/>
      <c r="ORM314" s="104"/>
      <c r="ORN314" s="104"/>
      <c r="ORO314" s="104"/>
      <c r="ORP314" s="104"/>
      <c r="ORQ314" s="104"/>
      <c r="ORR314" s="104"/>
      <c r="ORS314" s="104"/>
      <c r="ORT314" s="104"/>
      <c r="ORU314" s="104"/>
      <c r="ORV314" s="104"/>
      <c r="ORW314" s="104"/>
      <c r="ORX314" s="104"/>
      <c r="ORY314" s="104"/>
      <c r="ORZ314" s="104"/>
      <c r="OSA314" s="104"/>
      <c r="OSB314" s="104"/>
      <c r="OSC314" s="104"/>
      <c r="OSD314" s="104"/>
      <c r="OSE314" s="104"/>
      <c r="OSF314" s="104"/>
      <c r="OSG314" s="104"/>
      <c r="OSH314" s="104"/>
      <c r="OSI314" s="104"/>
      <c r="OSJ314" s="104"/>
      <c r="OSK314" s="104"/>
      <c r="OSL314" s="104"/>
      <c r="OSM314" s="104"/>
      <c r="OSN314" s="104"/>
      <c r="OSO314" s="104"/>
      <c r="OSP314" s="104"/>
      <c r="OSQ314" s="104"/>
      <c r="OSR314" s="104"/>
      <c r="OSS314" s="104"/>
      <c r="OST314" s="104"/>
      <c r="OSU314" s="104"/>
      <c r="OSV314" s="104"/>
      <c r="OSW314" s="104"/>
      <c r="OSX314" s="104"/>
      <c r="OSY314" s="104"/>
      <c r="OSZ314" s="104"/>
      <c r="OTA314" s="104"/>
      <c r="OTB314" s="104"/>
      <c r="OTC314" s="104"/>
      <c r="OTD314" s="104"/>
      <c r="OTE314" s="104"/>
      <c r="OTF314" s="104"/>
      <c r="OTG314" s="104"/>
      <c r="OTH314" s="104"/>
      <c r="OTI314" s="104"/>
      <c r="OTJ314" s="104"/>
      <c r="OTK314" s="104"/>
      <c r="OTL314" s="104"/>
      <c r="OTM314" s="104"/>
      <c r="OTN314" s="104"/>
      <c r="OTO314" s="104"/>
      <c r="OTP314" s="104"/>
      <c r="OTQ314" s="104"/>
      <c r="OTR314" s="104"/>
      <c r="OTS314" s="104"/>
      <c r="OTT314" s="104"/>
      <c r="OTU314" s="104"/>
      <c r="OTV314" s="104"/>
      <c r="OTW314" s="104"/>
      <c r="OTX314" s="104"/>
      <c r="OTY314" s="104"/>
      <c r="OTZ314" s="104"/>
      <c r="OUA314" s="104"/>
      <c r="OUB314" s="104"/>
      <c r="OUC314" s="104"/>
      <c r="OUD314" s="104"/>
      <c r="OUE314" s="104"/>
      <c r="OUF314" s="104"/>
      <c r="OUG314" s="104"/>
      <c r="OUH314" s="104"/>
      <c r="OUI314" s="104"/>
      <c r="OUJ314" s="104"/>
      <c r="OUK314" s="104"/>
      <c r="OUL314" s="104"/>
      <c r="OUM314" s="104"/>
      <c r="OUN314" s="104"/>
      <c r="OUO314" s="104"/>
      <c r="OUP314" s="104"/>
      <c r="OUQ314" s="104"/>
      <c r="OUR314" s="104"/>
      <c r="OUS314" s="104"/>
      <c r="OUT314" s="104"/>
      <c r="OUU314" s="104"/>
      <c r="OUV314" s="104"/>
      <c r="OUW314" s="104"/>
      <c r="OUX314" s="104"/>
      <c r="OUY314" s="104"/>
      <c r="OUZ314" s="104"/>
      <c r="OVA314" s="104"/>
      <c r="OVB314" s="104"/>
      <c r="OVC314" s="104"/>
      <c r="OVD314" s="104"/>
      <c r="OVE314" s="104"/>
      <c r="OVF314" s="104"/>
      <c r="OVG314" s="104"/>
      <c r="OVH314" s="104"/>
      <c r="OVI314" s="104"/>
      <c r="OVJ314" s="104"/>
      <c r="OVK314" s="104"/>
      <c r="OVL314" s="104"/>
      <c r="OVM314" s="104"/>
      <c r="OVN314" s="104"/>
      <c r="OVO314" s="104"/>
      <c r="OVP314" s="104"/>
      <c r="OVQ314" s="104"/>
      <c r="OVR314" s="104"/>
      <c r="OVS314" s="104"/>
      <c r="OVT314" s="104"/>
      <c r="OVU314" s="104"/>
      <c r="OVV314" s="104"/>
      <c r="OVW314" s="104"/>
      <c r="OVX314" s="104"/>
      <c r="OVY314" s="104"/>
      <c r="OVZ314" s="104"/>
      <c r="OWA314" s="104"/>
      <c r="OWB314" s="104"/>
      <c r="OWC314" s="104"/>
      <c r="OWD314" s="104"/>
      <c r="OWE314" s="104"/>
      <c r="OWF314" s="104"/>
      <c r="OWG314" s="104"/>
      <c r="OWH314" s="104"/>
      <c r="OWI314" s="104"/>
      <c r="OWJ314" s="104"/>
      <c r="OWK314" s="104"/>
      <c r="OWL314" s="104"/>
      <c r="OWM314" s="104"/>
      <c r="OWN314" s="104"/>
      <c r="OWO314" s="104"/>
      <c r="OWP314" s="104"/>
      <c r="OWQ314" s="104"/>
      <c r="OWR314" s="104"/>
      <c r="OWS314" s="104"/>
      <c r="OWT314" s="104"/>
      <c r="OWU314" s="104"/>
      <c r="OWV314" s="104"/>
      <c r="OWW314" s="104"/>
      <c r="OWX314" s="104"/>
      <c r="OWY314" s="104"/>
      <c r="OWZ314" s="104"/>
      <c r="OXA314" s="104"/>
      <c r="OXB314" s="104"/>
      <c r="OXC314" s="104"/>
      <c r="OXD314" s="104"/>
      <c r="OXE314" s="104"/>
      <c r="OXF314" s="104"/>
      <c r="OXG314" s="104"/>
      <c r="OXH314" s="104"/>
      <c r="OXI314" s="104"/>
      <c r="OXJ314" s="104"/>
      <c r="OXK314" s="104"/>
      <c r="OXL314" s="104"/>
      <c r="OXM314" s="104"/>
      <c r="OXN314" s="104"/>
      <c r="OXO314" s="104"/>
      <c r="OXP314" s="104"/>
      <c r="OXQ314" s="104"/>
      <c r="OXR314" s="104"/>
      <c r="OXS314" s="104"/>
      <c r="OXT314" s="104"/>
      <c r="OXU314" s="104"/>
      <c r="OXV314" s="104"/>
      <c r="OXW314" s="104"/>
      <c r="OXX314" s="104"/>
      <c r="OXY314" s="104"/>
      <c r="OXZ314" s="104"/>
      <c r="OYA314" s="104"/>
      <c r="OYB314" s="104"/>
      <c r="OYC314" s="104"/>
      <c r="OYD314" s="104"/>
      <c r="OYE314" s="104"/>
      <c r="OYF314" s="104"/>
      <c r="OYG314" s="104"/>
      <c r="OYH314" s="104"/>
      <c r="OYI314" s="104"/>
      <c r="OYJ314" s="104"/>
      <c r="OYK314" s="104"/>
      <c r="OYL314" s="104"/>
      <c r="OYM314" s="104"/>
      <c r="OYN314" s="104"/>
      <c r="OYO314" s="104"/>
      <c r="OYP314" s="104"/>
      <c r="OYQ314" s="104"/>
      <c r="OYR314" s="104"/>
      <c r="OYS314" s="104"/>
      <c r="OYT314" s="104"/>
      <c r="OYU314" s="104"/>
      <c r="OYV314" s="104"/>
      <c r="OYW314" s="104"/>
      <c r="OYX314" s="104"/>
      <c r="OYY314" s="104"/>
      <c r="OYZ314" s="104"/>
      <c r="OZA314" s="104"/>
      <c r="OZB314" s="104"/>
      <c r="OZC314" s="104"/>
      <c r="OZD314" s="104"/>
      <c r="OZE314" s="104"/>
      <c r="OZF314" s="104"/>
      <c r="OZG314" s="104"/>
      <c r="OZH314" s="104"/>
      <c r="OZI314" s="104"/>
      <c r="OZJ314" s="104"/>
      <c r="OZK314" s="104"/>
      <c r="OZL314" s="104"/>
      <c r="OZM314" s="104"/>
      <c r="OZN314" s="104"/>
      <c r="OZO314" s="104"/>
      <c r="OZP314" s="104"/>
      <c r="OZQ314" s="104"/>
      <c r="OZR314" s="104"/>
      <c r="OZS314" s="104"/>
      <c r="OZT314" s="104"/>
      <c r="OZU314" s="104"/>
      <c r="OZV314" s="104"/>
      <c r="OZW314" s="104"/>
      <c r="OZX314" s="104"/>
      <c r="OZY314" s="104"/>
      <c r="OZZ314" s="104"/>
      <c r="PAA314" s="104"/>
      <c r="PAB314" s="104"/>
      <c r="PAC314" s="104"/>
      <c r="PAD314" s="104"/>
      <c r="PAE314" s="104"/>
      <c r="PAF314" s="104"/>
      <c r="PAG314" s="104"/>
      <c r="PAH314" s="104"/>
      <c r="PAI314" s="104"/>
      <c r="PAJ314" s="104"/>
      <c r="PAK314" s="104"/>
      <c r="PAL314" s="104"/>
      <c r="PAM314" s="104"/>
      <c r="PAN314" s="104"/>
      <c r="PAO314" s="104"/>
      <c r="PAP314" s="104"/>
      <c r="PAQ314" s="104"/>
      <c r="PAR314" s="104"/>
      <c r="PAS314" s="104"/>
      <c r="PAT314" s="104"/>
      <c r="PAU314" s="104"/>
      <c r="PAV314" s="104"/>
      <c r="PAW314" s="104"/>
      <c r="PAX314" s="104"/>
      <c r="PAY314" s="104"/>
      <c r="PAZ314" s="104"/>
      <c r="PBA314" s="104"/>
      <c r="PBB314" s="104"/>
      <c r="PBC314" s="104"/>
      <c r="PBD314" s="104"/>
      <c r="PBE314" s="104"/>
      <c r="PBF314" s="104"/>
      <c r="PBG314" s="104"/>
      <c r="PBH314" s="104"/>
      <c r="PBI314" s="104"/>
      <c r="PBJ314" s="104"/>
      <c r="PBK314" s="104"/>
      <c r="PBL314" s="104"/>
      <c r="PBM314" s="104"/>
      <c r="PBN314" s="104"/>
      <c r="PBO314" s="104"/>
      <c r="PBP314" s="104"/>
      <c r="PBQ314" s="104"/>
      <c r="PBR314" s="104"/>
      <c r="PBS314" s="104"/>
      <c r="PBT314" s="104"/>
      <c r="PBU314" s="104"/>
      <c r="PBV314" s="104"/>
      <c r="PBW314" s="104"/>
      <c r="PBX314" s="104"/>
      <c r="PBY314" s="104"/>
      <c r="PBZ314" s="104"/>
      <c r="PCA314" s="104"/>
      <c r="PCB314" s="104"/>
      <c r="PCC314" s="104"/>
      <c r="PCD314" s="104"/>
      <c r="PCE314" s="104"/>
      <c r="PCF314" s="104"/>
      <c r="PCG314" s="104"/>
      <c r="PCH314" s="104"/>
      <c r="PCI314" s="104"/>
      <c r="PCJ314" s="104"/>
      <c r="PCK314" s="104"/>
      <c r="PCL314" s="104"/>
      <c r="PCM314" s="104"/>
      <c r="PCN314" s="104"/>
      <c r="PCO314" s="104"/>
      <c r="PCP314" s="104"/>
      <c r="PCQ314" s="104"/>
      <c r="PCR314" s="104"/>
      <c r="PCS314" s="104"/>
      <c r="PCT314" s="104"/>
      <c r="PCU314" s="104"/>
      <c r="PCV314" s="104"/>
      <c r="PCW314" s="104"/>
      <c r="PCX314" s="104"/>
      <c r="PCY314" s="104"/>
      <c r="PCZ314" s="104"/>
      <c r="PDA314" s="104"/>
      <c r="PDB314" s="104"/>
      <c r="PDC314" s="104"/>
      <c r="PDD314" s="104"/>
      <c r="PDE314" s="104"/>
      <c r="PDF314" s="104"/>
      <c r="PDG314" s="104"/>
      <c r="PDH314" s="104"/>
      <c r="PDI314" s="104"/>
      <c r="PDJ314" s="104"/>
      <c r="PDK314" s="104"/>
      <c r="PDL314" s="104"/>
      <c r="PDM314" s="104"/>
      <c r="PDN314" s="104"/>
      <c r="PDO314" s="104"/>
      <c r="PDP314" s="104"/>
      <c r="PDQ314" s="104"/>
      <c r="PDR314" s="104"/>
      <c r="PDS314" s="104"/>
      <c r="PDT314" s="104"/>
      <c r="PDU314" s="104"/>
      <c r="PDV314" s="104"/>
      <c r="PDW314" s="104"/>
      <c r="PDX314" s="104"/>
      <c r="PDY314" s="104"/>
      <c r="PDZ314" s="104"/>
      <c r="PEA314" s="104"/>
      <c r="PEB314" s="104"/>
      <c r="PEC314" s="104"/>
      <c r="PED314" s="104"/>
      <c r="PEE314" s="104"/>
      <c r="PEF314" s="104"/>
      <c r="PEG314" s="104"/>
      <c r="PEH314" s="104"/>
      <c r="PEI314" s="104"/>
      <c r="PEJ314" s="104"/>
      <c r="PEK314" s="104"/>
      <c r="PEL314" s="104"/>
      <c r="PEM314" s="104"/>
      <c r="PEN314" s="104"/>
      <c r="PEO314" s="104"/>
      <c r="PEP314" s="104"/>
      <c r="PEQ314" s="104"/>
      <c r="PER314" s="104"/>
      <c r="PES314" s="104"/>
      <c r="PET314" s="104"/>
      <c r="PEU314" s="104"/>
      <c r="PEV314" s="104"/>
      <c r="PEW314" s="104"/>
      <c r="PEX314" s="104"/>
      <c r="PEY314" s="104"/>
      <c r="PEZ314" s="104"/>
      <c r="PFA314" s="104"/>
      <c r="PFB314" s="104"/>
      <c r="PFC314" s="104"/>
      <c r="PFD314" s="104"/>
      <c r="PFE314" s="104"/>
      <c r="PFF314" s="104"/>
      <c r="PFG314" s="104"/>
      <c r="PFH314" s="104"/>
      <c r="PFI314" s="104"/>
      <c r="PFJ314" s="104"/>
      <c r="PFK314" s="104"/>
      <c r="PFL314" s="104"/>
      <c r="PFM314" s="104"/>
      <c r="PFN314" s="104"/>
      <c r="PFO314" s="104"/>
      <c r="PFP314" s="104"/>
      <c r="PFQ314" s="104"/>
      <c r="PFR314" s="104"/>
      <c r="PFS314" s="104"/>
      <c r="PFT314" s="104"/>
      <c r="PFU314" s="104"/>
      <c r="PFV314" s="104"/>
      <c r="PFW314" s="104"/>
      <c r="PFX314" s="104"/>
      <c r="PFY314" s="104"/>
      <c r="PFZ314" s="104"/>
      <c r="PGA314" s="104"/>
      <c r="PGB314" s="104"/>
      <c r="PGC314" s="104"/>
      <c r="PGD314" s="104"/>
      <c r="PGE314" s="104"/>
      <c r="PGF314" s="104"/>
      <c r="PGG314" s="104"/>
      <c r="PGH314" s="104"/>
      <c r="PGI314" s="104"/>
      <c r="PGJ314" s="104"/>
      <c r="PGK314" s="104"/>
      <c r="PGL314" s="104"/>
      <c r="PGM314" s="104"/>
      <c r="PGN314" s="104"/>
      <c r="PGO314" s="104"/>
      <c r="PGP314" s="104"/>
      <c r="PGQ314" s="104"/>
      <c r="PGR314" s="104"/>
      <c r="PGS314" s="104"/>
      <c r="PGT314" s="104"/>
      <c r="PGU314" s="104"/>
      <c r="PGV314" s="104"/>
      <c r="PGW314" s="104"/>
      <c r="PGX314" s="104"/>
      <c r="PGY314" s="104"/>
      <c r="PGZ314" s="104"/>
      <c r="PHA314" s="104"/>
      <c r="PHB314" s="104"/>
      <c r="PHC314" s="104"/>
      <c r="PHD314" s="104"/>
      <c r="PHE314" s="104"/>
      <c r="PHF314" s="104"/>
      <c r="PHG314" s="104"/>
      <c r="PHH314" s="104"/>
      <c r="PHI314" s="104"/>
      <c r="PHJ314" s="104"/>
      <c r="PHK314" s="104"/>
      <c r="PHL314" s="104"/>
      <c r="PHM314" s="104"/>
      <c r="PHN314" s="104"/>
      <c r="PHO314" s="104"/>
      <c r="PHP314" s="104"/>
      <c r="PHQ314" s="104"/>
      <c r="PHR314" s="104"/>
      <c r="PHS314" s="104"/>
      <c r="PHT314" s="104"/>
      <c r="PHU314" s="104"/>
      <c r="PHV314" s="104"/>
      <c r="PHW314" s="104"/>
      <c r="PHX314" s="104"/>
      <c r="PHY314" s="104"/>
      <c r="PHZ314" s="104"/>
      <c r="PIA314" s="104"/>
      <c r="PIB314" s="104"/>
      <c r="PIC314" s="104"/>
      <c r="PID314" s="104"/>
      <c r="PIE314" s="104"/>
      <c r="PIF314" s="104"/>
      <c r="PIG314" s="104"/>
      <c r="PIH314" s="104"/>
      <c r="PII314" s="104"/>
      <c r="PIJ314" s="104"/>
      <c r="PIK314" s="104"/>
      <c r="PIL314" s="104"/>
      <c r="PIM314" s="104"/>
      <c r="PIN314" s="104"/>
      <c r="PIO314" s="104"/>
      <c r="PIP314" s="104"/>
      <c r="PIQ314" s="104"/>
      <c r="PIR314" s="104"/>
      <c r="PIS314" s="104"/>
      <c r="PIT314" s="104"/>
      <c r="PIU314" s="104"/>
      <c r="PIV314" s="104"/>
      <c r="PIW314" s="104"/>
      <c r="PIX314" s="104"/>
      <c r="PIY314" s="104"/>
      <c r="PIZ314" s="104"/>
      <c r="PJA314" s="104"/>
      <c r="PJB314" s="104"/>
      <c r="PJC314" s="104"/>
      <c r="PJD314" s="104"/>
      <c r="PJE314" s="104"/>
      <c r="PJF314" s="104"/>
      <c r="PJG314" s="104"/>
      <c r="PJH314" s="104"/>
      <c r="PJI314" s="104"/>
      <c r="PJJ314" s="104"/>
      <c r="PJK314" s="104"/>
      <c r="PJL314" s="104"/>
      <c r="PJM314" s="104"/>
      <c r="PJN314" s="104"/>
      <c r="PJO314" s="104"/>
      <c r="PJP314" s="104"/>
      <c r="PJQ314" s="104"/>
      <c r="PJR314" s="104"/>
      <c r="PJS314" s="104"/>
      <c r="PJT314" s="104"/>
      <c r="PJU314" s="104"/>
      <c r="PJV314" s="104"/>
      <c r="PJW314" s="104"/>
      <c r="PJX314" s="104"/>
      <c r="PJY314" s="104"/>
      <c r="PJZ314" s="104"/>
      <c r="PKA314" s="104"/>
      <c r="PKB314" s="104"/>
      <c r="PKC314" s="104"/>
      <c r="PKD314" s="104"/>
      <c r="PKE314" s="104"/>
      <c r="PKF314" s="104"/>
      <c r="PKG314" s="104"/>
      <c r="PKH314" s="104"/>
      <c r="PKI314" s="104"/>
      <c r="PKJ314" s="104"/>
      <c r="PKK314" s="104"/>
      <c r="PKL314" s="104"/>
      <c r="PKM314" s="104"/>
      <c r="PKN314" s="104"/>
      <c r="PKO314" s="104"/>
      <c r="PKP314" s="104"/>
      <c r="PKQ314" s="104"/>
      <c r="PKR314" s="104"/>
      <c r="PKS314" s="104"/>
      <c r="PKT314" s="104"/>
      <c r="PKU314" s="104"/>
      <c r="PKV314" s="104"/>
      <c r="PKW314" s="104"/>
      <c r="PKX314" s="104"/>
      <c r="PKY314" s="104"/>
      <c r="PKZ314" s="104"/>
      <c r="PLA314" s="104"/>
      <c r="PLB314" s="104"/>
      <c r="PLC314" s="104"/>
      <c r="PLD314" s="104"/>
      <c r="PLE314" s="104"/>
      <c r="PLF314" s="104"/>
      <c r="PLG314" s="104"/>
      <c r="PLH314" s="104"/>
      <c r="PLI314" s="104"/>
      <c r="PLJ314" s="104"/>
      <c r="PLK314" s="104"/>
      <c r="PLL314" s="104"/>
      <c r="PLM314" s="104"/>
      <c r="PLN314" s="104"/>
      <c r="PLO314" s="104"/>
      <c r="PLP314" s="104"/>
      <c r="PLQ314" s="104"/>
      <c r="PLR314" s="104"/>
      <c r="PLS314" s="104"/>
      <c r="PLT314" s="104"/>
      <c r="PLU314" s="104"/>
      <c r="PLV314" s="104"/>
      <c r="PLW314" s="104"/>
      <c r="PLX314" s="104"/>
      <c r="PLY314" s="104"/>
      <c r="PLZ314" s="104"/>
      <c r="PMA314" s="104"/>
      <c r="PMB314" s="104"/>
      <c r="PMC314" s="104"/>
      <c r="PMD314" s="104"/>
      <c r="PME314" s="104"/>
      <c r="PMF314" s="104"/>
      <c r="PMG314" s="104"/>
      <c r="PMH314" s="104"/>
      <c r="PMI314" s="104"/>
      <c r="PMJ314" s="104"/>
      <c r="PMK314" s="104"/>
      <c r="PML314" s="104"/>
      <c r="PMM314" s="104"/>
      <c r="PMN314" s="104"/>
      <c r="PMO314" s="104"/>
      <c r="PMP314" s="104"/>
      <c r="PMQ314" s="104"/>
      <c r="PMR314" s="104"/>
      <c r="PMS314" s="104"/>
      <c r="PMT314" s="104"/>
      <c r="PMU314" s="104"/>
      <c r="PMV314" s="104"/>
      <c r="PMW314" s="104"/>
      <c r="PMX314" s="104"/>
      <c r="PMY314" s="104"/>
      <c r="PMZ314" s="104"/>
      <c r="PNA314" s="104"/>
      <c r="PNB314" s="104"/>
      <c r="PNC314" s="104"/>
      <c r="PND314" s="104"/>
      <c r="PNE314" s="104"/>
      <c r="PNF314" s="104"/>
      <c r="PNG314" s="104"/>
      <c r="PNH314" s="104"/>
      <c r="PNI314" s="104"/>
      <c r="PNJ314" s="104"/>
      <c r="PNK314" s="104"/>
      <c r="PNL314" s="104"/>
      <c r="PNM314" s="104"/>
      <c r="PNN314" s="104"/>
      <c r="PNO314" s="104"/>
      <c r="PNP314" s="104"/>
      <c r="PNQ314" s="104"/>
      <c r="PNR314" s="104"/>
      <c r="PNS314" s="104"/>
      <c r="PNT314" s="104"/>
      <c r="PNU314" s="104"/>
      <c r="PNV314" s="104"/>
      <c r="PNW314" s="104"/>
      <c r="PNX314" s="104"/>
      <c r="PNY314" s="104"/>
      <c r="PNZ314" s="104"/>
      <c r="POA314" s="104"/>
      <c r="POB314" s="104"/>
      <c r="POC314" s="104"/>
      <c r="POD314" s="104"/>
      <c r="POE314" s="104"/>
      <c r="POF314" s="104"/>
      <c r="POG314" s="104"/>
      <c r="POH314" s="104"/>
      <c r="POI314" s="104"/>
      <c r="POJ314" s="104"/>
      <c r="POK314" s="104"/>
      <c r="POL314" s="104"/>
      <c r="POM314" s="104"/>
      <c r="PON314" s="104"/>
      <c r="POO314" s="104"/>
      <c r="POP314" s="104"/>
      <c r="POQ314" s="104"/>
      <c r="POR314" s="104"/>
      <c r="POS314" s="104"/>
      <c r="POT314" s="104"/>
      <c r="POU314" s="104"/>
      <c r="POV314" s="104"/>
      <c r="POW314" s="104"/>
      <c r="POX314" s="104"/>
      <c r="POY314" s="104"/>
      <c r="POZ314" s="104"/>
      <c r="PPA314" s="104"/>
      <c r="PPB314" s="104"/>
      <c r="PPC314" s="104"/>
      <c r="PPD314" s="104"/>
      <c r="PPE314" s="104"/>
      <c r="PPF314" s="104"/>
      <c r="PPG314" s="104"/>
      <c r="PPH314" s="104"/>
      <c r="PPI314" s="104"/>
      <c r="PPJ314" s="104"/>
      <c r="PPK314" s="104"/>
      <c r="PPL314" s="104"/>
      <c r="PPM314" s="104"/>
      <c r="PPN314" s="104"/>
      <c r="PPO314" s="104"/>
      <c r="PPP314" s="104"/>
      <c r="PPQ314" s="104"/>
      <c r="PPR314" s="104"/>
      <c r="PPS314" s="104"/>
      <c r="PPT314" s="104"/>
      <c r="PPU314" s="104"/>
      <c r="PPV314" s="104"/>
      <c r="PPW314" s="104"/>
      <c r="PPX314" s="104"/>
      <c r="PPY314" s="104"/>
      <c r="PPZ314" s="104"/>
      <c r="PQA314" s="104"/>
      <c r="PQB314" s="104"/>
      <c r="PQC314" s="104"/>
      <c r="PQD314" s="104"/>
      <c r="PQE314" s="104"/>
      <c r="PQF314" s="104"/>
      <c r="PQG314" s="104"/>
      <c r="PQH314" s="104"/>
      <c r="PQI314" s="104"/>
      <c r="PQJ314" s="104"/>
      <c r="PQK314" s="104"/>
      <c r="PQL314" s="104"/>
      <c r="PQM314" s="104"/>
      <c r="PQN314" s="104"/>
      <c r="PQO314" s="104"/>
      <c r="PQP314" s="104"/>
      <c r="PQQ314" s="104"/>
      <c r="PQR314" s="104"/>
      <c r="PQS314" s="104"/>
      <c r="PQT314" s="104"/>
      <c r="PQU314" s="104"/>
      <c r="PQV314" s="104"/>
      <c r="PQW314" s="104"/>
      <c r="PQX314" s="104"/>
      <c r="PQY314" s="104"/>
      <c r="PQZ314" s="104"/>
      <c r="PRA314" s="104"/>
      <c r="PRB314" s="104"/>
      <c r="PRC314" s="104"/>
      <c r="PRD314" s="104"/>
      <c r="PRE314" s="104"/>
      <c r="PRF314" s="104"/>
      <c r="PRG314" s="104"/>
      <c r="PRH314" s="104"/>
      <c r="PRI314" s="104"/>
      <c r="PRJ314" s="104"/>
      <c r="PRK314" s="104"/>
      <c r="PRL314" s="104"/>
      <c r="PRM314" s="104"/>
      <c r="PRN314" s="104"/>
      <c r="PRO314" s="104"/>
      <c r="PRP314" s="104"/>
      <c r="PRQ314" s="104"/>
      <c r="PRR314" s="104"/>
      <c r="PRS314" s="104"/>
      <c r="PRT314" s="104"/>
      <c r="PRU314" s="104"/>
      <c r="PRV314" s="104"/>
      <c r="PRW314" s="104"/>
      <c r="PRX314" s="104"/>
      <c r="PRY314" s="104"/>
      <c r="PRZ314" s="104"/>
      <c r="PSA314" s="104"/>
      <c r="PSB314" s="104"/>
      <c r="PSC314" s="104"/>
      <c r="PSD314" s="104"/>
      <c r="PSE314" s="104"/>
      <c r="PSF314" s="104"/>
      <c r="PSG314" s="104"/>
      <c r="PSH314" s="104"/>
      <c r="PSI314" s="104"/>
      <c r="PSJ314" s="104"/>
      <c r="PSK314" s="104"/>
      <c r="PSL314" s="104"/>
      <c r="PSM314" s="104"/>
      <c r="PSN314" s="104"/>
      <c r="PSO314" s="104"/>
      <c r="PSP314" s="104"/>
      <c r="PSQ314" s="104"/>
      <c r="PSR314" s="104"/>
      <c r="PSS314" s="104"/>
      <c r="PST314" s="104"/>
      <c r="PSU314" s="104"/>
      <c r="PSV314" s="104"/>
      <c r="PSW314" s="104"/>
      <c r="PSX314" s="104"/>
      <c r="PSY314" s="104"/>
      <c r="PSZ314" s="104"/>
      <c r="PTA314" s="104"/>
      <c r="PTB314" s="104"/>
      <c r="PTC314" s="104"/>
      <c r="PTD314" s="104"/>
      <c r="PTE314" s="104"/>
      <c r="PTF314" s="104"/>
      <c r="PTG314" s="104"/>
      <c r="PTH314" s="104"/>
      <c r="PTI314" s="104"/>
      <c r="PTJ314" s="104"/>
      <c r="PTK314" s="104"/>
      <c r="PTL314" s="104"/>
      <c r="PTM314" s="104"/>
      <c r="PTN314" s="104"/>
      <c r="PTO314" s="104"/>
      <c r="PTP314" s="104"/>
      <c r="PTQ314" s="104"/>
      <c r="PTR314" s="104"/>
      <c r="PTS314" s="104"/>
      <c r="PTT314" s="104"/>
      <c r="PTU314" s="104"/>
      <c r="PTV314" s="104"/>
      <c r="PTW314" s="104"/>
      <c r="PTX314" s="104"/>
      <c r="PTY314" s="104"/>
      <c r="PTZ314" s="104"/>
      <c r="PUA314" s="104"/>
      <c r="PUB314" s="104"/>
      <c r="PUC314" s="104"/>
      <c r="PUD314" s="104"/>
      <c r="PUE314" s="104"/>
      <c r="PUF314" s="104"/>
      <c r="PUG314" s="104"/>
      <c r="PUH314" s="104"/>
      <c r="PUI314" s="104"/>
      <c r="PUJ314" s="104"/>
      <c r="PUK314" s="104"/>
      <c r="PUL314" s="104"/>
      <c r="PUM314" s="104"/>
      <c r="PUN314" s="104"/>
      <c r="PUO314" s="104"/>
      <c r="PUP314" s="104"/>
      <c r="PUQ314" s="104"/>
      <c r="PUR314" s="104"/>
      <c r="PUS314" s="104"/>
      <c r="PUT314" s="104"/>
      <c r="PUU314" s="104"/>
      <c r="PUV314" s="104"/>
      <c r="PUW314" s="104"/>
      <c r="PUX314" s="104"/>
      <c r="PUY314" s="104"/>
      <c r="PUZ314" s="104"/>
      <c r="PVA314" s="104"/>
      <c r="PVB314" s="104"/>
      <c r="PVC314" s="104"/>
      <c r="PVD314" s="104"/>
      <c r="PVE314" s="104"/>
      <c r="PVF314" s="104"/>
      <c r="PVG314" s="104"/>
      <c r="PVH314" s="104"/>
      <c r="PVI314" s="104"/>
      <c r="PVJ314" s="104"/>
      <c r="PVK314" s="104"/>
      <c r="PVL314" s="104"/>
      <c r="PVM314" s="104"/>
      <c r="PVN314" s="104"/>
      <c r="PVO314" s="104"/>
      <c r="PVP314" s="104"/>
      <c r="PVQ314" s="104"/>
      <c r="PVR314" s="104"/>
      <c r="PVS314" s="104"/>
      <c r="PVT314" s="104"/>
      <c r="PVU314" s="104"/>
      <c r="PVV314" s="104"/>
      <c r="PVW314" s="104"/>
      <c r="PVX314" s="104"/>
      <c r="PVY314" s="104"/>
      <c r="PVZ314" s="104"/>
      <c r="PWA314" s="104"/>
      <c r="PWB314" s="104"/>
      <c r="PWC314" s="104"/>
      <c r="PWD314" s="104"/>
      <c r="PWE314" s="104"/>
      <c r="PWF314" s="104"/>
      <c r="PWG314" s="104"/>
      <c r="PWH314" s="104"/>
      <c r="PWI314" s="104"/>
      <c r="PWJ314" s="104"/>
      <c r="PWK314" s="104"/>
      <c r="PWL314" s="104"/>
      <c r="PWM314" s="104"/>
      <c r="PWN314" s="104"/>
      <c r="PWO314" s="104"/>
      <c r="PWP314" s="104"/>
      <c r="PWQ314" s="104"/>
      <c r="PWR314" s="104"/>
      <c r="PWS314" s="104"/>
      <c r="PWT314" s="104"/>
      <c r="PWU314" s="104"/>
      <c r="PWV314" s="104"/>
      <c r="PWW314" s="104"/>
      <c r="PWX314" s="104"/>
      <c r="PWY314" s="104"/>
      <c r="PWZ314" s="104"/>
      <c r="PXA314" s="104"/>
      <c r="PXB314" s="104"/>
      <c r="PXC314" s="104"/>
      <c r="PXD314" s="104"/>
      <c r="PXE314" s="104"/>
      <c r="PXF314" s="104"/>
      <c r="PXG314" s="104"/>
      <c r="PXH314" s="104"/>
      <c r="PXI314" s="104"/>
      <c r="PXJ314" s="104"/>
      <c r="PXK314" s="104"/>
      <c r="PXL314" s="104"/>
      <c r="PXM314" s="104"/>
      <c r="PXN314" s="104"/>
      <c r="PXO314" s="104"/>
      <c r="PXP314" s="104"/>
      <c r="PXQ314" s="104"/>
      <c r="PXR314" s="104"/>
      <c r="PXS314" s="104"/>
      <c r="PXT314" s="104"/>
      <c r="PXU314" s="104"/>
      <c r="PXV314" s="104"/>
      <c r="PXW314" s="104"/>
      <c r="PXX314" s="104"/>
      <c r="PXY314" s="104"/>
      <c r="PXZ314" s="104"/>
      <c r="PYA314" s="104"/>
      <c r="PYB314" s="104"/>
      <c r="PYC314" s="104"/>
      <c r="PYD314" s="104"/>
      <c r="PYE314" s="104"/>
      <c r="PYF314" s="104"/>
      <c r="PYG314" s="104"/>
      <c r="PYH314" s="104"/>
      <c r="PYI314" s="104"/>
      <c r="PYJ314" s="104"/>
      <c r="PYK314" s="104"/>
      <c r="PYL314" s="104"/>
      <c r="PYM314" s="104"/>
      <c r="PYN314" s="104"/>
      <c r="PYO314" s="104"/>
      <c r="PYP314" s="104"/>
      <c r="PYQ314" s="104"/>
      <c r="PYR314" s="104"/>
      <c r="PYS314" s="104"/>
      <c r="PYT314" s="104"/>
      <c r="PYU314" s="104"/>
      <c r="PYV314" s="104"/>
      <c r="PYW314" s="104"/>
      <c r="PYX314" s="104"/>
      <c r="PYY314" s="104"/>
      <c r="PYZ314" s="104"/>
      <c r="PZA314" s="104"/>
      <c r="PZB314" s="104"/>
      <c r="PZC314" s="104"/>
      <c r="PZD314" s="104"/>
      <c r="PZE314" s="104"/>
      <c r="PZF314" s="104"/>
      <c r="PZG314" s="104"/>
      <c r="PZH314" s="104"/>
      <c r="PZI314" s="104"/>
      <c r="PZJ314" s="104"/>
      <c r="PZK314" s="104"/>
      <c r="PZL314" s="104"/>
      <c r="PZM314" s="104"/>
      <c r="PZN314" s="104"/>
      <c r="PZO314" s="104"/>
      <c r="PZP314" s="104"/>
      <c r="PZQ314" s="104"/>
      <c r="PZR314" s="104"/>
      <c r="PZS314" s="104"/>
      <c r="PZT314" s="104"/>
      <c r="PZU314" s="104"/>
      <c r="PZV314" s="104"/>
      <c r="PZW314" s="104"/>
      <c r="PZX314" s="104"/>
      <c r="PZY314" s="104"/>
      <c r="PZZ314" s="104"/>
      <c r="QAA314" s="104"/>
      <c r="QAB314" s="104"/>
      <c r="QAC314" s="104"/>
      <c r="QAD314" s="104"/>
      <c r="QAE314" s="104"/>
      <c r="QAF314" s="104"/>
      <c r="QAG314" s="104"/>
      <c r="QAH314" s="104"/>
      <c r="QAI314" s="104"/>
      <c r="QAJ314" s="104"/>
      <c r="QAK314" s="104"/>
      <c r="QAL314" s="104"/>
      <c r="QAM314" s="104"/>
      <c r="QAN314" s="104"/>
      <c r="QAO314" s="104"/>
      <c r="QAP314" s="104"/>
      <c r="QAQ314" s="104"/>
      <c r="QAR314" s="104"/>
      <c r="QAS314" s="104"/>
      <c r="QAT314" s="104"/>
      <c r="QAU314" s="104"/>
      <c r="QAV314" s="104"/>
      <c r="QAW314" s="104"/>
      <c r="QAX314" s="104"/>
      <c r="QAY314" s="104"/>
      <c r="QAZ314" s="104"/>
      <c r="QBA314" s="104"/>
      <c r="QBB314" s="104"/>
      <c r="QBC314" s="104"/>
      <c r="QBD314" s="104"/>
      <c r="QBE314" s="104"/>
      <c r="QBF314" s="104"/>
      <c r="QBG314" s="104"/>
      <c r="QBH314" s="104"/>
      <c r="QBI314" s="104"/>
      <c r="QBJ314" s="104"/>
      <c r="QBK314" s="104"/>
      <c r="QBL314" s="104"/>
      <c r="QBM314" s="104"/>
      <c r="QBN314" s="104"/>
      <c r="QBO314" s="104"/>
      <c r="QBP314" s="104"/>
      <c r="QBQ314" s="104"/>
      <c r="QBR314" s="104"/>
      <c r="QBS314" s="104"/>
      <c r="QBT314" s="104"/>
      <c r="QBU314" s="104"/>
      <c r="QBV314" s="104"/>
      <c r="QBW314" s="104"/>
      <c r="QBX314" s="104"/>
      <c r="QBY314" s="104"/>
      <c r="QBZ314" s="104"/>
      <c r="QCA314" s="104"/>
      <c r="QCB314" s="104"/>
      <c r="QCC314" s="104"/>
      <c r="QCD314" s="104"/>
      <c r="QCE314" s="104"/>
      <c r="QCF314" s="104"/>
      <c r="QCG314" s="104"/>
      <c r="QCH314" s="104"/>
      <c r="QCI314" s="104"/>
      <c r="QCJ314" s="104"/>
      <c r="QCK314" s="104"/>
      <c r="QCL314" s="104"/>
      <c r="QCM314" s="104"/>
      <c r="QCN314" s="104"/>
      <c r="QCO314" s="104"/>
      <c r="QCP314" s="104"/>
      <c r="QCQ314" s="104"/>
      <c r="QCR314" s="104"/>
      <c r="QCS314" s="104"/>
      <c r="QCT314" s="104"/>
      <c r="QCU314" s="104"/>
      <c r="QCV314" s="104"/>
      <c r="QCW314" s="104"/>
      <c r="QCX314" s="104"/>
      <c r="QCY314" s="104"/>
      <c r="QCZ314" s="104"/>
      <c r="QDA314" s="104"/>
      <c r="QDB314" s="104"/>
      <c r="QDC314" s="104"/>
      <c r="QDD314" s="104"/>
      <c r="QDE314" s="104"/>
      <c r="QDF314" s="104"/>
      <c r="QDG314" s="104"/>
      <c r="QDH314" s="104"/>
      <c r="QDI314" s="104"/>
      <c r="QDJ314" s="104"/>
      <c r="QDK314" s="104"/>
      <c r="QDL314" s="104"/>
      <c r="QDM314" s="104"/>
      <c r="QDN314" s="104"/>
      <c r="QDO314" s="104"/>
      <c r="QDP314" s="104"/>
      <c r="QDQ314" s="104"/>
      <c r="QDR314" s="104"/>
      <c r="QDS314" s="104"/>
      <c r="QDT314" s="104"/>
      <c r="QDU314" s="104"/>
      <c r="QDV314" s="104"/>
      <c r="QDW314" s="104"/>
      <c r="QDX314" s="104"/>
      <c r="QDY314" s="104"/>
      <c r="QDZ314" s="104"/>
      <c r="QEA314" s="104"/>
      <c r="QEB314" s="104"/>
      <c r="QEC314" s="104"/>
      <c r="QED314" s="104"/>
      <c r="QEE314" s="104"/>
      <c r="QEF314" s="104"/>
      <c r="QEG314" s="104"/>
      <c r="QEH314" s="104"/>
      <c r="QEI314" s="104"/>
      <c r="QEJ314" s="104"/>
      <c r="QEK314" s="104"/>
      <c r="QEL314" s="104"/>
      <c r="QEM314" s="104"/>
      <c r="QEN314" s="104"/>
      <c r="QEO314" s="104"/>
      <c r="QEP314" s="104"/>
      <c r="QEQ314" s="104"/>
      <c r="QER314" s="104"/>
      <c r="QES314" s="104"/>
      <c r="QET314" s="104"/>
      <c r="QEU314" s="104"/>
      <c r="QEV314" s="104"/>
      <c r="QEW314" s="104"/>
      <c r="QEX314" s="104"/>
      <c r="QEY314" s="104"/>
      <c r="QEZ314" s="104"/>
      <c r="QFA314" s="104"/>
      <c r="QFB314" s="104"/>
      <c r="QFC314" s="104"/>
      <c r="QFD314" s="104"/>
      <c r="QFE314" s="104"/>
      <c r="QFF314" s="104"/>
      <c r="QFG314" s="104"/>
      <c r="QFH314" s="104"/>
      <c r="QFI314" s="104"/>
      <c r="QFJ314" s="104"/>
      <c r="QFK314" s="104"/>
      <c r="QFL314" s="104"/>
      <c r="QFM314" s="104"/>
      <c r="QFN314" s="104"/>
      <c r="QFO314" s="104"/>
      <c r="QFP314" s="104"/>
      <c r="QFQ314" s="104"/>
      <c r="QFR314" s="104"/>
      <c r="QFS314" s="104"/>
      <c r="QFT314" s="104"/>
      <c r="QFU314" s="104"/>
      <c r="QFV314" s="104"/>
      <c r="QFW314" s="104"/>
      <c r="QFX314" s="104"/>
      <c r="QFY314" s="104"/>
      <c r="QFZ314" s="104"/>
      <c r="QGA314" s="104"/>
      <c r="QGB314" s="104"/>
      <c r="QGC314" s="104"/>
      <c r="QGD314" s="104"/>
      <c r="QGE314" s="104"/>
      <c r="QGF314" s="104"/>
      <c r="QGG314" s="104"/>
      <c r="QGH314" s="104"/>
      <c r="QGI314" s="104"/>
      <c r="QGJ314" s="104"/>
      <c r="QGK314" s="104"/>
      <c r="QGL314" s="104"/>
      <c r="QGM314" s="104"/>
      <c r="QGN314" s="104"/>
      <c r="QGO314" s="104"/>
      <c r="QGP314" s="104"/>
      <c r="QGQ314" s="104"/>
      <c r="QGR314" s="104"/>
      <c r="QGS314" s="104"/>
      <c r="QGT314" s="104"/>
      <c r="QGU314" s="104"/>
      <c r="QGV314" s="104"/>
      <c r="QGW314" s="104"/>
      <c r="QGX314" s="104"/>
      <c r="QGY314" s="104"/>
      <c r="QGZ314" s="104"/>
      <c r="QHA314" s="104"/>
      <c r="QHB314" s="104"/>
      <c r="QHC314" s="104"/>
      <c r="QHD314" s="104"/>
      <c r="QHE314" s="104"/>
      <c r="QHF314" s="104"/>
      <c r="QHG314" s="104"/>
      <c r="QHH314" s="104"/>
      <c r="QHI314" s="104"/>
      <c r="QHJ314" s="104"/>
      <c r="QHK314" s="104"/>
      <c r="QHL314" s="104"/>
      <c r="QHM314" s="104"/>
      <c r="QHN314" s="104"/>
      <c r="QHO314" s="104"/>
      <c r="QHP314" s="104"/>
      <c r="QHQ314" s="104"/>
      <c r="QHR314" s="104"/>
      <c r="QHS314" s="104"/>
      <c r="QHT314" s="104"/>
      <c r="QHU314" s="104"/>
      <c r="QHV314" s="104"/>
      <c r="QHW314" s="104"/>
      <c r="QHX314" s="104"/>
      <c r="QHY314" s="104"/>
      <c r="QHZ314" s="104"/>
      <c r="QIA314" s="104"/>
      <c r="QIB314" s="104"/>
      <c r="QIC314" s="104"/>
      <c r="QID314" s="104"/>
      <c r="QIE314" s="104"/>
      <c r="QIF314" s="104"/>
      <c r="QIG314" s="104"/>
      <c r="QIH314" s="104"/>
      <c r="QII314" s="104"/>
      <c r="QIJ314" s="104"/>
      <c r="QIK314" s="104"/>
      <c r="QIL314" s="104"/>
      <c r="QIM314" s="104"/>
      <c r="QIN314" s="104"/>
      <c r="QIO314" s="104"/>
      <c r="QIP314" s="104"/>
      <c r="QIQ314" s="104"/>
      <c r="QIR314" s="104"/>
      <c r="QIS314" s="104"/>
      <c r="QIT314" s="104"/>
      <c r="QIU314" s="104"/>
      <c r="QIV314" s="104"/>
      <c r="QIW314" s="104"/>
      <c r="QIX314" s="104"/>
      <c r="QIY314" s="104"/>
      <c r="QIZ314" s="104"/>
      <c r="QJA314" s="104"/>
      <c r="QJB314" s="104"/>
      <c r="QJC314" s="104"/>
      <c r="QJD314" s="104"/>
      <c r="QJE314" s="104"/>
      <c r="QJF314" s="104"/>
      <c r="QJG314" s="104"/>
      <c r="QJH314" s="104"/>
      <c r="QJI314" s="104"/>
      <c r="QJJ314" s="104"/>
      <c r="QJK314" s="104"/>
      <c r="QJL314" s="104"/>
      <c r="QJM314" s="104"/>
      <c r="QJN314" s="104"/>
      <c r="QJO314" s="104"/>
      <c r="QJP314" s="104"/>
      <c r="QJQ314" s="104"/>
      <c r="QJR314" s="104"/>
      <c r="QJS314" s="104"/>
      <c r="QJT314" s="104"/>
      <c r="QJU314" s="104"/>
      <c r="QJV314" s="104"/>
      <c r="QJW314" s="104"/>
      <c r="QJX314" s="104"/>
      <c r="QJY314" s="104"/>
      <c r="QJZ314" s="104"/>
      <c r="QKA314" s="104"/>
      <c r="QKB314" s="104"/>
      <c r="QKC314" s="104"/>
      <c r="QKD314" s="104"/>
      <c r="QKE314" s="104"/>
      <c r="QKF314" s="104"/>
      <c r="QKG314" s="104"/>
      <c r="QKH314" s="104"/>
      <c r="QKI314" s="104"/>
      <c r="QKJ314" s="104"/>
      <c r="QKK314" s="104"/>
      <c r="QKL314" s="104"/>
      <c r="QKM314" s="104"/>
      <c r="QKN314" s="104"/>
      <c r="QKO314" s="104"/>
      <c r="QKP314" s="104"/>
      <c r="QKQ314" s="104"/>
      <c r="QKR314" s="104"/>
      <c r="QKS314" s="104"/>
      <c r="QKT314" s="104"/>
      <c r="QKU314" s="104"/>
      <c r="QKV314" s="104"/>
      <c r="QKW314" s="104"/>
      <c r="QKX314" s="104"/>
      <c r="QKY314" s="104"/>
      <c r="QKZ314" s="104"/>
      <c r="QLA314" s="104"/>
      <c r="QLB314" s="104"/>
      <c r="QLC314" s="104"/>
      <c r="QLD314" s="104"/>
      <c r="QLE314" s="104"/>
      <c r="QLF314" s="104"/>
      <c r="QLG314" s="104"/>
      <c r="QLH314" s="104"/>
      <c r="QLI314" s="104"/>
      <c r="QLJ314" s="104"/>
      <c r="QLK314" s="104"/>
      <c r="QLL314" s="104"/>
      <c r="QLM314" s="104"/>
      <c r="QLN314" s="104"/>
      <c r="QLO314" s="104"/>
      <c r="QLP314" s="104"/>
      <c r="QLQ314" s="104"/>
      <c r="QLR314" s="104"/>
      <c r="QLS314" s="104"/>
      <c r="QLT314" s="104"/>
      <c r="QLU314" s="104"/>
      <c r="QLV314" s="104"/>
      <c r="QLW314" s="104"/>
      <c r="QLX314" s="104"/>
      <c r="QLY314" s="104"/>
      <c r="QLZ314" s="104"/>
      <c r="QMA314" s="104"/>
      <c r="QMB314" s="104"/>
      <c r="QMC314" s="104"/>
      <c r="QMD314" s="104"/>
      <c r="QME314" s="104"/>
      <c r="QMF314" s="104"/>
      <c r="QMG314" s="104"/>
      <c r="QMH314" s="104"/>
      <c r="QMI314" s="104"/>
      <c r="QMJ314" s="104"/>
      <c r="QMK314" s="104"/>
      <c r="QML314" s="104"/>
      <c r="QMM314" s="104"/>
      <c r="QMN314" s="104"/>
      <c r="QMO314" s="104"/>
      <c r="QMP314" s="104"/>
      <c r="QMQ314" s="104"/>
      <c r="QMR314" s="104"/>
      <c r="QMS314" s="104"/>
      <c r="QMT314" s="104"/>
      <c r="QMU314" s="104"/>
      <c r="QMV314" s="104"/>
      <c r="QMW314" s="104"/>
      <c r="QMX314" s="104"/>
      <c r="QMY314" s="104"/>
      <c r="QMZ314" s="104"/>
      <c r="QNA314" s="104"/>
      <c r="QNB314" s="104"/>
      <c r="QNC314" s="104"/>
      <c r="QND314" s="104"/>
      <c r="QNE314" s="104"/>
      <c r="QNF314" s="104"/>
      <c r="QNG314" s="104"/>
      <c r="QNH314" s="104"/>
      <c r="QNI314" s="104"/>
      <c r="QNJ314" s="104"/>
      <c r="QNK314" s="104"/>
      <c r="QNL314" s="104"/>
      <c r="QNM314" s="104"/>
      <c r="QNN314" s="104"/>
      <c r="QNO314" s="104"/>
      <c r="QNP314" s="104"/>
      <c r="QNQ314" s="104"/>
      <c r="QNR314" s="104"/>
      <c r="QNS314" s="104"/>
      <c r="QNT314" s="104"/>
      <c r="QNU314" s="104"/>
      <c r="QNV314" s="104"/>
      <c r="QNW314" s="104"/>
      <c r="QNX314" s="104"/>
      <c r="QNY314" s="104"/>
      <c r="QNZ314" s="104"/>
      <c r="QOA314" s="104"/>
      <c r="QOB314" s="104"/>
      <c r="QOC314" s="104"/>
      <c r="QOD314" s="104"/>
      <c r="QOE314" s="104"/>
      <c r="QOF314" s="104"/>
      <c r="QOG314" s="104"/>
      <c r="QOH314" s="104"/>
      <c r="QOI314" s="104"/>
      <c r="QOJ314" s="104"/>
      <c r="QOK314" s="104"/>
      <c r="QOL314" s="104"/>
      <c r="QOM314" s="104"/>
      <c r="QON314" s="104"/>
      <c r="QOO314" s="104"/>
      <c r="QOP314" s="104"/>
      <c r="QOQ314" s="104"/>
      <c r="QOR314" s="104"/>
      <c r="QOS314" s="104"/>
      <c r="QOT314" s="104"/>
      <c r="QOU314" s="104"/>
      <c r="QOV314" s="104"/>
      <c r="QOW314" s="104"/>
      <c r="QOX314" s="104"/>
      <c r="QOY314" s="104"/>
      <c r="QOZ314" s="104"/>
      <c r="QPA314" s="104"/>
      <c r="QPB314" s="104"/>
      <c r="QPC314" s="104"/>
      <c r="QPD314" s="104"/>
      <c r="QPE314" s="104"/>
      <c r="QPF314" s="104"/>
      <c r="QPG314" s="104"/>
      <c r="QPH314" s="104"/>
      <c r="QPI314" s="104"/>
      <c r="QPJ314" s="104"/>
      <c r="QPK314" s="104"/>
      <c r="QPL314" s="104"/>
      <c r="QPM314" s="104"/>
      <c r="QPN314" s="104"/>
      <c r="QPO314" s="104"/>
      <c r="QPP314" s="104"/>
      <c r="QPQ314" s="104"/>
      <c r="QPR314" s="104"/>
      <c r="QPS314" s="104"/>
      <c r="QPT314" s="104"/>
      <c r="QPU314" s="104"/>
      <c r="QPV314" s="104"/>
      <c r="QPW314" s="104"/>
      <c r="QPX314" s="104"/>
      <c r="QPY314" s="104"/>
      <c r="QPZ314" s="104"/>
      <c r="QQA314" s="104"/>
      <c r="QQB314" s="104"/>
      <c r="QQC314" s="104"/>
      <c r="QQD314" s="104"/>
      <c r="QQE314" s="104"/>
      <c r="QQF314" s="104"/>
      <c r="QQG314" s="104"/>
      <c r="QQH314" s="104"/>
      <c r="QQI314" s="104"/>
      <c r="QQJ314" s="104"/>
      <c r="QQK314" s="104"/>
      <c r="QQL314" s="104"/>
      <c r="QQM314" s="104"/>
      <c r="QQN314" s="104"/>
      <c r="QQO314" s="104"/>
      <c r="QQP314" s="104"/>
      <c r="QQQ314" s="104"/>
      <c r="QQR314" s="104"/>
      <c r="QQS314" s="104"/>
      <c r="QQT314" s="104"/>
      <c r="QQU314" s="104"/>
      <c r="QQV314" s="104"/>
      <c r="QQW314" s="104"/>
      <c r="QQX314" s="104"/>
      <c r="QQY314" s="104"/>
      <c r="QQZ314" s="104"/>
      <c r="QRA314" s="104"/>
      <c r="QRB314" s="104"/>
      <c r="QRC314" s="104"/>
      <c r="QRD314" s="104"/>
      <c r="QRE314" s="104"/>
      <c r="QRF314" s="104"/>
      <c r="QRG314" s="104"/>
      <c r="QRH314" s="104"/>
      <c r="QRI314" s="104"/>
      <c r="QRJ314" s="104"/>
      <c r="QRK314" s="104"/>
      <c r="QRL314" s="104"/>
      <c r="QRM314" s="104"/>
      <c r="QRN314" s="104"/>
      <c r="QRO314" s="104"/>
      <c r="QRP314" s="104"/>
      <c r="QRQ314" s="104"/>
      <c r="QRR314" s="104"/>
      <c r="QRS314" s="104"/>
      <c r="QRT314" s="104"/>
      <c r="QRU314" s="104"/>
      <c r="QRV314" s="104"/>
      <c r="QRW314" s="104"/>
      <c r="QRX314" s="104"/>
      <c r="QRY314" s="104"/>
      <c r="QRZ314" s="104"/>
      <c r="QSA314" s="104"/>
      <c r="QSB314" s="104"/>
      <c r="QSC314" s="104"/>
      <c r="QSD314" s="104"/>
      <c r="QSE314" s="104"/>
      <c r="QSF314" s="104"/>
      <c r="QSG314" s="104"/>
      <c r="QSH314" s="104"/>
      <c r="QSI314" s="104"/>
      <c r="QSJ314" s="104"/>
      <c r="QSK314" s="104"/>
      <c r="QSL314" s="104"/>
      <c r="QSM314" s="104"/>
      <c r="QSN314" s="104"/>
      <c r="QSO314" s="104"/>
      <c r="QSP314" s="104"/>
      <c r="QSQ314" s="104"/>
      <c r="QSR314" s="104"/>
      <c r="QSS314" s="104"/>
      <c r="QST314" s="104"/>
      <c r="QSU314" s="104"/>
      <c r="QSV314" s="104"/>
      <c r="QSW314" s="104"/>
      <c r="QSX314" s="104"/>
      <c r="QSY314" s="104"/>
      <c r="QSZ314" s="104"/>
      <c r="QTA314" s="104"/>
      <c r="QTB314" s="104"/>
      <c r="QTC314" s="104"/>
      <c r="QTD314" s="104"/>
      <c r="QTE314" s="104"/>
      <c r="QTF314" s="104"/>
      <c r="QTG314" s="104"/>
      <c r="QTH314" s="104"/>
      <c r="QTI314" s="104"/>
      <c r="QTJ314" s="104"/>
      <c r="QTK314" s="104"/>
      <c r="QTL314" s="104"/>
      <c r="QTM314" s="104"/>
      <c r="QTN314" s="104"/>
      <c r="QTO314" s="104"/>
      <c r="QTP314" s="104"/>
      <c r="QTQ314" s="104"/>
      <c r="QTR314" s="104"/>
      <c r="QTS314" s="104"/>
      <c r="QTT314" s="104"/>
      <c r="QTU314" s="104"/>
      <c r="QTV314" s="104"/>
      <c r="QTW314" s="104"/>
      <c r="QTX314" s="104"/>
      <c r="QTY314" s="104"/>
      <c r="QTZ314" s="104"/>
      <c r="QUA314" s="104"/>
      <c r="QUB314" s="104"/>
      <c r="QUC314" s="104"/>
      <c r="QUD314" s="104"/>
      <c r="QUE314" s="104"/>
      <c r="QUF314" s="104"/>
      <c r="QUG314" s="104"/>
      <c r="QUH314" s="104"/>
      <c r="QUI314" s="104"/>
      <c r="QUJ314" s="104"/>
      <c r="QUK314" s="104"/>
      <c r="QUL314" s="104"/>
      <c r="QUM314" s="104"/>
      <c r="QUN314" s="104"/>
      <c r="QUO314" s="104"/>
      <c r="QUP314" s="104"/>
      <c r="QUQ314" s="104"/>
      <c r="QUR314" s="104"/>
      <c r="QUS314" s="104"/>
      <c r="QUT314" s="104"/>
      <c r="QUU314" s="104"/>
      <c r="QUV314" s="104"/>
      <c r="QUW314" s="104"/>
      <c r="QUX314" s="104"/>
      <c r="QUY314" s="104"/>
      <c r="QUZ314" s="104"/>
      <c r="QVA314" s="104"/>
      <c r="QVB314" s="104"/>
      <c r="QVC314" s="104"/>
      <c r="QVD314" s="104"/>
      <c r="QVE314" s="104"/>
      <c r="QVF314" s="104"/>
      <c r="QVG314" s="104"/>
      <c r="QVH314" s="104"/>
      <c r="QVI314" s="104"/>
      <c r="QVJ314" s="104"/>
      <c r="QVK314" s="104"/>
      <c r="QVL314" s="104"/>
      <c r="QVM314" s="104"/>
      <c r="QVN314" s="104"/>
      <c r="QVO314" s="104"/>
      <c r="QVP314" s="104"/>
      <c r="QVQ314" s="104"/>
      <c r="QVR314" s="104"/>
      <c r="QVS314" s="104"/>
      <c r="QVT314" s="104"/>
      <c r="QVU314" s="104"/>
      <c r="QVV314" s="104"/>
      <c r="QVW314" s="104"/>
      <c r="QVX314" s="104"/>
      <c r="QVY314" s="104"/>
      <c r="QVZ314" s="104"/>
      <c r="QWA314" s="104"/>
      <c r="QWB314" s="104"/>
      <c r="QWC314" s="104"/>
      <c r="QWD314" s="104"/>
      <c r="QWE314" s="104"/>
      <c r="QWF314" s="104"/>
      <c r="QWG314" s="104"/>
      <c r="QWH314" s="104"/>
      <c r="QWI314" s="104"/>
      <c r="QWJ314" s="104"/>
      <c r="QWK314" s="104"/>
      <c r="QWL314" s="104"/>
      <c r="QWM314" s="104"/>
      <c r="QWN314" s="104"/>
      <c r="QWO314" s="104"/>
      <c r="QWP314" s="104"/>
      <c r="QWQ314" s="104"/>
      <c r="QWR314" s="104"/>
      <c r="QWS314" s="104"/>
      <c r="QWT314" s="104"/>
      <c r="QWU314" s="104"/>
      <c r="QWV314" s="104"/>
      <c r="QWW314" s="104"/>
      <c r="QWX314" s="104"/>
      <c r="QWY314" s="104"/>
      <c r="QWZ314" s="104"/>
      <c r="QXA314" s="104"/>
      <c r="QXB314" s="104"/>
      <c r="QXC314" s="104"/>
      <c r="QXD314" s="104"/>
      <c r="QXE314" s="104"/>
      <c r="QXF314" s="104"/>
      <c r="QXG314" s="104"/>
      <c r="QXH314" s="104"/>
      <c r="QXI314" s="104"/>
      <c r="QXJ314" s="104"/>
      <c r="QXK314" s="104"/>
      <c r="QXL314" s="104"/>
      <c r="QXM314" s="104"/>
      <c r="QXN314" s="104"/>
      <c r="QXO314" s="104"/>
      <c r="QXP314" s="104"/>
      <c r="QXQ314" s="104"/>
      <c r="QXR314" s="104"/>
      <c r="QXS314" s="104"/>
      <c r="QXT314" s="104"/>
      <c r="QXU314" s="104"/>
      <c r="QXV314" s="104"/>
      <c r="QXW314" s="104"/>
      <c r="QXX314" s="104"/>
      <c r="QXY314" s="104"/>
      <c r="QXZ314" s="104"/>
      <c r="QYA314" s="104"/>
      <c r="QYB314" s="104"/>
      <c r="QYC314" s="104"/>
      <c r="QYD314" s="104"/>
      <c r="QYE314" s="104"/>
      <c r="QYF314" s="104"/>
      <c r="QYG314" s="104"/>
      <c r="QYH314" s="104"/>
      <c r="QYI314" s="104"/>
      <c r="QYJ314" s="104"/>
      <c r="QYK314" s="104"/>
      <c r="QYL314" s="104"/>
      <c r="QYM314" s="104"/>
      <c r="QYN314" s="104"/>
      <c r="QYO314" s="104"/>
      <c r="QYP314" s="104"/>
      <c r="QYQ314" s="104"/>
      <c r="QYR314" s="104"/>
      <c r="QYS314" s="104"/>
      <c r="QYT314" s="104"/>
      <c r="QYU314" s="104"/>
      <c r="QYV314" s="104"/>
      <c r="QYW314" s="104"/>
      <c r="QYX314" s="104"/>
      <c r="QYY314" s="104"/>
      <c r="QYZ314" s="104"/>
      <c r="QZA314" s="104"/>
      <c r="QZB314" s="104"/>
      <c r="QZC314" s="104"/>
      <c r="QZD314" s="104"/>
      <c r="QZE314" s="104"/>
      <c r="QZF314" s="104"/>
      <c r="QZG314" s="104"/>
      <c r="QZH314" s="104"/>
      <c r="QZI314" s="104"/>
      <c r="QZJ314" s="104"/>
      <c r="QZK314" s="104"/>
      <c r="QZL314" s="104"/>
      <c r="QZM314" s="104"/>
      <c r="QZN314" s="104"/>
      <c r="QZO314" s="104"/>
      <c r="QZP314" s="104"/>
      <c r="QZQ314" s="104"/>
      <c r="QZR314" s="104"/>
      <c r="QZS314" s="104"/>
      <c r="QZT314" s="104"/>
      <c r="QZU314" s="104"/>
      <c r="QZV314" s="104"/>
      <c r="QZW314" s="104"/>
      <c r="QZX314" s="104"/>
      <c r="QZY314" s="104"/>
      <c r="QZZ314" s="104"/>
      <c r="RAA314" s="104"/>
      <c r="RAB314" s="104"/>
      <c r="RAC314" s="104"/>
      <c r="RAD314" s="104"/>
      <c r="RAE314" s="104"/>
      <c r="RAF314" s="104"/>
      <c r="RAG314" s="104"/>
      <c r="RAH314" s="104"/>
      <c r="RAI314" s="104"/>
      <c r="RAJ314" s="104"/>
      <c r="RAK314" s="104"/>
      <c r="RAL314" s="104"/>
      <c r="RAM314" s="104"/>
      <c r="RAN314" s="104"/>
      <c r="RAO314" s="104"/>
      <c r="RAP314" s="104"/>
      <c r="RAQ314" s="104"/>
      <c r="RAR314" s="104"/>
      <c r="RAS314" s="104"/>
      <c r="RAT314" s="104"/>
      <c r="RAU314" s="104"/>
      <c r="RAV314" s="104"/>
      <c r="RAW314" s="104"/>
      <c r="RAX314" s="104"/>
      <c r="RAY314" s="104"/>
      <c r="RAZ314" s="104"/>
      <c r="RBA314" s="104"/>
      <c r="RBB314" s="104"/>
      <c r="RBC314" s="104"/>
      <c r="RBD314" s="104"/>
      <c r="RBE314" s="104"/>
      <c r="RBF314" s="104"/>
      <c r="RBG314" s="104"/>
      <c r="RBH314" s="104"/>
      <c r="RBI314" s="104"/>
      <c r="RBJ314" s="104"/>
      <c r="RBK314" s="104"/>
      <c r="RBL314" s="104"/>
      <c r="RBM314" s="104"/>
      <c r="RBN314" s="104"/>
      <c r="RBO314" s="104"/>
      <c r="RBP314" s="104"/>
      <c r="RBQ314" s="104"/>
      <c r="RBR314" s="104"/>
      <c r="RBS314" s="104"/>
      <c r="RBT314" s="104"/>
      <c r="RBU314" s="104"/>
      <c r="RBV314" s="104"/>
      <c r="RBW314" s="104"/>
      <c r="RBX314" s="104"/>
      <c r="RBY314" s="104"/>
      <c r="RBZ314" s="104"/>
      <c r="RCA314" s="104"/>
      <c r="RCB314" s="104"/>
      <c r="RCC314" s="104"/>
      <c r="RCD314" s="104"/>
      <c r="RCE314" s="104"/>
      <c r="RCF314" s="104"/>
      <c r="RCG314" s="104"/>
      <c r="RCH314" s="104"/>
      <c r="RCI314" s="104"/>
      <c r="RCJ314" s="104"/>
      <c r="RCK314" s="104"/>
      <c r="RCL314" s="104"/>
      <c r="RCM314" s="104"/>
      <c r="RCN314" s="104"/>
      <c r="RCO314" s="104"/>
      <c r="RCP314" s="104"/>
      <c r="RCQ314" s="104"/>
      <c r="RCR314" s="104"/>
      <c r="RCS314" s="104"/>
      <c r="RCT314" s="104"/>
      <c r="RCU314" s="104"/>
      <c r="RCV314" s="104"/>
      <c r="RCW314" s="104"/>
      <c r="RCX314" s="104"/>
      <c r="RCY314" s="104"/>
      <c r="RCZ314" s="104"/>
      <c r="RDA314" s="104"/>
      <c r="RDB314" s="104"/>
      <c r="RDC314" s="104"/>
      <c r="RDD314" s="104"/>
      <c r="RDE314" s="104"/>
      <c r="RDF314" s="104"/>
      <c r="RDG314" s="104"/>
      <c r="RDH314" s="104"/>
      <c r="RDI314" s="104"/>
      <c r="RDJ314" s="104"/>
      <c r="RDK314" s="104"/>
      <c r="RDL314" s="104"/>
      <c r="RDM314" s="104"/>
      <c r="RDN314" s="104"/>
      <c r="RDO314" s="104"/>
      <c r="RDP314" s="104"/>
      <c r="RDQ314" s="104"/>
      <c r="RDR314" s="104"/>
      <c r="RDS314" s="104"/>
      <c r="RDT314" s="104"/>
      <c r="RDU314" s="104"/>
      <c r="RDV314" s="104"/>
      <c r="RDW314" s="104"/>
      <c r="RDX314" s="104"/>
      <c r="RDY314" s="104"/>
      <c r="RDZ314" s="104"/>
      <c r="REA314" s="104"/>
      <c r="REB314" s="104"/>
      <c r="REC314" s="104"/>
      <c r="RED314" s="104"/>
      <c r="REE314" s="104"/>
      <c r="REF314" s="104"/>
      <c r="REG314" s="104"/>
      <c r="REH314" s="104"/>
      <c r="REI314" s="104"/>
      <c r="REJ314" s="104"/>
      <c r="REK314" s="104"/>
      <c r="REL314" s="104"/>
      <c r="REM314" s="104"/>
      <c r="REN314" s="104"/>
      <c r="REO314" s="104"/>
      <c r="REP314" s="104"/>
      <c r="REQ314" s="104"/>
      <c r="RER314" s="104"/>
      <c r="RES314" s="104"/>
      <c r="RET314" s="104"/>
      <c r="REU314" s="104"/>
      <c r="REV314" s="104"/>
      <c r="REW314" s="104"/>
      <c r="REX314" s="104"/>
      <c r="REY314" s="104"/>
      <c r="REZ314" s="104"/>
      <c r="RFA314" s="104"/>
      <c r="RFB314" s="104"/>
      <c r="RFC314" s="104"/>
      <c r="RFD314" s="104"/>
      <c r="RFE314" s="104"/>
      <c r="RFF314" s="104"/>
      <c r="RFG314" s="104"/>
      <c r="RFH314" s="104"/>
      <c r="RFI314" s="104"/>
      <c r="RFJ314" s="104"/>
      <c r="RFK314" s="104"/>
      <c r="RFL314" s="104"/>
      <c r="RFM314" s="104"/>
      <c r="RFN314" s="104"/>
      <c r="RFO314" s="104"/>
      <c r="RFP314" s="104"/>
      <c r="RFQ314" s="104"/>
      <c r="RFR314" s="104"/>
      <c r="RFS314" s="104"/>
      <c r="RFT314" s="104"/>
      <c r="RFU314" s="104"/>
      <c r="RFV314" s="104"/>
      <c r="RFW314" s="104"/>
      <c r="RFX314" s="104"/>
      <c r="RFY314" s="104"/>
      <c r="RFZ314" s="104"/>
      <c r="RGA314" s="104"/>
      <c r="RGB314" s="104"/>
      <c r="RGC314" s="104"/>
      <c r="RGD314" s="104"/>
      <c r="RGE314" s="104"/>
      <c r="RGF314" s="104"/>
      <c r="RGG314" s="104"/>
      <c r="RGH314" s="104"/>
      <c r="RGI314" s="104"/>
      <c r="RGJ314" s="104"/>
      <c r="RGK314" s="104"/>
      <c r="RGL314" s="104"/>
      <c r="RGM314" s="104"/>
      <c r="RGN314" s="104"/>
      <c r="RGO314" s="104"/>
      <c r="RGP314" s="104"/>
      <c r="RGQ314" s="104"/>
      <c r="RGR314" s="104"/>
      <c r="RGS314" s="104"/>
      <c r="RGT314" s="104"/>
      <c r="RGU314" s="104"/>
      <c r="RGV314" s="104"/>
      <c r="RGW314" s="104"/>
      <c r="RGX314" s="104"/>
      <c r="RGY314" s="104"/>
      <c r="RGZ314" s="104"/>
      <c r="RHA314" s="104"/>
      <c r="RHB314" s="104"/>
      <c r="RHC314" s="104"/>
      <c r="RHD314" s="104"/>
      <c r="RHE314" s="104"/>
      <c r="RHF314" s="104"/>
      <c r="RHG314" s="104"/>
      <c r="RHH314" s="104"/>
      <c r="RHI314" s="104"/>
      <c r="RHJ314" s="104"/>
      <c r="RHK314" s="104"/>
      <c r="RHL314" s="104"/>
      <c r="RHM314" s="104"/>
      <c r="RHN314" s="104"/>
      <c r="RHO314" s="104"/>
      <c r="RHP314" s="104"/>
      <c r="RHQ314" s="104"/>
      <c r="RHR314" s="104"/>
      <c r="RHS314" s="104"/>
      <c r="RHT314" s="104"/>
      <c r="RHU314" s="104"/>
      <c r="RHV314" s="104"/>
      <c r="RHW314" s="104"/>
      <c r="RHX314" s="104"/>
      <c r="RHY314" s="104"/>
      <c r="RHZ314" s="104"/>
      <c r="RIA314" s="104"/>
      <c r="RIB314" s="104"/>
      <c r="RIC314" s="104"/>
      <c r="RID314" s="104"/>
      <c r="RIE314" s="104"/>
      <c r="RIF314" s="104"/>
      <c r="RIG314" s="104"/>
      <c r="RIH314" s="104"/>
      <c r="RII314" s="104"/>
      <c r="RIJ314" s="104"/>
      <c r="RIK314" s="104"/>
      <c r="RIL314" s="104"/>
      <c r="RIM314" s="104"/>
      <c r="RIN314" s="104"/>
      <c r="RIO314" s="104"/>
      <c r="RIP314" s="104"/>
      <c r="RIQ314" s="104"/>
      <c r="RIR314" s="104"/>
      <c r="RIS314" s="104"/>
      <c r="RIT314" s="104"/>
      <c r="RIU314" s="104"/>
      <c r="RIV314" s="104"/>
      <c r="RIW314" s="104"/>
      <c r="RIX314" s="104"/>
      <c r="RIY314" s="104"/>
      <c r="RIZ314" s="104"/>
      <c r="RJA314" s="104"/>
      <c r="RJB314" s="104"/>
      <c r="RJC314" s="104"/>
      <c r="RJD314" s="104"/>
      <c r="RJE314" s="104"/>
      <c r="RJF314" s="104"/>
      <c r="RJG314" s="104"/>
      <c r="RJH314" s="104"/>
      <c r="RJI314" s="104"/>
      <c r="RJJ314" s="104"/>
      <c r="RJK314" s="104"/>
      <c r="RJL314" s="104"/>
      <c r="RJM314" s="104"/>
      <c r="RJN314" s="104"/>
      <c r="RJO314" s="104"/>
      <c r="RJP314" s="104"/>
      <c r="RJQ314" s="104"/>
      <c r="RJR314" s="104"/>
      <c r="RJS314" s="104"/>
      <c r="RJT314" s="104"/>
      <c r="RJU314" s="104"/>
      <c r="RJV314" s="104"/>
      <c r="RJW314" s="104"/>
      <c r="RJX314" s="104"/>
      <c r="RJY314" s="104"/>
      <c r="RJZ314" s="104"/>
      <c r="RKA314" s="104"/>
      <c r="RKB314" s="104"/>
      <c r="RKC314" s="104"/>
      <c r="RKD314" s="104"/>
      <c r="RKE314" s="104"/>
      <c r="RKF314" s="104"/>
      <c r="RKG314" s="104"/>
      <c r="RKH314" s="104"/>
      <c r="RKI314" s="104"/>
      <c r="RKJ314" s="104"/>
      <c r="RKK314" s="104"/>
      <c r="RKL314" s="104"/>
      <c r="RKM314" s="104"/>
      <c r="RKN314" s="104"/>
      <c r="RKO314" s="104"/>
      <c r="RKP314" s="104"/>
      <c r="RKQ314" s="104"/>
      <c r="RKR314" s="104"/>
      <c r="RKS314" s="104"/>
      <c r="RKT314" s="104"/>
      <c r="RKU314" s="104"/>
      <c r="RKV314" s="104"/>
      <c r="RKW314" s="104"/>
      <c r="RKX314" s="104"/>
      <c r="RKY314" s="104"/>
      <c r="RKZ314" s="104"/>
      <c r="RLA314" s="104"/>
      <c r="RLB314" s="104"/>
      <c r="RLC314" s="104"/>
      <c r="RLD314" s="104"/>
      <c r="RLE314" s="104"/>
      <c r="RLF314" s="104"/>
      <c r="RLG314" s="104"/>
      <c r="RLH314" s="104"/>
      <c r="RLI314" s="104"/>
      <c r="RLJ314" s="104"/>
      <c r="RLK314" s="104"/>
      <c r="RLL314" s="104"/>
      <c r="RLM314" s="104"/>
      <c r="RLN314" s="104"/>
      <c r="RLO314" s="104"/>
      <c r="RLP314" s="104"/>
      <c r="RLQ314" s="104"/>
      <c r="RLR314" s="104"/>
      <c r="RLS314" s="104"/>
      <c r="RLT314" s="104"/>
      <c r="RLU314" s="104"/>
      <c r="RLV314" s="104"/>
      <c r="RLW314" s="104"/>
      <c r="RLX314" s="104"/>
      <c r="RLY314" s="104"/>
      <c r="RLZ314" s="104"/>
      <c r="RMA314" s="104"/>
      <c r="RMB314" s="104"/>
      <c r="RMC314" s="104"/>
      <c r="RMD314" s="104"/>
      <c r="RME314" s="104"/>
      <c r="RMF314" s="104"/>
      <c r="RMG314" s="104"/>
      <c r="RMH314" s="104"/>
      <c r="RMI314" s="104"/>
      <c r="RMJ314" s="104"/>
      <c r="RMK314" s="104"/>
      <c r="RML314" s="104"/>
      <c r="RMM314" s="104"/>
      <c r="RMN314" s="104"/>
      <c r="RMO314" s="104"/>
      <c r="RMP314" s="104"/>
      <c r="RMQ314" s="104"/>
      <c r="RMR314" s="104"/>
      <c r="RMS314" s="104"/>
      <c r="RMT314" s="104"/>
      <c r="RMU314" s="104"/>
      <c r="RMV314" s="104"/>
      <c r="RMW314" s="104"/>
      <c r="RMX314" s="104"/>
      <c r="RMY314" s="104"/>
      <c r="RMZ314" s="104"/>
      <c r="RNA314" s="104"/>
      <c r="RNB314" s="104"/>
      <c r="RNC314" s="104"/>
      <c r="RND314" s="104"/>
      <c r="RNE314" s="104"/>
      <c r="RNF314" s="104"/>
      <c r="RNG314" s="104"/>
      <c r="RNH314" s="104"/>
      <c r="RNI314" s="104"/>
      <c r="RNJ314" s="104"/>
      <c r="RNK314" s="104"/>
      <c r="RNL314" s="104"/>
      <c r="RNM314" s="104"/>
      <c r="RNN314" s="104"/>
      <c r="RNO314" s="104"/>
      <c r="RNP314" s="104"/>
      <c r="RNQ314" s="104"/>
      <c r="RNR314" s="104"/>
      <c r="RNS314" s="104"/>
      <c r="RNT314" s="104"/>
      <c r="RNU314" s="104"/>
      <c r="RNV314" s="104"/>
      <c r="RNW314" s="104"/>
      <c r="RNX314" s="104"/>
      <c r="RNY314" s="104"/>
      <c r="RNZ314" s="104"/>
      <c r="ROA314" s="104"/>
      <c r="ROB314" s="104"/>
      <c r="ROC314" s="104"/>
      <c r="ROD314" s="104"/>
      <c r="ROE314" s="104"/>
      <c r="ROF314" s="104"/>
      <c r="ROG314" s="104"/>
      <c r="ROH314" s="104"/>
      <c r="ROI314" s="104"/>
      <c r="ROJ314" s="104"/>
      <c r="ROK314" s="104"/>
      <c r="ROL314" s="104"/>
      <c r="ROM314" s="104"/>
      <c r="RON314" s="104"/>
      <c r="ROO314" s="104"/>
      <c r="ROP314" s="104"/>
      <c r="ROQ314" s="104"/>
      <c r="ROR314" s="104"/>
      <c r="ROS314" s="104"/>
      <c r="ROT314" s="104"/>
      <c r="ROU314" s="104"/>
      <c r="ROV314" s="104"/>
      <c r="ROW314" s="104"/>
      <c r="ROX314" s="104"/>
      <c r="ROY314" s="104"/>
      <c r="ROZ314" s="104"/>
      <c r="RPA314" s="104"/>
      <c r="RPB314" s="104"/>
      <c r="RPC314" s="104"/>
      <c r="RPD314" s="104"/>
      <c r="RPE314" s="104"/>
      <c r="RPF314" s="104"/>
      <c r="RPG314" s="104"/>
      <c r="RPH314" s="104"/>
      <c r="RPI314" s="104"/>
      <c r="RPJ314" s="104"/>
      <c r="RPK314" s="104"/>
      <c r="RPL314" s="104"/>
      <c r="RPM314" s="104"/>
      <c r="RPN314" s="104"/>
      <c r="RPO314" s="104"/>
      <c r="RPP314" s="104"/>
      <c r="RPQ314" s="104"/>
      <c r="RPR314" s="104"/>
      <c r="RPS314" s="104"/>
      <c r="RPT314" s="104"/>
      <c r="RPU314" s="104"/>
      <c r="RPV314" s="104"/>
      <c r="RPW314" s="104"/>
      <c r="RPX314" s="104"/>
      <c r="RPY314" s="104"/>
      <c r="RPZ314" s="104"/>
      <c r="RQA314" s="104"/>
      <c r="RQB314" s="104"/>
      <c r="RQC314" s="104"/>
      <c r="RQD314" s="104"/>
      <c r="RQE314" s="104"/>
      <c r="RQF314" s="104"/>
      <c r="RQG314" s="104"/>
      <c r="RQH314" s="104"/>
      <c r="RQI314" s="104"/>
      <c r="RQJ314" s="104"/>
      <c r="RQK314" s="104"/>
      <c r="RQL314" s="104"/>
      <c r="RQM314" s="104"/>
      <c r="RQN314" s="104"/>
      <c r="RQO314" s="104"/>
      <c r="RQP314" s="104"/>
      <c r="RQQ314" s="104"/>
      <c r="RQR314" s="104"/>
      <c r="RQS314" s="104"/>
      <c r="RQT314" s="104"/>
      <c r="RQU314" s="104"/>
      <c r="RQV314" s="104"/>
      <c r="RQW314" s="104"/>
      <c r="RQX314" s="104"/>
      <c r="RQY314" s="104"/>
      <c r="RQZ314" s="104"/>
      <c r="RRA314" s="104"/>
      <c r="RRB314" s="104"/>
      <c r="RRC314" s="104"/>
      <c r="RRD314" s="104"/>
      <c r="RRE314" s="104"/>
      <c r="RRF314" s="104"/>
      <c r="RRG314" s="104"/>
      <c r="RRH314" s="104"/>
      <c r="RRI314" s="104"/>
      <c r="RRJ314" s="104"/>
      <c r="RRK314" s="104"/>
      <c r="RRL314" s="104"/>
      <c r="RRM314" s="104"/>
      <c r="RRN314" s="104"/>
      <c r="RRO314" s="104"/>
      <c r="RRP314" s="104"/>
      <c r="RRQ314" s="104"/>
      <c r="RRR314" s="104"/>
      <c r="RRS314" s="104"/>
      <c r="RRT314" s="104"/>
      <c r="RRU314" s="104"/>
      <c r="RRV314" s="104"/>
      <c r="RRW314" s="104"/>
      <c r="RRX314" s="104"/>
      <c r="RRY314" s="104"/>
      <c r="RRZ314" s="104"/>
      <c r="RSA314" s="104"/>
      <c r="RSB314" s="104"/>
      <c r="RSC314" s="104"/>
      <c r="RSD314" s="104"/>
      <c r="RSE314" s="104"/>
      <c r="RSF314" s="104"/>
      <c r="RSG314" s="104"/>
      <c r="RSH314" s="104"/>
      <c r="RSI314" s="104"/>
      <c r="RSJ314" s="104"/>
      <c r="RSK314" s="104"/>
      <c r="RSL314" s="104"/>
      <c r="RSM314" s="104"/>
      <c r="RSN314" s="104"/>
      <c r="RSO314" s="104"/>
      <c r="RSP314" s="104"/>
      <c r="RSQ314" s="104"/>
      <c r="RSR314" s="104"/>
      <c r="RSS314" s="104"/>
      <c r="RST314" s="104"/>
      <c r="RSU314" s="104"/>
      <c r="RSV314" s="104"/>
      <c r="RSW314" s="104"/>
      <c r="RSX314" s="104"/>
      <c r="RSY314" s="104"/>
      <c r="RSZ314" s="104"/>
      <c r="RTA314" s="104"/>
      <c r="RTB314" s="104"/>
      <c r="RTC314" s="104"/>
      <c r="RTD314" s="104"/>
      <c r="RTE314" s="104"/>
      <c r="RTF314" s="104"/>
      <c r="RTG314" s="104"/>
      <c r="RTH314" s="104"/>
      <c r="RTI314" s="104"/>
      <c r="RTJ314" s="104"/>
      <c r="RTK314" s="104"/>
      <c r="RTL314" s="104"/>
      <c r="RTM314" s="104"/>
      <c r="RTN314" s="104"/>
      <c r="RTO314" s="104"/>
      <c r="RTP314" s="104"/>
      <c r="RTQ314" s="104"/>
      <c r="RTR314" s="104"/>
      <c r="RTS314" s="104"/>
      <c r="RTT314" s="104"/>
      <c r="RTU314" s="104"/>
      <c r="RTV314" s="104"/>
      <c r="RTW314" s="104"/>
      <c r="RTX314" s="104"/>
      <c r="RTY314" s="104"/>
      <c r="RTZ314" s="104"/>
      <c r="RUA314" s="104"/>
      <c r="RUB314" s="104"/>
      <c r="RUC314" s="104"/>
      <c r="RUD314" s="104"/>
      <c r="RUE314" s="104"/>
      <c r="RUF314" s="104"/>
      <c r="RUG314" s="104"/>
      <c r="RUH314" s="104"/>
      <c r="RUI314" s="104"/>
      <c r="RUJ314" s="104"/>
      <c r="RUK314" s="104"/>
      <c r="RUL314" s="104"/>
      <c r="RUM314" s="104"/>
      <c r="RUN314" s="104"/>
      <c r="RUO314" s="104"/>
      <c r="RUP314" s="104"/>
      <c r="RUQ314" s="104"/>
      <c r="RUR314" s="104"/>
      <c r="RUS314" s="104"/>
      <c r="RUT314" s="104"/>
      <c r="RUU314" s="104"/>
      <c r="RUV314" s="104"/>
      <c r="RUW314" s="104"/>
      <c r="RUX314" s="104"/>
      <c r="RUY314" s="104"/>
      <c r="RUZ314" s="104"/>
      <c r="RVA314" s="104"/>
      <c r="RVB314" s="104"/>
      <c r="RVC314" s="104"/>
      <c r="RVD314" s="104"/>
      <c r="RVE314" s="104"/>
      <c r="RVF314" s="104"/>
      <c r="RVG314" s="104"/>
      <c r="RVH314" s="104"/>
      <c r="RVI314" s="104"/>
      <c r="RVJ314" s="104"/>
      <c r="RVK314" s="104"/>
      <c r="RVL314" s="104"/>
      <c r="RVM314" s="104"/>
      <c r="RVN314" s="104"/>
      <c r="RVO314" s="104"/>
      <c r="RVP314" s="104"/>
      <c r="RVQ314" s="104"/>
      <c r="RVR314" s="104"/>
      <c r="RVS314" s="104"/>
      <c r="RVT314" s="104"/>
      <c r="RVU314" s="104"/>
      <c r="RVV314" s="104"/>
      <c r="RVW314" s="104"/>
      <c r="RVX314" s="104"/>
      <c r="RVY314" s="104"/>
      <c r="RVZ314" s="104"/>
      <c r="RWA314" s="104"/>
      <c r="RWB314" s="104"/>
      <c r="RWC314" s="104"/>
      <c r="RWD314" s="104"/>
      <c r="RWE314" s="104"/>
      <c r="RWF314" s="104"/>
      <c r="RWG314" s="104"/>
      <c r="RWH314" s="104"/>
      <c r="RWI314" s="104"/>
      <c r="RWJ314" s="104"/>
      <c r="RWK314" s="104"/>
      <c r="RWL314" s="104"/>
      <c r="RWM314" s="104"/>
      <c r="RWN314" s="104"/>
      <c r="RWO314" s="104"/>
      <c r="RWP314" s="104"/>
      <c r="RWQ314" s="104"/>
      <c r="RWR314" s="104"/>
      <c r="RWS314" s="104"/>
      <c r="RWT314" s="104"/>
      <c r="RWU314" s="104"/>
      <c r="RWV314" s="104"/>
      <c r="RWW314" s="104"/>
      <c r="RWX314" s="104"/>
      <c r="RWY314" s="104"/>
      <c r="RWZ314" s="104"/>
      <c r="RXA314" s="104"/>
      <c r="RXB314" s="104"/>
      <c r="RXC314" s="104"/>
      <c r="RXD314" s="104"/>
      <c r="RXE314" s="104"/>
      <c r="RXF314" s="104"/>
      <c r="RXG314" s="104"/>
      <c r="RXH314" s="104"/>
      <c r="RXI314" s="104"/>
      <c r="RXJ314" s="104"/>
      <c r="RXK314" s="104"/>
      <c r="RXL314" s="104"/>
      <c r="RXM314" s="104"/>
      <c r="RXN314" s="104"/>
      <c r="RXO314" s="104"/>
      <c r="RXP314" s="104"/>
      <c r="RXQ314" s="104"/>
      <c r="RXR314" s="104"/>
      <c r="RXS314" s="104"/>
      <c r="RXT314" s="104"/>
      <c r="RXU314" s="104"/>
      <c r="RXV314" s="104"/>
      <c r="RXW314" s="104"/>
      <c r="RXX314" s="104"/>
      <c r="RXY314" s="104"/>
      <c r="RXZ314" s="104"/>
      <c r="RYA314" s="104"/>
      <c r="RYB314" s="104"/>
      <c r="RYC314" s="104"/>
      <c r="RYD314" s="104"/>
      <c r="RYE314" s="104"/>
      <c r="RYF314" s="104"/>
      <c r="RYG314" s="104"/>
      <c r="RYH314" s="104"/>
      <c r="RYI314" s="104"/>
      <c r="RYJ314" s="104"/>
      <c r="RYK314" s="104"/>
      <c r="RYL314" s="104"/>
      <c r="RYM314" s="104"/>
      <c r="RYN314" s="104"/>
      <c r="RYO314" s="104"/>
      <c r="RYP314" s="104"/>
      <c r="RYQ314" s="104"/>
      <c r="RYR314" s="104"/>
      <c r="RYS314" s="104"/>
      <c r="RYT314" s="104"/>
      <c r="RYU314" s="104"/>
      <c r="RYV314" s="104"/>
      <c r="RYW314" s="104"/>
      <c r="RYX314" s="104"/>
      <c r="RYY314" s="104"/>
      <c r="RYZ314" s="104"/>
      <c r="RZA314" s="104"/>
      <c r="RZB314" s="104"/>
      <c r="RZC314" s="104"/>
      <c r="RZD314" s="104"/>
      <c r="RZE314" s="104"/>
      <c r="RZF314" s="104"/>
      <c r="RZG314" s="104"/>
      <c r="RZH314" s="104"/>
      <c r="RZI314" s="104"/>
      <c r="RZJ314" s="104"/>
      <c r="RZK314" s="104"/>
      <c r="RZL314" s="104"/>
      <c r="RZM314" s="104"/>
      <c r="RZN314" s="104"/>
      <c r="RZO314" s="104"/>
      <c r="RZP314" s="104"/>
      <c r="RZQ314" s="104"/>
      <c r="RZR314" s="104"/>
      <c r="RZS314" s="104"/>
      <c r="RZT314" s="104"/>
      <c r="RZU314" s="104"/>
      <c r="RZV314" s="104"/>
      <c r="RZW314" s="104"/>
      <c r="RZX314" s="104"/>
      <c r="RZY314" s="104"/>
      <c r="RZZ314" s="104"/>
      <c r="SAA314" s="104"/>
      <c r="SAB314" s="104"/>
      <c r="SAC314" s="104"/>
      <c r="SAD314" s="104"/>
      <c r="SAE314" s="104"/>
      <c r="SAF314" s="104"/>
      <c r="SAG314" s="104"/>
      <c r="SAH314" s="104"/>
      <c r="SAI314" s="104"/>
      <c r="SAJ314" s="104"/>
      <c r="SAK314" s="104"/>
      <c r="SAL314" s="104"/>
      <c r="SAM314" s="104"/>
      <c r="SAN314" s="104"/>
      <c r="SAO314" s="104"/>
      <c r="SAP314" s="104"/>
      <c r="SAQ314" s="104"/>
      <c r="SAR314" s="104"/>
      <c r="SAS314" s="104"/>
      <c r="SAT314" s="104"/>
      <c r="SAU314" s="104"/>
      <c r="SAV314" s="104"/>
      <c r="SAW314" s="104"/>
      <c r="SAX314" s="104"/>
      <c r="SAY314" s="104"/>
      <c r="SAZ314" s="104"/>
      <c r="SBA314" s="104"/>
      <c r="SBB314" s="104"/>
      <c r="SBC314" s="104"/>
      <c r="SBD314" s="104"/>
      <c r="SBE314" s="104"/>
      <c r="SBF314" s="104"/>
      <c r="SBG314" s="104"/>
      <c r="SBH314" s="104"/>
      <c r="SBI314" s="104"/>
      <c r="SBJ314" s="104"/>
      <c r="SBK314" s="104"/>
      <c r="SBL314" s="104"/>
      <c r="SBM314" s="104"/>
      <c r="SBN314" s="104"/>
      <c r="SBO314" s="104"/>
      <c r="SBP314" s="104"/>
      <c r="SBQ314" s="104"/>
      <c r="SBR314" s="104"/>
      <c r="SBS314" s="104"/>
      <c r="SBT314" s="104"/>
      <c r="SBU314" s="104"/>
      <c r="SBV314" s="104"/>
      <c r="SBW314" s="104"/>
      <c r="SBX314" s="104"/>
      <c r="SBY314" s="104"/>
      <c r="SBZ314" s="104"/>
      <c r="SCA314" s="104"/>
      <c r="SCB314" s="104"/>
      <c r="SCC314" s="104"/>
      <c r="SCD314" s="104"/>
      <c r="SCE314" s="104"/>
      <c r="SCF314" s="104"/>
      <c r="SCG314" s="104"/>
      <c r="SCH314" s="104"/>
      <c r="SCI314" s="104"/>
      <c r="SCJ314" s="104"/>
      <c r="SCK314" s="104"/>
      <c r="SCL314" s="104"/>
      <c r="SCM314" s="104"/>
      <c r="SCN314" s="104"/>
      <c r="SCO314" s="104"/>
      <c r="SCP314" s="104"/>
      <c r="SCQ314" s="104"/>
      <c r="SCR314" s="104"/>
      <c r="SCS314" s="104"/>
      <c r="SCT314" s="104"/>
      <c r="SCU314" s="104"/>
      <c r="SCV314" s="104"/>
      <c r="SCW314" s="104"/>
      <c r="SCX314" s="104"/>
      <c r="SCY314" s="104"/>
      <c r="SCZ314" s="104"/>
      <c r="SDA314" s="104"/>
      <c r="SDB314" s="104"/>
      <c r="SDC314" s="104"/>
      <c r="SDD314" s="104"/>
      <c r="SDE314" s="104"/>
      <c r="SDF314" s="104"/>
      <c r="SDG314" s="104"/>
      <c r="SDH314" s="104"/>
      <c r="SDI314" s="104"/>
      <c r="SDJ314" s="104"/>
      <c r="SDK314" s="104"/>
      <c r="SDL314" s="104"/>
      <c r="SDM314" s="104"/>
      <c r="SDN314" s="104"/>
      <c r="SDO314" s="104"/>
      <c r="SDP314" s="104"/>
      <c r="SDQ314" s="104"/>
      <c r="SDR314" s="104"/>
      <c r="SDS314" s="104"/>
      <c r="SDT314" s="104"/>
      <c r="SDU314" s="104"/>
      <c r="SDV314" s="104"/>
      <c r="SDW314" s="104"/>
      <c r="SDX314" s="104"/>
      <c r="SDY314" s="104"/>
      <c r="SDZ314" s="104"/>
      <c r="SEA314" s="104"/>
      <c r="SEB314" s="104"/>
      <c r="SEC314" s="104"/>
      <c r="SED314" s="104"/>
      <c r="SEE314" s="104"/>
      <c r="SEF314" s="104"/>
      <c r="SEG314" s="104"/>
      <c r="SEH314" s="104"/>
      <c r="SEI314" s="104"/>
      <c r="SEJ314" s="104"/>
      <c r="SEK314" s="104"/>
      <c r="SEL314" s="104"/>
      <c r="SEM314" s="104"/>
      <c r="SEN314" s="104"/>
      <c r="SEO314" s="104"/>
      <c r="SEP314" s="104"/>
      <c r="SEQ314" s="104"/>
      <c r="SER314" s="104"/>
      <c r="SES314" s="104"/>
      <c r="SET314" s="104"/>
      <c r="SEU314" s="104"/>
      <c r="SEV314" s="104"/>
      <c r="SEW314" s="104"/>
      <c r="SEX314" s="104"/>
      <c r="SEY314" s="104"/>
      <c r="SEZ314" s="104"/>
      <c r="SFA314" s="104"/>
      <c r="SFB314" s="104"/>
      <c r="SFC314" s="104"/>
      <c r="SFD314" s="104"/>
      <c r="SFE314" s="104"/>
      <c r="SFF314" s="104"/>
      <c r="SFG314" s="104"/>
      <c r="SFH314" s="104"/>
      <c r="SFI314" s="104"/>
      <c r="SFJ314" s="104"/>
      <c r="SFK314" s="104"/>
      <c r="SFL314" s="104"/>
      <c r="SFM314" s="104"/>
      <c r="SFN314" s="104"/>
      <c r="SFO314" s="104"/>
      <c r="SFP314" s="104"/>
      <c r="SFQ314" s="104"/>
      <c r="SFR314" s="104"/>
      <c r="SFS314" s="104"/>
      <c r="SFT314" s="104"/>
      <c r="SFU314" s="104"/>
      <c r="SFV314" s="104"/>
      <c r="SFW314" s="104"/>
      <c r="SFX314" s="104"/>
      <c r="SFY314" s="104"/>
      <c r="SFZ314" s="104"/>
      <c r="SGA314" s="104"/>
      <c r="SGB314" s="104"/>
      <c r="SGC314" s="104"/>
      <c r="SGD314" s="104"/>
      <c r="SGE314" s="104"/>
      <c r="SGF314" s="104"/>
      <c r="SGG314" s="104"/>
      <c r="SGH314" s="104"/>
      <c r="SGI314" s="104"/>
      <c r="SGJ314" s="104"/>
      <c r="SGK314" s="104"/>
      <c r="SGL314" s="104"/>
      <c r="SGM314" s="104"/>
      <c r="SGN314" s="104"/>
      <c r="SGO314" s="104"/>
      <c r="SGP314" s="104"/>
      <c r="SGQ314" s="104"/>
      <c r="SGR314" s="104"/>
      <c r="SGS314" s="104"/>
      <c r="SGT314" s="104"/>
      <c r="SGU314" s="104"/>
      <c r="SGV314" s="104"/>
      <c r="SGW314" s="104"/>
      <c r="SGX314" s="104"/>
      <c r="SGY314" s="104"/>
      <c r="SGZ314" s="104"/>
      <c r="SHA314" s="104"/>
      <c r="SHB314" s="104"/>
      <c r="SHC314" s="104"/>
      <c r="SHD314" s="104"/>
      <c r="SHE314" s="104"/>
      <c r="SHF314" s="104"/>
      <c r="SHG314" s="104"/>
      <c r="SHH314" s="104"/>
      <c r="SHI314" s="104"/>
      <c r="SHJ314" s="104"/>
      <c r="SHK314" s="104"/>
      <c r="SHL314" s="104"/>
      <c r="SHM314" s="104"/>
      <c r="SHN314" s="104"/>
      <c r="SHO314" s="104"/>
      <c r="SHP314" s="104"/>
      <c r="SHQ314" s="104"/>
      <c r="SHR314" s="104"/>
      <c r="SHS314" s="104"/>
      <c r="SHT314" s="104"/>
      <c r="SHU314" s="104"/>
      <c r="SHV314" s="104"/>
      <c r="SHW314" s="104"/>
      <c r="SHX314" s="104"/>
      <c r="SHY314" s="104"/>
      <c r="SHZ314" s="104"/>
      <c r="SIA314" s="104"/>
      <c r="SIB314" s="104"/>
      <c r="SIC314" s="104"/>
      <c r="SID314" s="104"/>
      <c r="SIE314" s="104"/>
      <c r="SIF314" s="104"/>
      <c r="SIG314" s="104"/>
      <c r="SIH314" s="104"/>
      <c r="SII314" s="104"/>
      <c r="SIJ314" s="104"/>
      <c r="SIK314" s="104"/>
      <c r="SIL314" s="104"/>
      <c r="SIM314" s="104"/>
      <c r="SIN314" s="104"/>
      <c r="SIO314" s="104"/>
      <c r="SIP314" s="104"/>
      <c r="SIQ314" s="104"/>
      <c r="SIR314" s="104"/>
      <c r="SIS314" s="104"/>
      <c r="SIT314" s="104"/>
      <c r="SIU314" s="104"/>
      <c r="SIV314" s="104"/>
      <c r="SIW314" s="104"/>
      <c r="SIX314" s="104"/>
      <c r="SIY314" s="104"/>
      <c r="SIZ314" s="104"/>
      <c r="SJA314" s="104"/>
      <c r="SJB314" s="104"/>
      <c r="SJC314" s="104"/>
      <c r="SJD314" s="104"/>
      <c r="SJE314" s="104"/>
      <c r="SJF314" s="104"/>
      <c r="SJG314" s="104"/>
      <c r="SJH314" s="104"/>
      <c r="SJI314" s="104"/>
      <c r="SJJ314" s="104"/>
      <c r="SJK314" s="104"/>
      <c r="SJL314" s="104"/>
      <c r="SJM314" s="104"/>
      <c r="SJN314" s="104"/>
      <c r="SJO314" s="104"/>
      <c r="SJP314" s="104"/>
      <c r="SJQ314" s="104"/>
      <c r="SJR314" s="104"/>
      <c r="SJS314" s="104"/>
      <c r="SJT314" s="104"/>
      <c r="SJU314" s="104"/>
      <c r="SJV314" s="104"/>
      <c r="SJW314" s="104"/>
      <c r="SJX314" s="104"/>
      <c r="SJY314" s="104"/>
      <c r="SJZ314" s="104"/>
      <c r="SKA314" s="104"/>
      <c r="SKB314" s="104"/>
      <c r="SKC314" s="104"/>
      <c r="SKD314" s="104"/>
      <c r="SKE314" s="104"/>
      <c r="SKF314" s="104"/>
      <c r="SKG314" s="104"/>
      <c r="SKH314" s="104"/>
      <c r="SKI314" s="104"/>
      <c r="SKJ314" s="104"/>
      <c r="SKK314" s="104"/>
      <c r="SKL314" s="104"/>
      <c r="SKM314" s="104"/>
      <c r="SKN314" s="104"/>
      <c r="SKO314" s="104"/>
      <c r="SKP314" s="104"/>
      <c r="SKQ314" s="104"/>
      <c r="SKR314" s="104"/>
      <c r="SKS314" s="104"/>
      <c r="SKT314" s="104"/>
      <c r="SKU314" s="104"/>
      <c r="SKV314" s="104"/>
      <c r="SKW314" s="104"/>
      <c r="SKX314" s="104"/>
      <c r="SKY314" s="104"/>
      <c r="SKZ314" s="104"/>
      <c r="SLA314" s="104"/>
      <c r="SLB314" s="104"/>
      <c r="SLC314" s="104"/>
      <c r="SLD314" s="104"/>
      <c r="SLE314" s="104"/>
      <c r="SLF314" s="104"/>
      <c r="SLG314" s="104"/>
      <c r="SLH314" s="104"/>
      <c r="SLI314" s="104"/>
      <c r="SLJ314" s="104"/>
      <c r="SLK314" s="104"/>
      <c r="SLL314" s="104"/>
      <c r="SLM314" s="104"/>
      <c r="SLN314" s="104"/>
      <c r="SLO314" s="104"/>
      <c r="SLP314" s="104"/>
      <c r="SLQ314" s="104"/>
      <c r="SLR314" s="104"/>
      <c r="SLS314" s="104"/>
      <c r="SLT314" s="104"/>
      <c r="SLU314" s="104"/>
      <c r="SLV314" s="104"/>
      <c r="SLW314" s="104"/>
      <c r="SLX314" s="104"/>
      <c r="SLY314" s="104"/>
      <c r="SLZ314" s="104"/>
      <c r="SMA314" s="104"/>
      <c r="SMB314" s="104"/>
      <c r="SMC314" s="104"/>
      <c r="SMD314" s="104"/>
      <c r="SME314" s="104"/>
      <c r="SMF314" s="104"/>
      <c r="SMG314" s="104"/>
      <c r="SMH314" s="104"/>
      <c r="SMI314" s="104"/>
      <c r="SMJ314" s="104"/>
      <c r="SMK314" s="104"/>
      <c r="SML314" s="104"/>
      <c r="SMM314" s="104"/>
      <c r="SMN314" s="104"/>
      <c r="SMO314" s="104"/>
      <c r="SMP314" s="104"/>
      <c r="SMQ314" s="104"/>
      <c r="SMR314" s="104"/>
      <c r="SMS314" s="104"/>
      <c r="SMT314" s="104"/>
      <c r="SMU314" s="104"/>
      <c r="SMV314" s="104"/>
      <c r="SMW314" s="104"/>
      <c r="SMX314" s="104"/>
      <c r="SMY314" s="104"/>
      <c r="SMZ314" s="104"/>
      <c r="SNA314" s="104"/>
      <c r="SNB314" s="104"/>
      <c r="SNC314" s="104"/>
      <c r="SND314" s="104"/>
      <c r="SNE314" s="104"/>
      <c r="SNF314" s="104"/>
      <c r="SNG314" s="104"/>
      <c r="SNH314" s="104"/>
      <c r="SNI314" s="104"/>
      <c r="SNJ314" s="104"/>
      <c r="SNK314" s="104"/>
      <c r="SNL314" s="104"/>
      <c r="SNM314" s="104"/>
      <c r="SNN314" s="104"/>
      <c r="SNO314" s="104"/>
      <c r="SNP314" s="104"/>
      <c r="SNQ314" s="104"/>
      <c r="SNR314" s="104"/>
      <c r="SNS314" s="104"/>
      <c r="SNT314" s="104"/>
      <c r="SNU314" s="104"/>
      <c r="SNV314" s="104"/>
      <c r="SNW314" s="104"/>
      <c r="SNX314" s="104"/>
      <c r="SNY314" s="104"/>
      <c r="SNZ314" s="104"/>
      <c r="SOA314" s="104"/>
      <c r="SOB314" s="104"/>
      <c r="SOC314" s="104"/>
      <c r="SOD314" s="104"/>
      <c r="SOE314" s="104"/>
      <c r="SOF314" s="104"/>
      <c r="SOG314" s="104"/>
      <c r="SOH314" s="104"/>
      <c r="SOI314" s="104"/>
      <c r="SOJ314" s="104"/>
      <c r="SOK314" s="104"/>
      <c r="SOL314" s="104"/>
      <c r="SOM314" s="104"/>
      <c r="SON314" s="104"/>
      <c r="SOO314" s="104"/>
      <c r="SOP314" s="104"/>
      <c r="SOQ314" s="104"/>
      <c r="SOR314" s="104"/>
      <c r="SOS314" s="104"/>
      <c r="SOT314" s="104"/>
      <c r="SOU314" s="104"/>
      <c r="SOV314" s="104"/>
      <c r="SOW314" s="104"/>
      <c r="SOX314" s="104"/>
      <c r="SOY314" s="104"/>
      <c r="SOZ314" s="104"/>
      <c r="SPA314" s="104"/>
      <c r="SPB314" s="104"/>
      <c r="SPC314" s="104"/>
      <c r="SPD314" s="104"/>
      <c r="SPE314" s="104"/>
      <c r="SPF314" s="104"/>
      <c r="SPG314" s="104"/>
      <c r="SPH314" s="104"/>
      <c r="SPI314" s="104"/>
      <c r="SPJ314" s="104"/>
      <c r="SPK314" s="104"/>
      <c r="SPL314" s="104"/>
      <c r="SPM314" s="104"/>
      <c r="SPN314" s="104"/>
      <c r="SPO314" s="104"/>
      <c r="SPP314" s="104"/>
      <c r="SPQ314" s="104"/>
      <c r="SPR314" s="104"/>
      <c r="SPS314" s="104"/>
      <c r="SPT314" s="104"/>
      <c r="SPU314" s="104"/>
      <c r="SPV314" s="104"/>
      <c r="SPW314" s="104"/>
      <c r="SPX314" s="104"/>
      <c r="SPY314" s="104"/>
      <c r="SPZ314" s="104"/>
      <c r="SQA314" s="104"/>
      <c r="SQB314" s="104"/>
      <c r="SQC314" s="104"/>
      <c r="SQD314" s="104"/>
      <c r="SQE314" s="104"/>
      <c r="SQF314" s="104"/>
      <c r="SQG314" s="104"/>
      <c r="SQH314" s="104"/>
      <c r="SQI314" s="104"/>
      <c r="SQJ314" s="104"/>
      <c r="SQK314" s="104"/>
      <c r="SQL314" s="104"/>
      <c r="SQM314" s="104"/>
      <c r="SQN314" s="104"/>
      <c r="SQO314" s="104"/>
      <c r="SQP314" s="104"/>
      <c r="SQQ314" s="104"/>
      <c r="SQR314" s="104"/>
      <c r="SQS314" s="104"/>
      <c r="SQT314" s="104"/>
      <c r="SQU314" s="104"/>
      <c r="SQV314" s="104"/>
      <c r="SQW314" s="104"/>
      <c r="SQX314" s="104"/>
      <c r="SQY314" s="104"/>
      <c r="SQZ314" s="104"/>
      <c r="SRA314" s="104"/>
      <c r="SRB314" s="104"/>
      <c r="SRC314" s="104"/>
      <c r="SRD314" s="104"/>
      <c r="SRE314" s="104"/>
      <c r="SRF314" s="104"/>
      <c r="SRG314" s="104"/>
      <c r="SRH314" s="104"/>
      <c r="SRI314" s="104"/>
      <c r="SRJ314" s="104"/>
      <c r="SRK314" s="104"/>
      <c r="SRL314" s="104"/>
      <c r="SRM314" s="104"/>
      <c r="SRN314" s="104"/>
      <c r="SRO314" s="104"/>
      <c r="SRP314" s="104"/>
      <c r="SRQ314" s="104"/>
      <c r="SRR314" s="104"/>
      <c r="SRS314" s="104"/>
      <c r="SRT314" s="104"/>
      <c r="SRU314" s="104"/>
      <c r="SRV314" s="104"/>
      <c r="SRW314" s="104"/>
      <c r="SRX314" s="104"/>
      <c r="SRY314" s="104"/>
      <c r="SRZ314" s="104"/>
      <c r="SSA314" s="104"/>
      <c r="SSB314" s="104"/>
      <c r="SSC314" s="104"/>
      <c r="SSD314" s="104"/>
      <c r="SSE314" s="104"/>
      <c r="SSF314" s="104"/>
      <c r="SSG314" s="104"/>
      <c r="SSH314" s="104"/>
      <c r="SSI314" s="104"/>
      <c r="SSJ314" s="104"/>
      <c r="SSK314" s="104"/>
      <c r="SSL314" s="104"/>
      <c r="SSM314" s="104"/>
      <c r="SSN314" s="104"/>
      <c r="SSO314" s="104"/>
      <c r="SSP314" s="104"/>
      <c r="SSQ314" s="104"/>
      <c r="SSR314" s="104"/>
      <c r="SSS314" s="104"/>
      <c r="SST314" s="104"/>
      <c r="SSU314" s="104"/>
      <c r="SSV314" s="104"/>
      <c r="SSW314" s="104"/>
      <c r="SSX314" s="104"/>
      <c r="SSY314" s="104"/>
      <c r="SSZ314" s="104"/>
      <c r="STA314" s="104"/>
      <c r="STB314" s="104"/>
      <c r="STC314" s="104"/>
      <c r="STD314" s="104"/>
      <c r="STE314" s="104"/>
      <c r="STF314" s="104"/>
      <c r="STG314" s="104"/>
      <c r="STH314" s="104"/>
      <c r="STI314" s="104"/>
      <c r="STJ314" s="104"/>
      <c r="STK314" s="104"/>
      <c r="STL314" s="104"/>
      <c r="STM314" s="104"/>
      <c r="STN314" s="104"/>
      <c r="STO314" s="104"/>
      <c r="STP314" s="104"/>
      <c r="STQ314" s="104"/>
      <c r="STR314" s="104"/>
      <c r="STS314" s="104"/>
      <c r="STT314" s="104"/>
      <c r="STU314" s="104"/>
      <c r="STV314" s="104"/>
      <c r="STW314" s="104"/>
      <c r="STX314" s="104"/>
      <c r="STY314" s="104"/>
      <c r="STZ314" s="104"/>
      <c r="SUA314" s="104"/>
      <c r="SUB314" s="104"/>
      <c r="SUC314" s="104"/>
      <c r="SUD314" s="104"/>
      <c r="SUE314" s="104"/>
      <c r="SUF314" s="104"/>
      <c r="SUG314" s="104"/>
      <c r="SUH314" s="104"/>
      <c r="SUI314" s="104"/>
      <c r="SUJ314" s="104"/>
      <c r="SUK314" s="104"/>
      <c r="SUL314" s="104"/>
      <c r="SUM314" s="104"/>
      <c r="SUN314" s="104"/>
      <c r="SUO314" s="104"/>
      <c r="SUP314" s="104"/>
      <c r="SUQ314" s="104"/>
      <c r="SUR314" s="104"/>
      <c r="SUS314" s="104"/>
      <c r="SUT314" s="104"/>
      <c r="SUU314" s="104"/>
      <c r="SUV314" s="104"/>
      <c r="SUW314" s="104"/>
      <c r="SUX314" s="104"/>
      <c r="SUY314" s="104"/>
      <c r="SUZ314" s="104"/>
      <c r="SVA314" s="104"/>
      <c r="SVB314" s="104"/>
      <c r="SVC314" s="104"/>
      <c r="SVD314" s="104"/>
      <c r="SVE314" s="104"/>
      <c r="SVF314" s="104"/>
      <c r="SVG314" s="104"/>
      <c r="SVH314" s="104"/>
      <c r="SVI314" s="104"/>
      <c r="SVJ314" s="104"/>
      <c r="SVK314" s="104"/>
      <c r="SVL314" s="104"/>
      <c r="SVM314" s="104"/>
      <c r="SVN314" s="104"/>
      <c r="SVO314" s="104"/>
      <c r="SVP314" s="104"/>
      <c r="SVQ314" s="104"/>
      <c r="SVR314" s="104"/>
      <c r="SVS314" s="104"/>
      <c r="SVT314" s="104"/>
      <c r="SVU314" s="104"/>
      <c r="SVV314" s="104"/>
      <c r="SVW314" s="104"/>
      <c r="SVX314" s="104"/>
      <c r="SVY314" s="104"/>
      <c r="SVZ314" s="104"/>
      <c r="SWA314" s="104"/>
      <c r="SWB314" s="104"/>
      <c r="SWC314" s="104"/>
      <c r="SWD314" s="104"/>
      <c r="SWE314" s="104"/>
      <c r="SWF314" s="104"/>
      <c r="SWG314" s="104"/>
      <c r="SWH314" s="104"/>
      <c r="SWI314" s="104"/>
      <c r="SWJ314" s="104"/>
      <c r="SWK314" s="104"/>
      <c r="SWL314" s="104"/>
      <c r="SWM314" s="104"/>
      <c r="SWN314" s="104"/>
      <c r="SWO314" s="104"/>
      <c r="SWP314" s="104"/>
      <c r="SWQ314" s="104"/>
      <c r="SWR314" s="104"/>
      <c r="SWS314" s="104"/>
      <c r="SWT314" s="104"/>
      <c r="SWU314" s="104"/>
      <c r="SWV314" s="104"/>
      <c r="SWW314" s="104"/>
      <c r="SWX314" s="104"/>
      <c r="SWY314" s="104"/>
      <c r="SWZ314" s="104"/>
      <c r="SXA314" s="104"/>
      <c r="SXB314" s="104"/>
      <c r="SXC314" s="104"/>
      <c r="SXD314" s="104"/>
      <c r="SXE314" s="104"/>
      <c r="SXF314" s="104"/>
      <c r="SXG314" s="104"/>
      <c r="SXH314" s="104"/>
      <c r="SXI314" s="104"/>
      <c r="SXJ314" s="104"/>
      <c r="SXK314" s="104"/>
      <c r="SXL314" s="104"/>
      <c r="SXM314" s="104"/>
      <c r="SXN314" s="104"/>
      <c r="SXO314" s="104"/>
      <c r="SXP314" s="104"/>
      <c r="SXQ314" s="104"/>
      <c r="SXR314" s="104"/>
      <c r="SXS314" s="104"/>
      <c r="SXT314" s="104"/>
      <c r="SXU314" s="104"/>
      <c r="SXV314" s="104"/>
      <c r="SXW314" s="104"/>
      <c r="SXX314" s="104"/>
      <c r="SXY314" s="104"/>
      <c r="SXZ314" s="104"/>
      <c r="SYA314" s="104"/>
      <c r="SYB314" s="104"/>
      <c r="SYC314" s="104"/>
      <c r="SYD314" s="104"/>
      <c r="SYE314" s="104"/>
      <c r="SYF314" s="104"/>
      <c r="SYG314" s="104"/>
      <c r="SYH314" s="104"/>
      <c r="SYI314" s="104"/>
      <c r="SYJ314" s="104"/>
      <c r="SYK314" s="104"/>
      <c r="SYL314" s="104"/>
      <c r="SYM314" s="104"/>
      <c r="SYN314" s="104"/>
      <c r="SYO314" s="104"/>
      <c r="SYP314" s="104"/>
      <c r="SYQ314" s="104"/>
      <c r="SYR314" s="104"/>
      <c r="SYS314" s="104"/>
      <c r="SYT314" s="104"/>
      <c r="SYU314" s="104"/>
      <c r="SYV314" s="104"/>
      <c r="SYW314" s="104"/>
      <c r="SYX314" s="104"/>
      <c r="SYY314" s="104"/>
      <c r="SYZ314" s="104"/>
      <c r="SZA314" s="104"/>
      <c r="SZB314" s="104"/>
      <c r="SZC314" s="104"/>
      <c r="SZD314" s="104"/>
      <c r="SZE314" s="104"/>
      <c r="SZF314" s="104"/>
      <c r="SZG314" s="104"/>
      <c r="SZH314" s="104"/>
      <c r="SZI314" s="104"/>
      <c r="SZJ314" s="104"/>
      <c r="SZK314" s="104"/>
      <c r="SZL314" s="104"/>
      <c r="SZM314" s="104"/>
      <c r="SZN314" s="104"/>
      <c r="SZO314" s="104"/>
      <c r="SZP314" s="104"/>
      <c r="SZQ314" s="104"/>
      <c r="SZR314" s="104"/>
      <c r="SZS314" s="104"/>
      <c r="SZT314" s="104"/>
      <c r="SZU314" s="104"/>
      <c r="SZV314" s="104"/>
      <c r="SZW314" s="104"/>
      <c r="SZX314" s="104"/>
      <c r="SZY314" s="104"/>
      <c r="SZZ314" s="104"/>
      <c r="TAA314" s="104"/>
      <c r="TAB314" s="104"/>
      <c r="TAC314" s="104"/>
      <c r="TAD314" s="104"/>
      <c r="TAE314" s="104"/>
      <c r="TAF314" s="104"/>
      <c r="TAG314" s="104"/>
      <c r="TAH314" s="104"/>
      <c r="TAI314" s="104"/>
      <c r="TAJ314" s="104"/>
      <c r="TAK314" s="104"/>
      <c r="TAL314" s="104"/>
      <c r="TAM314" s="104"/>
      <c r="TAN314" s="104"/>
      <c r="TAO314" s="104"/>
      <c r="TAP314" s="104"/>
      <c r="TAQ314" s="104"/>
      <c r="TAR314" s="104"/>
      <c r="TAS314" s="104"/>
      <c r="TAT314" s="104"/>
      <c r="TAU314" s="104"/>
      <c r="TAV314" s="104"/>
      <c r="TAW314" s="104"/>
      <c r="TAX314" s="104"/>
      <c r="TAY314" s="104"/>
      <c r="TAZ314" s="104"/>
      <c r="TBA314" s="104"/>
      <c r="TBB314" s="104"/>
      <c r="TBC314" s="104"/>
      <c r="TBD314" s="104"/>
      <c r="TBE314" s="104"/>
      <c r="TBF314" s="104"/>
      <c r="TBG314" s="104"/>
      <c r="TBH314" s="104"/>
      <c r="TBI314" s="104"/>
      <c r="TBJ314" s="104"/>
      <c r="TBK314" s="104"/>
      <c r="TBL314" s="104"/>
      <c r="TBM314" s="104"/>
      <c r="TBN314" s="104"/>
      <c r="TBO314" s="104"/>
      <c r="TBP314" s="104"/>
      <c r="TBQ314" s="104"/>
      <c r="TBR314" s="104"/>
      <c r="TBS314" s="104"/>
      <c r="TBT314" s="104"/>
      <c r="TBU314" s="104"/>
      <c r="TBV314" s="104"/>
      <c r="TBW314" s="104"/>
      <c r="TBX314" s="104"/>
      <c r="TBY314" s="104"/>
      <c r="TBZ314" s="104"/>
      <c r="TCA314" s="104"/>
      <c r="TCB314" s="104"/>
      <c r="TCC314" s="104"/>
      <c r="TCD314" s="104"/>
      <c r="TCE314" s="104"/>
      <c r="TCF314" s="104"/>
      <c r="TCG314" s="104"/>
      <c r="TCH314" s="104"/>
      <c r="TCI314" s="104"/>
      <c r="TCJ314" s="104"/>
      <c r="TCK314" s="104"/>
      <c r="TCL314" s="104"/>
      <c r="TCM314" s="104"/>
      <c r="TCN314" s="104"/>
      <c r="TCO314" s="104"/>
      <c r="TCP314" s="104"/>
      <c r="TCQ314" s="104"/>
      <c r="TCR314" s="104"/>
      <c r="TCS314" s="104"/>
      <c r="TCT314" s="104"/>
      <c r="TCU314" s="104"/>
      <c r="TCV314" s="104"/>
      <c r="TCW314" s="104"/>
      <c r="TCX314" s="104"/>
      <c r="TCY314" s="104"/>
      <c r="TCZ314" s="104"/>
      <c r="TDA314" s="104"/>
      <c r="TDB314" s="104"/>
      <c r="TDC314" s="104"/>
      <c r="TDD314" s="104"/>
      <c r="TDE314" s="104"/>
      <c r="TDF314" s="104"/>
      <c r="TDG314" s="104"/>
      <c r="TDH314" s="104"/>
      <c r="TDI314" s="104"/>
      <c r="TDJ314" s="104"/>
      <c r="TDK314" s="104"/>
      <c r="TDL314" s="104"/>
      <c r="TDM314" s="104"/>
      <c r="TDN314" s="104"/>
      <c r="TDO314" s="104"/>
      <c r="TDP314" s="104"/>
      <c r="TDQ314" s="104"/>
      <c r="TDR314" s="104"/>
      <c r="TDS314" s="104"/>
      <c r="TDT314" s="104"/>
      <c r="TDU314" s="104"/>
      <c r="TDV314" s="104"/>
      <c r="TDW314" s="104"/>
      <c r="TDX314" s="104"/>
      <c r="TDY314" s="104"/>
      <c r="TDZ314" s="104"/>
      <c r="TEA314" s="104"/>
      <c r="TEB314" s="104"/>
      <c r="TEC314" s="104"/>
      <c r="TED314" s="104"/>
      <c r="TEE314" s="104"/>
      <c r="TEF314" s="104"/>
      <c r="TEG314" s="104"/>
      <c r="TEH314" s="104"/>
      <c r="TEI314" s="104"/>
      <c r="TEJ314" s="104"/>
      <c r="TEK314" s="104"/>
      <c r="TEL314" s="104"/>
      <c r="TEM314" s="104"/>
      <c r="TEN314" s="104"/>
      <c r="TEO314" s="104"/>
      <c r="TEP314" s="104"/>
      <c r="TEQ314" s="104"/>
      <c r="TER314" s="104"/>
      <c r="TES314" s="104"/>
      <c r="TET314" s="104"/>
      <c r="TEU314" s="104"/>
      <c r="TEV314" s="104"/>
      <c r="TEW314" s="104"/>
      <c r="TEX314" s="104"/>
      <c r="TEY314" s="104"/>
      <c r="TEZ314" s="104"/>
      <c r="TFA314" s="104"/>
      <c r="TFB314" s="104"/>
      <c r="TFC314" s="104"/>
      <c r="TFD314" s="104"/>
      <c r="TFE314" s="104"/>
      <c r="TFF314" s="104"/>
      <c r="TFG314" s="104"/>
      <c r="TFH314" s="104"/>
      <c r="TFI314" s="104"/>
      <c r="TFJ314" s="104"/>
      <c r="TFK314" s="104"/>
      <c r="TFL314" s="104"/>
      <c r="TFM314" s="104"/>
      <c r="TFN314" s="104"/>
      <c r="TFO314" s="104"/>
      <c r="TFP314" s="104"/>
      <c r="TFQ314" s="104"/>
      <c r="TFR314" s="104"/>
      <c r="TFS314" s="104"/>
      <c r="TFT314" s="104"/>
      <c r="TFU314" s="104"/>
      <c r="TFV314" s="104"/>
      <c r="TFW314" s="104"/>
      <c r="TFX314" s="104"/>
      <c r="TFY314" s="104"/>
      <c r="TFZ314" s="104"/>
      <c r="TGA314" s="104"/>
      <c r="TGB314" s="104"/>
      <c r="TGC314" s="104"/>
      <c r="TGD314" s="104"/>
      <c r="TGE314" s="104"/>
      <c r="TGF314" s="104"/>
      <c r="TGG314" s="104"/>
      <c r="TGH314" s="104"/>
      <c r="TGI314" s="104"/>
      <c r="TGJ314" s="104"/>
      <c r="TGK314" s="104"/>
      <c r="TGL314" s="104"/>
      <c r="TGM314" s="104"/>
      <c r="TGN314" s="104"/>
      <c r="TGO314" s="104"/>
      <c r="TGP314" s="104"/>
      <c r="TGQ314" s="104"/>
      <c r="TGR314" s="104"/>
      <c r="TGS314" s="104"/>
      <c r="TGT314" s="104"/>
      <c r="TGU314" s="104"/>
      <c r="TGV314" s="104"/>
      <c r="TGW314" s="104"/>
      <c r="TGX314" s="104"/>
      <c r="TGY314" s="104"/>
      <c r="TGZ314" s="104"/>
      <c r="THA314" s="104"/>
      <c r="THB314" s="104"/>
      <c r="THC314" s="104"/>
      <c r="THD314" s="104"/>
      <c r="THE314" s="104"/>
      <c r="THF314" s="104"/>
      <c r="THG314" s="104"/>
      <c r="THH314" s="104"/>
      <c r="THI314" s="104"/>
      <c r="THJ314" s="104"/>
      <c r="THK314" s="104"/>
      <c r="THL314" s="104"/>
      <c r="THM314" s="104"/>
      <c r="THN314" s="104"/>
      <c r="THO314" s="104"/>
      <c r="THP314" s="104"/>
      <c r="THQ314" s="104"/>
      <c r="THR314" s="104"/>
      <c r="THS314" s="104"/>
      <c r="THT314" s="104"/>
      <c r="THU314" s="104"/>
      <c r="THV314" s="104"/>
      <c r="THW314" s="104"/>
      <c r="THX314" s="104"/>
      <c r="THY314" s="104"/>
      <c r="THZ314" s="104"/>
      <c r="TIA314" s="104"/>
      <c r="TIB314" s="104"/>
      <c r="TIC314" s="104"/>
      <c r="TID314" s="104"/>
      <c r="TIE314" s="104"/>
      <c r="TIF314" s="104"/>
      <c r="TIG314" s="104"/>
      <c r="TIH314" s="104"/>
      <c r="TII314" s="104"/>
      <c r="TIJ314" s="104"/>
      <c r="TIK314" s="104"/>
      <c r="TIL314" s="104"/>
      <c r="TIM314" s="104"/>
      <c r="TIN314" s="104"/>
      <c r="TIO314" s="104"/>
      <c r="TIP314" s="104"/>
      <c r="TIQ314" s="104"/>
      <c r="TIR314" s="104"/>
      <c r="TIS314" s="104"/>
      <c r="TIT314" s="104"/>
      <c r="TIU314" s="104"/>
      <c r="TIV314" s="104"/>
      <c r="TIW314" s="104"/>
      <c r="TIX314" s="104"/>
      <c r="TIY314" s="104"/>
      <c r="TIZ314" s="104"/>
      <c r="TJA314" s="104"/>
      <c r="TJB314" s="104"/>
      <c r="TJC314" s="104"/>
      <c r="TJD314" s="104"/>
      <c r="TJE314" s="104"/>
      <c r="TJF314" s="104"/>
      <c r="TJG314" s="104"/>
      <c r="TJH314" s="104"/>
      <c r="TJI314" s="104"/>
      <c r="TJJ314" s="104"/>
      <c r="TJK314" s="104"/>
      <c r="TJL314" s="104"/>
      <c r="TJM314" s="104"/>
      <c r="TJN314" s="104"/>
      <c r="TJO314" s="104"/>
      <c r="TJP314" s="104"/>
      <c r="TJQ314" s="104"/>
      <c r="TJR314" s="104"/>
      <c r="TJS314" s="104"/>
      <c r="TJT314" s="104"/>
      <c r="TJU314" s="104"/>
      <c r="TJV314" s="104"/>
      <c r="TJW314" s="104"/>
      <c r="TJX314" s="104"/>
      <c r="TJY314" s="104"/>
      <c r="TJZ314" s="104"/>
      <c r="TKA314" s="104"/>
      <c r="TKB314" s="104"/>
      <c r="TKC314" s="104"/>
      <c r="TKD314" s="104"/>
      <c r="TKE314" s="104"/>
      <c r="TKF314" s="104"/>
      <c r="TKG314" s="104"/>
      <c r="TKH314" s="104"/>
      <c r="TKI314" s="104"/>
      <c r="TKJ314" s="104"/>
      <c r="TKK314" s="104"/>
      <c r="TKL314" s="104"/>
      <c r="TKM314" s="104"/>
      <c r="TKN314" s="104"/>
      <c r="TKO314" s="104"/>
      <c r="TKP314" s="104"/>
      <c r="TKQ314" s="104"/>
      <c r="TKR314" s="104"/>
      <c r="TKS314" s="104"/>
      <c r="TKT314" s="104"/>
      <c r="TKU314" s="104"/>
      <c r="TKV314" s="104"/>
      <c r="TKW314" s="104"/>
      <c r="TKX314" s="104"/>
      <c r="TKY314" s="104"/>
      <c r="TKZ314" s="104"/>
      <c r="TLA314" s="104"/>
      <c r="TLB314" s="104"/>
      <c r="TLC314" s="104"/>
      <c r="TLD314" s="104"/>
      <c r="TLE314" s="104"/>
      <c r="TLF314" s="104"/>
      <c r="TLG314" s="104"/>
      <c r="TLH314" s="104"/>
      <c r="TLI314" s="104"/>
      <c r="TLJ314" s="104"/>
      <c r="TLK314" s="104"/>
      <c r="TLL314" s="104"/>
      <c r="TLM314" s="104"/>
      <c r="TLN314" s="104"/>
      <c r="TLO314" s="104"/>
      <c r="TLP314" s="104"/>
      <c r="TLQ314" s="104"/>
      <c r="TLR314" s="104"/>
      <c r="TLS314" s="104"/>
      <c r="TLT314" s="104"/>
      <c r="TLU314" s="104"/>
      <c r="TLV314" s="104"/>
      <c r="TLW314" s="104"/>
      <c r="TLX314" s="104"/>
      <c r="TLY314" s="104"/>
      <c r="TLZ314" s="104"/>
      <c r="TMA314" s="104"/>
      <c r="TMB314" s="104"/>
      <c r="TMC314" s="104"/>
      <c r="TMD314" s="104"/>
      <c r="TME314" s="104"/>
      <c r="TMF314" s="104"/>
      <c r="TMG314" s="104"/>
      <c r="TMH314" s="104"/>
      <c r="TMI314" s="104"/>
      <c r="TMJ314" s="104"/>
      <c r="TMK314" s="104"/>
      <c r="TML314" s="104"/>
      <c r="TMM314" s="104"/>
      <c r="TMN314" s="104"/>
      <c r="TMO314" s="104"/>
      <c r="TMP314" s="104"/>
      <c r="TMQ314" s="104"/>
      <c r="TMR314" s="104"/>
      <c r="TMS314" s="104"/>
      <c r="TMT314" s="104"/>
      <c r="TMU314" s="104"/>
      <c r="TMV314" s="104"/>
      <c r="TMW314" s="104"/>
      <c r="TMX314" s="104"/>
      <c r="TMY314" s="104"/>
      <c r="TMZ314" s="104"/>
      <c r="TNA314" s="104"/>
      <c r="TNB314" s="104"/>
      <c r="TNC314" s="104"/>
      <c r="TND314" s="104"/>
      <c r="TNE314" s="104"/>
      <c r="TNF314" s="104"/>
      <c r="TNG314" s="104"/>
      <c r="TNH314" s="104"/>
      <c r="TNI314" s="104"/>
      <c r="TNJ314" s="104"/>
      <c r="TNK314" s="104"/>
      <c r="TNL314" s="104"/>
      <c r="TNM314" s="104"/>
      <c r="TNN314" s="104"/>
      <c r="TNO314" s="104"/>
      <c r="TNP314" s="104"/>
      <c r="TNQ314" s="104"/>
      <c r="TNR314" s="104"/>
      <c r="TNS314" s="104"/>
      <c r="TNT314" s="104"/>
      <c r="TNU314" s="104"/>
      <c r="TNV314" s="104"/>
      <c r="TNW314" s="104"/>
      <c r="TNX314" s="104"/>
      <c r="TNY314" s="104"/>
      <c r="TNZ314" s="104"/>
      <c r="TOA314" s="104"/>
      <c r="TOB314" s="104"/>
      <c r="TOC314" s="104"/>
      <c r="TOD314" s="104"/>
      <c r="TOE314" s="104"/>
      <c r="TOF314" s="104"/>
      <c r="TOG314" s="104"/>
      <c r="TOH314" s="104"/>
      <c r="TOI314" s="104"/>
      <c r="TOJ314" s="104"/>
      <c r="TOK314" s="104"/>
      <c r="TOL314" s="104"/>
      <c r="TOM314" s="104"/>
      <c r="TON314" s="104"/>
      <c r="TOO314" s="104"/>
      <c r="TOP314" s="104"/>
      <c r="TOQ314" s="104"/>
      <c r="TOR314" s="104"/>
      <c r="TOS314" s="104"/>
      <c r="TOT314" s="104"/>
      <c r="TOU314" s="104"/>
      <c r="TOV314" s="104"/>
      <c r="TOW314" s="104"/>
      <c r="TOX314" s="104"/>
      <c r="TOY314" s="104"/>
      <c r="TOZ314" s="104"/>
      <c r="TPA314" s="104"/>
      <c r="TPB314" s="104"/>
      <c r="TPC314" s="104"/>
      <c r="TPD314" s="104"/>
      <c r="TPE314" s="104"/>
      <c r="TPF314" s="104"/>
      <c r="TPG314" s="104"/>
      <c r="TPH314" s="104"/>
      <c r="TPI314" s="104"/>
      <c r="TPJ314" s="104"/>
      <c r="TPK314" s="104"/>
      <c r="TPL314" s="104"/>
      <c r="TPM314" s="104"/>
      <c r="TPN314" s="104"/>
      <c r="TPO314" s="104"/>
      <c r="TPP314" s="104"/>
      <c r="TPQ314" s="104"/>
      <c r="TPR314" s="104"/>
      <c r="TPS314" s="104"/>
      <c r="TPT314" s="104"/>
      <c r="TPU314" s="104"/>
      <c r="TPV314" s="104"/>
      <c r="TPW314" s="104"/>
      <c r="TPX314" s="104"/>
      <c r="TPY314" s="104"/>
      <c r="TPZ314" s="104"/>
      <c r="TQA314" s="104"/>
      <c r="TQB314" s="104"/>
      <c r="TQC314" s="104"/>
      <c r="TQD314" s="104"/>
      <c r="TQE314" s="104"/>
      <c r="TQF314" s="104"/>
      <c r="TQG314" s="104"/>
      <c r="TQH314" s="104"/>
      <c r="TQI314" s="104"/>
      <c r="TQJ314" s="104"/>
      <c r="TQK314" s="104"/>
      <c r="TQL314" s="104"/>
      <c r="TQM314" s="104"/>
      <c r="TQN314" s="104"/>
      <c r="TQO314" s="104"/>
      <c r="TQP314" s="104"/>
      <c r="TQQ314" s="104"/>
      <c r="TQR314" s="104"/>
      <c r="TQS314" s="104"/>
      <c r="TQT314" s="104"/>
      <c r="TQU314" s="104"/>
      <c r="TQV314" s="104"/>
      <c r="TQW314" s="104"/>
      <c r="TQX314" s="104"/>
      <c r="TQY314" s="104"/>
      <c r="TQZ314" s="104"/>
      <c r="TRA314" s="104"/>
      <c r="TRB314" s="104"/>
      <c r="TRC314" s="104"/>
      <c r="TRD314" s="104"/>
      <c r="TRE314" s="104"/>
      <c r="TRF314" s="104"/>
      <c r="TRG314" s="104"/>
      <c r="TRH314" s="104"/>
      <c r="TRI314" s="104"/>
      <c r="TRJ314" s="104"/>
      <c r="TRK314" s="104"/>
      <c r="TRL314" s="104"/>
      <c r="TRM314" s="104"/>
      <c r="TRN314" s="104"/>
      <c r="TRO314" s="104"/>
      <c r="TRP314" s="104"/>
      <c r="TRQ314" s="104"/>
      <c r="TRR314" s="104"/>
      <c r="TRS314" s="104"/>
      <c r="TRT314" s="104"/>
      <c r="TRU314" s="104"/>
      <c r="TRV314" s="104"/>
      <c r="TRW314" s="104"/>
      <c r="TRX314" s="104"/>
      <c r="TRY314" s="104"/>
      <c r="TRZ314" s="104"/>
      <c r="TSA314" s="104"/>
      <c r="TSB314" s="104"/>
      <c r="TSC314" s="104"/>
      <c r="TSD314" s="104"/>
      <c r="TSE314" s="104"/>
      <c r="TSF314" s="104"/>
      <c r="TSG314" s="104"/>
      <c r="TSH314" s="104"/>
      <c r="TSI314" s="104"/>
      <c r="TSJ314" s="104"/>
      <c r="TSK314" s="104"/>
      <c r="TSL314" s="104"/>
      <c r="TSM314" s="104"/>
      <c r="TSN314" s="104"/>
      <c r="TSO314" s="104"/>
      <c r="TSP314" s="104"/>
      <c r="TSQ314" s="104"/>
      <c r="TSR314" s="104"/>
      <c r="TSS314" s="104"/>
      <c r="TST314" s="104"/>
      <c r="TSU314" s="104"/>
      <c r="TSV314" s="104"/>
      <c r="TSW314" s="104"/>
      <c r="TSX314" s="104"/>
      <c r="TSY314" s="104"/>
      <c r="TSZ314" s="104"/>
      <c r="TTA314" s="104"/>
      <c r="TTB314" s="104"/>
      <c r="TTC314" s="104"/>
      <c r="TTD314" s="104"/>
      <c r="TTE314" s="104"/>
      <c r="TTF314" s="104"/>
      <c r="TTG314" s="104"/>
      <c r="TTH314" s="104"/>
      <c r="TTI314" s="104"/>
      <c r="TTJ314" s="104"/>
      <c r="TTK314" s="104"/>
      <c r="TTL314" s="104"/>
      <c r="TTM314" s="104"/>
      <c r="TTN314" s="104"/>
      <c r="TTO314" s="104"/>
      <c r="TTP314" s="104"/>
      <c r="TTQ314" s="104"/>
      <c r="TTR314" s="104"/>
      <c r="TTS314" s="104"/>
      <c r="TTT314" s="104"/>
      <c r="TTU314" s="104"/>
      <c r="TTV314" s="104"/>
      <c r="TTW314" s="104"/>
      <c r="TTX314" s="104"/>
      <c r="TTY314" s="104"/>
      <c r="TTZ314" s="104"/>
      <c r="TUA314" s="104"/>
      <c r="TUB314" s="104"/>
      <c r="TUC314" s="104"/>
      <c r="TUD314" s="104"/>
      <c r="TUE314" s="104"/>
      <c r="TUF314" s="104"/>
      <c r="TUG314" s="104"/>
      <c r="TUH314" s="104"/>
      <c r="TUI314" s="104"/>
      <c r="TUJ314" s="104"/>
      <c r="TUK314" s="104"/>
      <c r="TUL314" s="104"/>
      <c r="TUM314" s="104"/>
      <c r="TUN314" s="104"/>
      <c r="TUO314" s="104"/>
      <c r="TUP314" s="104"/>
      <c r="TUQ314" s="104"/>
      <c r="TUR314" s="104"/>
      <c r="TUS314" s="104"/>
      <c r="TUT314" s="104"/>
      <c r="TUU314" s="104"/>
      <c r="TUV314" s="104"/>
      <c r="TUW314" s="104"/>
      <c r="TUX314" s="104"/>
      <c r="TUY314" s="104"/>
      <c r="TUZ314" s="104"/>
      <c r="TVA314" s="104"/>
      <c r="TVB314" s="104"/>
      <c r="TVC314" s="104"/>
      <c r="TVD314" s="104"/>
      <c r="TVE314" s="104"/>
      <c r="TVF314" s="104"/>
      <c r="TVG314" s="104"/>
      <c r="TVH314" s="104"/>
      <c r="TVI314" s="104"/>
      <c r="TVJ314" s="104"/>
      <c r="TVK314" s="104"/>
      <c r="TVL314" s="104"/>
      <c r="TVM314" s="104"/>
      <c r="TVN314" s="104"/>
      <c r="TVO314" s="104"/>
      <c r="TVP314" s="104"/>
      <c r="TVQ314" s="104"/>
      <c r="TVR314" s="104"/>
      <c r="TVS314" s="104"/>
      <c r="TVT314" s="104"/>
      <c r="TVU314" s="104"/>
      <c r="TVV314" s="104"/>
      <c r="TVW314" s="104"/>
      <c r="TVX314" s="104"/>
      <c r="TVY314" s="104"/>
      <c r="TVZ314" s="104"/>
      <c r="TWA314" s="104"/>
      <c r="TWB314" s="104"/>
      <c r="TWC314" s="104"/>
      <c r="TWD314" s="104"/>
      <c r="TWE314" s="104"/>
      <c r="TWF314" s="104"/>
      <c r="TWG314" s="104"/>
      <c r="TWH314" s="104"/>
      <c r="TWI314" s="104"/>
      <c r="TWJ314" s="104"/>
      <c r="TWK314" s="104"/>
      <c r="TWL314" s="104"/>
      <c r="TWM314" s="104"/>
      <c r="TWN314" s="104"/>
      <c r="TWO314" s="104"/>
      <c r="TWP314" s="104"/>
      <c r="TWQ314" s="104"/>
      <c r="TWR314" s="104"/>
      <c r="TWS314" s="104"/>
      <c r="TWT314" s="104"/>
      <c r="TWU314" s="104"/>
      <c r="TWV314" s="104"/>
      <c r="TWW314" s="104"/>
      <c r="TWX314" s="104"/>
      <c r="TWY314" s="104"/>
      <c r="TWZ314" s="104"/>
      <c r="TXA314" s="104"/>
      <c r="TXB314" s="104"/>
      <c r="TXC314" s="104"/>
      <c r="TXD314" s="104"/>
      <c r="TXE314" s="104"/>
      <c r="TXF314" s="104"/>
      <c r="TXG314" s="104"/>
      <c r="TXH314" s="104"/>
      <c r="TXI314" s="104"/>
      <c r="TXJ314" s="104"/>
      <c r="TXK314" s="104"/>
      <c r="TXL314" s="104"/>
      <c r="TXM314" s="104"/>
      <c r="TXN314" s="104"/>
      <c r="TXO314" s="104"/>
      <c r="TXP314" s="104"/>
      <c r="TXQ314" s="104"/>
      <c r="TXR314" s="104"/>
      <c r="TXS314" s="104"/>
      <c r="TXT314" s="104"/>
      <c r="TXU314" s="104"/>
      <c r="TXV314" s="104"/>
      <c r="TXW314" s="104"/>
      <c r="TXX314" s="104"/>
      <c r="TXY314" s="104"/>
      <c r="TXZ314" s="104"/>
      <c r="TYA314" s="104"/>
      <c r="TYB314" s="104"/>
      <c r="TYC314" s="104"/>
      <c r="TYD314" s="104"/>
      <c r="TYE314" s="104"/>
      <c r="TYF314" s="104"/>
      <c r="TYG314" s="104"/>
      <c r="TYH314" s="104"/>
      <c r="TYI314" s="104"/>
      <c r="TYJ314" s="104"/>
      <c r="TYK314" s="104"/>
      <c r="TYL314" s="104"/>
      <c r="TYM314" s="104"/>
      <c r="TYN314" s="104"/>
      <c r="TYO314" s="104"/>
      <c r="TYP314" s="104"/>
      <c r="TYQ314" s="104"/>
      <c r="TYR314" s="104"/>
      <c r="TYS314" s="104"/>
      <c r="TYT314" s="104"/>
      <c r="TYU314" s="104"/>
      <c r="TYV314" s="104"/>
      <c r="TYW314" s="104"/>
      <c r="TYX314" s="104"/>
      <c r="TYY314" s="104"/>
      <c r="TYZ314" s="104"/>
      <c r="TZA314" s="104"/>
      <c r="TZB314" s="104"/>
      <c r="TZC314" s="104"/>
      <c r="TZD314" s="104"/>
      <c r="TZE314" s="104"/>
      <c r="TZF314" s="104"/>
      <c r="TZG314" s="104"/>
      <c r="TZH314" s="104"/>
      <c r="TZI314" s="104"/>
      <c r="TZJ314" s="104"/>
      <c r="TZK314" s="104"/>
      <c r="TZL314" s="104"/>
      <c r="TZM314" s="104"/>
      <c r="TZN314" s="104"/>
      <c r="TZO314" s="104"/>
      <c r="TZP314" s="104"/>
      <c r="TZQ314" s="104"/>
      <c r="TZR314" s="104"/>
      <c r="TZS314" s="104"/>
      <c r="TZT314" s="104"/>
      <c r="TZU314" s="104"/>
      <c r="TZV314" s="104"/>
      <c r="TZW314" s="104"/>
      <c r="TZX314" s="104"/>
      <c r="TZY314" s="104"/>
      <c r="TZZ314" s="104"/>
      <c r="UAA314" s="104"/>
      <c r="UAB314" s="104"/>
      <c r="UAC314" s="104"/>
      <c r="UAD314" s="104"/>
      <c r="UAE314" s="104"/>
      <c r="UAF314" s="104"/>
      <c r="UAG314" s="104"/>
      <c r="UAH314" s="104"/>
      <c r="UAI314" s="104"/>
      <c r="UAJ314" s="104"/>
      <c r="UAK314" s="104"/>
      <c r="UAL314" s="104"/>
      <c r="UAM314" s="104"/>
      <c r="UAN314" s="104"/>
      <c r="UAO314" s="104"/>
      <c r="UAP314" s="104"/>
      <c r="UAQ314" s="104"/>
      <c r="UAR314" s="104"/>
      <c r="UAS314" s="104"/>
      <c r="UAT314" s="104"/>
      <c r="UAU314" s="104"/>
      <c r="UAV314" s="104"/>
      <c r="UAW314" s="104"/>
      <c r="UAX314" s="104"/>
      <c r="UAY314" s="104"/>
      <c r="UAZ314" s="104"/>
      <c r="UBA314" s="104"/>
      <c r="UBB314" s="104"/>
      <c r="UBC314" s="104"/>
      <c r="UBD314" s="104"/>
      <c r="UBE314" s="104"/>
      <c r="UBF314" s="104"/>
      <c r="UBG314" s="104"/>
      <c r="UBH314" s="104"/>
      <c r="UBI314" s="104"/>
      <c r="UBJ314" s="104"/>
      <c r="UBK314" s="104"/>
      <c r="UBL314" s="104"/>
      <c r="UBM314" s="104"/>
      <c r="UBN314" s="104"/>
      <c r="UBO314" s="104"/>
      <c r="UBP314" s="104"/>
      <c r="UBQ314" s="104"/>
      <c r="UBR314" s="104"/>
      <c r="UBS314" s="104"/>
      <c r="UBT314" s="104"/>
      <c r="UBU314" s="104"/>
      <c r="UBV314" s="104"/>
      <c r="UBW314" s="104"/>
      <c r="UBX314" s="104"/>
      <c r="UBY314" s="104"/>
      <c r="UBZ314" s="104"/>
      <c r="UCA314" s="104"/>
      <c r="UCB314" s="104"/>
      <c r="UCC314" s="104"/>
      <c r="UCD314" s="104"/>
      <c r="UCE314" s="104"/>
      <c r="UCF314" s="104"/>
      <c r="UCG314" s="104"/>
      <c r="UCH314" s="104"/>
      <c r="UCI314" s="104"/>
      <c r="UCJ314" s="104"/>
      <c r="UCK314" s="104"/>
      <c r="UCL314" s="104"/>
      <c r="UCM314" s="104"/>
      <c r="UCN314" s="104"/>
      <c r="UCO314" s="104"/>
      <c r="UCP314" s="104"/>
      <c r="UCQ314" s="104"/>
      <c r="UCR314" s="104"/>
      <c r="UCS314" s="104"/>
      <c r="UCT314" s="104"/>
      <c r="UCU314" s="104"/>
      <c r="UCV314" s="104"/>
      <c r="UCW314" s="104"/>
      <c r="UCX314" s="104"/>
      <c r="UCY314" s="104"/>
      <c r="UCZ314" s="104"/>
      <c r="UDA314" s="104"/>
      <c r="UDB314" s="104"/>
      <c r="UDC314" s="104"/>
      <c r="UDD314" s="104"/>
      <c r="UDE314" s="104"/>
      <c r="UDF314" s="104"/>
      <c r="UDG314" s="104"/>
      <c r="UDH314" s="104"/>
      <c r="UDI314" s="104"/>
      <c r="UDJ314" s="104"/>
      <c r="UDK314" s="104"/>
      <c r="UDL314" s="104"/>
      <c r="UDM314" s="104"/>
      <c r="UDN314" s="104"/>
      <c r="UDO314" s="104"/>
      <c r="UDP314" s="104"/>
      <c r="UDQ314" s="104"/>
      <c r="UDR314" s="104"/>
      <c r="UDS314" s="104"/>
      <c r="UDT314" s="104"/>
      <c r="UDU314" s="104"/>
      <c r="UDV314" s="104"/>
      <c r="UDW314" s="104"/>
      <c r="UDX314" s="104"/>
      <c r="UDY314" s="104"/>
      <c r="UDZ314" s="104"/>
      <c r="UEA314" s="104"/>
      <c r="UEB314" s="104"/>
      <c r="UEC314" s="104"/>
      <c r="UED314" s="104"/>
      <c r="UEE314" s="104"/>
      <c r="UEF314" s="104"/>
      <c r="UEG314" s="104"/>
      <c r="UEH314" s="104"/>
      <c r="UEI314" s="104"/>
      <c r="UEJ314" s="104"/>
      <c r="UEK314" s="104"/>
      <c r="UEL314" s="104"/>
      <c r="UEM314" s="104"/>
      <c r="UEN314" s="104"/>
      <c r="UEO314" s="104"/>
      <c r="UEP314" s="104"/>
      <c r="UEQ314" s="104"/>
      <c r="UER314" s="104"/>
      <c r="UES314" s="104"/>
      <c r="UET314" s="104"/>
      <c r="UEU314" s="104"/>
      <c r="UEV314" s="104"/>
      <c r="UEW314" s="104"/>
      <c r="UEX314" s="104"/>
      <c r="UEY314" s="104"/>
      <c r="UEZ314" s="104"/>
      <c r="UFA314" s="104"/>
      <c r="UFB314" s="104"/>
      <c r="UFC314" s="104"/>
      <c r="UFD314" s="104"/>
      <c r="UFE314" s="104"/>
      <c r="UFF314" s="104"/>
      <c r="UFG314" s="104"/>
      <c r="UFH314" s="104"/>
      <c r="UFI314" s="104"/>
      <c r="UFJ314" s="104"/>
      <c r="UFK314" s="104"/>
      <c r="UFL314" s="104"/>
      <c r="UFM314" s="104"/>
      <c r="UFN314" s="104"/>
      <c r="UFO314" s="104"/>
      <c r="UFP314" s="104"/>
      <c r="UFQ314" s="104"/>
      <c r="UFR314" s="104"/>
      <c r="UFS314" s="104"/>
      <c r="UFT314" s="104"/>
      <c r="UFU314" s="104"/>
      <c r="UFV314" s="104"/>
      <c r="UFW314" s="104"/>
      <c r="UFX314" s="104"/>
      <c r="UFY314" s="104"/>
      <c r="UFZ314" s="104"/>
      <c r="UGA314" s="104"/>
      <c r="UGB314" s="104"/>
      <c r="UGC314" s="104"/>
      <c r="UGD314" s="104"/>
      <c r="UGE314" s="104"/>
      <c r="UGF314" s="104"/>
      <c r="UGG314" s="104"/>
      <c r="UGH314" s="104"/>
      <c r="UGI314" s="104"/>
      <c r="UGJ314" s="104"/>
      <c r="UGK314" s="104"/>
      <c r="UGL314" s="104"/>
      <c r="UGM314" s="104"/>
      <c r="UGN314" s="104"/>
      <c r="UGO314" s="104"/>
      <c r="UGP314" s="104"/>
      <c r="UGQ314" s="104"/>
      <c r="UGR314" s="104"/>
      <c r="UGS314" s="104"/>
      <c r="UGT314" s="104"/>
      <c r="UGU314" s="104"/>
      <c r="UGV314" s="104"/>
      <c r="UGW314" s="104"/>
      <c r="UGX314" s="104"/>
      <c r="UGY314" s="104"/>
      <c r="UGZ314" s="104"/>
      <c r="UHA314" s="104"/>
      <c r="UHB314" s="104"/>
      <c r="UHC314" s="104"/>
      <c r="UHD314" s="104"/>
      <c r="UHE314" s="104"/>
      <c r="UHF314" s="104"/>
      <c r="UHG314" s="104"/>
      <c r="UHH314" s="104"/>
      <c r="UHI314" s="104"/>
      <c r="UHJ314" s="104"/>
      <c r="UHK314" s="104"/>
      <c r="UHL314" s="104"/>
      <c r="UHM314" s="104"/>
      <c r="UHN314" s="104"/>
      <c r="UHO314" s="104"/>
      <c r="UHP314" s="104"/>
      <c r="UHQ314" s="104"/>
      <c r="UHR314" s="104"/>
      <c r="UHS314" s="104"/>
      <c r="UHT314" s="104"/>
      <c r="UHU314" s="104"/>
      <c r="UHV314" s="104"/>
      <c r="UHW314" s="104"/>
      <c r="UHX314" s="104"/>
      <c r="UHY314" s="104"/>
      <c r="UHZ314" s="104"/>
      <c r="UIA314" s="104"/>
      <c r="UIB314" s="104"/>
      <c r="UIC314" s="104"/>
      <c r="UID314" s="104"/>
      <c r="UIE314" s="104"/>
      <c r="UIF314" s="104"/>
      <c r="UIG314" s="104"/>
      <c r="UIH314" s="104"/>
      <c r="UII314" s="104"/>
      <c r="UIJ314" s="104"/>
      <c r="UIK314" s="104"/>
      <c r="UIL314" s="104"/>
      <c r="UIM314" s="104"/>
      <c r="UIN314" s="104"/>
      <c r="UIO314" s="104"/>
      <c r="UIP314" s="104"/>
      <c r="UIQ314" s="104"/>
      <c r="UIR314" s="104"/>
      <c r="UIS314" s="104"/>
      <c r="UIT314" s="104"/>
      <c r="UIU314" s="104"/>
      <c r="UIV314" s="104"/>
      <c r="UIW314" s="104"/>
      <c r="UIX314" s="104"/>
      <c r="UIY314" s="104"/>
      <c r="UIZ314" s="104"/>
      <c r="UJA314" s="104"/>
      <c r="UJB314" s="104"/>
      <c r="UJC314" s="104"/>
      <c r="UJD314" s="104"/>
      <c r="UJE314" s="104"/>
      <c r="UJF314" s="104"/>
      <c r="UJG314" s="104"/>
      <c r="UJH314" s="104"/>
      <c r="UJI314" s="104"/>
      <c r="UJJ314" s="104"/>
      <c r="UJK314" s="104"/>
      <c r="UJL314" s="104"/>
      <c r="UJM314" s="104"/>
      <c r="UJN314" s="104"/>
      <c r="UJO314" s="104"/>
      <c r="UJP314" s="104"/>
      <c r="UJQ314" s="104"/>
      <c r="UJR314" s="104"/>
      <c r="UJS314" s="104"/>
      <c r="UJT314" s="104"/>
      <c r="UJU314" s="104"/>
      <c r="UJV314" s="104"/>
      <c r="UJW314" s="104"/>
      <c r="UJX314" s="104"/>
      <c r="UJY314" s="104"/>
      <c r="UJZ314" s="104"/>
      <c r="UKA314" s="104"/>
      <c r="UKB314" s="104"/>
      <c r="UKC314" s="104"/>
      <c r="UKD314" s="104"/>
      <c r="UKE314" s="104"/>
      <c r="UKF314" s="104"/>
      <c r="UKG314" s="104"/>
      <c r="UKH314" s="104"/>
      <c r="UKI314" s="104"/>
      <c r="UKJ314" s="104"/>
      <c r="UKK314" s="104"/>
      <c r="UKL314" s="104"/>
      <c r="UKM314" s="104"/>
      <c r="UKN314" s="104"/>
      <c r="UKO314" s="104"/>
      <c r="UKP314" s="104"/>
      <c r="UKQ314" s="104"/>
      <c r="UKR314" s="104"/>
      <c r="UKS314" s="104"/>
      <c r="UKT314" s="104"/>
      <c r="UKU314" s="104"/>
      <c r="UKV314" s="104"/>
      <c r="UKW314" s="104"/>
      <c r="UKX314" s="104"/>
      <c r="UKY314" s="104"/>
      <c r="UKZ314" s="104"/>
      <c r="ULA314" s="104"/>
      <c r="ULB314" s="104"/>
      <c r="ULC314" s="104"/>
      <c r="ULD314" s="104"/>
      <c r="ULE314" s="104"/>
      <c r="ULF314" s="104"/>
      <c r="ULG314" s="104"/>
      <c r="ULH314" s="104"/>
      <c r="ULI314" s="104"/>
      <c r="ULJ314" s="104"/>
      <c r="ULK314" s="104"/>
      <c r="ULL314" s="104"/>
      <c r="ULM314" s="104"/>
      <c r="ULN314" s="104"/>
      <c r="ULO314" s="104"/>
      <c r="ULP314" s="104"/>
      <c r="ULQ314" s="104"/>
      <c r="ULR314" s="104"/>
      <c r="ULS314" s="104"/>
      <c r="ULT314" s="104"/>
      <c r="ULU314" s="104"/>
      <c r="ULV314" s="104"/>
      <c r="ULW314" s="104"/>
      <c r="ULX314" s="104"/>
      <c r="ULY314" s="104"/>
      <c r="ULZ314" s="104"/>
      <c r="UMA314" s="104"/>
      <c r="UMB314" s="104"/>
      <c r="UMC314" s="104"/>
      <c r="UMD314" s="104"/>
      <c r="UME314" s="104"/>
      <c r="UMF314" s="104"/>
      <c r="UMG314" s="104"/>
      <c r="UMH314" s="104"/>
      <c r="UMI314" s="104"/>
      <c r="UMJ314" s="104"/>
      <c r="UMK314" s="104"/>
      <c r="UML314" s="104"/>
      <c r="UMM314" s="104"/>
      <c r="UMN314" s="104"/>
      <c r="UMO314" s="104"/>
      <c r="UMP314" s="104"/>
      <c r="UMQ314" s="104"/>
      <c r="UMR314" s="104"/>
      <c r="UMS314" s="104"/>
      <c r="UMT314" s="104"/>
      <c r="UMU314" s="104"/>
      <c r="UMV314" s="104"/>
      <c r="UMW314" s="104"/>
      <c r="UMX314" s="104"/>
      <c r="UMY314" s="104"/>
      <c r="UMZ314" s="104"/>
      <c r="UNA314" s="104"/>
      <c r="UNB314" s="104"/>
      <c r="UNC314" s="104"/>
      <c r="UND314" s="104"/>
      <c r="UNE314" s="104"/>
      <c r="UNF314" s="104"/>
      <c r="UNG314" s="104"/>
      <c r="UNH314" s="104"/>
      <c r="UNI314" s="104"/>
      <c r="UNJ314" s="104"/>
      <c r="UNK314" s="104"/>
      <c r="UNL314" s="104"/>
      <c r="UNM314" s="104"/>
      <c r="UNN314" s="104"/>
      <c r="UNO314" s="104"/>
      <c r="UNP314" s="104"/>
      <c r="UNQ314" s="104"/>
      <c r="UNR314" s="104"/>
      <c r="UNS314" s="104"/>
      <c r="UNT314" s="104"/>
      <c r="UNU314" s="104"/>
      <c r="UNV314" s="104"/>
      <c r="UNW314" s="104"/>
      <c r="UNX314" s="104"/>
      <c r="UNY314" s="104"/>
      <c r="UNZ314" s="104"/>
      <c r="UOA314" s="104"/>
      <c r="UOB314" s="104"/>
      <c r="UOC314" s="104"/>
      <c r="UOD314" s="104"/>
      <c r="UOE314" s="104"/>
      <c r="UOF314" s="104"/>
      <c r="UOG314" s="104"/>
      <c r="UOH314" s="104"/>
      <c r="UOI314" s="104"/>
      <c r="UOJ314" s="104"/>
      <c r="UOK314" s="104"/>
      <c r="UOL314" s="104"/>
      <c r="UOM314" s="104"/>
      <c r="UON314" s="104"/>
      <c r="UOO314" s="104"/>
      <c r="UOP314" s="104"/>
      <c r="UOQ314" s="104"/>
      <c r="UOR314" s="104"/>
      <c r="UOS314" s="104"/>
      <c r="UOT314" s="104"/>
      <c r="UOU314" s="104"/>
      <c r="UOV314" s="104"/>
      <c r="UOW314" s="104"/>
      <c r="UOX314" s="104"/>
      <c r="UOY314" s="104"/>
      <c r="UOZ314" s="104"/>
      <c r="UPA314" s="104"/>
      <c r="UPB314" s="104"/>
      <c r="UPC314" s="104"/>
      <c r="UPD314" s="104"/>
      <c r="UPE314" s="104"/>
      <c r="UPF314" s="104"/>
      <c r="UPG314" s="104"/>
      <c r="UPH314" s="104"/>
      <c r="UPI314" s="104"/>
      <c r="UPJ314" s="104"/>
      <c r="UPK314" s="104"/>
      <c r="UPL314" s="104"/>
      <c r="UPM314" s="104"/>
      <c r="UPN314" s="104"/>
      <c r="UPO314" s="104"/>
      <c r="UPP314" s="104"/>
      <c r="UPQ314" s="104"/>
      <c r="UPR314" s="104"/>
      <c r="UPS314" s="104"/>
      <c r="UPT314" s="104"/>
      <c r="UPU314" s="104"/>
      <c r="UPV314" s="104"/>
      <c r="UPW314" s="104"/>
      <c r="UPX314" s="104"/>
      <c r="UPY314" s="104"/>
      <c r="UPZ314" s="104"/>
      <c r="UQA314" s="104"/>
      <c r="UQB314" s="104"/>
      <c r="UQC314" s="104"/>
      <c r="UQD314" s="104"/>
      <c r="UQE314" s="104"/>
      <c r="UQF314" s="104"/>
      <c r="UQG314" s="104"/>
      <c r="UQH314" s="104"/>
      <c r="UQI314" s="104"/>
      <c r="UQJ314" s="104"/>
      <c r="UQK314" s="104"/>
      <c r="UQL314" s="104"/>
      <c r="UQM314" s="104"/>
      <c r="UQN314" s="104"/>
      <c r="UQO314" s="104"/>
      <c r="UQP314" s="104"/>
      <c r="UQQ314" s="104"/>
      <c r="UQR314" s="104"/>
      <c r="UQS314" s="104"/>
      <c r="UQT314" s="104"/>
      <c r="UQU314" s="104"/>
      <c r="UQV314" s="104"/>
      <c r="UQW314" s="104"/>
      <c r="UQX314" s="104"/>
      <c r="UQY314" s="104"/>
      <c r="UQZ314" s="104"/>
      <c r="URA314" s="104"/>
      <c r="URB314" s="104"/>
      <c r="URC314" s="104"/>
      <c r="URD314" s="104"/>
      <c r="URE314" s="104"/>
      <c r="URF314" s="104"/>
      <c r="URG314" s="104"/>
      <c r="URH314" s="104"/>
      <c r="URI314" s="104"/>
      <c r="URJ314" s="104"/>
      <c r="URK314" s="104"/>
      <c r="URL314" s="104"/>
      <c r="URM314" s="104"/>
      <c r="URN314" s="104"/>
      <c r="URO314" s="104"/>
      <c r="URP314" s="104"/>
      <c r="URQ314" s="104"/>
      <c r="URR314" s="104"/>
      <c r="URS314" s="104"/>
      <c r="URT314" s="104"/>
      <c r="URU314" s="104"/>
      <c r="URV314" s="104"/>
      <c r="URW314" s="104"/>
      <c r="URX314" s="104"/>
      <c r="URY314" s="104"/>
      <c r="URZ314" s="104"/>
      <c r="USA314" s="104"/>
      <c r="USB314" s="104"/>
      <c r="USC314" s="104"/>
      <c r="USD314" s="104"/>
      <c r="USE314" s="104"/>
      <c r="USF314" s="104"/>
      <c r="USG314" s="104"/>
      <c r="USH314" s="104"/>
      <c r="USI314" s="104"/>
      <c r="USJ314" s="104"/>
      <c r="USK314" s="104"/>
      <c r="USL314" s="104"/>
      <c r="USM314" s="104"/>
      <c r="USN314" s="104"/>
      <c r="USO314" s="104"/>
      <c r="USP314" s="104"/>
      <c r="USQ314" s="104"/>
      <c r="USR314" s="104"/>
      <c r="USS314" s="104"/>
      <c r="UST314" s="104"/>
      <c r="USU314" s="104"/>
      <c r="USV314" s="104"/>
      <c r="USW314" s="104"/>
      <c r="USX314" s="104"/>
      <c r="USY314" s="104"/>
      <c r="USZ314" s="104"/>
      <c r="UTA314" s="104"/>
      <c r="UTB314" s="104"/>
      <c r="UTC314" s="104"/>
      <c r="UTD314" s="104"/>
      <c r="UTE314" s="104"/>
      <c r="UTF314" s="104"/>
      <c r="UTG314" s="104"/>
      <c r="UTH314" s="104"/>
      <c r="UTI314" s="104"/>
      <c r="UTJ314" s="104"/>
      <c r="UTK314" s="104"/>
      <c r="UTL314" s="104"/>
      <c r="UTM314" s="104"/>
      <c r="UTN314" s="104"/>
      <c r="UTO314" s="104"/>
      <c r="UTP314" s="104"/>
      <c r="UTQ314" s="104"/>
      <c r="UTR314" s="104"/>
      <c r="UTS314" s="104"/>
      <c r="UTT314" s="104"/>
      <c r="UTU314" s="104"/>
      <c r="UTV314" s="104"/>
      <c r="UTW314" s="104"/>
      <c r="UTX314" s="104"/>
      <c r="UTY314" s="104"/>
      <c r="UTZ314" s="104"/>
      <c r="UUA314" s="104"/>
      <c r="UUB314" s="104"/>
      <c r="UUC314" s="104"/>
      <c r="UUD314" s="104"/>
      <c r="UUE314" s="104"/>
      <c r="UUF314" s="104"/>
      <c r="UUG314" s="104"/>
      <c r="UUH314" s="104"/>
      <c r="UUI314" s="104"/>
      <c r="UUJ314" s="104"/>
      <c r="UUK314" s="104"/>
      <c r="UUL314" s="104"/>
      <c r="UUM314" s="104"/>
      <c r="UUN314" s="104"/>
      <c r="UUO314" s="104"/>
      <c r="UUP314" s="104"/>
      <c r="UUQ314" s="104"/>
      <c r="UUR314" s="104"/>
      <c r="UUS314" s="104"/>
      <c r="UUT314" s="104"/>
      <c r="UUU314" s="104"/>
      <c r="UUV314" s="104"/>
      <c r="UUW314" s="104"/>
      <c r="UUX314" s="104"/>
      <c r="UUY314" s="104"/>
      <c r="UUZ314" s="104"/>
      <c r="UVA314" s="104"/>
      <c r="UVB314" s="104"/>
      <c r="UVC314" s="104"/>
      <c r="UVD314" s="104"/>
      <c r="UVE314" s="104"/>
      <c r="UVF314" s="104"/>
      <c r="UVG314" s="104"/>
      <c r="UVH314" s="104"/>
      <c r="UVI314" s="104"/>
      <c r="UVJ314" s="104"/>
      <c r="UVK314" s="104"/>
      <c r="UVL314" s="104"/>
      <c r="UVM314" s="104"/>
      <c r="UVN314" s="104"/>
      <c r="UVO314" s="104"/>
      <c r="UVP314" s="104"/>
      <c r="UVQ314" s="104"/>
      <c r="UVR314" s="104"/>
      <c r="UVS314" s="104"/>
      <c r="UVT314" s="104"/>
      <c r="UVU314" s="104"/>
      <c r="UVV314" s="104"/>
      <c r="UVW314" s="104"/>
      <c r="UVX314" s="104"/>
      <c r="UVY314" s="104"/>
      <c r="UVZ314" s="104"/>
      <c r="UWA314" s="104"/>
      <c r="UWB314" s="104"/>
      <c r="UWC314" s="104"/>
      <c r="UWD314" s="104"/>
      <c r="UWE314" s="104"/>
      <c r="UWF314" s="104"/>
      <c r="UWG314" s="104"/>
      <c r="UWH314" s="104"/>
      <c r="UWI314" s="104"/>
      <c r="UWJ314" s="104"/>
      <c r="UWK314" s="104"/>
      <c r="UWL314" s="104"/>
      <c r="UWM314" s="104"/>
      <c r="UWN314" s="104"/>
      <c r="UWO314" s="104"/>
      <c r="UWP314" s="104"/>
      <c r="UWQ314" s="104"/>
      <c r="UWR314" s="104"/>
      <c r="UWS314" s="104"/>
      <c r="UWT314" s="104"/>
      <c r="UWU314" s="104"/>
      <c r="UWV314" s="104"/>
      <c r="UWW314" s="104"/>
      <c r="UWX314" s="104"/>
      <c r="UWY314" s="104"/>
      <c r="UWZ314" s="104"/>
      <c r="UXA314" s="104"/>
      <c r="UXB314" s="104"/>
      <c r="UXC314" s="104"/>
      <c r="UXD314" s="104"/>
      <c r="UXE314" s="104"/>
      <c r="UXF314" s="104"/>
      <c r="UXG314" s="104"/>
      <c r="UXH314" s="104"/>
      <c r="UXI314" s="104"/>
      <c r="UXJ314" s="104"/>
      <c r="UXK314" s="104"/>
      <c r="UXL314" s="104"/>
      <c r="UXM314" s="104"/>
      <c r="UXN314" s="104"/>
      <c r="UXO314" s="104"/>
      <c r="UXP314" s="104"/>
      <c r="UXQ314" s="104"/>
      <c r="UXR314" s="104"/>
      <c r="UXS314" s="104"/>
      <c r="UXT314" s="104"/>
      <c r="UXU314" s="104"/>
      <c r="UXV314" s="104"/>
      <c r="UXW314" s="104"/>
      <c r="UXX314" s="104"/>
      <c r="UXY314" s="104"/>
      <c r="UXZ314" s="104"/>
      <c r="UYA314" s="104"/>
      <c r="UYB314" s="104"/>
      <c r="UYC314" s="104"/>
      <c r="UYD314" s="104"/>
      <c r="UYE314" s="104"/>
      <c r="UYF314" s="104"/>
      <c r="UYG314" s="104"/>
      <c r="UYH314" s="104"/>
      <c r="UYI314" s="104"/>
      <c r="UYJ314" s="104"/>
      <c r="UYK314" s="104"/>
      <c r="UYL314" s="104"/>
      <c r="UYM314" s="104"/>
      <c r="UYN314" s="104"/>
      <c r="UYO314" s="104"/>
      <c r="UYP314" s="104"/>
      <c r="UYQ314" s="104"/>
      <c r="UYR314" s="104"/>
      <c r="UYS314" s="104"/>
      <c r="UYT314" s="104"/>
      <c r="UYU314" s="104"/>
      <c r="UYV314" s="104"/>
      <c r="UYW314" s="104"/>
      <c r="UYX314" s="104"/>
      <c r="UYY314" s="104"/>
      <c r="UYZ314" s="104"/>
      <c r="UZA314" s="104"/>
      <c r="UZB314" s="104"/>
      <c r="UZC314" s="104"/>
      <c r="UZD314" s="104"/>
      <c r="UZE314" s="104"/>
      <c r="UZF314" s="104"/>
      <c r="UZG314" s="104"/>
      <c r="UZH314" s="104"/>
      <c r="UZI314" s="104"/>
      <c r="UZJ314" s="104"/>
      <c r="UZK314" s="104"/>
      <c r="UZL314" s="104"/>
      <c r="UZM314" s="104"/>
      <c r="UZN314" s="104"/>
      <c r="UZO314" s="104"/>
      <c r="UZP314" s="104"/>
      <c r="UZQ314" s="104"/>
      <c r="UZR314" s="104"/>
      <c r="UZS314" s="104"/>
      <c r="UZT314" s="104"/>
      <c r="UZU314" s="104"/>
      <c r="UZV314" s="104"/>
      <c r="UZW314" s="104"/>
      <c r="UZX314" s="104"/>
      <c r="UZY314" s="104"/>
      <c r="UZZ314" s="104"/>
      <c r="VAA314" s="104"/>
      <c r="VAB314" s="104"/>
      <c r="VAC314" s="104"/>
      <c r="VAD314" s="104"/>
      <c r="VAE314" s="104"/>
      <c r="VAF314" s="104"/>
      <c r="VAG314" s="104"/>
      <c r="VAH314" s="104"/>
      <c r="VAI314" s="104"/>
      <c r="VAJ314" s="104"/>
      <c r="VAK314" s="104"/>
      <c r="VAL314" s="104"/>
      <c r="VAM314" s="104"/>
      <c r="VAN314" s="104"/>
      <c r="VAO314" s="104"/>
      <c r="VAP314" s="104"/>
      <c r="VAQ314" s="104"/>
      <c r="VAR314" s="104"/>
      <c r="VAS314" s="104"/>
      <c r="VAT314" s="104"/>
      <c r="VAU314" s="104"/>
      <c r="VAV314" s="104"/>
      <c r="VAW314" s="104"/>
      <c r="VAX314" s="104"/>
      <c r="VAY314" s="104"/>
      <c r="VAZ314" s="104"/>
      <c r="VBA314" s="104"/>
      <c r="VBB314" s="104"/>
      <c r="VBC314" s="104"/>
      <c r="VBD314" s="104"/>
      <c r="VBE314" s="104"/>
      <c r="VBF314" s="104"/>
      <c r="VBG314" s="104"/>
      <c r="VBH314" s="104"/>
      <c r="VBI314" s="104"/>
      <c r="VBJ314" s="104"/>
      <c r="VBK314" s="104"/>
      <c r="VBL314" s="104"/>
      <c r="VBM314" s="104"/>
      <c r="VBN314" s="104"/>
      <c r="VBO314" s="104"/>
      <c r="VBP314" s="104"/>
      <c r="VBQ314" s="104"/>
      <c r="VBR314" s="104"/>
      <c r="VBS314" s="104"/>
      <c r="VBT314" s="104"/>
      <c r="VBU314" s="104"/>
      <c r="VBV314" s="104"/>
      <c r="VBW314" s="104"/>
      <c r="VBX314" s="104"/>
      <c r="VBY314" s="104"/>
      <c r="VBZ314" s="104"/>
      <c r="VCA314" s="104"/>
      <c r="VCB314" s="104"/>
      <c r="VCC314" s="104"/>
      <c r="VCD314" s="104"/>
      <c r="VCE314" s="104"/>
      <c r="VCF314" s="104"/>
      <c r="VCG314" s="104"/>
      <c r="VCH314" s="104"/>
      <c r="VCI314" s="104"/>
      <c r="VCJ314" s="104"/>
      <c r="VCK314" s="104"/>
      <c r="VCL314" s="104"/>
      <c r="VCM314" s="104"/>
      <c r="VCN314" s="104"/>
      <c r="VCO314" s="104"/>
      <c r="VCP314" s="104"/>
      <c r="VCQ314" s="104"/>
      <c r="VCR314" s="104"/>
      <c r="VCS314" s="104"/>
      <c r="VCT314" s="104"/>
      <c r="VCU314" s="104"/>
      <c r="VCV314" s="104"/>
      <c r="VCW314" s="104"/>
      <c r="VCX314" s="104"/>
      <c r="VCY314" s="104"/>
      <c r="VCZ314" s="104"/>
      <c r="VDA314" s="104"/>
      <c r="VDB314" s="104"/>
      <c r="VDC314" s="104"/>
      <c r="VDD314" s="104"/>
      <c r="VDE314" s="104"/>
      <c r="VDF314" s="104"/>
      <c r="VDG314" s="104"/>
      <c r="VDH314" s="104"/>
      <c r="VDI314" s="104"/>
      <c r="VDJ314" s="104"/>
      <c r="VDK314" s="104"/>
      <c r="VDL314" s="104"/>
      <c r="VDM314" s="104"/>
      <c r="VDN314" s="104"/>
      <c r="VDO314" s="104"/>
      <c r="VDP314" s="104"/>
      <c r="VDQ314" s="104"/>
      <c r="VDR314" s="104"/>
      <c r="VDS314" s="104"/>
      <c r="VDT314" s="104"/>
      <c r="VDU314" s="104"/>
      <c r="VDV314" s="104"/>
      <c r="VDW314" s="104"/>
      <c r="VDX314" s="104"/>
      <c r="VDY314" s="104"/>
      <c r="VDZ314" s="104"/>
      <c r="VEA314" s="104"/>
      <c r="VEB314" s="104"/>
      <c r="VEC314" s="104"/>
      <c r="VED314" s="104"/>
      <c r="VEE314" s="104"/>
      <c r="VEF314" s="104"/>
      <c r="VEG314" s="104"/>
      <c r="VEH314" s="104"/>
      <c r="VEI314" s="104"/>
      <c r="VEJ314" s="104"/>
      <c r="VEK314" s="104"/>
      <c r="VEL314" s="104"/>
      <c r="VEM314" s="104"/>
      <c r="VEN314" s="104"/>
      <c r="VEO314" s="104"/>
      <c r="VEP314" s="104"/>
      <c r="VEQ314" s="104"/>
      <c r="VER314" s="104"/>
      <c r="VES314" s="104"/>
      <c r="VET314" s="104"/>
      <c r="VEU314" s="104"/>
      <c r="VEV314" s="104"/>
      <c r="VEW314" s="104"/>
      <c r="VEX314" s="104"/>
      <c r="VEY314" s="104"/>
      <c r="VEZ314" s="104"/>
      <c r="VFA314" s="104"/>
      <c r="VFB314" s="104"/>
      <c r="VFC314" s="104"/>
      <c r="VFD314" s="104"/>
      <c r="VFE314" s="104"/>
      <c r="VFF314" s="104"/>
      <c r="VFG314" s="104"/>
      <c r="VFH314" s="104"/>
      <c r="VFI314" s="104"/>
      <c r="VFJ314" s="104"/>
      <c r="VFK314" s="104"/>
      <c r="VFL314" s="104"/>
      <c r="VFM314" s="104"/>
      <c r="VFN314" s="104"/>
      <c r="VFO314" s="104"/>
      <c r="VFP314" s="104"/>
      <c r="VFQ314" s="104"/>
      <c r="VFR314" s="104"/>
      <c r="VFS314" s="104"/>
      <c r="VFT314" s="104"/>
      <c r="VFU314" s="104"/>
      <c r="VFV314" s="104"/>
      <c r="VFW314" s="104"/>
      <c r="VFX314" s="104"/>
      <c r="VFY314" s="104"/>
      <c r="VFZ314" s="104"/>
      <c r="VGA314" s="104"/>
      <c r="VGB314" s="104"/>
      <c r="VGC314" s="104"/>
      <c r="VGD314" s="104"/>
      <c r="VGE314" s="104"/>
      <c r="VGF314" s="104"/>
      <c r="VGG314" s="104"/>
      <c r="VGH314" s="104"/>
      <c r="VGI314" s="104"/>
      <c r="VGJ314" s="104"/>
      <c r="VGK314" s="104"/>
      <c r="VGL314" s="104"/>
      <c r="VGM314" s="104"/>
      <c r="VGN314" s="104"/>
      <c r="VGO314" s="104"/>
      <c r="VGP314" s="104"/>
      <c r="VGQ314" s="104"/>
      <c r="VGR314" s="104"/>
      <c r="VGS314" s="104"/>
      <c r="VGT314" s="104"/>
      <c r="VGU314" s="104"/>
      <c r="VGV314" s="104"/>
      <c r="VGW314" s="104"/>
      <c r="VGX314" s="104"/>
      <c r="VGY314" s="104"/>
      <c r="VGZ314" s="104"/>
      <c r="VHA314" s="104"/>
      <c r="VHB314" s="104"/>
      <c r="VHC314" s="104"/>
      <c r="VHD314" s="104"/>
      <c r="VHE314" s="104"/>
      <c r="VHF314" s="104"/>
      <c r="VHG314" s="104"/>
      <c r="VHH314" s="104"/>
      <c r="VHI314" s="104"/>
      <c r="VHJ314" s="104"/>
      <c r="VHK314" s="104"/>
      <c r="VHL314" s="104"/>
      <c r="VHM314" s="104"/>
      <c r="VHN314" s="104"/>
      <c r="VHO314" s="104"/>
      <c r="VHP314" s="104"/>
      <c r="VHQ314" s="104"/>
      <c r="VHR314" s="104"/>
      <c r="VHS314" s="104"/>
      <c r="VHT314" s="104"/>
      <c r="VHU314" s="104"/>
      <c r="VHV314" s="104"/>
      <c r="VHW314" s="104"/>
      <c r="VHX314" s="104"/>
      <c r="VHY314" s="104"/>
      <c r="VHZ314" s="104"/>
      <c r="VIA314" s="104"/>
      <c r="VIB314" s="104"/>
      <c r="VIC314" s="104"/>
      <c r="VID314" s="104"/>
      <c r="VIE314" s="104"/>
      <c r="VIF314" s="104"/>
      <c r="VIG314" s="104"/>
      <c r="VIH314" s="104"/>
      <c r="VII314" s="104"/>
      <c r="VIJ314" s="104"/>
      <c r="VIK314" s="104"/>
      <c r="VIL314" s="104"/>
      <c r="VIM314" s="104"/>
      <c r="VIN314" s="104"/>
      <c r="VIO314" s="104"/>
      <c r="VIP314" s="104"/>
      <c r="VIQ314" s="104"/>
      <c r="VIR314" s="104"/>
      <c r="VIS314" s="104"/>
      <c r="VIT314" s="104"/>
      <c r="VIU314" s="104"/>
      <c r="VIV314" s="104"/>
      <c r="VIW314" s="104"/>
      <c r="VIX314" s="104"/>
      <c r="VIY314" s="104"/>
      <c r="VIZ314" s="104"/>
      <c r="VJA314" s="104"/>
      <c r="VJB314" s="104"/>
      <c r="VJC314" s="104"/>
      <c r="VJD314" s="104"/>
      <c r="VJE314" s="104"/>
      <c r="VJF314" s="104"/>
      <c r="VJG314" s="104"/>
      <c r="VJH314" s="104"/>
      <c r="VJI314" s="104"/>
      <c r="VJJ314" s="104"/>
      <c r="VJK314" s="104"/>
      <c r="VJL314" s="104"/>
      <c r="VJM314" s="104"/>
      <c r="VJN314" s="104"/>
      <c r="VJO314" s="104"/>
      <c r="VJP314" s="104"/>
      <c r="VJQ314" s="104"/>
      <c r="VJR314" s="104"/>
      <c r="VJS314" s="104"/>
      <c r="VJT314" s="104"/>
      <c r="VJU314" s="104"/>
      <c r="VJV314" s="104"/>
      <c r="VJW314" s="104"/>
      <c r="VJX314" s="104"/>
      <c r="VJY314" s="104"/>
      <c r="VJZ314" s="104"/>
      <c r="VKA314" s="104"/>
      <c r="VKB314" s="104"/>
      <c r="VKC314" s="104"/>
      <c r="VKD314" s="104"/>
      <c r="VKE314" s="104"/>
      <c r="VKF314" s="104"/>
      <c r="VKG314" s="104"/>
      <c r="VKH314" s="104"/>
      <c r="VKI314" s="104"/>
      <c r="VKJ314" s="104"/>
      <c r="VKK314" s="104"/>
      <c r="VKL314" s="104"/>
      <c r="VKM314" s="104"/>
      <c r="VKN314" s="104"/>
      <c r="VKO314" s="104"/>
      <c r="VKP314" s="104"/>
      <c r="VKQ314" s="104"/>
      <c r="VKR314" s="104"/>
      <c r="VKS314" s="104"/>
      <c r="VKT314" s="104"/>
      <c r="VKU314" s="104"/>
      <c r="VKV314" s="104"/>
      <c r="VKW314" s="104"/>
      <c r="VKX314" s="104"/>
      <c r="VKY314" s="104"/>
      <c r="VKZ314" s="104"/>
      <c r="VLA314" s="104"/>
      <c r="VLB314" s="104"/>
      <c r="VLC314" s="104"/>
      <c r="VLD314" s="104"/>
      <c r="VLE314" s="104"/>
      <c r="VLF314" s="104"/>
      <c r="VLG314" s="104"/>
      <c r="VLH314" s="104"/>
      <c r="VLI314" s="104"/>
      <c r="VLJ314" s="104"/>
      <c r="VLK314" s="104"/>
      <c r="VLL314" s="104"/>
      <c r="VLM314" s="104"/>
      <c r="VLN314" s="104"/>
      <c r="VLO314" s="104"/>
      <c r="VLP314" s="104"/>
      <c r="VLQ314" s="104"/>
      <c r="VLR314" s="104"/>
      <c r="VLS314" s="104"/>
      <c r="VLT314" s="104"/>
      <c r="VLU314" s="104"/>
      <c r="VLV314" s="104"/>
      <c r="VLW314" s="104"/>
      <c r="VLX314" s="104"/>
      <c r="VLY314" s="104"/>
      <c r="VLZ314" s="104"/>
      <c r="VMA314" s="104"/>
      <c r="VMB314" s="104"/>
      <c r="VMC314" s="104"/>
      <c r="VMD314" s="104"/>
      <c r="VME314" s="104"/>
      <c r="VMF314" s="104"/>
      <c r="VMG314" s="104"/>
      <c r="VMH314" s="104"/>
      <c r="VMI314" s="104"/>
      <c r="VMJ314" s="104"/>
      <c r="VMK314" s="104"/>
      <c r="VML314" s="104"/>
      <c r="VMM314" s="104"/>
      <c r="VMN314" s="104"/>
      <c r="VMO314" s="104"/>
      <c r="VMP314" s="104"/>
      <c r="VMQ314" s="104"/>
      <c r="VMR314" s="104"/>
      <c r="VMS314" s="104"/>
      <c r="VMT314" s="104"/>
      <c r="VMU314" s="104"/>
      <c r="VMV314" s="104"/>
      <c r="VMW314" s="104"/>
      <c r="VMX314" s="104"/>
      <c r="VMY314" s="104"/>
      <c r="VMZ314" s="104"/>
      <c r="VNA314" s="104"/>
      <c r="VNB314" s="104"/>
      <c r="VNC314" s="104"/>
      <c r="VND314" s="104"/>
      <c r="VNE314" s="104"/>
      <c r="VNF314" s="104"/>
      <c r="VNG314" s="104"/>
      <c r="VNH314" s="104"/>
      <c r="VNI314" s="104"/>
      <c r="VNJ314" s="104"/>
      <c r="VNK314" s="104"/>
      <c r="VNL314" s="104"/>
      <c r="VNM314" s="104"/>
      <c r="VNN314" s="104"/>
      <c r="VNO314" s="104"/>
      <c r="VNP314" s="104"/>
      <c r="VNQ314" s="104"/>
      <c r="VNR314" s="104"/>
      <c r="VNS314" s="104"/>
      <c r="VNT314" s="104"/>
      <c r="VNU314" s="104"/>
      <c r="VNV314" s="104"/>
      <c r="VNW314" s="104"/>
      <c r="VNX314" s="104"/>
      <c r="VNY314" s="104"/>
      <c r="VNZ314" s="104"/>
      <c r="VOA314" s="104"/>
      <c r="VOB314" s="104"/>
      <c r="VOC314" s="104"/>
      <c r="VOD314" s="104"/>
      <c r="VOE314" s="104"/>
      <c r="VOF314" s="104"/>
      <c r="VOG314" s="104"/>
      <c r="VOH314" s="104"/>
      <c r="VOI314" s="104"/>
      <c r="VOJ314" s="104"/>
      <c r="VOK314" s="104"/>
      <c r="VOL314" s="104"/>
      <c r="VOM314" s="104"/>
      <c r="VON314" s="104"/>
      <c r="VOO314" s="104"/>
      <c r="VOP314" s="104"/>
      <c r="VOQ314" s="104"/>
      <c r="VOR314" s="104"/>
      <c r="VOS314" s="104"/>
      <c r="VOT314" s="104"/>
      <c r="VOU314" s="104"/>
      <c r="VOV314" s="104"/>
      <c r="VOW314" s="104"/>
      <c r="VOX314" s="104"/>
      <c r="VOY314" s="104"/>
      <c r="VOZ314" s="104"/>
      <c r="VPA314" s="104"/>
      <c r="VPB314" s="104"/>
      <c r="VPC314" s="104"/>
      <c r="VPD314" s="104"/>
      <c r="VPE314" s="104"/>
      <c r="VPF314" s="104"/>
      <c r="VPG314" s="104"/>
      <c r="VPH314" s="104"/>
      <c r="VPI314" s="104"/>
      <c r="VPJ314" s="104"/>
      <c r="VPK314" s="104"/>
      <c r="VPL314" s="104"/>
      <c r="VPM314" s="104"/>
      <c r="VPN314" s="104"/>
      <c r="VPO314" s="104"/>
      <c r="VPP314" s="104"/>
      <c r="VPQ314" s="104"/>
      <c r="VPR314" s="104"/>
      <c r="VPS314" s="104"/>
      <c r="VPT314" s="104"/>
      <c r="VPU314" s="104"/>
      <c r="VPV314" s="104"/>
      <c r="VPW314" s="104"/>
      <c r="VPX314" s="104"/>
      <c r="VPY314" s="104"/>
      <c r="VPZ314" s="104"/>
      <c r="VQA314" s="104"/>
      <c r="VQB314" s="104"/>
      <c r="VQC314" s="104"/>
      <c r="VQD314" s="104"/>
      <c r="VQE314" s="104"/>
      <c r="VQF314" s="104"/>
      <c r="VQG314" s="104"/>
      <c r="VQH314" s="104"/>
      <c r="VQI314" s="104"/>
      <c r="VQJ314" s="104"/>
      <c r="VQK314" s="104"/>
      <c r="VQL314" s="104"/>
      <c r="VQM314" s="104"/>
      <c r="VQN314" s="104"/>
      <c r="VQO314" s="104"/>
      <c r="VQP314" s="104"/>
      <c r="VQQ314" s="104"/>
      <c r="VQR314" s="104"/>
      <c r="VQS314" s="104"/>
      <c r="VQT314" s="104"/>
      <c r="VQU314" s="104"/>
      <c r="VQV314" s="104"/>
      <c r="VQW314" s="104"/>
      <c r="VQX314" s="104"/>
      <c r="VQY314" s="104"/>
      <c r="VQZ314" s="104"/>
      <c r="VRA314" s="104"/>
      <c r="VRB314" s="104"/>
      <c r="VRC314" s="104"/>
      <c r="VRD314" s="104"/>
      <c r="VRE314" s="104"/>
      <c r="VRF314" s="104"/>
      <c r="VRG314" s="104"/>
      <c r="VRH314" s="104"/>
      <c r="VRI314" s="104"/>
      <c r="VRJ314" s="104"/>
      <c r="VRK314" s="104"/>
      <c r="VRL314" s="104"/>
      <c r="VRM314" s="104"/>
      <c r="VRN314" s="104"/>
      <c r="VRO314" s="104"/>
      <c r="VRP314" s="104"/>
      <c r="VRQ314" s="104"/>
      <c r="VRR314" s="104"/>
      <c r="VRS314" s="104"/>
      <c r="VRT314" s="104"/>
      <c r="VRU314" s="104"/>
      <c r="VRV314" s="104"/>
      <c r="VRW314" s="104"/>
      <c r="VRX314" s="104"/>
      <c r="VRY314" s="104"/>
      <c r="VRZ314" s="104"/>
      <c r="VSA314" s="104"/>
      <c r="VSB314" s="104"/>
      <c r="VSC314" s="104"/>
      <c r="VSD314" s="104"/>
      <c r="VSE314" s="104"/>
      <c r="VSF314" s="104"/>
      <c r="VSG314" s="104"/>
      <c r="VSH314" s="104"/>
      <c r="VSI314" s="104"/>
      <c r="VSJ314" s="104"/>
      <c r="VSK314" s="104"/>
      <c r="VSL314" s="104"/>
      <c r="VSM314" s="104"/>
      <c r="VSN314" s="104"/>
      <c r="VSO314" s="104"/>
      <c r="VSP314" s="104"/>
      <c r="VSQ314" s="104"/>
      <c r="VSR314" s="104"/>
      <c r="VSS314" s="104"/>
      <c r="VST314" s="104"/>
      <c r="VSU314" s="104"/>
      <c r="VSV314" s="104"/>
      <c r="VSW314" s="104"/>
      <c r="VSX314" s="104"/>
      <c r="VSY314" s="104"/>
      <c r="VSZ314" s="104"/>
      <c r="VTA314" s="104"/>
      <c r="VTB314" s="104"/>
      <c r="VTC314" s="104"/>
      <c r="VTD314" s="104"/>
      <c r="VTE314" s="104"/>
      <c r="VTF314" s="104"/>
      <c r="VTG314" s="104"/>
      <c r="VTH314" s="104"/>
      <c r="VTI314" s="104"/>
      <c r="VTJ314" s="104"/>
      <c r="VTK314" s="104"/>
      <c r="VTL314" s="104"/>
      <c r="VTM314" s="104"/>
      <c r="VTN314" s="104"/>
      <c r="VTO314" s="104"/>
      <c r="VTP314" s="104"/>
      <c r="VTQ314" s="104"/>
      <c r="VTR314" s="104"/>
      <c r="VTS314" s="104"/>
      <c r="VTT314" s="104"/>
      <c r="VTU314" s="104"/>
      <c r="VTV314" s="104"/>
      <c r="VTW314" s="104"/>
      <c r="VTX314" s="104"/>
      <c r="VTY314" s="104"/>
      <c r="VTZ314" s="104"/>
      <c r="VUA314" s="104"/>
      <c r="VUB314" s="104"/>
      <c r="VUC314" s="104"/>
      <c r="VUD314" s="104"/>
      <c r="VUE314" s="104"/>
      <c r="VUF314" s="104"/>
      <c r="VUG314" s="104"/>
      <c r="VUH314" s="104"/>
      <c r="VUI314" s="104"/>
      <c r="VUJ314" s="104"/>
      <c r="VUK314" s="104"/>
      <c r="VUL314" s="104"/>
      <c r="VUM314" s="104"/>
      <c r="VUN314" s="104"/>
      <c r="VUO314" s="104"/>
      <c r="VUP314" s="104"/>
      <c r="VUQ314" s="104"/>
      <c r="VUR314" s="104"/>
      <c r="VUS314" s="104"/>
      <c r="VUT314" s="104"/>
      <c r="VUU314" s="104"/>
      <c r="VUV314" s="104"/>
      <c r="VUW314" s="104"/>
      <c r="VUX314" s="104"/>
      <c r="VUY314" s="104"/>
      <c r="VUZ314" s="104"/>
      <c r="VVA314" s="104"/>
      <c r="VVB314" s="104"/>
      <c r="VVC314" s="104"/>
      <c r="VVD314" s="104"/>
      <c r="VVE314" s="104"/>
      <c r="VVF314" s="104"/>
      <c r="VVG314" s="104"/>
      <c r="VVH314" s="104"/>
      <c r="VVI314" s="104"/>
      <c r="VVJ314" s="104"/>
      <c r="VVK314" s="104"/>
      <c r="VVL314" s="104"/>
      <c r="VVM314" s="104"/>
      <c r="VVN314" s="104"/>
      <c r="VVO314" s="104"/>
      <c r="VVP314" s="104"/>
      <c r="VVQ314" s="104"/>
      <c r="VVR314" s="104"/>
      <c r="VVS314" s="104"/>
      <c r="VVT314" s="104"/>
      <c r="VVU314" s="104"/>
      <c r="VVV314" s="104"/>
      <c r="VVW314" s="104"/>
      <c r="VVX314" s="104"/>
      <c r="VVY314" s="104"/>
      <c r="VVZ314" s="104"/>
      <c r="VWA314" s="104"/>
      <c r="VWB314" s="104"/>
      <c r="VWC314" s="104"/>
      <c r="VWD314" s="104"/>
      <c r="VWE314" s="104"/>
      <c r="VWF314" s="104"/>
      <c r="VWG314" s="104"/>
      <c r="VWH314" s="104"/>
      <c r="VWI314" s="104"/>
      <c r="VWJ314" s="104"/>
      <c r="VWK314" s="104"/>
      <c r="VWL314" s="104"/>
      <c r="VWM314" s="104"/>
      <c r="VWN314" s="104"/>
      <c r="VWO314" s="104"/>
      <c r="VWP314" s="104"/>
      <c r="VWQ314" s="104"/>
      <c r="VWR314" s="104"/>
      <c r="VWS314" s="104"/>
      <c r="VWT314" s="104"/>
      <c r="VWU314" s="104"/>
      <c r="VWV314" s="104"/>
      <c r="VWW314" s="104"/>
      <c r="VWX314" s="104"/>
      <c r="VWY314" s="104"/>
      <c r="VWZ314" s="104"/>
      <c r="VXA314" s="104"/>
      <c r="VXB314" s="104"/>
      <c r="VXC314" s="104"/>
      <c r="VXD314" s="104"/>
      <c r="VXE314" s="104"/>
      <c r="VXF314" s="104"/>
      <c r="VXG314" s="104"/>
      <c r="VXH314" s="104"/>
      <c r="VXI314" s="104"/>
      <c r="VXJ314" s="104"/>
      <c r="VXK314" s="104"/>
      <c r="VXL314" s="104"/>
      <c r="VXM314" s="104"/>
      <c r="VXN314" s="104"/>
      <c r="VXO314" s="104"/>
      <c r="VXP314" s="104"/>
      <c r="VXQ314" s="104"/>
      <c r="VXR314" s="104"/>
      <c r="VXS314" s="104"/>
      <c r="VXT314" s="104"/>
      <c r="VXU314" s="104"/>
      <c r="VXV314" s="104"/>
      <c r="VXW314" s="104"/>
      <c r="VXX314" s="104"/>
      <c r="VXY314" s="104"/>
      <c r="VXZ314" s="104"/>
      <c r="VYA314" s="104"/>
      <c r="VYB314" s="104"/>
      <c r="VYC314" s="104"/>
      <c r="VYD314" s="104"/>
      <c r="VYE314" s="104"/>
      <c r="VYF314" s="104"/>
      <c r="VYG314" s="104"/>
      <c r="VYH314" s="104"/>
      <c r="VYI314" s="104"/>
      <c r="VYJ314" s="104"/>
      <c r="VYK314" s="104"/>
      <c r="VYL314" s="104"/>
      <c r="VYM314" s="104"/>
      <c r="VYN314" s="104"/>
      <c r="VYO314" s="104"/>
      <c r="VYP314" s="104"/>
      <c r="VYQ314" s="104"/>
      <c r="VYR314" s="104"/>
      <c r="VYS314" s="104"/>
      <c r="VYT314" s="104"/>
      <c r="VYU314" s="104"/>
      <c r="VYV314" s="104"/>
      <c r="VYW314" s="104"/>
      <c r="VYX314" s="104"/>
      <c r="VYY314" s="104"/>
      <c r="VYZ314" s="104"/>
      <c r="VZA314" s="104"/>
      <c r="VZB314" s="104"/>
      <c r="VZC314" s="104"/>
      <c r="VZD314" s="104"/>
      <c r="VZE314" s="104"/>
      <c r="VZF314" s="104"/>
      <c r="VZG314" s="104"/>
      <c r="VZH314" s="104"/>
      <c r="VZI314" s="104"/>
      <c r="VZJ314" s="104"/>
      <c r="VZK314" s="104"/>
      <c r="VZL314" s="104"/>
      <c r="VZM314" s="104"/>
      <c r="VZN314" s="104"/>
      <c r="VZO314" s="104"/>
      <c r="VZP314" s="104"/>
      <c r="VZQ314" s="104"/>
      <c r="VZR314" s="104"/>
      <c r="VZS314" s="104"/>
      <c r="VZT314" s="104"/>
      <c r="VZU314" s="104"/>
      <c r="VZV314" s="104"/>
      <c r="VZW314" s="104"/>
      <c r="VZX314" s="104"/>
      <c r="VZY314" s="104"/>
      <c r="VZZ314" s="104"/>
      <c r="WAA314" s="104"/>
      <c r="WAB314" s="104"/>
      <c r="WAC314" s="104"/>
      <c r="WAD314" s="104"/>
      <c r="WAE314" s="104"/>
      <c r="WAF314" s="104"/>
      <c r="WAG314" s="104"/>
      <c r="WAH314" s="104"/>
      <c r="WAI314" s="104"/>
      <c r="WAJ314" s="104"/>
      <c r="WAK314" s="104"/>
      <c r="WAL314" s="104"/>
      <c r="WAM314" s="104"/>
      <c r="WAN314" s="104"/>
      <c r="WAO314" s="104"/>
      <c r="WAP314" s="104"/>
      <c r="WAQ314" s="104"/>
      <c r="WAR314" s="104"/>
      <c r="WAS314" s="104"/>
      <c r="WAT314" s="104"/>
      <c r="WAU314" s="104"/>
      <c r="WAV314" s="104"/>
      <c r="WAW314" s="104"/>
      <c r="WAX314" s="104"/>
      <c r="WAY314" s="104"/>
      <c r="WAZ314" s="104"/>
      <c r="WBA314" s="104"/>
      <c r="WBB314" s="104"/>
      <c r="WBC314" s="104"/>
      <c r="WBD314" s="104"/>
      <c r="WBE314" s="104"/>
      <c r="WBF314" s="104"/>
      <c r="WBG314" s="104"/>
      <c r="WBH314" s="104"/>
      <c r="WBI314" s="104"/>
      <c r="WBJ314" s="104"/>
      <c r="WBK314" s="104"/>
      <c r="WBL314" s="104"/>
      <c r="WBM314" s="104"/>
      <c r="WBN314" s="104"/>
      <c r="WBO314" s="104"/>
      <c r="WBP314" s="104"/>
      <c r="WBQ314" s="104"/>
      <c r="WBR314" s="104"/>
      <c r="WBS314" s="104"/>
      <c r="WBT314" s="104"/>
      <c r="WBU314" s="104"/>
      <c r="WBV314" s="104"/>
      <c r="WBW314" s="104"/>
      <c r="WBX314" s="104"/>
      <c r="WBY314" s="104"/>
      <c r="WBZ314" s="104"/>
      <c r="WCA314" s="104"/>
      <c r="WCB314" s="104"/>
      <c r="WCC314" s="104"/>
      <c r="WCD314" s="104"/>
      <c r="WCE314" s="104"/>
      <c r="WCF314" s="104"/>
      <c r="WCG314" s="104"/>
      <c r="WCH314" s="104"/>
      <c r="WCI314" s="104"/>
      <c r="WCJ314" s="104"/>
      <c r="WCK314" s="104"/>
      <c r="WCL314" s="104"/>
      <c r="WCM314" s="104"/>
      <c r="WCN314" s="104"/>
      <c r="WCO314" s="104"/>
      <c r="WCP314" s="104"/>
      <c r="WCQ314" s="104"/>
      <c r="WCR314" s="104"/>
      <c r="WCS314" s="104"/>
      <c r="WCT314" s="104"/>
      <c r="WCU314" s="104"/>
      <c r="WCV314" s="104"/>
      <c r="WCW314" s="104"/>
      <c r="WCX314" s="104"/>
      <c r="WCY314" s="104"/>
      <c r="WCZ314" s="104"/>
      <c r="WDA314" s="104"/>
      <c r="WDB314" s="104"/>
      <c r="WDC314" s="104"/>
      <c r="WDD314" s="104"/>
      <c r="WDE314" s="104"/>
      <c r="WDF314" s="104"/>
      <c r="WDG314" s="104"/>
      <c r="WDH314" s="104"/>
      <c r="WDI314" s="104"/>
      <c r="WDJ314" s="104"/>
      <c r="WDK314" s="104"/>
      <c r="WDL314" s="104"/>
      <c r="WDM314" s="104"/>
      <c r="WDN314" s="104"/>
      <c r="WDO314" s="104"/>
      <c r="WDP314" s="104"/>
      <c r="WDQ314" s="104"/>
      <c r="WDR314" s="104"/>
      <c r="WDS314" s="104"/>
      <c r="WDT314" s="104"/>
      <c r="WDU314" s="104"/>
      <c r="WDV314" s="104"/>
      <c r="WDW314" s="104"/>
      <c r="WDX314" s="104"/>
      <c r="WDY314" s="104"/>
      <c r="WDZ314" s="104"/>
      <c r="WEA314" s="104"/>
      <c r="WEB314" s="104"/>
      <c r="WEC314" s="104"/>
      <c r="WED314" s="104"/>
      <c r="WEE314" s="104"/>
      <c r="WEF314" s="104"/>
      <c r="WEG314" s="104"/>
      <c r="WEH314" s="104"/>
      <c r="WEI314" s="104"/>
      <c r="WEJ314" s="104"/>
      <c r="WEK314" s="104"/>
      <c r="WEL314" s="104"/>
      <c r="WEM314" s="104"/>
      <c r="WEN314" s="104"/>
      <c r="WEO314" s="104"/>
      <c r="WEP314" s="104"/>
      <c r="WEQ314" s="104"/>
      <c r="WER314" s="104"/>
      <c r="WES314" s="104"/>
      <c r="WET314" s="104"/>
      <c r="WEU314" s="104"/>
      <c r="WEV314" s="104"/>
      <c r="WEW314" s="104"/>
      <c r="WEX314" s="104"/>
      <c r="WEY314" s="104"/>
      <c r="WEZ314" s="104"/>
      <c r="WFA314" s="104"/>
      <c r="WFB314" s="104"/>
      <c r="WFC314" s="104"/>
      <c r="WFD314" s="104"/>
      <c r="WFE314" s="104"/>
      <c r="WFF314" s="104"/>
      <c r="WFG314" s="104"/>
      <c r="WFH314" s="104"/>
      <c r="WFI314" s="104"/>
      <c r="WFJ314" s="104"/>
      <c r="WFK314" s="104"/>
      <c r="WFL314" s="104"/>
      <c r="WFM314" s="104"/>
      <c r="WFN314" s="104"/>
      <c r="WFO314" s="104"/>
      <c r="WFP314" s="104"/>
      <c r="WFQ314" s="104"/>
      <c r="WFR314" s="104"/>
      <c r="WFS314" s="104"/>
      <c r="WFT314" s="104"/>
      <c r="WFU314" s="104"/>
      <c r="WFV314" s="104"/>
      <c r="WFW314" s="104"/>
      <c r="WFX314" s="104"/>
      <c r="WFY314" s="104"/>
      <c r="WFZ314" s="104"/>
      <c r="WGA314" s="104"/>
      <c r="WGB314" s="104"/>
      <c r="WGC314" s="104"/>
      <c r="WGD314" s="104"/>
      <c r="WGE314" s="104"/>
      <c r="WGF314" s="104"/>
      <c r="WGG314" s="104"/>
      <c r="WGH314" s="104"/>
      <c r="WGI314" s="104"/>
      <c r="WGJ314" s="104"/>
      <c r="WGK314" s="104"/>
      <c r="WGL314" s="104"/>
      <c r="WGM314" s="104"/>
      <c r="WGN314" s="104"/>
      <c r="WGO314" s="104"/>
      <c r="WGP314" s="104"/>
      <c r="WGQ314" s="104"/>
      <c r="WGR314" s="104"/>
      <c r="WGS314" s="104"/>
      <c r="WGT314" s="104"/>
      <c r="WGU314" s="104"/>
      <c r="WGV314" s="104"/>
      <c r="WGW314" s="104"/>
      <c r="WGX314" s="104"/>
      <c r="WGY314" s="104"/>
      <c r="WGZ314" s="104"/>
      <c r="WHA314" s="104"/>
      <c r="WHB314" s="104"/>
      <c r="WHC314" s="104"/>
      <c r="WHD314" s="104"/>
      <c r="WHE314" s="104"/>
      <c r="WHF314" s="104"/>
      <c r="WHG314" s="104"/>
      <c r="WHH314" s="104"/>
      <c r="WHI314" s="104"/>
      <c r="WHJ314" s="104"/>
      <c r="WHK314" s="104"/>
      <c r="WHL314" s="104"/>
      <c r="WHM314" s="104"/>
      <c r="WHN314" s="104"/>
      <c r="WHO314" s="104"/>
      <c r="WHP314" s="104"/>
      <c r="WHQ314" s="104"/>
      <c r="WHR314" s="104"/>
      <c r="WHS314" s="104"/>
      <c r="WHT314" s="104"/>
      <c r="WHU314" s="104"/>
      <c r="WHV314" s="104"/>
      <c r="WHW314" s="104"/>
      <c r="WHX314" s="104"/>
      <c r="WHY314" s="104"/>
      <c r="WHZ314" s="104"/>
      <c r="WIA314" s="104"/>
      <c r="WIB314" s="104"/>
      <c r="WIC314" s="104"/>
      <c r="WID314" s="104"/>
      <c r="WIE314" s="104"/>
      <c r="WIF314" s="104"/>
      <c r="WIG314" s="104"/>
      <c r="WIH314" s="104"/>
      <c r="WII314" s="104"/>
      <c r="WIJ314" s="104"/>
      <c r="WIK314" s="104"/>
      <c r="WIL314" s="104"/>
      <c r="WIM314" s="104"/>
      <c r="WIN314" s="104"/>
      <c r="WIO314" s="104"/>
      <c r="WIP314" s="104"/>
      <c r="WIQ314" s="104"/>
      <c r="WIR314" s="104"/>
      <c r="WIS314" s="104"/>
      <c r="WIT314" s="104"/>
      <c r="WIU314" s="104"/>
      <c r="WIV314" s="104"/>
      <c r="WIW314" s="104"/>
      <c r="WIX314" s="104"/>
      <c r="WIY314" s="104"/>
      <c r="WIZ314" s="104"/>
      <c r="WJA314" s="104"/>
      <c r="WJB314" s="104"/>
      <c r="WJC314" s="104"/>
      <c r="WJD314" s="104"/>
      <c r="WJE314" s="104"/>
      <c r="WJF314" s="104"/>
      <c r="WJG314" s="104"/>
      <c r="WJH314" s="104"/>
      <c r="WJI314" s="104"/>
      <c r="WJJ314" s="104"/>
      <c r="WJK314" s="104"/>
      <c r="WJL314" s="104"/>
      <c r="WJM314" s="104"/>
      <c r="WJN314" s="104"/>
      <c r="WJO314" s="104"/>
      <c r="WJP314" s="104"/>
      <c r="WJQ314" s="104"/>
      <c r="WJR314" s="104"/>
      <c r="WJS314" s="104"/>
      <c r="WJT314" s="104"/>
      <c r="WJU314" s="104"/>
      <c r="WJV314" s="104"/>
      <c r="WJW314" s="104"/>
      <c r="WJX314" s="104"/>
      <c r="WJY314" s="104"/>
      <c r="WJZ314" s="104"/>
      <c r="WKA314" s="104"/>
      <c r="WKB314" s="104"/>
      <c r="WKC314" s="104"/>
      <c r="WKD314" s="104"/>
      <c r="WKE314" s="104"/>
      <c r="WKF314" s="104"/>
      <c r="WKG314" s="104"/>
      <c r="WKH314" s="104"/>
      <c r="WKI314" s="104"/>
      <c r="WKJ314" s="104"/>
      <c r="WKK314" s="104"/>
      <c r="WKL314" s="104"/>
      <c r="WKM314" s="104"/>
      <c r="WKN314" s="104"/>
      <c r="WKO314" s="104"/>
      <c r="WKP314" s="104"/>
      <c r="WKQ314" s="104"/>
      <c r="WKR314" s="104"/>
      <c r="WKS314" s="104"/>
      <c r="WKT314" s="104"/>
      <c r="WKU314" s="104"/>
      <c r="WKV314" s="104"/>
      <c r="WKW314" s="104"/>
      <c r="WKX314" s="104"/>
      <c r="WKY314" s="104"/>
      <c r="WKZ314" s="104"/>
      <c r="WLA314" s="104"/>
      <c r="WLB314" s="104"/>
      <c r="WLC314" s="104"/>
      <c r="WLD314" s="104"/>
      <c r="WLE314" s="104"/>
      <c r="WLF314" s="104"/>
      <c r="WLG314" s="104"/>
      <c r="WLH314" s="104"/>
      <c r="WLI314" s="104"/>
      <c r="WLJ314" s="104"/>
      <c r="WLK314" s="104"/>
      <c r="WLL314" s="104"/>
      <c r="WLM314" s="104"/>
      <c r="WLN314" s="104"/>
      <c r="WLO314" s="104"/>
      <c r="WLP314" s="104"/>
      <c r="WLQ314" s="104"/>
      <c r="WLR314" s="104"/>
      <c r="WLS314" s="104"/>
      <c r="WLT314" s="104"/>
      <c r="WLU314" s="104"/>
      <c r="WLV314" s="104"/>
      <c r="WLW314" s="104"/>
      <c r="WLX314" s="104"/>
      <c r="WLY314" s="104"/>
      <c r="WLZ314" s="104"/>
      <c r="WMA314" s="104"/>
      <c r="WMB314" s="104"/>
      <c r="WMC314" s="104"/>
      <c r="WMD314" s="104"/>
      <c r="WME314" s="104"/>
      <c r="WMF314" s="104"/>
      <c r="WMG314" s="104"/>
      <c r="WMH314" s="104"/>
      <c r="WMI314" s="104"/>
      <c r="WMJ314" s="104"/>
      <c r="WMK314" s="104"/>
      <c r="WML314" s="104"/>
      <c r="WMM314" s="104"/>
      <c r="WMN314" s="104"/>
      <c r="WMO314" s="104"/>
      <c r="WMP314" s="104"/>
      <c r="WMQ314" s="104"/>
      <c r="WMR314" s="104"/>
      <c r="WMS314" s="104"/>
      <c r="WMT314" s="104"/>
      <c r="WMU314" s="104"/>
      <c r="WMV314" s="104"/>
      <c r="WMW314" s="104"/>
      <c r="WMX314" s="104"/>
      <c r="WMY314" s="104"/>
      <c r="WMZ314" s="104"/>
      <c r="WNA314" s="104"/>
      <c r="WNB314" s="104"/>
      <c r="WNC314" s="104"/>
      <c r="WND314" s="104"/>
      <c r="WNE314" s="104"/>
      <c r="WNF314" s="104"/>
      <c r="WNG314" s="104"/>
      <c r="WNH314" s="104"/>
      <c r="WNI314" s="104"/>
      <c r="WNJ314" s="104"/>
      <c r="WNK314" s="104"/>
      <c r="WNL314" s="104"/>
      <c r="WNM314" s="104"/>
      <c r="WNN314" s="104"/>
      <c r="WNO314" s="104"/>
      <c r="WNP314" s="104"/>
      <c r="WNQ314" s="104"/>
      <c r="WNR314" s="104"/>
      <c r="WNS314" s="104"/>
      <c r="WNT314" s="104"/>
      <c r="WNU314" s="104"/>
      <c r="WNV314" s="104"/>
      <c r="WNW314" s="104"/>
      <c r="WNX314" s="104"/>
      <c r="WNY314" s="104"/>
      <c r="WNZ314" s="104"/>
      <c r="WOA314" s="104"/>
      <c r="WOB314" s="104"/>
      <c r="WOC314" s="104"/>
      <c r="WOD314" s="104"/>
      <c r="WOE314" s="104"/>
      <c r="WOF314" s="104"/>
      <c r="WOG314" s="104"/>
      <c r="WOH314" s="104"/>
      <c r="WOI314" s="104"/>
      <c r="WOJ314" s="104"/>
      <c r="WOK314" s="104"/>
      <c r="WOL314" s="104"/>
      <c r="WOM314" s="104"/>
      <c r="WON314" s="104"/>
      <c r="WOO314" s="104"/>
      <c r="WOP314" s="104"/>
      <c r="WOQ314" s="104"/>
      <c r="WOR314" s="104"/>
      <c r="WOS314" s="104"/>
      <c r="WOT314" s="104"/>
      <c r="WOU314" s="104"/>
      <c r="WOV314" s="104"/>
      <c r="WOW314" s="104"/>
      <c r="WOX314" s="104"/>
      <c r="WOY314" s="104"/>
      <c r="WOZ314" s="104"/>
      <c r="WPA314" s="104"/>
      <c r="WPB314" s="104"/>
      <c r="WPC314" s="104"/>
      <c r="WPD314" s="104"/>
      <c r="WPE314" s="104"/>
      <c r="WPF314" s="104"/>
      <c r="WPG314" s="104"/>
      <c r="WPH314" s="104"/>
      <c r="WPI314" s="104"/>
      <c r="WPJ314" s="104"/>
      <c r="WPK314" s="104"/>
      <c r="WPL314" s="104"/>
      <c r="WPM314" s="104"/>
      <c r="WPN314" s="104"/>
      <c r="WPO314" s="104"/>
      <c r="WPP314" s="104"/>
      <c r="WPQ314" s="104"/>
      <c r="WPR314" s="104"/>
      <c r="WPS314" s="104"/>
      <c r="WPT314" s="104"/>
      <c r="WPU314" s="104"/>
      <c r="WPV314" s="104"/>
      <c r="WPW314" s="104"/>
      <c r="WPX314" s="104"/>
      <c r="WPY314" s="104"/>
      <c r="WPZ314" s="104"/>
      <c r="WQA314" s="104"/>
      <c r="WQB314" s="104"/>
      <c r="WQC314" s="104"/>
      <c r="WQD314" s="104"/>
      <c r="WQE314" s="104"/>
      <c r="WQF314" s="104"/>
      <c r="WQG314" s="104"/>
      <c r="WQH314" s="104"/>
      <c r="WQI314" s="104"/>
      <c r="WQJ314" s="104"/>
      <c r="WQK314" s="104"/>
      <c r="WQL314" s="104"/>
      <c r="WQM314" s="104"/>
      <c r="WQN314" s="104"/>
      <c r="WQO314" s="104"/>
      <c r="WQP314" s="104"/>
      <c r="WQQ314" s="104"/>
      <c r="WQR314" s="104"/>
      <c r="WQS314" s="104"/>
      <c r="WQT314" s="104"/>
      <c r="WQU314" s="104"/>
      <c r="WQV314" s="104"/>
      <c r="WQW314" s="104"/>
      <c r="WQX314" s="104"/>
      <c r="WQY314" s="104"/>
      <c r="WQZ314" s="104"/>
      <c r="WRA314" s="104"/>
      <c r="WRB314" s="104"/>
      <c r="WRC314" s="104"/>
      <c r="WRD314" s="104"/>
      <c r="WRE314" s="104"/>
      <c r="WRF314" s="104"/>
      <c r="WRG314" s="104"/>
      <c r="WRH314" s="104"/>
      <c r="WRI314" s="104"/>
      <c r="WRJ314" s="104"/>
      <c r="WRK314" s="104"/>
      <c r="WRL314" s="104"/>
      <c r="WRM314" s="104"/>
      <c r="WRN314" s="104"/>
      <c r="WRO314" s="104"/>
      <c r="WRP314" s="104"/>
      <c r="WRQ314" s="104"/>
      <c r="WRR314" s="104"/>
      <c r="WRS314" s="104"/>
      <c r="WRT314" s="104"/>
      <c r="WRU314" s="104"/>
      <c r="WRV314" s="104"/>
      <c r="WRW314" s="104"/>
      <c r="WRX314" s="104"/>
      <c r="WRY314" s="104"/>
      <c r="WRZ314" s="104"/>
      <c r="WSA314" s="104"/>
      <c r="WSB314" s="104"/>
      <c r="WSC314" s="104"/>
      <c r="WSD314" s="104"/>
      <c r="WSE314" s="104"/>
      <c r="WSF314" s="104"/>
      <c r="WSG314" s="104"/>
      <c r="WSH314" s="104"/>
      <c r="WSI314" s="104"/>
      <c r="WSJ314" s="104"/>
      <c r="WSK314" s="104"/>
      <c r="WSL314" s="104"/>
      <c r="WSM314" s="104"/>
      <c r="WSN314" s="104"/>
      <c r="WSO314" s="104"/>
      <c r="WSP314" s="104"/>
      <c r="WSQ314" s="104"/>
      <c r="WSR314" s="104"/>
      <c r="WSS314" s="104"/>
      <c r="WST314" s="104"/>
      <c r="WSU314" s="104"/>
      <c r="WSV314" s="104"/>
      <c r="WSW314" s="104"/>
      <c r="WSX314" s="104"/>
      <c r="WSY314" s="104"/>
      <c r="WSZ314" s="104"/>
      <c r="WTA314" s="104"/>
      <c r="WTB314" s="104"/>
      <c r="WTC314" s="104"/>
      <c r="WTD314" s="104"/>
      <c r="WTE314" s="104"/>
      <c r="WTF314" s="104"/>
      <c r="WTG314" s="104"/>
      <c r="WTH314" s="104"/>
      <c r="WTI314" s="104"/>
      <c r="WTJ314" s="104"/>
      <c r="WTK314" s="104"/>
      <c r="WTL314" s="104"/>
      <c r="WTM314" s="104"/>
      <c r="WTN314" s="104"/>
      <c r="WTO314" s="104"/>
      <c r="WTP314" s="104"/>
      <c r="WTQ314" s="104"/>
      <c r="WTR314" s="104"/>
      <c r="WTS314" s="104"/>
      <c r="WTT314" s="104"/>
      <c r="WTU314" s="104"/>
      <c r="WTV314" s="104"/>
      <c r="WTW314" s="104"/>
      <c r="WTX314" s="104"/>
      <c r="WTY314" s="104"/>
      <c r="WTZ314" s="104"/>
      <c r="WUA314" s="104"/>
      <c r="WUB314" s="104"/>
      <c r="WUC314" s="104"/>
      <c r="WUD314" s="104"/>
      <c r="WUE314" s="104"/>
      <c r="WUF314" s="104"/>
      <c r="WUG314" s="104"/>
      <c r="WUH314" s="104"/>
      <c r="WUI314" s="104"/>
      <c r="WUJ314" s="104"/>
      <c r="WUK314" s="104"/>
      <c r="WUL314" s="104"/>
      <c r="WUM314" s="104"/>
      <c r="WUN314" s="104"/>
      <c r="WUO314" s="104"/>
      <c r="WUP314" s="104"/>
      <c r="WUQ314" s="104"/>
      <c r="WUR314" s="104"/>
      <c r="WUS314" s="104"/>
      <c r="WUT314" s="104"/>
      <c r="WUU314" s="104"/>
      <c r="WUV314" s="104"/>
      <c r="WUW314" s="104"/>
      <c r="WUX314" s="104"/>
      <c r="WUY314" s="104"/>
      <c r="WUZ314" s="104"/>
      <c r="WVA314" s="104"/>
      <c r="WVB314" s="104"/>
      <c r="WVC314" s="104"/>
      <c r="WVD314" s="104"/>
      <c r="WVE314" s="104"/>
      <c r="WVF314" s="104"/>
      <c r="WVG314" s="104"/>
      <c r="WVH314" s="104"/>
      <c r="WVI314" s="104"/>
      <c r="WVJ314" s="104"/>
      <c r="WVK314" s="104"/>
      <c r="WVL314" s="104"/>
      <c r="WVM314" s="104"/>
      <c r="WVN314" s="104"/>
      <c r="WVO314" s="104"/>
      <c r="WVP314" s="104"/>
      <c r="WVQ314" s="104"/>
      <c r="WVR314" s="104"/>
      <c r="WVS314" s="104"/>
      <c r="WVT314" s="104"/>
      <c r="WVU314" s="104"/>
      <c r="WVV314" s="104"/>
      <c r="WVW314" s="104"/>
      <c r="WVX314" s="104"/>
      <c r="WVY314" s="104"/>
      <c r="WVZ314" s="104"/>
      <c r="WWA314" s="104"/>
      <c r="WWB314" s="104"/>
      <c r="WWC314" s="104"/>
      <c r="WWD314" s="104"/>
      <c r="WWE314" s="104"/>
      <c r="WWF314" s="104"/>
      <c r="WWG314" s="104"/>
      <c r="WWH314" s="104"/>
      <c r="WWI314" s="104"/>
      <c r="WWJ314" s="104"/>
      <c r="WWK314" s="104"/>
      <c r="WWL314" s="104"/>
      <c r="WWM314" s="104"/>
      <c r="WWN314" s="104"/>
      <c r="WWO314" s="104"/>
      <c r="WWP314" s="104"/>
      <c r="WWQ314" s="104"/>
      <c r="WWR314" s="104"/>
      <c r="WWS314" s="104"/>
      <c r="WWT314" s="104"/>
      <c r="WWU314" s="104"/>
      <c r="WWV314" s="104"/>
      <c r="WWW314" s="104"/>
      <c r="WWX314" s="104"/>
      <c r="WWY314" s="104"/>
      <c r="WWZ314" s="104"/>
      <c r="WXA314" s="104"/>
      <c r="WXB314" s="104"/>
      <c r="WXC314" s="104"/>
      <c r="WXD314" s="104"/>
      <c r="WXE314" s="104"/>
      <c r="WXF314" s="104"/>
      <c r="WXG314" s="104"/>
      <c r="WXH314" s="104"/>
      <c r="WXI314" s="104"/>
      <c r="WXJ314" s="104"/>
      <c r="WXK314" s="104"/>
      <c r="WXL314" s="104"/>
      <c r="WXM314" s="104"/>
      <c r="WXN314" s="104"/>
      <c r="WXO314" s="104"/>
      <c r="WXP314" s="104"/>
      <c r="WXQ314" s="104"/>
      <c r="WXR314" s="104"/>
      <c r="WXS314" s="104"/>
      <c r="WXT314" s="104"/>
      <c r="WXU314" s="104"/>
      <c r="WXV314" s="104"/>
      <c r="WXW314" s="104"/>
      <c r="WXX314" s="104"/>
      <c r="WXY314" s="104"/>
      <c r="WXZ314" s="104"/>
      <c r="WYA314" s="104"/>
      <c r="WYB314" s="104"/>
      <c r="WYC314" s="104"/>
      <c r="WYD314" s="104"/>
      <c r="WYE314" s="104"/>
      <c r="WYF314" s="104"/>
      <c r="WYG314" s="104"/>
      <c r="WYH314" s="104"/>
      <c r="WYI314" s="104"/>
      <c r="WYJ314" s="104"/>
      <c r="WYK314" s="104"/>
      <c r="WYL314" s="104"/>
      <c r="WYM314" s="104"/>
      <c r="WYN314" s="104"/>
      <c r="WYO314" s="104"/>
      <c r="WYP314" s="104"/>
      <c r="WYQ314" s="104"/>
      <c r="WYR314" s="104"/>
      <c r="WYS314" s="104"/>
      <c r="WYT314" s="104"/>
      <c r="WYU314" s="104"/>
      <c r="WYV314" s="104"/>
      <c r="WYW314" s="104"/>
      <c r="WYX314" s="104"/>
      <c r="WYY314" s="104"/>
      <c r="WYZ314" s="104"/>
      <c r="WZA314" s="104"/>
      <c r="WZB314" s="104"/>
      <c r="WZC314" s="104"/>
      <c r="WZD314" s="104"/>
      <c r="WZE314" s="104"/>
      <c r="WZF314" s="104"/>
      <c r="WZG314" s="104"/>
      <c r="WZH314" s="104"/>
      <c r="WZI314" s="104"/>
      <c r="WZJ314" s="104"/>
      <c r="WZK314" s="104"/>
      <c r="WZL314" s="104"/>
      <c r="WZM314" s="104"/>
      <c r="WZN314" s="104"/>
      <c r="WZO314" s="104"/>
      <c r="WZP314" s="104"/>
      <c r="WZQ314" s="104"/>
      <c r="WZR314" s="104"/>
      <c r="WZS314" s="104"/>
      <c r="WZT314" s="104"/>
      <c r="WZU314" s="104"/>
      <c r="WZV314" s="104"/>
      <c r="WZW314" s="104"/>
      <c r="WZX314" s="104"/>
      <c r="WZY314" s="104"/>
      <c r="WZZ314" s="104"/>
      <c r="XAA314" s="104"/>
      <c r="XAB314" s="104"/>
      <c r="XAC314" s="104"/>
      <c r="XAD314" s="104"/>
      <c r="XAE314" s="104"/>
      <c r="XAF314" s="104"/>
      <c r="XAG314" s="104"/>
      <c r="XAH314" s="104"/>
      <c r="XAI314" s="104"/>
      <c r="XAJ314" s="104"/>
      <c r="XAK314" s="104"/>
      <c r="XAL314" s="104"/>
      <c r="XAM314" s="104"/>
      <c r="XAN314" s="104"/>
      <c r="XAO314" s="104"/>
      <c r="XAP314" s="104"/>
      <c r="XAQ314" s="104"/>
      <c r="XAR314" s="104"/>
      <c r="XAS314" s="104"/>
      <c r="XAT314" s="104"/>
      <c r="XAU314" s="104"/>
      <c r="XAV314" s="104"/>
      <c r="XAW314" s="104"/>
      <c r="XAX314" s="104"/>
      <c r="XAY314" s="104"/>
      <c r="XAZ314" s="104"/>
      <c r="XBA314" s="104"/>
      <c r="XBB314" s="104"/>
      <c r="XBC314" s="104"/>
      <c r="XBD314" s="104"/>
      <c r="XBE314" s="104"/>
      <c r="XBF314" s="104"/>
      <c r="XBG314" s="104"/>
      <c r="XBH314" s="104"/>
      <c r="XBI314" s="104"/>
      <c r="XBJ314" s="104"/>
      <c r="XBK314" s="104"/>
      <c r="XBL314" s="104"/>
      <c r="XBM314" s="104"/>
      <c r="XBN314" s="104"/>
      <c r="XBO314" s="104"/>
      <c r="XBP314" s="104"/>
      <c r="XBQ314" s="104"/>
      <c r="XBR314" s="104"/>
      <c r="XBS314" s="104"/>
      <c r="XBT314" s="104"/>
      <c r="XBU314" s="104"/>
      <c r="XBV314" s="104"/>
      <c r="XBW314" s="104"/>
      <c r="XBX314" s="104"/>
      <c r="XBY314" s="104"/>
      <c r="XBZ314" s="104"/>
      <c r="XCA314" s="104"/>
      <c r="XCB314" s="104"/>
      <c r="XCC314" s="104"/>
      <c r="XCD314" s="104"/>
      <c r="XCE314" s="104"/>
      <c r="XCF314" s="104"/>
      <c r="XCG314" s="104"/>
      <c r="XCH314" s="104"/>
      <c r="XCI314" s="104"/>
      <c r="XCJ314" s="104"/>
      <c r="XCK314" s="104"/>
      <c r="XCL314" s="104"/>
      <c r="XCM314" s="104"/>
      <c r="XCN314" s="104"/>
      <c r="XCO314" s="104"/>
      <c r="XCP314" s="104"/>
      <c r="XCQ314" s="104"/>
      <c r="XCR314" s="104"/>
      <c r="XCS314" s="104"/>
      <c r="XCT314" s="104"/>
      <c r="XCU314" s="104"/>
      <c r="XCV314" s="104"/>
      <c r="XCW314" s="104"/>
      <c r="XCX314" s="104"/>
      <c r="XCY314" s="104"/>
      <c r="XCZ314" s="104"/>
      <c r="XDA314" s="104"/>
      <c r="XDB314" s="104"/>
      <c r="XDC314" s="104"/>
      <c r="XDD314" s="104"/>
      <c r="XDE314" s="104"/>
      <c r="XDF314" s="104"/>
      <c r="XDG314" s="104"/>
      <c r="XDH314" s="104"/>
      <c r="XDI314" s="104"/>
      <c r="XDJ314" s="104"/>
      <c r="XDK314" s="104"/>
      <c r="XDL314" s="104"/>
      <c r="XDM314" s="104"/>
      <c r="XDN314" s="104"/>
      <c r="XDO314" s="104"/>
      <c r="XDP314" s="104"/>
      <c r="XDQ314" s="104"/>
      <c r="XDR314" s="104"/>
      <c r="XDS314" s="104"/>
      <c r="XDT314" s="104"/>
      <c r="XDU314" s="104"/>
      <c r="XDV314" s="104"/>
      <c r="XDW314" s="104"/>
      <c r="XDX314" s="104"/>
      <c r="XDY314" s="104"/>
      <c r="XDZ314" s="104"/>
      <c r="XEA314" s="104"/>
      <c r="XEB314" s="104"/>
      <c r="XEC314" s="104"/>
      <c r="XED314" s="104"/>
      <c r="XEE314" s="104"/>
      <c r="XEF314" s="104"/>
      <c r="XEG314" s="104"/>
      <c r="XEH314" s="104"/>
      <c r="XEI314" s="104"/>
      <c r="XEJ314" s="104"/>
      <c r="XEK314" s="104"/>
      <c r="XEL314" s="104"/>
      <c r="XEM314" s="104"/>
      <c r="XEN314" s="104"/>
      <c r="XEO314" s="104"/>
      <c r="XEP314" s="104"/>
      <c r="XEQ314" s="104"/>
      <c r="XER314" s="104"/>
    </row>
    <row r="315" spans="1:16372" x14ac:dyDescent="0.25">
      <c r="A315" s="31" t="s">
        <v>644</v>
      </c>
      <c r="B315" s="31" t="s">
        <v>692</v>
      </c>
      <c r="H315" s="31">
        <v>1</v>
      </c>
      <c r="O315" s="42">
        <f>C315*Prislapp!$C$2+D315*Prislapp!$D$2+E315*Prislapp!$E$2+F315*Prislapp!$F$2+G315*Prislapp!$G$2+H315*Prislapp!$H$2+I315*Prislapp!$I$2+J315*Prislapp!$J$2+K315*Prislapp!$K$2+L315*Prislapp!$L$2+M315*Prislapp!$M$2+N315*Prislapp!$N$2</f>
        <v>19473</v>
      </c>
      <c r="P315" s="42">
        <f>C315*Prislapp!$C$3+D315*Prislapp!$D$3+E315*Prislapp!$E$3+F315*Prislapp!$F$3+G315*Prislapp!$G$3+H315*Prislapp!$H$3+I315*Prislapp!$I$3+J315*Prislapp!$J$3+K315*Prislapp!$K$3+M315*Prislapp!$M$3+N315*Prislapp!$N$3</f>
        <v>34806</v>
      </c>
      <c r="Q315" s="42">
        <f>C315*Prislapp!$C$5+D315*Prislapp!$D$5+E315*Prislapp!$E$5+F315*Prislapp!$F$5+G315*Prislapp!$G$5+H315*Prislapp!$H$5+I315*Prislapp!$I$5+J315*Prislapp!$J$5+K315*Prislapp!$K$5+L315*Prislapp!$L$5+M315*Prislapp!$M$5+N315*Prislapp!$N$5</f>
        <v>21800</v>
      </c>
      <c r="R315" s="9">
        <f>VLOOKUP(A315,'Ansvar kurs'!$A$2:$B$847,2,FALSE)</f>
        <v>5730</v>
      </c>
      <c r="S315" s="159"/>
      <c r="T315" s="159"/>
      <c r="U315" s="159"/>
      <c r="V315" s="159"/>
      <c r="W315" s="159"/>
      <c r="X315" s="159"/>
      <c r="Y315" s="159"/>
      <c r="Z315" s="159"/>
    </row>
    <row r="316" spans="1:16372" x14ac:dyDescent="0.25">
      <c r="A316" s="31" t="s">
        <v>639</v>
      </c>
      <c r="B316" s="31" t="s">
        <v>693</v>
      </c>
      <c r="H316" s="31">
        <v>1</v>
      </c>
      <c r="O316" s="42">
        <f>C316*Prislapp!$C$2+D316*Prislapp!$D$2+E316*Prislapp!$E$2+F316*Prislapp!$F$2+G316*Prislapp!$G$2+H316*Prislapp!$H$2+I316*Prislapp!$I$2+J316*Prislapp!$J$2+K316*Prislapp!$K$2+L316*Prislapp!$L$2+M316*Prislapp!$M$2+N316*Prislapp!$N$2</f>
        <v>19473</v>
      </c>
      <c r="P316" s="42">
        <f>C316*Prislapp!$C$3+D316*Prislapp!$D$3+E316*Prislapp!$E$3+F316*Prislapp!$F$3+G316*Prislapp!$G$3+H316*Prislapp!$H$3+I316*Prislapp!$I$3+J316*Prislapp!$J$3+K316*Prislapp!$K$3+M316*Prislapp!$M$3+N316*Prislapp!$N$3</f>
        <v>34806</v>
      </c>
      <c r="Q316" s="42">
        <f>C316*Prislapp!$C$5+D316*Prislapp!$D$5+E316*Prislapp!$E$5+F316*Prislapp!$F$5+G316*Prislapp!$G$5+H316*Prislapp!$H$5+I316*Prislapp!$I$5+J316*Prislapp!$J$5+K316*Prislapp!$K$5+L316*Prislapp!$L$5+M316*Prislapp!$M$5+N316*Prislapp!$N$5</f>
        <v>21800</v>
      </c>
      <c r="R316" s="9">
        <f>VLOOKUP(A316,'Ansvar kurs'!$A$2:$B$847,2,FALSE)</f>
        <v>5730</v>
      </c>
      <c r="S316" s="159"/>
      <c r="T316" s="159"/>
      <c r="U316" s="159"/>
      <c r="V316" s="159"/>
      <c r="W316" s="159"/>
      <c r="X316" s="159"/>
      <c r="Y316" s="159"/>
      <c r="Z316" s="159"/>
    </row>
    <row r="317" spans="1:16372" x14ac:dyDescent="0.25">
      <c r="A317" s="31" t="s">
        <v>645</v>
      </c>
      <c r="B317" s="31" t="s">
        <v>617</v>
      </c>
      <c r="H317" s="31">
        <v>0.5</v>
      </c>
      <c r="J317" s="31">
        <v>0.5</v>
      </c>
      <c r="O317" s="42">
        <f>C317*Prislapp!$C$2+D317*Prislapp!$D$2+E317*Prislapp!$E$2+F317*Prislapp!$F$2+G317*Prislapp!$G$2+H317*Prislapp!$H$2+I317*Prislapp!$I$2+J317*Prislapp!$J$2+K317*Prislapp!$K$2+L317*Prislapp!$L$2+M317*Prislapp!$M$2+N317*Prislapp!$N$2</f>
        <v>19473</v>
      </c>
      <c r="P317" s="42">
        <f>C317*Prislapp!$C$3+D317*Prislapp!$D$3+E317*Prislapp!$E$3+F317*Prislapp!$F$3+G317*Prislapp!$G$3+H317*Prislapp!$H$3+I317*Prislapp!$I$3+J317*Prislapp!$J$3+K317*Prislapp!$K$3+M317*Prislapp!$M$3+N317*Prislapp!$N$3</f>
        <v>34806</v>
      </c>
      <c r="Q317" s="42">
        <f>C317*Prislapp!$C$5+D317*Prislapp!$D$5+E317*Prislapp!$E$5+F317*Prislapp!$F$5+G317*Prislapp!$G$5+H317*Prislapp!$H$5+I317*Prislapp!$I$5+J317*Prislapp!$J$5+K317*Prislapp!$K$5+L317*Prislapp!$L$5+M317*Prislapp!$M$5+N317*Prislapp!$N$5</f>
        <v>21800</v>
      </c>
      <c r="R317" s="9">
        <f>VLOOKUP(A317,'Ansvar kurs'!$A$2:$B$847,2,FALSE)</f>
        <v>5730</v>
      </c>
      <c r="S317" s="159"/>
      <c r="T317" s="159"/>
      <c r="U317" s="159"/>
      <c r="V317" s="159"/>
      <c r="W317" s="159"/>
      <c r="X317" s="159"/>
      <c r="Y317" s="159"/>
      <c r="Z317" s="159"/>
    </row>
    <row r="318" spans="1:16372" x14ac:dyDescent="0.25">
      <c r="A318" s="245" t="s">
        <v>930</v>
      </c>
      <c r="B318" s="31" t="s">
        <v>431</v>
      </c>
      <c r="H318" s="31">
        <v>1</v>
      </c>
      <c r="O318" s="42">
        <f>C318*Prislapp!$C$2+D318*Prislapp!$D$2+E318*Prislapp!$E$2+F318*Prislapp!$F$2+G318*Prislapp!$G$2+H318*Prislapp!$H$2+I318*Prislapp!$I$2+J318*Prislapp!$J$2+K318*Prislapp!$K$2+L318*Prislapp!$L$2+M318*Prislapp!$M$2+N318*Prislapp!$N$2</f>
        <v>19473</v>
      </c>
      <c r="P318" s="42">
        <f>C318*Prislapp!$C$3+D318*Prislapp!$D$3+E318*Prislapp!$E$3+F318*Prislapp!$F$3+G318*Prislapp!$G$3+H318*Prislapp!$H$3+I318*Prislapp!$I$3+J318*Prislapp!$J$3+K318*Prislapp!$K$3+M318*Prislapp!$M$3+N318*Prislapp!$N$3</f>
        <v>34806</v>
      </c>
      <c r="Q318" s="42">
        <f>C318*Prislapp!$C$5+D318*Prislapp!$D$5+E318*Prislapp!$E$5+F318*Prislapp!$F$5+G318*Prislapp!$G$5+H318*Prislapp!$H$5+I318*Prislapp!$I$5+J318*Prislapp!$J$5+K318*Prislapp!$K$5+L318*Prislapp!$L$5+M318*Prislapp!$M$5+N318*Prislapp!$N$5</f>
        <v>21800</v>
      </c>
      <c r="R318" s="9">
        <f>VLOOKUP(A318,'Ansvar kurs'!$A$2:$B$847,2,FALSE)</f>
        <v>5730</v>
      </c>
      <c r="S318" s="159"/>
      <c r="T318" s="159"/>
      <c r="U318" s="159"/>
      <c r="V318" s="159"/>
      <c r="W318" s="159"/>
      <c r="X318" s="159"/>
      <c r="Y318" s="159"/>
      <c r="Z318" s="159"/>
    </row>
    <row r="319" spans="1:16372" x14ac:dyDescent="0.25">
      <c r="A319" s="245" t="s">
        <v>966</v>
      </c>
      <c r="B319" s="31" t="s">
        <v>1154</v>
      </c>
      <c r="F319" s="31">
        <v>1</v>
      </c>
      <c r="O319" s="42">
        <f>C319*Prislapp!$C$2+D319*Prislapp!$D$2+E319*Prislapp!$E$2+F319*Prislapp!$F$2+G319*Prislapp!$G$2+H319*Prislapp!$H$2+I319*Prislapp!$I$2+J319*Prislapp!$J$2+K319*Prislapp!$K$2+L319*Prislapp!$L$2+M319*Prislapp!$M$2+N319*Prislapp!$N$2</f>
        <v>23641</v>
      </c>
      <c r="P319" s="42">
        <f>C319*Prislapp!$C$3+D319*Prislapp!$D$3+E319*Prislapp!$E$3+F319*Prislapp!$F$3+G319*Prislapp!$G$3+H319*Prislapp!$H$3+I319*Prislapp!$I$3+J319*Prislapp!$J$3+K319*Prislapp!$K$3+M319*Prislapp!$M$3+N319*Prislapp!$N$3</f>
        <v>28786</v>
      </c>
      <c r="Q319" s="42">
        <f>C319*Prislapp!$C$5+D319*Prislapp!$D$5+E319*Prislapp!$E$5+F319*Prislapp!$F$5+G319*Prislapp!$G$5+H319*Prislapp!$H$5+I319*Prislapp!$I$5+J319*Prislapp!$J$5+K319*Prislapp!$K$5+L319*Prislapp!$L$5+M319*Prislapp!$M$5+N319*Prislapp!$N$5</f>
        <v>5800</v>
      </c>
      <c r="R319" s="9">
        <f>VLOOKUP(A319,'Ansvar kurs'!$A$2:$B$847,2,FALSE)</f>
        <v>5730</v>
      </c>
      <c r="S319" s="159"/>
      <c r="T319" s="159"/>
      <c r="U319" s="159"/>
      <c r="V319" s="159"/>
      <c r="W319" s="159"/>
      <c r="X319" s="159"/>
      <c r="Y319" s="159"/>
      <c r="Z319" s="159"/>
    </row>
    <row r="320" spans="1:16372" x14ac:dyDescent="0.25">
      <c r="A320" s="245" t="s">
        <v>1095</v>
      </c>
      <c r="B320" s="31" t="s">
        <v>690</v>
      </c>
      <c r="H320" s="31">
        <v>1</v>
      </c>
      <c r="O320" s="42">
        <f>C320*Prislapp!$C$2+D320*Prislapp!$D$2+E320*Prislapp!$E$2+F320*Prislapp!$F$2+G320*Prislapp!$G$2+H320*Prislapp!$H$2+I320*Prislapp!$I$2+J320*Prislapp!$J$2+K320*Prislapp!$K$2+L320*Prislapp!$L$2+M320*Prislapp!$M$2+N320*Prislapp!$N$2</f>
        <v>19473</v>
      </c>
      <c r="P320" s="42">
        <f>C320*Prislapp!$C$3+D320*Prislapp!$D$3+E320*Prislapp!$E$3+F320*Prislapp!$F$3+G320*Prislapp!$G$3+H320*Prislapp!$H$3+I320*Prislapp!$I$3+J320*Prislapp!$J$3+K320*Prislapp!$K$3+M320*Prislapp!$M$3+N320*Prislapp!$N$3</f>
        <v>34806</v>
      </c>
      <c r="Q320" s="42">
        <f>C320*Prislapp!$C$5+D320*Prislapp!$D$5+E320*Prislapp!$E$5+F320*Prislapp!$F$5+G320*Prislapp!$G$5+H320*Prislapp!$H$5+I320*Prislapp!$I$5+J320*Prislapp!$J$5+K320*Prislapp!$K$5+L320*Prislapp!$L$5+M320*Prislapp!$M$5+N320*Prislapp!$N$5</f>
        <v>21800</v>
      </c>
      <c r="R320" s="9">
        <f>VLOOKUP(A320,'Ansvar kurs'!$A$2:$B$847,2,FALSE)</f>
        <v>5730</v>
      </c>
      <c r="S320" s="159" t="s">
        <v>1107</v>
      </c>
      <c r="T320" s="159"/>
      <c r="U320" s="159"/>
      <c r="V320" s="159"/>
      <c r="W320" s="159"/>
      <c r="X320" s="159"/>
      <c r="Y320" s="159"/>
      <c r="Z320" s="159"/>
    </row>
    <row r="321" spans="1:26" x14ac:dyDescent="0.25">
      <c r="A321" s="245" t="s">
        <v>1108</v>
      </c>
      <c r="B321" s="31" t="s">
        <v>612</v>
      </c>
      <c r="H321" s="31">
        <v>1</v>
      </c>
      <c r="O321" s="42">
        <f>C321*Prislapp!$C$2+D321*Prislapp!$D$2+E321*Prislapp!$E$2+F321*Prislapp!$F$2+G321*Prislapp!$G$2+H321*Prislapp!$H$2+I321*Prislapp!$I$2+J321*Prislapp!$J$2+K321*Prislapp!$K$2+L321*Prislapp!$L$2+M321*Prislapp!$M$2+N321*Prislapp!$N$2</f>
        <v>19473</v>
      </c>
      <c r="P321" s="42">
        <f>C321*Prislapp!$C$3+D321*Prislapp!$D$3+E321*Prislapp!$E$3+F321*Prislapp!$F$3+G321*Prislapp!$G$3+H321*Prislapp!$H$3+I321*Prislapp!$I$3+J321*Prislapp!$J$3+K321*Prislapp!$K$3+M321*Prislapp!$M$3+N321*Prislapp!$N$3</f>
        <v>34806</v>
      </c>
      <c r="Q321" s="42">
        <f>C321*Prislapp!$C$5+D321*Prislapp!$D$5+E321*Prislapp!$E$5+F321*Prislapp!$F$5+G321*Prislapp!$G$5+H321*Prislapp!$H$5+I321*Prislapp!$I$5+J321*Prislapp!$J$5+K321*Prislapp!$K$5+L321*Prislapp!$L$5+M321*Prislapp!$M$5+N321*Prislapp!$N$5</f>
        <v>21800</v>
      </c>
      <c r="R321" s="9">
        <f>VLOOKUP(A321,'Ansvar kurs'!$A$2:$B$847,2,FALSE)</f>
        <v>5730</v>
      </c>
      <c r="S321" s="159" t="s">
        <v>1107</v>
      </c>
      <c r="T321" s="159"/>
      <c r="U321" s="159"/>
      <c r="V321" s="159"/>
      <c r="W321" s="159"/>
      <c r="X321" s="159"/>
      <c r="Y321" s="159"/>
      <c r="Z321" s="159"/>
    </row>
    <row r="322" spans="1:26" x14ac:dyDescent="0.25">
      <c r="A322" s="244" t="s">
        <v>1344</v>
      </c>
      <c r="B322" s="31" t="s">
        <v>1064</v>
      </c>
      <c r="H322" s="31">
        <v>1</v>
      </c>
      <c r="O322" s="42">
        <f>C322*Prislapp!$C$2+D322*Prislapp!$D$2+E322*Prislapp!$E$2+F322*Prislapp!$F$2+G322*Prislapp!$G$2+H322*Prislapp!$H$2+I322*Prislapp!$I$2+J322*Prislapp!$J$2+K322*Prislapp!$K$2+L322*Prislapp!$L$2+M322*Prislapp!$M$2+N322*Prislapp!$N$2</f>
        <v>19473</v>
      </c>
      <c r="P322" s="42">
        <f>C322*Prislapp!$C$3+D322*Prislapp!$D$3+E322*Prislapp!$E$3+F322*Prislapp!$F$3+G322*Prislapp!$G$3+H322*Prislapp!$H$3+I322*Prislapp!$I$3+J322*Prislapp!$J$3+K322*Prislapp!$K$3+M322*Prislapp!$M$3+N322*Prislapp!$N$3</f>
        <v>34806</v>
      </c>
      <c r="Q322" s="42">
        <f>C322*Prislapp!$C$5+D322*Prislapp!$D$5+E322*Prislapp!$E$5+F322*Prislapp!$F$5+G322*Prislapp!$G$5+H322*Prislapp!$H$5+I322*Prislapp!$I$5+J322*Prislapp!$J$5+K322*Prislapp!$K$5+L322*Prislapp!$L$5+M322*Prislapp!$M$5+N322*Prislapp!$N$5</f>
        <v>21800</v>
      </c>
      <c r="R322" s="9">
        <f>VLOOKUP(A322,'Ansvar kurs'!$A$2:$B$847,2,FALSE)</f>
        <v>5730</v>
      </c>
      <c r="S322" s="159"/>
      <c r="T322" s="159"/>
      <c r="U322" s="159"/>
      <c r="V322" s="159"/>
      <c r="W322" s="159"/>
      <c r="X322" s="159"/>
      <c r="Y322" s="159"/>
      <c r="Z322" s="159"/>
    </row>
    <row r="323" spans="1:26" x14ac:dyDescent="0.25">
      <c r="A323" s="245" t="s">
        <v>1305</v>
      </c>
      <c r="B323" s="31" t="s">
        <v>1306</v>
      </c>
      <c r="K323" s="31">
        <v>1</v>
      </c>
      <c r="O323" s="42">
        <f>C323*Prislapp!$C$2+D323*Prislapp!$D$2+E323*Prislapp!$E$2+F323*Prislapp!$F$2+G323*Prislapp!$G$2+H323*Prislapp!$H$2+I323*Prislapp!$I$2+J323*Prislapp!$J$2+K323*Prislapp!$K$2+L323*Prislapp!$L$2+M323*Prislapp!$M$2+N323*Prislapp!$N$2</f>
        <v>21634</v>
      </c>
      <c r="P323" s="42">
        <f>C323*Prislapp!$C$3+D323*Prislapp!$D$3+E323*Prislapp!$E$3+F323*Prislapp!$F$3+G323*Prislapp!$G$3+H323*Prislapp!$H$3+I323*Prislapp!$I$3+J323*Prislapp!$J$3+K323*Prislapp!$K$3+M323*Prislapp!$M$3+N323*Prislapp!$N$3</f>
        <v>26986</v>
      </c>
      <c r="Q323" s="42">
        <f>C323*Prislapp!$C$5+D323*Prislapp!$D$5+E323*Prislapp!$E$5+F323*Prislapp!$F$5+G323*Prislapp!$G$5+H323*Prislapp!$H$5+I323*Prislapp!$I$5+J323*Prislapp!$J$5+K323*Prislapp!$K$5+L323*Prislapp!$L$5+M323*Prislapp!$M$5+N323*Prislapp!$N$5</f>
        <v>3400</v>
      </c>
      <c r="R323" s="9">
        <f>VLOOKUP(A323,'Ansvar kurs'!$A$2:$B$847,2,FALSE)</f>
        <v>5730</v>
      </c>
      <c r="S323" s="159"/>
      <c r="T323" s="159"/>
      <c r="U323" s="159"/>
      <c r="V323" s="159"/>
      <c r="W323" s="159"/>
      <c r="X323" s="159"/>
      <c r="Y323" s="159"/>
      <c r="Z323" s="159"/>
    </row>
    <row r="324" spans="1:26" x14ac:dyDescent="0.25">
      <c r="A324" s="245" t="s">
        <v>1345</v>
      </c>
      <c r="B324" s="31" t="s">
        <v>1179</v>
      </c>
      <c r="K324" s="31">
        <v>1</v>
      </c>
      <c r="O324" s="42">
        <f>C324*Prislapp!$C$2+D324*Prislapp!$D$2+E324*Prislapp!$E$2+F324*Prislapp!$F$2+G324*Prislapp!$G$2+H324*Prislapp!$H$2+I324*Prislapp!$I$2+J324*Prislapp!$J$2+K324*Prislapp!$K$2+L324*Prislapp!$L$2+M324*Prislapp!$M$2+N324*Prislapp!$N$2</f>
        <v>21634</v>
      </c>
      <c r="P324" s="42">
        <f>C324*Prislapp!$C$3+D324*Prislapp!$D$3+E324*Prislapp!$E$3+F324*Prislapp!$F$3+G324*Prislapp!$G$3+H324*Prislapp!$H$3+I324*Prislapp!$I$3+J324*Prislapp!$J$3+K324*Prislapp!$K$3+M324*Prislapp!$M$3+N324*Prislapp!$N$3</f>
        <v>26986</v>
      </c>
      <c r="Q324" s="42">
        <f>C324*Prislapp!$C$5+D324*Prislapp!$D$5+E324*Prislapp!$E$5+F324*Prislapp!$F$5+G324*Prislapp!$G$5+H324*Prislapp!$H$5+I324*Prislapp!$I$5+J324*Prislapp!$J$5+K324*Prislapp!$K$5+L324*Prislapp!$L$5+M324*Prislapp!$M$5+N324*Prislapp!$N$5</f>
        <v>3400</v>
      </c>
      <c r="R324" s="9">
        <f>VLOOKUP(A324,'Ansvar kurs'!$A$2:$B$847,2,FALSE)</f>
        <v>5730</v>
      </c>
      <c r="S324" s="159"/>
      <c r="T324" s="159"/>
      <c r="U324" s="159"/>
      <c r="V324" s="159"/>
      <c r="W324" s="159"/>
      <c r="X324" s="159"/>
      <c r="Y324" s="159"/>
      <c r="Z324" s="159"/>
    </row>
    <row r="325" spans="1:26" x14ac:dyDescent="0.25">
      <c r="A325" s="31" t="s">
        <v>1289</v>
      </c>
      <c r="B325" s="31" t="s">
        <v>695</v>
      </c>
      <c r="H325" s="31">
        <v>1</v>
      </c>
      <c r="O325" s="42">
        <f>C325*Prislapp!$C$2+D325*Prislapp!$D$2+E325*Prislapp!$E$2+F325*Prislapp!$F$2+G325*Prislapp!$G$2+H325*Prislapp!$H$2+I325*Prislapp!$I$2+J325*Prislapp!$J$2+K325*Prislapp!$K$2+L325*Prislapp!$L$2+M325*Prislapp!$M$2+N325*Prislapp!$N$2</f>
        <v>19473</v>
      </c>
      <c r="P325" s="42">
        <f>C325*Prislapp!$C$3+D325*Prislapp!$D$3+E325*Prislapp!$E$3+F325*Prislapp!$F$3+G325*Prislapp!$G$3+H325*Prislapp!$H$3+I325*Prislapp!$I$3+J325*Prislapp!$J$3+K325*Prislapp!$K$3+M325*Prislapp!$M$3+N325*Prislapp!$N$3</f>
        <v>34806</v>
      </c>
      <c r="Q325" s="42">
        <f>C325*Prislapp!$C$5+D325*Prislapp!$D$5+E325*Prislapp!$E$5+F325*Prislapp!$F$5+G325*Prislapp!$G$5+H325*Prislapp!$H$5+I325*Prislapp!$I$5+J325*Prislapp!$J$5+K325*Prislapp!$K$5+L325*Prislapp!$L$5+M325*Prislapp!$M$5+N325*Prislapp!$N$5</f>
        <v>21800</v>
      </c>
      <c r="R325" s="9">
        <f>VLOOKUP(A325,'Ansvar kurs'!$A$2:$B$847,2,FALSE)</f>
        <v>5730</v>
      </c>
      <c r="S325" s="31" t="s">
        <v>1287</v>
      </c>
      <c r="T325" s="159"/>
      <c r="U325" s="159"/>
      <c r="V325" s="159"/>
      <c r="W325" s="159"/>
      <c r="X325" s="159"/>
      <c r="Y325" s="159"/>
      <c r="Z325" s="159"/>
    </row>
    <row r="326" spans="1:26" x14ac:dyDescent="0.25">
      <c r="A326" s="245" t="s">
        <v>1447</v>
      </c>
      <c r="B326" s="31" t="s">
        <v>1448</v>
      </c>
      <c r="H326" s="31">
        <v>1</v>
      </c>
      <c r="O326" s="42">
        <f>C326*Prislapp!$C$2+D326*Prislapp!$D$2+E326*Prislapp!$E$2+F326*Prislapp!$F$2+G326*Prislapp!$G$2+H326*Prislapp!$H$2+I326*Prislapp!$I$2+J326*Prislapp!$J$2+K326*Prislapp!$K$2+L326*Prislapp!$L$2+M326*Prislapp!$M$2+N326*Prislapp!$N$2</f>
        <v>19473</v>
      </c>
      <c r="P326" s="42">
        <f>C326*Prislapp!$C$3+D326*Prislapp!$D$3+E326*Prislapp!$E$3+F326*Prislapp!$F$3+G326*Prislapp!$G$3+H326*Prislapp!$H$3+I326*Prislapp!$I$3+J326*Prislapp!$J$3+K326*Prislapp!$K$3+M326*Prislapp!$M$3+N326*Prislapp!$N$3</f>
        <v>34806</v>
      </c>
      <c r="Q326" s="42">
        <f>C326*Prislapp!$C$5+D326*Prislapp!$D$5+E326*Prislapp!$E$5+F326*Prislapp!$F$5+G326*Prislapp!$G$5+H326*Prislapp!$H$5+I326*Prislapp!$I$5+J326*Prislapp!$J$5+K326*Prislapp!$K$5+L326*Prislapp!$L$5+M326*Prislapp!$M$5+N326*Prislapp!$N$5</f>
        <v>21800</v>
      </c>
      <c r="R326" s="9">
        <f>VLOOKUP(A326,'Ansvar kurs'!$A$2:$B$847,2,FALSE)</f>
        <v>5730</v>
      </c>
      <c r="T326" s="159"/>
      <c r="U326" s="159"/>
      <c r="V326" s="159"/>
      <c r="W326" s="159"/>
      <c r="X326" s="159"/>
      <c r="Y326" s="159"/>
      <c r="Z326" s="159"/>
    </row>
    <row r="327" spans="1:26" x14ac:dyDescent="0.25">
      <c r="A327" s="245" t="s">
        <v>1346</v>
      </c>
      <c r="B327" s="31" t="s">
        <v>1347</v>
      </c>
      <c r="H327" s="31">
        <v>1</v>
      </c>
      <c r="O327" s="42">
        <f>C327*Prislapp!$C$2+D327*Prislapp!$D$2+E327*Prislapp!$E$2+F327*Prislapp!$F$2+G327*Prislapp!$G$2+H327*Prislapp!$H$2+I327*Prislapp!$I$2+J327*Prislapp!$J$2+K327*Prislapp!$K$2+L327*Prislapp!$L$2+M327*Prislapp!$M$2+N327*Prislapp!$N$2</f>
        <v>19473</v>
      </c>
      <c r="P327" s="42">
        <f>C327*Prislapp!$C$3+D327*Prislapp!$D$3+E327*Prislapp!$E$3+F327*Prislapp!$F$3+G327*Prislapp!$G$3+H327*Prislapp!$H$3+I327*Prislapp!$I$3+J327*Prislapp!$J$3+K327*Prislapp!$K$3+M327*Prislapp!$M$3+N327*Prislapp!$N$3</f>
        <v>34806</v>
      </c>
      <c r="Q327" s="42">
        <f>C327*Prislapp!$C$5+D327*Prislapp!$D$5+E327*Prislapp!$E$5+F327*Prislapp!$F$5+G327*Prislapp!$G$5+H327*Prislapp!$H$5+I327*Prislapp!$I$5+J327*Prislapp!$J$5+K327*Prislapp!$K$5+L327*Prislapp!$L$5+M327*Prislapp!$M$5+N327*Prislapp!$N$5</f>
        <v>21800</v>
      </c>
      <c r="R327" s="9">
        <f>VLOOKUP(A327,'Ansvar kurs'!$A$2:$B$847,2,FALSE)</f>
        <v>5730</v>
      </c>
      <c r="T327" s="159"/>
      <c r="U327" s="159"/>
      <c r="V327" s="159"/>
      <c r="W327" s="159"/>
      <c r="X327" s="159"/>
      <c r="Y327" s="159"/>
      <c r="Z327" s="159"/>
    </row>
    <row r="328" spans="1:26" x14ac:dyDescent="0.25">
      <c r="A328" s="245" t="s">
        <v>1570</v>
      </c>
      <c r="B328" s="31" t="s">
        <v>612</v>
      </c>
      <c r="H328" s="31">
        <v>1</v>
      </c>
      <c r="O328" s="42">
        <f>C328*Prislapp!$C$2+D328*Prislapp!$D$2+E328*Prislapp!$E$2+F328*Prislapp!$F$2+G328*Prislapp!$G$2+H328*Prislapp!$H$2+I328*Prislapp!$I$2+J328*Prislapp!$J$2+K328*Prislapp!$K$2+L328*Prislapp!$L$2+M328*Prislapp!$M$2+N328*Prislapp!$N$2</f>
        <v>19473</v>
      </c>
      <c r="P328" s="42">
        <f>C328*Prislapp!$C$3+D328*Prislapp!$D$3+E328*Prislapp!$E$3+F328*Prislapp!$F$3+G328*Prislapp!$G$3+H328*Prislapp!$H$3+I328*Prislapp!$I$3+J328*Prislapp!$J$3+K328*Prislapp!$K$3+M328*Prislapp!$M$3+N328*Prislapp!$N$3</f>
        <v>34806</v>
      </c>
      <c r="Q328" s="42">
        <f>C328*Prislapp!$C$5+D328*Prislapp!$D$5+E328*Prislapp!$E$5+F328*Prislapp!$F$5+G328*Prislapp!$G$5+H328*Prislapp!$H$5+I328*Prislapp!$I$5+J328*Prislapp!$J$5+K328*Prislapp!$K$5+L328*Prislapp!$L$5+M328*Prislapp!$M$5+N328*Prislapp!$N$5</f>
        <v>21800</v>
      </c>
      <c r="R328" s="9">
        <f>VLOOKUP(A328,'Ansvar kurs'!$A$2:$B$847,2,FALSE)</f>
        <v>5730</v>
      </c>
      <c r="T328" s="159"/>
      <c r="U328" s="159"/>
      <c r="V328" s="159"/>
      <c r="W328" s="159"/>
      <c r="X328" s="159"/>
      <c r="Y328" s="159"/>
      <c r="Z328" s="159"/>
    </row>
    <row r="329" spans="1:26" x14ac:dyDescent="0.25">
      <c r="A329" s="245" t="s">
        <v>1859</v>
      </c>
      <c r="B329" s="31" t="s">
        <v>694</v>
      </c>
      <c r="H329" s="31">
        <v>1</v>
      </c>
      <c r="O329" s="42">
        <f>C329*Prislapp!$C$2+D329*Prislapp!$D$2+E329*Prislapp!$E$2+F329*Prislapp!$F$2+G329*Prislapp!$G$2+H329*Prislapp!$H$2+I329*Prislapp!$I$2+J329*Prislapp!$J$2+K329*Prislapp!$K$2+L329*Prislapp!$L$2+M329*Prislapp!$M$2+N329*Prislapp!$N$2</f>
        <v>19473</v>
      </c>
      <c r="P329" s="42">
        <f>C329*Prislapp!$C$3+D329*Prislapp!$D$3+E329*Prislapp!$E$3+F329*Prislapp!$F$3+G329*Prislapp!$G$3+H329*Prislapp!$H$3+I329*Prislapp!$I$3+J329*Prislapp!$J$3+K329*Prislapp!$K$3+M329*Prislapp!$M$3+N329*Prislapp!$N$3</f>
        <v>34806</v>
      </c>
      <c r="Q329" s="42">
        <f>C329*Prislapp!$C$5+D329*Prislapp!$D$5+E329*Prislapp!$E$5+F329*Prislapp!$F$5+G329*Prislapp!$G$5+H329*Prislapp!$H$5+I329*Prislapp!$I$5+J329*Prislapp!$J$5+K329*Prislapp!$K$5+L329*Prislapp!$L$5+M329*Prislapp!$M$5+N329*Prislapp!$N$5</f>
        <v>21800</v>
      </c>
      <c r="R329" s="9">
        <f>VLOOKUP(A329,'Ansvar kurs'!$A$2:$B$847,2,FALSE)</f>
        <v>5730</v>
      </c>
      <c r="S329" s="31" t="s">
        <v>1946</v>
      </c>
      <c r="T329" s="159"/>
      <c r="U329" s="159"/>
      <c r="V329" s="159"/>
      <c r="W329" s="159"/>
      <c r="X329" s="159"/>
      <c r="Y329" s="159"/>
      <c r="Z329" s="159"/>
    </row>
    <row r="330" spans="1:26" x14ac:dyDescent="0.25">
      <c r="A330" s="245" t="s">
        <v>1860</v>
      </c>
      <c r="B330" s="31" t="s">
        <v>1874</v>
      </c>
      <c r="H330" s="31">
        <v>0.5</v>
      </c>
      <c r="J330" s="31">
        <v>0.5</v>
      </c>
      <c r="O330" s="42">
        <f>C330*Prislapp!$C$2+D330*Prislapp!$D$2+E330*Prislapp!$E$2+F330*Prislapp!$F$2+G330*Prislapp!$G$2+H330*Prislapp!$H$2+I330*Prislapp!$I$2+J330*Prislapp!$J$2+K330*Prislapp!$K$2+L330*Prislapp!$L$2+M330*Prislapp!$M$2+N330*Prislapp!$N$2</f>
        <v>19473</v>
      </c>
      <c r="P330" s="42">
        <f>C330*Prislapp!$C$3+D330*Prislapp!$D$3+E330*Prislapp!$E$3+F330*Prislapp!$F$3+G330*Prislapp!$G$3+H330*Prislapp!$H$3+I330*Prislapp!$I$3+J330*Prislapp!$J$3+K330*Prislapp!$K$3+M330*Prislapp!$M$3+N330*Prislapp!$N$3</f>
        <v>34806</v>
      </c>
      <c r="Q330" s="42">
        <f>C330*Prislapp!$C$5+D330*Prislapp!$D$5+E330*Prislapp!$E$5+F330*Prislapp!$F$5+G330*Prislapp!$G$5+H330*Prislapp!$H$5+I330*Prislapp!$I$5+J330*Prislapp!$J$5+K330*Prislapp!$K$5+L330*Prislapp!$L$5+M330*Prislapp!$M$5+N330*Prislapp!$N$5</f>
        <v>21800</v>
      </c>
      <c r="R330" s="9">
        <f>VLOOKUP(A330,'Ansvar kurs'!$A$2:$B$847,2,FALSE)</f>
        <v>5730</v>
      </c>
      <c r="T330" s="159"/>
      <c r="U330" s="159"/>
      <c r="V330" s="159"/>
      <c r="W330" s="159"/>
      <c r="X330" s="159"/>
      <c r="Y330" s="159"/>
      <c r="Z330" s="159"/>
    </row>
    <row r="331" spans="1:26" x14ac:dyDescent="0.25">
      <c r="A331" s="245" t="s">
        <v>1861</v>
      </c>
      <c r="B331" s="31" t="s">
        <v>625</v>
      </c>
      <c r="H331" s="31">
        <v>1</v>
      </c>
      <c r="O331" s="42">
        <f>C331*Prislapp!$C$2+D331*Prislapp!$D$2+E331*Prislapp!$E$2+F331*Prislapp!$F$2+G331*Prislapp!$G$2+H331*Prislapp!$H$2+I331*Prislapp!$I$2+J331*Prislapp!$J$2+K331*Prislapp!$K$2+L331*Prislapp!$L$2+M331*Prislapp!$M$2+N331*Prislapp!$N$2</f>
        <v>19473</v>
      </c>
      <c r="P331" s="42">
        <f>C331*Prislapp!$C$3+D331*Prislapp!$D$3+E331*Prislapp!$E$3+F331*Prislapp!$F$3+G331*Prislapp!$G$3+H331*Prislapp!$H$3+I331*Prislapp!$I$3+J331*Prislapp!$J$3+K331*Prislapp!$K$3+M331*Prislapp!$M$3+N331*Prislapp!$N$3</f>
        <v>34806</v>
      </c>
      <c r="Q331" s="42">
        <f>C331*Prislapp!$C$5+D331*Prislapp!$D$5+E331*Prislapp!$E$5+F331*Prislapp!$F$5+G331*Prislapp!$G$5+H331*Prislapp!$H$5+I331*Prislapp!$I$5+J331*Prislapp!$J$5+K331*Prislapp!$K$5+L331*Prislapp!$L$5+M331*Prislapp!$M$5+N331*Prislapp!$N$5</f>
        <v>21800</v>
      </c>
      <c r="R331" s="9">
        <f>VLOOKUP(A331,'Ansvar kurs'!$A$2:$B$847,2,FALSE)</f>
        <v>5730</v>
      </c>
      <c r="S331" s="31" t="s">
        <v>1946</v>
      </c>
      <c r="T331" s="159"/>
      <c r="U331" s="159"/>
      <c r="V331" s="159"/>
      <c r="W331" s="159"/>
      <c r="X331" s="159"/>
      <c r="Y331" s="159"/>
      <c r="Z331" s="159"/>
    </row>
    <row r="332" spans="1:26" x14ac:dyDescent="0.25">
      <c r="A332" s="245" t="s">
        <v>1957</v>
      </c>
      <c r="B332" s="31" t="s">
        <v>1969</v>
      </c>
      <c r="H332" s="31">
        <v>0.5</v>
      </c>
      <c r="J332" s="31">
        <v>0.5</v>
      </c>
      <c r="O332" s="42">
        <f>C332*Prislapp!$C$2+D332*Prislapp!$D$2+E332*Prislapp!$E$2+F332*Prislapp!$F$2+G332*Prislapp!$G$2+H332*Prislapp!$H$2+I332*Prislapp!$I$2+J332*Prislapp!$J$2+K332*Prislapp!$K$2+L332*Prislapp!$L$2+M332*Prislapp!$M$2+N332*Prislapp!$N$2</f>
        <v>19473</v>
      </c>
      <c r="P332" s="42">
        <f>C332*Prislapp!$C$3+D332*Prislapp!$D$3+E332*Prislapp!$E$3+F332*Prislapp!$F$3+G332*Prislapp!$G$3+H332*Prislapp!$H$3+I332*Prislapp!$I$3+J332*Prislapp!$J$3+K332*Prislapp!$K$3+M332*Prislapp!$M$3+N332*Prislapp!$N$3</f>
        <v>34806</v>
      </c>
      <c r="Q332" s="42">
        <f>C332*Prislapp!$C$5+D332*Prislapp!$D$5+E332*Prislapp!$E$5+F332*Prislapp!$F$5+G332*Prislapp!$G$5+H332*Prislapp!$H$5+I332*Prislapp!$I$5+J332*Prislapp!$J$5+K332*Prislapp!$K$5+L332*Prislapp!$L$5+M332*Prislapp!$M$5+N332*Prislapp!$N$5</f>
        <v>21800</v>
      </c>
      <c r="R332" s="9">
        <f>VLOOKUP(A332,'Ansvar kurs'!$A$2:$B$847,2,FALSE)</f>
        <v>5730</v>
      </c>
      <c r="S332" s="31" t="s">
        <v>2097</v>
      </c>
      <c r="T332" s="159"/>
      <c r="U332" s="159"/>
      <c r="V332" s="159"/>
      <c r="W332" s="159"/>
      <c r="X332" s="159"/>
      <c r="Y332" s="159"/>
      <c r="Z332" s="159"/>
    </row>
    <row r="333" spans="1:26" x14ac:dyDescent="0.25">
      <c r="A333" s="245" t="s">
        <v>1958</v>
      </c>
      <c r="B333" s="31" t="s">
        <v>1970</v>
      </c>
      <c r="H333" s="31">
        <v>0.5</v>
      </c>
      <c r="J333" s="31">
        <v>0.5</v>
      </c>
      <c r="O333" s="42">
        <f>C333*Prislapp!$C$2+D333*Prislapp!$D$2+E333*Prislapp!$E$2+F333*Prislapp!$F$2+G333*Prislapp!$G$2+H333*Prislapp!$H$2+I333*Prislapp!$I$2+J333*Prislapp!$J$2+K333*Prislapp!$K$2+L333*Prislapp!$L$2+M333*Prislapp!$M$2+N333*Prislapp!$N$2</f>
        <v>19473</v>
      </c>
      <c r="P333" s="42">
        <f>C333*Prislapp!$C$3+D333*Prislapp!$D$3+E333*Prislapp!$E$3+F333*Prislapp!$F$3+G333*Prislapp!$G$3+H333*Prislapp!$H$3+I333*Prislapp!$I$3+J333*Prislapp!$J$3+K333*Prislapp!$K$3+M333*Prislapp!$M$3+N333*Prislapp!$N$3</f>
        <v>34806</v>
      </c>
      <c r="Q333" s="42">
        <f>C333*Prislapp!$C$5+D333*Prislapp!$D$5+E333*Prislapp!$E$5+F333*Prislapp!$F$5+G333*Prislapp!$G$5+H333*Prislapp!$H$5+I333*Prislapp!$I$5+J333*Prislapp!$J$5+K333*Prislapp!$K$5+L333*Prislapp!$L$5+M333*Prislapp!$M$5+N333*Prislapp!$N$5</f>
        <v>21800</v>
      </c>
      <c r="R333" s="9">
        <f>VLOOKUP(A333,'Ansvar kurs'!$A$2:$B$847,2,FALSE)</f>
        <v>5730</v>
      </c>
      <c r="S333" s="31" t="s">
        <v>2097</v>
      </c>
      <c r="T333" s="159"/>
      <c r="U333" s="159"/>
      <c r="V333" s="159"/>
      <c r="W333" s="159"/>
      <c r="X333" s="159"/>
      <c r="Y333" s="159"/>
      <c r="Z333" s="159"/>
    </row>
    <row r="334" spans="1:26" x14ac:dyDescent="0.25">
      <c r="A334" s="245" t="s">
        <v>1959</v>
      </c>
      <c r="B334" s="31" t="s">
        <v>617</v>
      </c>
      <c r="H334" s="31">
        <v>0.5</v>
      </c>
      <c r="J334" s="31">
        <v>0.5</v>
      </c>
      <c r="O334" s="42">
        <f>C334*Prislapp!$C$2+D334*Prislapp!$D$2+E334*Prislapp!$E$2+F334*Prislapp!$F$2+G334*Prislapp!$G$2+H334*Prislapp!$H$2+I334*Prislapp!$I$2+J334*Prislapp!$J$2+K334*Prislapp!$K$2+L334*Prislapp!$L$2+M334*Prislapp!$M$2+N334*Prislapp!$N$2</f>
        <v>19473</v>
      </c>
      <c r="P334" s="42">
        <f>C334*Prislapp!$C$3+D334*Prislapp!$D$3+E334*Prislapp!$E$3+F334*Prislapp!$F$3+G334*Prislapp!$G$3+H334*Prislapp!$H$3+I334*Prislapp!$I$3+J334*Prislapp!$J$3+K334*Prislapp!$K$3+M334*Prislapp!$M$3+N334*Prislapp!$N$3</f>
        <v>34806</v>
      </c>
      <c r="Q334" s="42">
        <f>C334*Prislapp!$C$5+D334*Prislapp!$D$5+E334*Prislapp!$E$5+F334*Prislapp!$F$5+G334*Prislapp!$G$5+H334*Prislapp!$H$5+I334*Prislapp!$I$5+J334*Prislapp!$J$5+K334*Prislapp!$K$5+L334*Prislapp!$L$5+M334*Prislapp!$M$5+N334*Prislapp!$N$5</f>
        <v>21800</v>
      </c>
      <c r="R334" s="9">
        <f>VLOOKUP(A334,'Ansvar kurs'!$A$2:$B$847,2,FALSE)</f>
        <v>5730</v>
      </c>
      <c r="S334" s="31" t="s">
        <v>2097</v>
      </c>
      <c r="T334" s="159"/>
      <c r="U334" s="159"/>
      <c r="V334" s="159"/>
      <c r="W334" s="159"/>
      <c r="X334" s="159"/>
      <c r="Y334" s="159"/>
      <c r="Z334" s="159"/>
    </row>
    <row r="335" spans="1:26" x14ac:dyDescent="0.25">
      <c r="A335" s="245" t="s">
        <v>1941</v>
      </c>
      <c r="B335" s="31" t="s">
        <v>1947</v>
      </c>
      <c r="H335" s="31">
        <v>0.5</v>
      </c>
      <c r="J335" s="31">
        <v>0.5</v>
      </c>
      <c r="O335" s="42">
        <f>C335*Prislapp!$C$2+D335*Prislapp!$D$2+E335*Prislapp!$E$2+F335*Prislapp!$F$2+G335*Prislapp!$G$2+H335*Prislapp!$H$2+I335*Prislapp!$I$2+J335*Prislapp!$J$2+K335*Prislapp!$K$2+L335*Prislapp!$L$2+M335*Prislapp!$M$2+N335*Prislapp!$N$2</f>
        <v>19473</v>
      </c>
      <c r="P335" s="42">
        <f>C335*Prislapp!$C$3+D335*Prislapp!$D$3+E335*Prislapp!$E$3+F335*Prislapp!$F$3+G335*Prislapp!$G$3+H335*Prislapp!$H$3+I335*Prislapp!$I$3+J335*Prislapp!$J$3+K335*Prislapp!$K$3+M335*Prislapp!$M$3+N335*Prislapp!$N$3</f>
        <v>34806</v>
      </c>
      <c r="Q335" s="42">
        <f>C335*Prislapp!$C$5+D335*Prislapp!$D$5+E335*Prislapp!$E$5+F335*Prislapp!$F$5+G335*Prislapp!$G$5+H335*Prislapp!$H$5+I335*Prislapp!$I$5+J335*Prislapp!$J$5+K335*Prislapp!$K$5+L335*Prislapp!$L$5+M335*Prislapp!$M$5+N335*Prislapp!$N$5</f>
        <v>21800</v>
      </c>
      <c r="R335" s="9">
        <f>VLOOKUP(A335,'Ansvar kurs'!$A$2:$B$847,2,FALSE)</f>
        <v>5730</v>
      </c>
      <c r="T335" s="159"/>
      <c r="U335" s="159"/>
      <c r="V335" s="159"/>
      <c r="W335" s="159"/>
      <c r="X335" s="159"/>
      <c r="Y335" s="159"/>
      <c r="Z335" s="159"/>
    </row>
    <row r="336" spans="1:26" x14ac:dyDescent="0.25">
      <c r="A336" s="245" t="s">
        <v>1990</v>
      </c>
      <c r="B336" s="62" t="s">
        <v>1533</v>
      </c>
      <c r="H336" s="31">
        <v>0.5</v>
      </c>
      <c r="J336" s="31">
        <v>0.5</v>
      </c>
      <c r="O336" s="42">
        <f>C336*Prislapp!$C$2+D336*Prislapp!$D$2+E336*Prislapp!$E$2+F336*Prislapp!$F$2+G336*Prislapp!$G$2+H336*Prislapp!$H$2+I336*Prislapp!$I$2+J336*Prislapp!$J$2+K336*Prislapp!$K$2+L336*Prislapp!$L$2+M336*Prislapp!$M$2+N336*Prislapp!$N$2</f>
        <v>19473</v>
      </c>
      <c r="P336" s="42">
        <f>C336*Prislapp!$C$3+D336*Prislapp!$D$3+E336*Prislapp!$E$3+F336*Prislapp!$F$3+G336*Prislapp!$G$3+H336*Prislapp!$H$3+I336*Prislapp!$I$3+J336*Prislapp!$J$3+K336*Prislapp!$K$3+M336*Prislapp!$M$3+N336*Prislapp!$N$3</f>
        <v>34806</v>
      </c>
      <c r="Q336" s="42">
        <f>C336*Prislapp!$C$5+D336*Prislapp!$D$5+E336*Prislapp!$E$5+F336*Prislapp!$F$5+G336*Prislapp!$G$5+H336*Prislapp!$H$5+I336*Prislapp!$I$5+J336*Prislapp!$J$5+K336*Prislapp!$K$5+L336*Prislapp!$L$5+M336*Prislapp!$M$5+N336*Prislapp!$N$5</f>
        <v>21800</v>
      </c>
      <c r="R336" s="9">
        <f>VLOOKUP(A336,'Ansvar kurs'!$A$2:$B$847,2,FALSE)</f>
        <v>5730</v>
      </c>
      <c r="S336" s="31" t="s">
        <v>2097</v>
      </c>
      <c r="T336" s="159"/>
      <c r="U336" s="159"/>
      <c r="V336" s="159"/>
      <c r="W336" s="159"/>
      <c r="X336" s="159"/>
      <c r="Y336" s="159"/>
      <c r="Z336" s="159"/>
    </row>
    <row r="337" spans="1:26" x14ac:dyDescent="0.25">
      <c r="A337" s="245" t="s">
        <v>1908</v>
      </c>
      <c r="B337" s="31" t="s">
        <v>1911</v>
      </c>
      <c r="H337" s="31">
        <v>1</v>
      </c>
      <c r="O337" s="42">
        <f>C337*Prislapp!$C$2+D337*Prislapp!$D$2+E337*Prislapp!$E$2+F337*Prislapp!$F$2+G337*Prislapp!$G$2+H337*Prislapp!$H$2+I337*Prislapp!$I$2+J337*Prislapp!$J$2+K337*Prislapp!$K$2+L337*Prislapp!$L$2+M337*Prislapp!$M$2+N337*Prislapp!$N$2</f>
        <v>19473</v>
      </c>
      <c r="P337" s="42">
        <f>C337*Prislapp!$C$3+D337*Prislapp!$D$3+E337*Prislapp!$E$3+F337*Prislapp!$F$3+G337*Prislapp!$G$3+H337*Prislapp!$H$3+I337*Prislapp!$I$3+J337*Prislapp!$J$3+K337*Prislapp!$K$3+M337*Prislapp!$M$3+N337*Prislapp!$N$3</f>
        <v>34806</v>
      </c>
      <c r="Q337" s="42">
        <f>C337*Prislapp!$C$5+D337*Prislapp!$D$5+E337*Prislapp!$E$5+F337*Prislapp!$F$5+G337*Prislapp!$G$5+H337*Prislapp!$H$5+I337*Prislapp!$I$5+J337*Prislapp!$J$5+K337*Prislapp!$K$5+L337*Prislapp!$L$5+M337*Prislapp!$M$5+N337*Prislapp!$N$5</f>
        <v>21800</v>
      </c>
      <c r="R337" s="9">
        <f>VLOOKUP(A337,'Ansvar kurs'!$A$2:$B$847,2,FALSE)</f>
        <v>5730</v>
      </c>
      <c r="T337" s="159"/>
      <c r="U337" s="159"/>
      <c r="V337" s="159"/>
      <c r="W337" s="159"/>
      <c r="X337" s="159"/>
      <c r="Y337" s="159"/>
      <c r="Z337" s="159"/>
    </row>
    <row r="338" spans="1:26" x14ac:dyDescent="0.25">
      <c r="A338" s="245" t="s">
        <v>1960</v>
      </c>
      <c r="B338" s="31" t="s">
        <v>1971</v>
      </c>
      <c r="K338" s="31">
        <v>1</v>
      </c>
      <c r="O338" s="42">
        <f>C338*Prislapp!$C$2+D338*Prislapp!$D$2+E338*Prislapp!$E$2+F338*Prislapp!$F$2+G338*Prislapp!$G$2+H338*Prislapp!$H$2+I338*Prislapp!$I$2+J338*Prislapp!$J$2+K338*Prislapp!$K$2+L338*Prislapp!$L$2+M338*Prislapp!$M$2+N338*Prislapp!$N$2</f>
        <v>21634</v>
      </c>
      <c r="P338" s="42">
        <f>C338*Prislapp!$C$3+D338*Prislapp!$D$3+E338*Prislapp!$E$3+F338*Prislapp!$F$3+G338*Prislapp!$G$3+H338*Prislapp!$H$3+I338*Prislapp!$I$3+J338*Prislapp!$J$3+K338*Prislapp!$K$3+M338*Prislapp!$M$3+N338*Prislapp!$N$3</f>
        <v>26986</v>
      </c>
      <c r="Q338" s="42">
        <f>C338*Prislapp!$C$5+D338*Prislapp!$D$5+E338*Prislapp!$E$5+F338*Prislapp!$F$5+G338*Prislapp!$G$5+H338*Prislapp!$H$5+I338*Prislapp!$I$5+J338*Prislapp!$J$5+K338*Prislapp!$K$5+L338*Prislapp!$L$5+M338*Prislapp!$M$5+N338*Prislapp!$N$5</f>
        <v>3400</v>
      </c>
      <c r="R338" s="9">
        <f>VLOOKUP(A338,'Ansvar kurs'!$A$2:$B$847,2,FALSE)</f>
        <v>5730</v>
      </c>
      <c r="T338" s="159"/>
      <c r="U338" s="159"/>
      <c r="V338" s="159"/>
      <c r="W338" s="159"/>
      <c r="X338" s="159"/>
      <c r="Y338" s="159"/>
      <c r="Z338" s="159"/>
    </row>
    <row r="339" spans="1:26" x14ac:dyDescent="0.25">
      <c r="A339" s="245" t="s">
        <v>1991</v>
      </c>
      <c r="B339" s="62" t="s">
        <v>2014</v>
      </c>
      <c r="H339" s="31">
        <v>0.5</v>
      </c>
      <c r="J339" s="31">
        <v>0.5</v>
      </c>
      <c r="O339" s="42">
        <f>C339*Prislapp!$C$2+D339*Prislapp!$D$2+E339*Prislapp!$E$2+F339*Prislapp!$F$2+G339*Prislapp!$G$2+H339*Prislapp!$H$2+I339*Prislapp!$I$2+J339*Prislapp!$J$2+K339*Prislapp!$K$2+L339*Prislapp!$L$2+M339*Prislapp!$M$2+N339*Prislapp!$N$2</f>
        <v>19473</v>
      </c>
      <c r="P339" s="42">
        <f>C339*Prislapp!$C$3+D339*Prislapp!$D$3+E339*Prislapp!$E$3+F339*Prislapp!$F$3+G339*Prislapp!$G$3+H339*Prislapp!$H$3+I339*Prislapp!$I$3+J339*Prislapp!$J$3+K339*Prislapp!$K$3+M339*Prislapp!$M$3+N339*Prislapp!$N$3</f>
        <v>34806</v>
      </c>
      <c r="Q339" s="42">
        <f>C339*Prislapp!$C$5+D339*Prislapp!$D$5+E339*Prislapp!$E$5+F339*Prislapp!$F$5+G339*Prislapp!$G$5+H339*Prislapp!$H$5+I339*Prislapp!$I$5+J339*Prislapp!$J$5+K339*Prislapp!$K$5+L339*Prislapp!$L$5+M339*Prislapp!$M$5+N339*Prislapp!$N$5</f>
        <v>21800</v>
      </c>
      <c r="R339" s="9">
        <f>VLOOKUP(A339,'Ansvar kurs'!$A$2:$B$847,2,FALSE)</f>
        <v>5730</v>
      </c>
      <c r="T339" s="159"/>
      <c r="U339" s="159"/>
      <c r="V339" s="159"/>
      <c r="W339" s="159"/>
      <c r="X339" s="159"/>
      <c r="Y339" s="159"/>
      <c r="Z339" s="159"/>
    </row>
    <row r="340" spans="1:26" x14ac:dyDescent="0.25">
      <c r="A340" s="245" t="s">
        <v>1035</v>
      </c>
      <c r="B340" s="62" t="s">
        <v>1063</v>
      </c>
      <c r="H340" s="436">
        <v>1</v>
      </c>
      <c r="L340" s="31">
        <v>0</v>
      </c>
      <c r="O340" s="42">
        <f>C340*Prislapp!$C$2+D340*Prislapp!$D$2+E340*Prislapp!$E$2+F340*Prislapp!$F$2+G340*Prislapp!$G$2+H340*Prislapp!$H$2+I340*Prislapp!$I$2+J340*Prislapp!$J$2+K340*Prislapp!$K$2+L340*Prislapp!$L$2+M340*Prislapp!$M$2+N340*Prislapp!$N$2</f>
        <v>19473</v>
      </c>
      <c r="P340" s="42">
        <f>C340*Prislapp!$C$3+D340*Prislapp!$D$3+E340*Prislapp!$E$3+F340*Prislapp!$F$3+G340*Prislapp!$G$3+H340*Prislapp!$H$3+I340*Prislapp!$I$3+J340*Prislapp!$J$3+K340*Prislapp!$K$3+M340*Prislapp!$M$3+N340*Prislapp!$N$3</f>
        <v>34806</v>
      </c>
      <c r="Q340" s="42">
        <f>C340*Prislapp!$C$5+D340*Prislapp!$D$5+E340*Prislapp!$E$5+F340*Prislapp!$F$5+G340*Prislapp!$G$5+H340*Prislapp!$H$5+I340*Prislapp!$I$5+J340*Prislapp!$J$5+K340*Prislapp!$K$5+L340*Prislapp!$L$5+M340*Prislapp!$M$5+N340*Prislapp!$N$5</f>
        <v>21800</v>
      </c>
      <c r="R340" s="9">
        <f>VLOOKUP(A340,'Ansvar kurs'!$A$2:$B$847,2,FALSE)</f>
        <v>5730</v>
      </c>
      <c r="S340" s="428" t="s">
        <v>2186</v>
      </c>
      <c r="T340" s="159"/>
      <c r="U340" s="159"/>
      <c r="V340" s="159"/>
      <c r="W340" s="159"/>
      <c r="X340" s="159"/>
      <c r="Y340" s="159"/>
      <c r="Z340" s="159"/>
    </row>
    <row r="341" spans="1:26" x14ac:dyDescent="0.25">
      <c r="A341" s="245" t="s">
        <v>1262</v>
      </c>
      <c r="B341" s="62" t="s">
        <v>1272</v>
      </c>
      <c r="H341" s="436">
        <v>1</v>
      </c>
      <c r="O341" s="42">
        <f>C341*Prislapp!$C$2+D341*Prislapp!$D$2+E341*Prislapp!$E$2+F341*Prislapp!$F$2+G341*Prislapp!$G$2+H341*Prislapp!$H$2+I341*Prislapp!$I$2+J341*Prislapp!$J$2+K341*Prislapp!$K$2+L341*Prislapp!$L$2+M341*Prislapp!$M$2+N341*Prislapp!$N$2</f>
        <v>19473</v>
      </c>
      <c r="P341" s="42">
        <f>C341*Prislapp!$C$3+D341*Prislapp!$D$3+E341*Prislapp!$E$3+F341*Prislapp!$F$3+G341*Prislapp!$G$3+H341*Prislapp!$H$3+I341*Prislapp!$I$3+J341*Prislapp!$J$3+K341*Prislapp!$K$3+M341*Prislapp!$M$3+N341*Prislapp!$N$3</f>
        <v>34806</v>
      </c>
      <c r="Q341" s="42">
        <f>C341*Prislapp!$C$5+D341*Prislapp!$D$5+E341*Prislapp!$E$5+F341*Prislapp!$F$5+G341*Prislapp!$G$5+H341*Prislapp!$H$5+I341*Prislapp!$I$5+J341*Prislapp!$J$5+K341*Prislapp!$K$5+L341*Prislapp!$L$5+M341*Prislapp!$M$5+N341*Prislapp!$N$5</f>
        <v>21800</v>
      </c>
      <c r="R341" s="9">
        <f>VLOOKUP(A341,'Ansvar kurs'!$A$2:$B$847,2,FALSE)</f>
        <v>5730</v>
      </c>
      <c r="S341" s="428" t="s">
        <v>2186</v>
      </c>
      <c r="T341" s="159"/>
      <c r="U341" s="159"/>
      <c r="V341" s="159"/>
      <c r="W341" s="159"/>
      <c r="X341" s="159"/>
      <c r="Y341" s="159"/>
      <c r="Z341" s="159"/>
    </row>
    <row r="342" spans="1:26" x14ac:dyDescent="0.25">
      <c r="A342" s="31" t="s">
        <v>344</v>
      </c>
      <c r="B342" s="31" t="s">
        <v>696</v>
      </c>
      <c r="F342" s="31">
        <v>0</v>
      </c>
      <c r="H342" s="31">
        <v>1</v>
      </c>
      <c r="O342" s="42">
        <f>C342*Prislapp!$C$2+D342*Prislapp!$D$2+E342*Prislapp!$E$2+F342*Prislapp!$F$2+G342*Prislapp!$G$2+H342*Prislapp!$H$2+I342*Prislapp!$I$2+J342*Prislapp!$J$2+K342*Prislapp!$K$2+L342*Prislapp!$L$2+M342*Prislapp!$M$2+N342*Prislapp!$N$2</f>
        <v>19473</v>
      </c>
      <c r="P342" s="42">
        <f>C342*Prislapp!$C$3+D342*Prislapp!$D$3+E342*Prislapp!$E$3+F342*Prislapp!$F$3+G342*Prislapp!$G$3+H342*Prislapp!$H$3+I342*Prislapp!$I$3+J342*Prislapp!$J$3+K342*Prislapp!$K$3+M342*Prislapp!$M$3+N342*Prislapp!$N$3</f>
        <v>34806</v>
      </c>
      <c r="Q342" s="42">
        <f>C342*Prislapp!$C$5+D342*Prislapp!$D$5+E342*Prislapp!$E$5+F342*Prislapp!$F$5+G342*Prislapp!$G$5+H342*Prislapp!$H$5+I342*Prislapp!$I$5+J342*Prislapp!$J$5+K342*Prislapp!$K$5+L342*Prislapp!$L$5+M342*Prislapp!$M$5+N342*Prislapp!$N$5</f>
        <v>21800</v>
      </c>
      <c r="R342" s="9">
        <f>VLOOKUP(A342,'Ansvar kurs'!$A$2:$B$847,2,FALSE)</f>
        <v>5740</v>
      </c>
      <c r="S342" s="159" t="s">
        <v>1304</v>
      </c>
      <c r="T342" s="159"/>
      <c r="U342" s="159"/>
      <c r="V342" s="159"/>
      <c r="W342" s="159"/>
      <c r="X342" s="159"/>
      <c r="Y342" s="159"/>
      <c r="Z342" s="159"/>
    </row>
    <row r="343" spans="1:26" x14ac:dyDescent="0.25">
      <c r="A343" s="31" t="s">
        <v>345</v>
      </c>
      <c r="B343" s="31" t="s">
        <v>697</v>
      </c>
      <c r="F343" s="31">
        <v>0</v>
      </c>
      <c r="H343" s="31">
        <v>1</v>
      </c>
      <c r="O343" s="42">
        <f>C343*Prislapp!$C$2+D343*Prislapp!$D$2+E343*Prislapp!$E$2+F343*Prislapp!$F$2+G343*Prislapp!$G$2+H343*Prislapp!$H$2+I343*Prislapp!$I$2+J343*Prislapp!$J$2+K343*Prislapp!$K$2+L343*Prislapp!$L$2+M343*Prislapp!$M$2+N343*Prislapp!$N$2</f>
        <v>19473</v>
      </c>
      <c r="P343" s="42">
        <f>C343*Prislapp!$C$3+D343*Prislapp!$D$3+E343*Prislapp!$E$3+F343*Prislapp!$F$3+G343*Prislapp!$G$3+H343*Prislapp!$H$3+I343*Prislapp!$I$3+J343*Prislapp!$J$3+K343*Prislapp!$K$3+M343*Prislapp!$M$3+N343*Prislapp!$N$3</f>
        <v>34806</v>
      </c>
      <c r="Q343" s="42">
        <f>C343*Prislapp!$C$5+D343*Prislapp!$D$5+E343*Prislapp!$E$5+F343*Prislapp!$F$5+G343*Prislapp!$G$5+H343*Prislapp!$H$5+I343*Prislapp!$I$5+J343*Prislapp!$J$5+K343*Prislapp!$K$5+L343*Prislapp!$L$5+M343*Prislapp!$M$5+N343*Prislapp!$N$5</f>
        <v>21800</v>
      </c>
      <c r="R343" s="9">
        <f>VLOOKUP(A343,'Ansvar kurs'!$A$2:$B$847,2,FALSE)</f>
        <v>5740</v>
      </c>
      <c r="S343" s="159" t="s">
        <v>1304</v>
      </c>
      <c r="T343" s="159"/>
      <c r="U343" s="159"/>
      <c r="V343" s="159"/>
      <c r="W343" s="159"/>
      <c r="X343" s="159"/>
      <c r="Y343" s="159"/>
      <c r="Z343" s="159"/>
    </row>
    <row r="344" spans="1:26" x14ac:dyDescent="0.25">
      <c r="A344" s="31" t="s">
        <v>346</v>
      </c>
      <c r="B344" s="31" t="s">
        <v>698</v>
      </c>
      <c r="F344" s="31">
        <v>0</v>
      </c>
      <c r="H344" s="31">
        <v>1</v>
      </c>
      <c r="O344" s="42">
        <f>C344*Prislapp!$C$2+D344*Prislapp!$D$2+E344*Prislapp!$E$2+F344*Prislapp!$F$2+G344*Prislapp!$G$2+H344*Prislapp!$H$2+I344*Prislapp!$I$2+J344*Prislapp!$J$2+K344*Prislapp!$K$2+L344*Prislapp!$L$2+M344*Prislapp!$M$2+N344*Prislapp!$N$2</f>
        <v>19473</v>
      </c>
      <c r="P344" s="42">
        <f>C344*Prislapp!$C$3+D344*Prislapp!$D$3+E344*Prislapp!$E$3+F344*Prislapp!$F$3+G344*Prislapp!$G$3+H344*Prislapp!$H$3+I344*Prislapp!$I$3+J344*Prislapp!$J$3+K344*Prislapp!$K$3+M344*Prislapp!$M$3+N344*Prislapp!$N$3</f>
        <v>34806</v>
      </c>
      <c r="Q344" s="42">
        <f>C344*Prislapp!$C$5+D344*Prislapp!$D$5+E344*Prislapp!$E$5+F344*Prislapp!$F$5+G344*Prislapp!$G$5+H344*Prislapp!$H$5+I344*Prislapp!$I$5+J344*Prislapp!$J$5+K344*Prislapp!$K$5+L344*Prislapp!$L$5+M344*Prislapp!$M$5+N344*Prislapp!$N$5</f>
        <v>21800</v>
      </c>
      <c r="R344" s="9">
        <f>VLOOKUP(A344,'Ansvar kurs'!$A$2:$B$847,2,FALSE)</f>
        <v>5740</v>
      </c>
      <c r="S344" s="159" t="s">
        <v>1304</v>
      </c>
      <c r="T344" s="159"/>
      <c r="U344" s="159"/>
      <c r="V344" s="159"/>
      <c r="W344" s="159"/>
      <c r="X344" s="159"/>
      <c r="Y344" s="159"/>
      <c r="Z344" s="159"/>
    </row>
    <row r="345" spans="1:26" x14ac:dyDescent="0.25">
      <c r="A345" s="31" t="s">
        <v>652</v>
      </c>
      <c r="B345" s="31" t="s">
        <v>699</v>
      </c>
      <c r="H345" s="31">
        <v>1</v>
      </c>
      <c r="O345" s="42">
        <f>C345*Prislapp!$C$2+D345*Prislapp!$D$2+E345*Prislapp!$E$2+F345*Prislapp!$F$2+G345*Prislapp!$G$2+H345*Prislapp!$H$2+I345*Prislapp!$I$2+J345*Prislapp!$J$2+K345*Prislapp!$K$2+L345*Prislapp!$L$2+M345*Prislapp!$M$2+N345*Prislapp!$N$2</f>
        <v>19473</v>
      </c>
      <c r="P345" s="42">
        <f>C345*Prislapp!$C$3+D345*Prislapp!$D$3+E345*Prislapp!$E$3+F345*Prislapp!$F$3+G345*Prislapp!$G$3+H345*Prislapp!$H$3+I345*Prislapp!$I$3+J345*Prislapp!$J$3+K345*Prislapp!$K$3+M345*Prislapp!$M$3+N345*Prislapp!$N$3</f>
        <v>34806</v>
      </c>
      <c r="Q345" s="42">
        <f>C345*Prislapp!$C$5+D345*Prislapp!$D$5+E345*Prislapp!$E$5+F345*Prislapp!$F$5+G345*Prislapp!$G$5+H345*Prislapp!$H$5+I345*Prislapp!$I$5+J345*Prislapp!$J$5+K345*Prislapp!$K$5+L345*Prislapp!$L$5+M345*Prislapp!$M$5+N345*Prislapp!$N$5</f>
        <v>21800</v>
      </c>
      <c r="R345" s="9">
        <f>VLOOKUP(A345,'Ansvar kurs'!$A$2:$B$847,2,FALSE)</f>
        <v>5740</v>
      </c>
      <c r="S345" s="159"/>
      <c r="T345" s="159"/>
      <c r="U345" s="159"/>
      <c r="V345" s="159"/>
      <c r="W345" s="159"/>
      <c r="X345" s="159"/>
      <c r="Y345" s="159"/>
      <c r="Z345" s="159"/>
    </row>
    <row r="346" spans="1:26" x14ac:dyDescent="0.25">
      <c r="A346" s="31" t="s">
        <v>499</v>
      </c>
      <c r="B346" s="31" t="s">
        <v>700</v>
      </c>
      <c r="H346" s="31">
        <v>1</v>
      </c>
      <c r="O346" s="42">
        <f>C346*Prislapp!$C$2+D346*Prislapp!$D$2+E346*Prislapp!$E$2+F346*Prislapp!$F$2+G346*Prislapp!$G$2+H346*Prislapp!$H$2+I346*Prislapp!$I$2+J346*Prislapp!$J$2+K346*Prislapp!$K$2+L346*Prislapp!$L$2+M346*Prislapp!$M$2+N346*Prislapp!$N$2</f>
        <v>19473</v>
      </c>
      <c r="P346" s="42">
        <f>C346*Prislapp!$C$3+D346*Prislapp!$D$3+E346*Prislapp!$E$3+F346*Prislapp!$F$3+G346*Prislapp!$G$3+H346*Prislapp!$H$3+I346*Prislapp!$I$3+J346*Prislapp!$J$3+K346*Prislapp!$K$3+M346*Prislapp!$M$3+N346*Prislapp!$N$3</f>
        <v>34806</v>
      </c>
      <c r="Q346" s="42">
        <f>C346*Prislapp!$C$5+D346*Prislapp!$D$5+E346*Prislapp!$E$5+F346*Prislapp!$F$5+G346*Prislapp!$G$5+H346*Prislapp!$H$5+I346*Prislapp!$I$5+J346*Prislapp!$J$5+K346*Prislapp!$K$5+L346*Prislapp!$L$5+M346*Prislapp!$M$5+N346*Prislapp!$N$5</f>
        <v>21800</v>
      </c>
      <c r="R346" s="9">
        <f>VLOOKUP(A346,'Ansvar kurs'!$A$2:$B$847,2,FALSE)</f>
        <v>5740</v>
      </c>
      <c r="S346" s="159"/>
      <c r="T346" s="159"/>
      <c r="U346" s="159"/>
      <c r="V346" s="159"/>
      <c r="W346" s="159"/>
      <c r="X346" s="159"/>
      <c r="Y346" s="159"/>
      <c r="Z346" s="159"/>
    </row>
    <row r="347" spans="1:26" x14ac:dyDescent="0.25">
      <c r="A347" s="31" t="s">
        <v>500</v>
      </c>
      <c r="B347" s="31" t="s">
        <v>552</v>
      </c>
      <c r="H347" s="31">
        <v>1</v>
      </c>
      <c r="O347" s="42">
        <f>C347*Prislapp!$C$2+D347*Prislapp!$D$2+E347*Prislapp!$E$2+F347*Prislapp!$F$2+G347*Prislapp!$G$2+H347*Prislapp!$H$2+I347*Prislapp!$I$2+J347*Prislapp!$J$2+K347*Prislapp!$K$2+L347*Prislapp!$L$2+M347*Prislapp!$M$2+N347*Prislapp!$N$2</f>
        <v>19473</v>
      </c>
      <c r="P347" s="42">
        <f>C347*Prislapp!$C$3+D347*Prislapp!$D$3+E347*Prislapp!$E$3+F347*Prislapp!$F$3+G347*Prislapp!$G$3+H347*Prislapp!$H$3+I347*Prislapp!$I$3+J347*Prislapp!$J$3+K347*Prislapp!$K$3+M347*Prislapp!$M$3+N347*Prislapp!$N$3</f>
        <v>34806</v>
      </c>
      <c r="Q347" s="42">
        <f>C347*Prislapp!$C$5+D347*Prislapp!$D$5+E347*Prislapp!$E$5+F347*Prislapp!$F$5+G347*Prislapp!$G$5+H347*Prislapp!$H$5+I347*Prislapp!$I$5+J347*Prislapp!$J$5+K347*Prislapp!$K$5+L347*Prislapp!$L$5+M347*Prislapp!$M$5+N347*Prislapp!$N$5</f>
        <v>21800</v>
      </c>
      <c r="R347" s="9">
        <f>VLOOKUP(A347,'Ansvar kurs'!$A$2:$B$847,2,FALSE)</f>
        <v>5740</v>
      </c>
      <c r="S347" s="159"/>
      <c r="T347" s="159"/>
      <c r="U347" s="159"/>
      <c r="V347" s="159"/>
      <c r="W347" s="159"/>
      <c r="X347" s="159"/>
      <c r="Y347" s="159"/>
      <c r="Z347" s="159"/>
    </row>
    <row r="348" spans="1:26" x14ac:dyDescent="0.25">
      <c r="A348" s="31" t="s">
        <v>653</v>
      </c>
      <c r="B348" s="31" t="s">
        <v>701</v>
      </c>
      <c r="H348" s="31">
        <v>1</v>
      </c>
      <c r="O348" s="42">
        <f>C348*Prislapp!$C$2+D348*Prislapp!$D$2+E348*Prislapp!$E$2+F348*Prislapp!$F$2+G348*Prislapp!$G$2+H348*Prislapp!$H$2+I348*Prislapp!$I$2+J348*Prislapp!$J$2+K348*Prislapp!$K$2+L348*Prislapp!$L$2+M348*Prislapp!$M$2+N348*Prislapp!$N$2</f>
        <v>19473</v>
      </c>
      <c r="P348" s="42">
        <f>C348*Prislapp!$C$3+D348*Prislapp!$D$3+E348*Prislapp!$E$3+F348*Prislapp!$F$3+G348*Prislapp!$G$3+H348*Prislapp!$H$3+I348*Prislapp!$I$3+J348*Prislapp!$J$3+K348*Prislapp!$K$3+M348*Prislapp!$M$3+N348*Prislapp!$N$3</f>
        <v>34806</v>
      </c>
      <c r="Q348" s="42">
        <f>C348*Prislapp!$C$5+D348*Prislapp!$D$5+E348*Prislapp!$E$5+F348*Prislapp!$F$5+G348*Prislapp!$G$5+H348*Prislapp!$H$5+I348*Prislapp!$I$5+J348*Prislapp!$J$5+K348*Prislapp!$K$5+L348*Prislapp!$L$5+M348*Prislapp!$M$5+N348*Prislapp!$N$5</f>
        <v>21800</v>
      </c>
      <c r="R348" s="9">
        <f>VLOOKUP(A348,'Ansvar kurs'!$A$2:$B$847,2,FALSE)</f>
        <v>5740</v>
      </c>
      <c r="S348" s="159"/>
      <c r="T348" s="159"/>
      <c r="U348" s="159"/>
      <c r="V348" s="159"/>
      <c r="W348" s="159"/>
      <c r="X348" s="159"/>
      <c r="Y348" s="159"/>
      <c r="Z348" s="159"/>
    </row>
    <row r="349" spans="1:26" x14ac:dyDescent="0.25">
      <c r="A349" s="31" t="s">
        <v>654</v>
      </c>
      <c r="B349" s="31" t="s">
        <v>702</v>
      </c>
      <c r="H349" s="31">
        <v>1</v>
      </c>
      <c r="O349" s="42">
        <f>C349*Prislapp!$C$2+D349*Prislapp!$D$2+E349*Prislapp!$E$2+F349*Prislapp!$F$2+G349*Prislapp!$G$2+H349*Prislapp!$H$2+I349*Prislapp!$I$2+J349*Prislapp!$J$2+K349*Prislapp!$K$2+L349*Prislapp!$L$2+M349*Prislapp!$M$2+N349*Prislapp!$N$2</f>
        <v>19473</v>
      </c>
      <c r="P349" s="42">
        <f>C349*Prislapp!$C$3+D349*Prislapp!$D$3+E349*Prislapp!$E$3+F349*Prislapp!$F$3+G349*Prislapp!$G$3+H349*Prislapp!$H$3+I349*Prislapp!$I$3+J349*Prislapp!$J$3+K349*Prislapp!$K$3+M349*Prislapp!$M$3+N349*Prislapp!$N$3</f>
        <v>34806</v>
      </c>
      <c r="Q349" s="42">
        <f>C349*Prislapp!$C$5+D349*Prislapp!$D$5+E349*Prislapp!$E$5+F349*Prislapp!$F$5+G349*Prislapp!$G$5+H349*Prislapp!$H$5+I349*Prislapp!$I$5+J349*Prislapp!$J$5+K349*Prislapp!$K$5+L349*Prislapp!$L$5+M349*Prislapp!$M$5+N349*Prislapp!$N$5</f>
        <v>21800</v>
      </c>
      <c r="R349" s="9">
        <f>VLOOKUP(A349,'Ansvar kurs'!$A$2:$B$847,2,FALSE)</f>
        <v>5740</v>
      </c>
      <c r="S349" s="159"/>
      <c r="T349" s="159"/>
      <c r="U349" s="159"/>
      <c r="V349" s="159"/>
      <c r="W349" s="159"/>
      <c r="X349" s="159"/>
      <c r="Y349" s="159"/>
      <c r="Z349" s="159"/>
    </row>
    <row r="350" spans="1:26" x14ac:dyDescent="0.25">
      <c r="A350" s="31" t="s">
        <v>576</v>
      </c>
      <c r="B350" s="31" t="s">
        <v>703</v>
      </c>
      <c r="H350" s="31">
        <v>1</v>
      </c>
      <c r="O350" s="42">
        <f>C350*Prislapp!$C$2+D350*Prislapp!$D$2+E350*Prislapp!$E$2+F350*Prislapp!$F$2+G350*Prislapp!$G$2+H350*Prislapp!$H$2+I350*Prislapp!$I$2+J350*Prislapp!$J$2+K350*Prislapp!$K$2+L350*Prislapp!$L$2+M350*Prislapp!$M$2+N350*Prislapp!$N$2</f>
        <v>19473</v>
      </c>
      <c r="P350" s="42">
        <f>C350*Prislapp!$C$3+D350*Prislapp!$D$3+E350*Prislapp!$E$3+F350*Prislapp!$F$3+G350*Prislapp!$G$3+H350*Prislapp!$H$3+I350*Prislapp!$I$3+J350*Prislapp!$J$3+K350*Prislapp!$K$3+M350*Prislapp!$M$3+N350*Prislapp!$N$3</f>
        <v>34806</v>
      </c>
      <c r="Q350" s="42">
        <f>C350*Prislapp!$C$5+D350*Prislapp!$D$5+E350*Prislapp!$E$5+F350*Prislapp!$F$5+G350*Prislapp!$G$5+H350*Prislapp!$H$5+I350*Prislapp!$I$5+J350*Prislapp!$J$5+K350*Prislapp!$K$5+L350*Prislapp!$L$5+M350*Prislapp!$M$5+N350*Prislapp!$N$5</f>
        <v>21800</v>
      </c>
      <c r="R350" s="9">
        <f>VLOOKUP(A350,'Ansvar kurs'!$A$2:$B$847,2,FALSE)</f>
        <v>5740</v>
      </c>
      <c r="S350" s="159"/>
      <c r="T350" s="159"/>
      <c r="U350" s="159"/>
      <c r="V350" s="159"/>
      <c r="W350" s="159"/>
      <c r="X350" s="159"/>
      <c r="Y350" s="159"/>
      <c r="Z350" s="159"/>
    </row>
    <row r="351" spans="1:26" x14ac:dyDescent="0.25">
      <c r="A351" s="31" t="s">
        <v>578</v>
      </c>
      <c r="B351" s="31" t="s">
        <v>704</v>
      </c>
      <c r="H351" s="31">
        <v>1</v>
      </c>
      <c r="O351" s="42">
        <f>C351*Prislapp!$C$2+D351*Prislapp!$D$2+E351*Prislapp!$E$2+F351*Prislapp!$F$2+G351*Prislapp!$G$2+H351*Prislapp!$H$2+I351*Prislapp!$I$2+J351*Prislapp!$J$2+K351*Prislapp!$K$2+L351*Prislapp!$L$2+M351*Prislapp!$M$2+N351*Prislapp!$N$2</f>
        <v>19473</v>
      </c>
      <c r="P351" s="42">
        <f>C351*Prislapp!$C$3+D351*Prislapp!$D$3+E351*Prislapp!$E$3+F351*Prislapp!$F$3+G351*Prislapp!$G$3+H351*Prislapp!$H$3+I351*Prislapp!$I$3+J351*Prislapp!$J$3+K351*Prislapp!$K$3+M351*Prislapp!$M$3+N351*Prislapp!$N$3</f>
        <v>34806</v>
      </c>
      <c r="Q351" s="42">
        <f>C351*Prislapp!$C$5+D351*Prislapp!$D$5+E351*Prislapp!$E$5+F351*Prislapp!$F$5+G351*Prislapp!$G$5+H351*Prislapp!$H$5+I351*Prislapp!$I$5+J351*Prislapp!$J$5+K351*Prislapp!$K$5+L351*Prislapp!$L$5+M351*Prislapp!$M$5+N351*Prislapp!$N$5</f>
        <v>21800</v>
      </c>
      <c r="R351" s="9">
        <f>VLOOKUP(A351,'Ansvar kurs'!$A$2:$B$847,2,FALSE)</f>
        <v>5740</v>
      </c>
      <c r="S351" s="159"/>
      <c r="T351" s="159"/>
      <c r="U351" s="159"/>
      <c r="V351" s="159"/>
      <c r="W351" s="159"/>
      <c r="X351" s="159"/>
      <c r="Y351" s="159"/>
      <c r="Z351" s="159"/>
    </row>
    <row r="352" spans="1:26" x14ac:dyDescent="0.25">
      <c r="A352" s="244" t="s">
        <v>591</v>
      </c>
      <c r="B352" s="31" t="s">
        <v>1180</v>
      </c>
      <c r="H352" s="31">
        <v>1</v>
      </c>
      <c r="O352" s="42">
        <f>C352*Prislapp!$C$2+D352*Prislapp!$D$2+E352*Prislapp!$E$2+F352*Prislapp!$F$2+G352*Prislapp!$G$2+H352*Prislapp!$H$2+I352*Prislapp!$I$2+J352*Prislapp!$J$2+K352*Prislapp!$K$2+L352*Prislapp!$L$2+M352*Prislapp!$M$2+N352*Prislapp!$N$2</f>
        <v>19473</v>
      </c>
      <c r="P352" s="42">
        <f>C352*Prislapp!$C$3+D352*Prislapp!$D$3+E352*Prislapp!$E$3+F352*Prislapp!$F$3+G352*Prislapp!$G$3+H352*Prislapp!$H$3+I352*Prislapp!$I$3+J352*Prislapp!$J$3+K352*Prislapp!$K$3+M352*Prislapp!$M$3+N352*Prislapp!$N$3</f>
        <v>34806</v>
      </c>
      <c r="Q352" s="42">
        <f>C352*Prislapp!$C$5+D352*Prislapp!$D$5+E352*Prislapp!$E$5+F352*Prislapp!$F$5+G352*Prislapp!$G$5+H352*Prislapp!$H$5+I352*Prislapp!$I$5+J352*Prislapp!$J$5+K352*Prislapp!$K$5+L352*Prislapp!$L$5+M352*Prislapp!$M$5+N352*Prislapp!$N$5</f>
        <v>21800</v>
      </c>
      <c r="R352" s="9">
        <f>VLOOKUP(A352,'Ansvar kurs'!$A$2:$B$847,2,FALSE)</f>
        <v>5740</v>
      </c>
      <c r="S352" s="159"/>
      <c r="T352" s="159"/>
      <c r="U352" s="159"/>
      <c r="V352" s="159"/>
      <c r="W352" s="159"/>
      <c r="X352" s="159"/>
      <c r="Y352" s="159"/>
      <c r="Z352" s="159"/>
    </row>
    <row r="353" spans="1:26" x14ac:dyDescent="0.25">
      <c r="A353" s="31" t="s">
        <v>577</v>
      </c>
      <c r="B353" s="31" t="s">
        <v>549</v>
      </c>
      <c r="H353" s="31">
        <v>1</v>
      </c>
      <c r="O353" s="42">
        <f>C353*Prislapp!$C$2+D353*Prislapp!$D$2+E353*Prislapp!$E$2+F353*Prislapp!$F$2+G353*Prislapp!$G$2+H353*Prislapp!$H$2+I353*Prislapp!$I$2+J353*Prislapp!$J$2+K353*Prislapp!$K$2+L353*Prislapp!$L$2+M353*Prislapp!$M$2+N353*Prislapp!$N$2</f>
        <v>19473</v>
      </c>
      <c r="P353" s="42">
        <f>C353*Prislapp!$C$3+D353*Prislapp!$D$3+E353*Prislapp!$E$3+F353*Prislapp!$F$3+G353*Prislapp!$G$3+H353*Prislapp!$H$3+I353*Prislapp!$I$3+J353*Prislapp!$J$3+K353*Prislapp!$K$3+M353*Prislapp!$M$3+N353*Prislapp!$N$3</f>
        <v>34806</v>
      </c>
      <c r="Q353" s="42">
        <f>C353*Prislapp!$C$5+D353*Prislapp!$D$5+E353*Prislapp!$E$5+F353*Prislapp!$F$5+G353*Prislapp!$G$5+H353*Prislapp!$H$5+I353*Prislapp!$I$5+J353*Prislapp!$J$5+K353*Prislapp!$K$5+L353*Prislapp!$L$5+M353*Prislapp!$M$5+N353*Prislapp!$N$5</f>
        <v>21800</v>
      </c>
      <c r="R353" s="9">
        <f>VLOOKUP(A353,'Ansvar kurs'!$A$2:$B$847,2,FALSE)</f>
        <v>5740</v>
      </c>
      <c r="S353" s="159"/>
      <c r="T353" s="159"/>
      <c r="U353" s="159"/>
      <c r="V353" s="159"/>
      <c r="W353" s="159"/>
      <c r="X353" s="159"/>
      <c r="Y353" s="159"/>
      <c r="Z353" s="159"/>
    </row>
    <row r="354" spans="1:26" x14ac:dyDescent="0.25">
      <c r="A354" s="244" t="s">
        <v>579</v>
      </c>
      <c r="B354" s="31" t="s">
        <v>550</v>
      </c>
      <c r="H354" s="31">
        <v>1</v>
      </c>
      <c r="O354" s="42">
        <f>C354*Prislapp!$C$2+D354*Prislapp!$D$2+E354*Prislapp!$E$2+F354*Prislapp!$F$2+G354*Prislapp!$G$2+H354*Prislapp!$H$2+I354*Prislapp!$I$2+J354*Prislapp!$J$2+K354*Prislapp!$K$2+L354*Prislapp!$L$2+M354*Prislapp!$M$2+N354*Prislapp!$N$2</f>
        <v>19473</v>
      </c>
      <c r="P354" s="42">
        <f>C354*Prislapp!$C$3+D354*Prislapp!$D$3+E354*Prislapp!$E$3+F354*Prislapp!$F$3+G354*Prislapp!$G$3+H354*Prislapp!$H$3+I354*Prislapp!$I$3+J354*Prislapp!$J$3+K354*Prislapp!$K$3+M354*Prislapp!$M$3+N354*Prislapp!$N$3</f>
        <v>34806</v>
      </c>
      <c r="Q354" s="42">
        <f>C354*Prislapp!$C$5+D354*Prislapp!$D$5+E354*Prislapp!$E$5+F354*Prislapp!$F$5+G354*Prislapp!$G$5+H354*Prislapp!$H$5+I354*Prislapp!$I$5+J354*Prislapp!$J$5+K354*Prislapp!$K$5+L354*Prislapp!$L$5+M354*Prislapp!$M$5+N354*Prislapp!$N$5</f>
        <v>21800</v>
      </c>
      <c r="R354" s="9">
        <f>VLOOKUP(A354,'Ansvar kurs'!$A$2:$B$847,2,FALSE)</f>
        <v>5740</v>
      </c>
      <c r="S354" s="159"/>
      <c r="T354" s="159"/>
      <c r="U354" s="159"/>
      <c r="V354" s="159"/>
      <c r="W354" s="159"/>
      <c r="X354" s="159"/>
      <c r="Y354" s="159"/>
      <c r="Z354" s="159"/>
    </row>
    <row r="355" spans="1:26" x14ac:dyDescent="0.25">
      <c r="A355" s="244" t="s">
        <v>592</v>
      </c>
      <c r="B355" s="31" t="s">
        <v>613</v>
      </c>
      <c r="H355" s="31">
        <v>1</v>
      </c>
      <c r="O355" s="42">
        <f>C355*Prislapp!$C$2+D355*Prislapp!$D$2+E355*Prislapp!$E$2+F355*Prislapp!$F$2+G355*Prislapp!$G$2+H355*Prislapp!$H$2+I355*Prislapp!$I$2+J355*Prislapp!$J$2+K355*Prislapp!$K$2+L355*Prislapp!$L$2+M355*Prislapp!$M$2+N355*Prislapp!$N$2</f>
        <v>19473</v>
      </c>
      <c r="P355" s="42">
        <f>C355*Prislapp!$C$3+D355*Prislapp!$D$3+E355*Prislapp!$E$3+F355*Prislapp!$F$3+G355*Prislapp!$G$3+H355*Prislapp!$H$3+I355*Prislapp!$I$3+J355*Prislapp!$J$3+K355*Prislapp!$K$3+M355*Prislapp!$M$3+N355*Prislapp!$N$3</f>
        <v>34806</v>
      </c>
      <c r="Q355" s="42">
        <f>C355*Prislapp!$C$5+D355*Prislapp!$D$5+E355*Prislapp!$E$5+F355*Prislapp!$F$5+G355*Prislapp!$G$5+H355*Prislapp!$H$5+I355*Prislapp!$I$5+J355*Prislapp!$J$5+K355*Prislapp!$K$5+L355*Prislapp!$L$5+M355*Prislapp!$M$5+N355*Prislapp!$N$5</f>
        <v>21800</v>
      </c>
      <c r="R355" s="9">
        <f>VLOOKUP(A355,'Ansvar kurs'!$A$2:$B$847,2,FALSE)</f>
        <v>5740</v>
      </c>
      <c r="S355" s="159"/>
      <c r="T355" s="159"/>
      <c r="U355" s="159"/>
      <c r="V355" s="159"/>
      <c r="W355" s="159"/>
      <c r="X355" s="159"/>
      <c r="Y355" s="159"/>
      <c r="Z355" s="159"/>
    </row>
    <row r="356" spans="1:26" x14ac:dyDescent="0.25">
      <c r="A356" s="244" t="s">
        <v>898</v>
      </c>
      <c r="B356" s="31" t="s">
        <v>906</v>
      </c>
      <c r="L356" s="31">
        <v>1</v>
      </c>
      <c r="O356" s="42">
        <f>C356*Prislapp!$C$2+D356*Prislapp!$D$2+E356*Prislapp!$E$2+F356*Prislapp!$F$2+G356*Prislapp!$G$2+H356*Prislapp!$H$2+I356*Prislapp!$I$2+J356*Prislapp!$J$2+K356*Prislapp!$K$2+L356*Prislapp!$L$2+M356*Prislapp!$M$2+N356*Prislapp!$N$2</f>
        <v>18505</v>
      </c>
      <c r="P356" s="42">
        <f>C356*Prislapp!$C$3+D356*Prislapp!$D$3+E356*Prislapp!$E$3+F356*Prislapp!$F$3+G356*Prislapp!$G$3+H356*Prislapp!$H$3+I356*Prislapp!$I$3+J356*Prislapp!$J$3+K356*Prislapp!$K$3+M356*Prislapp!$M$3+N356*Prislapp!$N$3</f>
        <v>0</v>
      </c>
      <c r="Q356" s="42">
        <f>C356*Prislapp!$C$5+D356*Prislapp!$D$5+E356*Prislapp!$E$5+F356*Prislapp!$F$5+G356*Prislapp!$G$5+H356*Prislapp!$H$5+I356*Prislapp!$I$5+J356*Prislapp!$J$5+K356*Prislapp!$K$5+L356*Prislapp!$L$5+M356*Prislapp!$M$5+N356*Prislapp!$N$5</f>
        <v>5700</v>
      </c>
      <c r="R356" s="9">
        <f>VLOOKUP(A356,'Ansvar kurs'!$A$2:$B$847,2,FALSE)</f>
        <v>5740</v>
      </c>
      <c r="S356" s="159"/>
      <c r="T356" s="159"/>
      <c r="U356" s="159"/>
      <c r="V356" s="159"/>
      <c r="W356" s="159"/>
      <c r="X356" s="159"/>
      <c r="Y356" s="159"/>
      <c r="Z356" s="159"/>
    </row>
    <row r="357" spans="1:26" x14ac:dyDescent="0.25">
      <c r="A357" s="244" t="s">
        <v>1109</v>
      </c>
      <c r="B357" s="31" t="s">
        <v>696</v>
      </c>
      <c r="H357" s="31">
        <v>1</v>
      </c>
      <c r="O357" s="42">
        <f>C357*Prislapp!$C$2+D357*Prislapp!$D$2+E357*Prislapp!$E$2+F357*Prislapp!$F$2+G357*Prislapp!$G$2+H357*Prislapp!$H$2+I357*Prislapp!$I$2+J357*Prislapp!$J$2+K357*Prislapp!$K$2+L357*Prislapp!$L$2+M357*Prislapp!$M$2+N357*Prislapp!$N$2</f>
        <v>19473</v>
      </c>
      <c r="P357" s="42">
        <f>C357*Prislapp!$C$3+D357*Prislapp!$D$3+E357*Prislapp!$E$3+F357*Prislapp!$F$3+G357*Prislapp!$G$3+H357*Prislapp!$H$3+I357*Prislapp!$I$3+J357*Prislapp!$J$3+K357*Prislapp!$K$3+M357*Prislapp!$M$3+N357*Prislapp!$N$3</f>
        <v>34806</v>
      </c>
      <c r="Q357" s="42">
        <f>C357*Prislapp!$C$5+D357*Prislapp!$D$5+E357*Prislapp!$E$5+F357*Prislapp!$F$5+G357*Prislapp!$G$5+H357*Prislapp!$H$5+I357*Prislapp!$I$5+J357*Prislapp!$J$5+K357*Prislapp!$K$5+L357*Prislapp!$L$5+M357*Prislapp!$M$5+N357*Prislapp!$N$5</f>
        <v>21800</v>
      </c>
      <c r="R357" s="9">
        <f>VLOOKUP(A357,'Ansvar kurs'!$A$2:$B$847,2,FALSE)</f>
        <v>5740</v>
      </c>
      <c r="S357" s="159" t="s">
        <v>1107</v>
      </c>
      <c r="T357" s="159"/>
      <c r="U357" s="159"/>
      <c r="V357" s="159"/>
      <c r="W357" s="159"/>
      <c r="X357" s="159"/>
      <c r="Y357" s="159"/>
      <c r="Z357" s="159"/>
    </row>
    <row r="358" spans="1:26" x14ac:dyDescent="0.25">
      <c r="A358" s="244" t="s">
        <v>1110</v>
      </c>
      <c r="B358" s="31" t="s">
        <v>697</v>
      </c>
      <c r="H358" s="31">
        <v>1</v>
      </c>
      <c r="O358" s="42">
        <f>C358*Prislapp!$C$2+D358*Prislapp!$D$2+E358*Prislapp!$E$2+F358*Prislapp!$F$2+G358*Prislapp!$G$2+H358*Prislapp!$H$2+I358*Prislapp!$I$2+J358*Prislapp!$J$2+K358*Prislapp!$K$2+L358*Prislapp!$L$2+M358*Prislapp!$M$2+N358*Prislapp!$N$2</f>
        <v>19473</v>
      </c>
      <c r="P358" s="42">
        <f>C358*Prislapp!$C$3+D358*Prislapp!$D$3+E358*Prislapp!$E$3+F358*Prislapp!$F$3+G358*Prislapp!$G$3+H358*Prislapp!$H$3+I358*Prislapp!$I$3+J358*Prislapp!$J$3+K358*Prislapp!$K$3+M358*Prislapp!$M$3+N358*Prislapp!$N$3</f>
        <v>34806</v>
      </c>
      <c r="Q358" s="42">
        <f>C358*Prislapp!$C$5+D358*Prislapp!$D$5+E358*Prislapp!$E$5+F358*Prislapp!$F$5+G358*Prislapp!$G$5+H358*Prislapp!$H$5+I358*Prislapp!$I$5+J358*Prislapp!$J$5+K358*Prislapp!$K$5+L358*Prislapp!$L$5+M358*Prislapp!$M$5+N358*Prislapp!$N$5</f>
        <v>21800</v>
      </c>
      <c r="R358" s="9">
        <f>VLOOKUP(A358,'Ansvar kurs'!$A$2:$B$847,2,FALSE)</f>
        <v>5740</v>
      </c>
      <c r="S358" s="159" t="s">
        <v>1107</v>
      </c>
      <c r="T358" s="159"/>
      <c r="U358" s="159"/>
      <c r="V358" s="159"/>
      <c r="W358" s="159"/>
      <c r="X358" s="159"/>
      <c r="Y358" s="159"/>
      <c r="Z358" s="159"/>
    </row>
    <row r="359" spans="1:26" x14ac:dyDescent="0.25">
      <c r="A359" s="244" t="s">
        <v>1111</v>
      </c>
      <c r="B359" s="31" t="s">
        <v>698</v>
      </c>
      <c r="H359" s="31">
        <v>1</v>
      </c>
      <c r="O359" s="42">
        <f>C359*Prislapp!$C$2+D359*Prislapp!$D$2+E359*Prislapp!$E$2+F359*Prislapp!$F$2+G359*Prislapp!$G$2+H359*Prislapp!$H$2+I359*Prislapp!$I$2+J359*Prislapp!$J$2+K359*Prislapp!$K$2+L359*Prislapp!$L$2+M359*Prislapp!$M$2+N359*Prislapp!$N$2</f>
        <v>19473</v>
      </c>
      <c r="P359" s="42">
        <f>C359*Prislapp!$C$3+D359*Prislapp!$D$3+E359*Prislapp!$E$3+F359*Prislapp!$F$3+G359*Prislapp!$G$3+H359*Prislapp!$H$3+I359*Prislapp!$I$3+J359*Prislapp!$J$3+K359*Prislapp!$K$3+M359*Prislapp!$M$3+N359*Prislapp!$N$3</f>
        <v>34806</v>
      </c>
      <c r="Q359" s="42">
        <f>C359*Prislapp!$C$5+D359*Prislapp!$D$5+E359*Prislapp!$E$5+F359*Prislapp!$F$5+G359*Prislapp!$G$5+H359*Prislapp!$H$5+I359*Prislapp!$I$5+J359*Prislapp!$J$5+K359*Prislapp!$K$5+L359*Prislapp!$L$5+M359*Prislapp!$M$5+N359*Prislapp!$N$5</f>
        <v>21800</v>
      </c>
      <c r="R359" s="9">
        <f>VLOOKUP(A359,'Ansvar kurs'!$A$2:$B$847,2,FALSE)</f>
        <v>5740</v>
      </c>
      <c r="S359" s="159" t="s">
        <v>1107</v>
      </c>
      <c r="T359" s="159"/>
      <c r="U359" s="159"/>
      <c r="V359" s="159"/>
      <c r="W359" s="159"/>
      <c r="X359" s="159"/>
      <c r="Y359" s="159"/>
      <c r="Z359" s="159"/>
    </row>
    <row r="360" spans="1:26" x14ac:dyDescent="0.25">
      <c r="A360" s="244" t="s">
        <v>1962</v>
      </c>
      <c r="B360" s="31" t="s">
        <v>1972</v>
      </c>
      <c r="H360" s="31">
        <v>1</v>
      </c>
      <c r="O360" s="42">
        <f>C360*Prislapp!$C$2+D360*Prislapp!$D$2+E360*Prislapp!$E$2+F360*Prislapp!$F$2+G360*Prislapp!$G$2+H360*Prislapp!$H$2+I360*Prislapp!$I$2+J360*Prislapp!$J$2+K360*Prislapp!$K$2+L360*Prislapp!$L$2+M360*Prislapp!$M$2+N360*Prislapp!$N$2</f>
        <v>19473</v>
      </c>
      <c r="P360" s="42">
        <f>C360*Prislapp!$C$3+D360*Prislapp!$D$3+E360*Prislapp!$E$3+F360*Prislapp!$F$3+G360*Prislapp!$G$3+H360*Prislapp!$H$3+I360*Prislapp!$I$3+J360*Prislapp!$J$3+K360*Prislapp!$K$3+M360*Prislapp!$M$3+N360*Prislapp!$N$3</f>
        <v>34806</v>
      </c>
      <c r="Q360" s="42">
        <f>C360*Prislapp!$C$5+D360*Prislapp!$D$5+E360*Prislapp!$E$5+F360*Prislapp!$F$5+G360*Prislapp!$G$5+H360*Prislapp!$H$5+I360*Prislapp!$I$5+J360*Prislapp!$J$5+K360*Prislapp!$K$5+L360*Prislapp!$L$5+M360*Prislapp!$M$5+N360*Prislapp!$N$5</f>
        <v>21800</v>
      </c>
      <c r="R360" s="9">
        <f>VLOOKUP(A360,'Ansvar kurs'!$A$2:$B$847,2,FALSE)</f>
        <v>5740</v>
      </c>
      <c r="T360" s="159"/>
      <c r="U360" s="159"/>
      <c r="V360" s="159"/>
      <c r="W360" s="159"/>
      <c r="X360" s="159"/>
      <c r="Y360" s="159"/>
      <c r="Z360" s="159"/>
    </row>
    <row r="361" spans="1:26" x14ac:dyDescent="0.25">
      <c r="A361" s="244" t="s">
        <v>1349</v>
      </c>
      <c r="B361" s="31" t="s">
        <v>1350</v>
      </c>
      <c r="H361" s="31">
        <v>1</v>
      </c>
      <c r="O361" s="42">
        <f>C361*Prislapp!$C$2+D361*Prislapp!$D$2+E361*Prislapp!$E$2+F361*Prislapp!$F$2+G361*Prislapp!$G$2+H361*Prislapp!$H$2+I361*Prislapp!$I$2+J361*Prislapp!$J$2+K361*Prislapp!$K$2+L361*Prislapp!$L$2+M361*Prislapp!$M$2+N361*Prislapp!$N$2</f>
        <v>19473</v>
      </c>
      <c r="P361" s="42">
        <f>C361*Prislapp!$C$3+D361*Prislapp!$D$3+E361*Prislapp!$E$3+F361*Prislapp!$F$3+G361*Prislapp!$G$3+H361*Prislapp!$H$3+I361*Prislapp!$I$3+J361*Prislapp!$J$3+K361*Prislapp!$K$3+M361*Prislapp!$M$3+N361*Prislapp!$N$3</f>
        <v>34806</v>
      </c>
      <c r="Q361" s="42">
        <f>C361*Prislapp!$C$5+D361*Prislapp!$D$5+E361*Prislapp!$E$5+F361*Prislapp!$F$5+G361*Prislapp!$G$5+H361*Prislapp!$H$5+I361*Prislapp!$I$5+J361*Prislapp!$J$5+K361*Prislapp!$K$5+L361*Prislapp!$L$5+M361*Prislapp!$M$5+N361*Prislapp!$N$5</f>
        <v>21800</v>
      </c>
      <c r="R361" s="9">
        <f>VLOOKUP(A361,'Ansvar kurs'!$A$2:$B$847,2,FALSE)</f>
        <v>5740</v>
      </c>
      <c r="S361" s="159"/>
      <c r="T361" s="159"/>
      <c r="U361" s="159"/>
      <c r="V361" s="159"/>
      <c r="W361" s="159"/>
      <c r="X361" s="159"/>
      <c r="Y361" s="159"/>
      <c r="Z361" s="159"/>
    </row>
    <row r="362" spans="1:26" x14ac:dyDescent="0.25">
      <c r="A362" s="244" t="s">
        <v>1449</v>
      </c>
      <c r="B362" s="31" t="s">
        <v>1450</v>
      </c>
      <c r="H362" s="31">
        <v>1</v>
      </c>
      <c r="O362" s="42">
        <f>C362*Prislapp!$C$2+D362*Prislapp!$D$2+E362*Prislapp!$E$2+F362*Prislapp!$F$2+G362*Prislapp!$G$2+H362*Prislapp!$H$2+I362*Prislapp!$I$2+J362*Prislapp!$J$2+K362*Prislapp!$K$2+L362*Prislapp!$L$2+M362*Prislapp!$M$2+N362*Prislapp!$N$2</f>
        <v>19473</v>
      </c>
      <c r="P362" s="42">
        <f>C362*Prislapp!$C$3+D362*Prislapp!$D$3+E362*Prislapp!$E$3+F362*Prislapp!$F$3+G362*Prislapp!$G$3+H362*Prislapp!$H$3+I362*Prislapp!$I$3+J362*Prislapp!$J$3+K362*Prislapp!$K$3+M362*Prislapp!$M$3+N362*Prislapp!$N$3</f>
        <v>34806</v>
      </c>
      <c r="Q362" s="42">
        <f>C362*Prislapp!$C$5+D362*Prislapp!$D$5+E362*Prislapp!$E$5+F362*Prislapp!$F$5+G362*Prislapp!$G$5+H362*Prislapp!$H$5+I362*Prislapp!$I$5+J362*Prislapp!$J$5+K362*Prislapp!$K$5+L362*Prislapp!$L$5+M362*Prislapp!$M$5+N362*Prislapp!$N$5</f>
        <v>21800</v>
      </c>
      <c r="R362" s="9">
        <f>VLOOKUP(A362,'Ansvar kurs'!$A$2:$B$847,2,FALSE)</f>
        <v>5740</v>
      </c>
      <c r="S362" s="159"/>
      <c r="T362" s="159"/>
      <c r="U362" s="159"/>
      <c r="V362" s="159"/>
      <c r="W362" s="159"/>
      <c r="X362" s="159"/>
      <c r="Y362" s="159"/>
      <c r="Z362" s="159"/>
    </row>
    <row r="363" spans="1:26" x14ac:dyDescent="0.25">
      <c r="A363" s="244" t="s">
        <v>1451</v>
      </c>
      <c r="B363" s="31" t="s">
        <v>1452</v>
      </c>
      <c r="H363" s="31">
        <v>1</v>
      </c>
      <c r="O363" s="42">
        <f>C363*Prislapp!$C$2+D363*Prislapp!$D$2+E363*Prislapp!$E$2+F363*Prislapp!$F$2+G363*Prislapp!$G$2+H363*Prislapp!$H$2+I363*Prislapp!$I$2+J363*Prislapp!$J$2+K363*Prislapp!$K$2+L363*Prislapp!$L$2+M363*Prislapp!$M$2+N363*Prislapp!$N$2</f>
        <v>19473</v>
      </c>
      <c r="P363" s="42">
        <f>C363*Prislapp!$C$3+D363*Prislapp!$D$3+E363*Prislapp!$E$3+F363*Prislapp!$F$3+G363*Prislapp!$G$3+H363*Prislapp!$H$3+I363*Prislapp!$I$3+J363*Prislapp!$J$3+K363*Prislapp!$K$3+M363*Prislapp!$M$3+N363*Prislapp!$N$3</f>
        <v>34806</v>
      </c>
      <c r="Q363" s="42">
        <f>C363*Prislapp!$C$5+D363*Prislapp!$D$5+E363*Prislapp!$E$5+F363*Prislapp!$F$5+G363*Prislapp!$G$5+H363*Prislapp!$H$5+I363*Prislapp!$I$5+J363*Prislapp!$J$5+K363*Prislapp!$K$5+L363*Prislapp!$L$5+M363*Prislapp!$M$5+N363*Prislapp!$N$5</f>
        <v>21800</v>
      </c>
      <c r="R363" s="9">
        <f>VLOOKUP(A363,'Ansvar kurs'!$A$2:$B$847,2,FALSE)</f>
        <v>5740</v>
      </c>
      <c r="S363" s="159"/>
      <c r="T363" s="159"/>
      <c r="U363" s="159"/>
      <c r="V363" s="159"/>
      <c r="W363" s="159"/>
      <c r="X363" s="159"/>
      <c r="Y363" s="159"/>
      <c r="Z363" s="159"/>
    </row>
    <row r="364" spans="1:26" x14ac:dyDescent="0.25">
      <c r="A364" s="244" t="s">
        <v>1453</v>
      </c>
      <c r="B364" s="31" t="s">
        <v>1454</v>
      </c>
      <c r="H364" s="31">
        <v>1</v>
      </c>
      <c r="O364" s="42">
        <f>C364*Prislapp!$C$2+D364*Prislapp!$D$2+E364*Prislapp!$E$2+F364*Prislapp!$F$2+G364*Prislapp!$G$2+H364*Prislapp!$H$2+I364*Prislapp!$I$2+J364*Prislapp!$J$2+K364*Prislapp!$K$2+L364*Prislapp!$L$2+M364*Prislapp!$M$2+N364*Prislapp!$N$2</f>
        <v>19473</v>
      </c>
      <c r="P364" s="42">
        <f>C364*Prislapp!$C$3+D364*Prislapp!$D$3+E364*Prislapp!$E$3+F364*Prislapp!$F$3+G364*Prislapp!$G$3+H364*Prislapp!$H$3+I364*Prislapp!$I$3+J364*Prislapp!$J$3+K364*Prislapp!$K$3+M364*Prislapp!$M$3+N364*Prislapp!$N$3</f>
        <v>34806</v>
      </c>
      <c r="Q364" s="42">
        <f>C364*Prislapp!$C$5+D364*Prislapp!$D$5+E364*Prislapp!$E$5+F364*Prislapp!$F$5+G364*Prislapp!$G$5+H364*Prislapp!$H$5+I364*Prislapp!$I$5+J364*Prislapp!$J$5+K364*Prislapp!$K$5+L364*Prislapp!$L$5+M364*Prislapp!$M$5+N364*Prislapp!$N$5</f>
        <v>21800</v>
      </c>
      <c r="R364" s="9">
        <f>VLOOKUP(A364,'Ansvar kurs'!$A$2:$B$847,2,FALSE)</f>
        <v>5740</v>
      </c>
      <c r="S364" s="159"/>
      <c r="T364" s="159"/>
      <c r="U364" s="159"/>
      <c r="V364" s="159"/>
      <c r="W364" s="159"/>
      <c r="X364" s="159"/>
      <c r="Y364" s="159"/>
      <c r="Z364" s="159"/>
    </row>
    <row r="365" spans="1:26" x14ac:dyDescent="0.25">
      <c r="A365" s="244" t="s">
        <v>1455</v>
      </c>
      <c r="B365" s="31" t="s">
        <v>1456</v>
      </c>
      <c r="H365" s="31">
        <v>1</v>
      </c>
      <c r="O365" s="42">
        <f>C365*Prislapp!$C$2+D365*Prislapp!$D$2+E365*Prislapp!$E$2+F365*Prislapp!$F$2+G365*Prislapp!$G$2+H365*Prislapp!$H$2+I365*Prislapp!$I$2+J365*Prislapp!$J$2+K365*Prislapp!$K$2+L365*Prislapp!$L$2+M365*Prislapp!$M$2+N365*Prislapp!$N$2</f>
        <v>19473</v>
      </c>
      <c r="P365" s="42">
        <f>C365*Prislapp!$C$3+D365*Prislapp!$D$3+E365*Prislapp!$E$3+F365*Prislapp!$F$3+G365*Prislapp!$G$3+H365*Prislapp!$H$3+I365*Prislapp!$I$3+J365*Prislapp!$J$3+K365*Prislapp!$K$3+M365*Prislapp!$M$3+N365*Prislapp!$N$3</f>
        <v>34806</v>
      </c>
      <c r="Q365" s="42">
        <f>C365*Prislapp!$C$5+D365*Prislapp!$D$5+E365*Prislapp!$E$5+F365*Prislapp!$F$5+G365*Prislapp!$G$5+H365*Prislapp!$H$5+I365*Prislapp!$I$5+J365*Prislapp!$J$5+K365*Prislapp!$K$5+L365*Prislapp!$L$5+M365*Prislapp!$M$5+N365*Prislapp!$N$5</f>
        <v>21800</v>
      </c>
      <c r="R365" s="9">
        <f>VLOOKUP(A365,'Ansvar kurs'!$A$2:$B$847,2,FALSE)</f>
        <v>5740</v>
      </c>
      <c r="S365" s="159"/>
      <c r="T365" s="159"/>
      <c r="U365" s="159"/>
      <c r="V365" s="159"/>
      <c r="W365" s="159"/>
      <c r="X365" s="159"/>
      <c r="Y365" s="159"/>
      <c r="Z365" s="159"/>
    </row>
    <row r="366" spans="1:26" x14ac:dyDescent="0.25">
      <c r="A366" s="244" t="s">
        <v>1457</v>
      </c>
      <c r="B366" s="31" t="s">
        <v>1458</v>
      </c>
      <c r="H366" s="31">
        <v>1</v>
      </c>
      <c r="O366" s="42">
        <f>C366*Prislapp!$C$2+D366*Prislapp!$D$2+E366*Prislapp!$E$2+F366*Prislapp!$F$2+G366*Prislapp!$G$2+H366*Prislapp!$H$2+I366*Prislapp!$I$2+J366*Prislapp!$J$2+K366*Prislapp!$K$2+L366*Prislapp!$L$2+M366*Prislapp!$M$2+N366*Prislapp!$N$2</f>
        <v>19473</v>
      </c>
      <c r="P366" s="42">
        <f>C366*Prislapp!$C$3+D366*Prislapp!$D$3+E366*Prislapp!$E$3+F366*Prislapp!$F$3+G366*Prislapp!$G$3+H366*Prislapp!$H$3+I366*Prislapp!$I$3+J366*Prislapp!$J$3+K366*Prislapp!$K$3+M366*Prislapp!$M$3+N366*Prislapp!$N$3</f>
        <v>34806</v>
      </c>
      <c r="Q366" s="42">
        <f>C366*Prislapp!$C$5+D366*Prislapp!$D$5+E366*Prislapp!$E$5+F366*Prislapp!$F$5+G366*Prislapp!$G$5+H366*Prislapp!$H$5+I366*Prislapp!$I$5+J366*Prislapp!$J$5+K366*Prislapp!$K$5+L366*Prislapp!$L$5+M366*Prislapp!$M$5+N366*Prislapp!$N$5</f>
        <v>21800</v>
      </c>
      <c r="R366" s="9">
        <f>VLOOKUP(A366,'Ansvar kurs'!$A$2:$B$847,2,FALSE)</f>
        <v>5740</v>
      </c>
      <c r="S366" s="159"/>
      <c r="T366" s="159"/>
      <c r="U366" s="159"/>
      <c r="V366" s="159"/>
      <c r="W366" s="159"/>
      <c r="X366" s="159"/>
      <c r="Y366" s="159"/>
      <c r="Z366" s="159"/>
    </row>
    <row r="367" spans="1:26" x14ac:dyDescent="0.25">
      <c r="A367" s="59" t="s">
        <v>1557</v>
      </c>
      <c r="B367" s="31" t="s">
        <v>1417</v>
      </c>
      <c r="H367" s="31">
        <v>1</v>
      </c>
      <c r="O367" s="42">
        <f>C367*Prislapp!$C$2+D367*Prislapp!$D$2+E367*Prislapp!$E$2+F367*Prislapp!$F$2+G367*Prislapp!$G$2+H367*Prislapp!$H$2+I367*Prislapp!$I$2+J367*Prislapp!$J$2+K367*Prislapp!$K$2+L367*Prislapp!$L$2+M367*Prislapp!$M$2+N367*Prislapp!$N$2</f>
        <v>19473</v>
      </c>
      <c r="P367" s="42">
        <f>C367*Prislapp!$C$3+D367*Prislapp!$D$3+E367*Prislapp!$E$3+F367*Prislapp!$F$3+G367*Prislapp!$G$3+H367*Prislapp!$H$3+I367*Prislapp!$I$3+J367*Prislapp!$J$3+K367*Prislapp!$K$3+M367*Prislapp!$M$3+N367*Prislapp!$N$3</f>
        <v>34806</v>
      </c>
      <c r="Q367" s="42">
        <f>C367*Prislapp!$C$5+D367*Prislapp!$D$5+E367*Prislapp!$E$5+F367*Prislapp!$F$5+G367*Prislapp!$G$5+H367*Prislapp!$H$5+I367*Prislapp!$I$5+J367*Prislapp!$J$5+K367*Prislapp!$K$5+L367*Prislapp!$L$5+M367*Prislapp!$M$5+N367*Prislapp!$N$5</f>
        <v>21800</v>
      </c>
      <c r="R367" s="9">
        <f>VLOOKUP(A367,'Ansvar kurs'!$A$2:$B$847,2,FALSE)</f>
        <v>5740</v>
      </c>
    </row>
    <row r="368" spans="1:26" x14ac:dyDescent="0.25">
      <c r="A368" s="317" t="s">
        <v>1634</v>
      </c>
      <c r="B368" s="31" t="s">
        <v>1656</v>
      </c>
      <c r="H368" s="31">
        <v>1</v>
      </c>
      <c r="O368" s="42">
        <f>C368*Prislapp!$C$2+D368*Prislapp!$D$2+E368*Prislapp!$E$2+F368*Prislapp!$F$2+G368*Prislapp!$G$2+H368*Prislapp!$H$2+I368*Prislapp!$I$2+J368*Prislapp!$J$2+K368*Prislapp!$K$2+L368*Prislapp!$L$2+M368*Prislapp!$M$2+N368*Prislapp!$N$2</f>
        <v>19473</v>
      </c>
      <c r="P368" s="42">
        <f>C368*Prislapp!$C$3+D368*Prislapp!$D$3+E368*Prislapp!$E$3+F368*Prislapp!$F$3+G368*Prislapp!$G$3+H368*Prislapp!$H$3+I368*Prislapp!$I$3+J368*Prislapp!$J$3+K368*Prislapp!$K$3+M368*Prislapp!$M$3+N368*Prislapp!$N$3</f>
        <v>34806</v>
      </c>
      <c r="Q368" s="42">
        <f>C368*Prislapp!$C$5+D368*Prislapp!$D$5+E368*Prislapp!$E$5+F368*Prislapp!$F$5+G368*Prislapp!$G$5+H368*Prislapp!$H$5+I368*Prislapp!$I$5+J368*Prislapp!$J$5+K368*Prislapp!$K$5+L368*Prislapp!$L$5+M368*Prislapp!$M$5+N368*Prislapp!$N$5</f>
        <v>21800</v>
      </c>
      <c r="R368" s="9">
        <f>VLOOKUP(A368,'Ansvar kurs'!$A$2:$B$847,2,FALSE)</f>
        <v>5740</v>
      </c>
    </row>
    <row r="369" spans="1:26" x14ac:dyDescent="0.25">
      <c r="A369" s="317" t="s">
        <v>1635</v>
      </c>
      <c r="B369" s="31" t="s">
        <v>1657</v>
      </c>
      <c r="H369" s="31">
        <v>1</v>
      </c>
      <c r="O369" s="42">
        <f>C369*Prislapp!$C$2+D369*Prislapp!$D$2+E369*Prislapp!$E$2+F369*Prislapp!$F$2+G369*Prislapp!$G$2+H369*Prislapp!$H$2+I369*Prislapp!$I$2+J369*Prislapp!$J$2+K369*Prislapp!$K$2+L369*Prislapp!$L$2+M369*Prislapp!$M$2+N369*Prislapp!$N$2</f>
        <v>19473</v>
      </c>
      <c r="P369" s="42">
        <f>C369*Prislapp!$C$3+D369*Prislapp!$D$3+E369*Prislapp!$E$3+F369*Prislapp!$F$3+G369*Prislapp!$G$3+H369*Prislapp!$H$3+I369*Prislapp!$I$3+J369*Prislapp!$J$3+K369*Prislapp!$K$3+M369*Prislapp!$M$3+N369*Prislapp!$N$3</f>
        <v>34806</v>
      </c>
      <c r="Q369" s="42">
        <f>C369*Prislapp!$C$5+D369*Prislapp!$D$5+E369*Prislapp!$E$5+F369*Prislapp!$F$5+G369*Prislapp!$G$5+H369*Prislapp!$H$5+I369*Prislapp!$I$5+J369*Prislapp!$J$5+K369*Prislapp!$K$5+L369*Prislapp!$L$5+M369*Prislapp!$M$5+N369*Prislapp!$N$5</f>
        <v>21800</v>
      </c>
      <c r="R369" s="9">
        <f>VLOOKUP(A369,'Ansvar kurs'!$A$2:$B$847,2,FALSE)</f>
        <v>5740</v>
      </c>
    </row>
    <row r="370" spans="1:26" x14ac:dyDescent="0.25">
      <c r="A370" s="59" t="s">
        <v>1632</v>
      </c>
      <c r="B370" s="31" t="s">
        <v>1655</v>
      </c>
      <c r="H370" s="31">
        <v>1</v>
      </c>
      <c r="O370" s="42">
        <f>C370*Prislapp!$C$2+D370*Prislapp!$D$2+E370*Prislapp!$E$2+F370*Prislapp!$F$2+G370*Prislapp!$G$2+H370*Prislapp!$H$2+I370*Prislapp!$I$2+J370*Prislapp!$J$2+K370*Prislapp!$K$2+L370*Prislapp!$L$2+M370*Prislapp!$M$2+N370*Prislapp!$N$2</f>
        <v>19473</v>
      </c>
      <c r="P370" s="42">
        <f>C370*Prislapp!$C$3+D370*Prislapp!$D$3+E370*Prislapp!$E$3+F370*Prislapp!$F$3+G370*Prislapp!$G$3+H370*Prislapp!$H$3+I370*Prislapp!$I$3+J370*Prislapp!$J$3+K370*Prislapp!$K$3+M370*Prislapp!$M$3+N370*Prislapp!$N$3</f>
        <v>34806</v>
      </c>
      <c r="Q370" s="42">
        <f>C370*Prislapp!$C$5+D370*Prislapp!$D$5+E370*Prislapp!$E$5+F370*Prislapp!$F$5+G370*Prislapp!$G$5+H370*Prislapp!$H$5+I370*Prislapp!$I$5+J370*Prislapp!$J$5+K370*Prislapp!$K$5+L370*Prislapp!$L$5+M370*Prislapp!$M$5+N370*Prislapp!$N$5</f>
        <v>21800</v>
      </c>
      <c r="R370" s="9">
        <f>VLOOKUP(A370,'Ansvar kurs'!$A$2:$B$847,2,FALSE)</f>
        <v>5740</v>
      </c>
    </row>
    <row r="371" spans="1:26" x14ac:dyDescent="0.25">
      <c r="A371" s="317" t="s">
        <v>1931</v>
      </c>
      <c r="B371" s="31" t="s">
        <v>1932</v>
      </c>
      <c r="H371" s="31">
        <v>1</v>
      </c>
      <c r="O371" s="42">
        <f>C371*Prislapp!$C$2+D371*Prislapp!$D$2+E371*Prislapp!$E$2+F371*Prislapp!$F$2+G371*Prislapp!$G$2+H371*Prislapp!$H$2+I371*Prislapp!$I$2+J371*Prislapp!$J$2+K371*Prislapp!$K$2+L371*Prislapp!$L$2+M371*Prislapp!$M$2+N371*Prislapp!$N$2</f>
        <v>19473</v>
      </c>
      <c r="P371" s="42">
        <f>C371*Prislapp!$C$3+D371*Prislapp!$D$3+E371*Prislapp!$E$3+F371*Prislapp!$F$3+G371*Prislapp!$G$3+H371*Prislapp!$H$3+I371*Prislapp!$I$3+J371*Prislapp!$J$3+K371*Prislapp!$K$3+M371*Prislapp!$M$3+N371*Prislapp!$N$3</f>
        <v>34806</v>
      </c>
      <c r="Q371" s="42">
        <f>C371*Prislapp!$C$5+D371*Prislapp!$D$5+E371*Prislapp!$E$5+F371*Prislapp!$F$5+G371*Prislapp!$G$5+H371*Prislapp!$H$5+I371*Prislapp!$I$5+J371*Prislapp!$J$5+K371*Prislapp!$K$5+L371*Prislapp!$L$5+M371*Prislapp!$M$5+N371*Prislapp!$N$5</f>
        <v>21800</v>
      </c>
      <c r="R371" s="9">
        <f>VLOOKUP(A371,'Ansvar kurs'!$A$2:$B$847,2,FALSE)</f>
        <v>5740</v>
      </c>
    </row>
    <row r="372" spans="1:26" x14ac:dyDescent="0.25">
      <c r="A372" s="317" t="s">
        <v>1940</v>
      </c>
      <c r="B372" s="31" t="s">
        <v>2053</v>
      </c>
      <c r="H372" s="31">
        <v>1</v>
      </c>
      <c r="O372" s="42">
        <f>C372*Prislapp!$C$2+D372*Prislapp!$D$2+E372*Prislapp!$E$2+F372*Prislapp!$F$2+G372*Prislapp!$G$2+H372*Prislapp!$H$2+I372*Prislapp!$I$2+J372*Prislapp!$J$2+K372*Prislapp!$K$2+L372*Prislapp!$L$2+M372*Prislapp!$M$2+N372*Prislapp!$N$2</f>
        <v>19473</v>
      </c>
      <c r="P372" s="42">
        <f>C372*Prislapp!$C$3+D372*Prislapp!$D$3+E372*Prislapp!$E$3+F372*Prislapp!$F$3+G372*Prislapp!$G$3+H372*Prislapp!$H$3+I372*Prislapp!$I$3+J372*Prislapp!$J$3+K372*Prislapp!$K$3+M372*Prislapp!$M$3+N372*Prislapp!$N$3</f>
        <v>34806</v>
      </c>
      <c r="Q372" s="42">
        <f>C372*Prislapp!$C$5+D372*Prislapp!$D$5+E372*Prislapp!$E$5+F372*Prislapp!$F$5+G372*Prislapp!$G$5+H372*Prislapp!$H$5+I372*Prislapp!$I$5+J372*Prislapp!$J$5+K372*Prislapp!$K$5+L372*Prislapp!$L$5+M372*Prislapp!$M$5+N372*Prislapp!$N$5</f>
        <v>21800</v>
      </c>
      <c r="R372" s="9">
        <f>VLOOKUP(A372,'Ansvar kurs'!$A$2:$B$847,2,FALSE)</f>
        <v>5740</v>
      </c>
    </row>
    <row r="373" spans="1:26" x14ac:dyDescent="0.25">
      <c r="A373" s="31" t="s">
        <v>640</v>
      </c>
      <c r="B373" s="31" t="s">
        <v>145</v>
      </c>
      <c r="H373" s="31">
        <v>1</v>
      </c>
      <c r="O373" s="42">
        <f>C373*Prislapp!$C$2+D373*Prislapp!$D$2+E373*Prislapp!$E$2+F373*Prislapp!$F$2+G373*Prislapp!$G$2+H373*Prislapp!$H$2+I373*Prislapp!$I$2+J373*Prislapp!$J$2+K373*Prislapp!$K$2+L373*Prislapp!$L$2+M373*Prislapp!$M$2+N373*Prislapp!$N$2</f>
        <v>19473</v>
      </c>
      <c r="P373" s="42">
        <f>C373*Prislapp!$C$3+D373*Prislapp!$D$3+E373*Prislapp!$E$3+F373*Prislapp!$F$3+G373*Prislapp!$G$3+H373*Prislapp!$H$3+I373*Prislapp!$I$3+J373*Prislapp!$J$3+K373*Prislapp!$K$3+M373*Prislapp!$M$3+N373*Prislapp!$N$3</f>
        <v>34806</v>
      </c>
      <c r="Q373" s="42">
        <f>C373*Prislapp!$C$5+D373*Prislapp!$D$5+E373*Prislapp!$E$5+F373*Prislapp!$F$5+G373*Prislapp!$G$5+H373*Prislapp!$H$5+I373*Prislapp!$I$5+J373*Prislapp!$J$5+K373*Prislapp!$K$5+L373*Prislapp!$L$5+M373*Prislapp!$M$5+N373*Prislapp!$N$5</f>
        <v>21800</v>
      </c>
      <c r="R373" s="9">
        <f>VLOOKUP(A373,'Ansvar kurs'!$A$2:$B$847,2,FALSE)</f>
        <v>5730</v>
      </c>
      <c r="S373" s="159"/>
      <c r="T373" s="159"/>
      <c r="U373" s="159"/>
      <c r="V373" s="159"/>
      <c r="W373" s="159"/>
      <c r="X373" s="159"/>
      <c r="Y373" s="159"/>
      <c r="Z373" s="159"/>
    </row>
    <row r="374" spans="1:26" x14ac:dyDescent="0.25">
      <c r="A374" s="317" t="s">
        <v>1939</v>
      </c>
      <c r="B374" s="31" t="s">
        <v>145</v>
      </c>
      <c r="H374" s="31">
        <v>1</v>
      </c>
      <c r="O374" s="42">
        <f>C374*Prislapp!$C$2+D374*Prislapp!$D$2+E374*Prislapp!$E$2+F374*Prislapp!$F$2+G374*Prislapp!$G$2+H374*Prislapp!$H$2+I374*Prislapp!$I$2+J374*Prislapp!$J$2+K374*Prislapp!$K$2+L374*Prislapp!$L$2+M374*Prislapp!$M$2+N374*Prislapp!$N$2</f>
        <v>19473</v>
      </c>
      <c r="P374" s="42">
        <f>C374*Prislapp!$C$3+D374*Prislapp!$D$3+E374*Prislapp!$E$3+F374*Prislapp!$F$3+G374*Prislapp!$G$3+H374*Prislapp!$H$3+I374*Prislapp!$I$3+J374*Prislapp!$J$3+K374*Prislapp!$K$3+M374*Prislapp!$M$3+N374*Prislapp!$N$3</f>
        <v>34806</v>
      </c>
      <c r="Q374" s="42">
        <f>C374*Prislapp!$C$5+D374*Prislapp!$D$5+E374*Prislapp!$E$5+F374*Prislapp!$F$5+G374*Prislapp!$G$5+H374*Prislapp!$H$5+I374*Prislapp!$I$5+J374*Prislapp!$J$5+K374*Prislapp!$K$5+L374*Prislapp!$L$5+M374*Prislapp!$M$5+N374*Prislapp!$N$5</f>
        <v>21800</v>
      </c>
      <c r="R374" s="9">
        <f>VLOOKUP(A374,'Ansvar kurs'!$A$2:$B$847,2,FALSE)</f>
        <v>5730</v>
      </c>
      <c r="S374" s="159"/>
      <c r="T374" s="159"/>
      <c r="U374" s="159"/>
      <c r="V374" s="159"/>
      <c r="W374" s="159"/>
      <c r="X374" s="159"/>
      <c r="Y374" s="159"/>
      <c r="Z374" s="159"/>
    </row>
    <row r="375" spans="1:26" x14ac:dyDescent="0.25">
      <c r="A375" s="245" t="s">
        <v>1992</v>
      </c>
      <c r="B375" s="62" t="s">
        <v>2015</v>
      </c>
      <c r="H375" s="31">
        <v>0.5</v>
      </c>
      <c r="J375" s="31">
        <v>0.5</v>
      </c>
      <c r="O375" s="42">
        <f>C375*Prislapp!$C$2+D375*Prislapp!$D$2+E375*Prislapp!$E$2+F375*Prislapp!$F$2+G375*Prislapp!$G$2+H375*Prislapp!$H$2+I375*Prislapp!$I$2+J375*Prislapp!$J$2+K375*Prislapp!$K$2+L375*Prislapp!$L$2+M375*Prislapp!$M$2+N375*Prislapp!$N$2</f>
        <v>19473</v>
      </c>
      <c r="P375" s="42">
        <f>C375*Prislapp!$C$3+D375*Prislapp!$D$3+E375*Prislapp!$E$3+F375*Prislapp!$F$3+G375*Prislapp!$G$3+H375*Prislapp!$H$3+I375*Prislapp!$I$3+J375*Prislapp!$J$3+K375*Prislapp!$K$3+M375*Prislapp!$M$3+N375*Prislapp!$N$3</f>
        <v>34806</v>
      </c>
      <c r="Q375" s="42">
        <f>C375*Prislapp!$C$5+D375*Prislapp!$D$5+E375*Prislapp!$E$5+F375*Prislapp!$F$5+G375*Prislapp!$G$5+H375*Prislapp!$H$5+I375*Prislapp!$I$5+J375*Prislapp!$J$5+K375*Prislapp!$K$5+L375*Prislapp!$L$5+M375*Prislapp!$M$5+N375*Prislapp!$N$5</f>
        <v>21800</v>
      </c>
      <c r="R375" s="9">
        <f>VLOOKUP(A375,'Ansvar kurs'!$A$2:$B$847,2,FALSE)</f>
        <v>5730</v>
      </c>
      <c r="T375" s="159"/>
      <c r="U375" s="159"/>
      <c r="V375" s="159"/>
      <c r="W375" s="159"/>
      <c r="X375" s="159"/>
      <c r="Y375" s="159"/>
      <c r="Z375" s="159"/>
    </row>
    <row r="376" spans="1:26" x14ac:dyDescent="0.25">
      <c r="A376" s="31" t="s">
        <v>335</v>
      </c>
      <c r="B376" s="31" t="s">
        <v>347</v>
      </c>
      <c r="G376" s="31">
        <v>0.75</v>
      </c>
      <c r="M376" s="31">
        <v>0.25</v>
      </c>
      <c r="O376" s="42">
        <f>C376*Prislapp!$C$2+D376*Prislapp!$D$2+E376*Prislapp!$E$2+F376*Prislapp!$F$2+G376*Prislapp!$G$2+H376*Prislapp!$H$2+I376*Prislapp!$I$2+J376*Prislapp!$J$2+K376*Prislapp!$K$2+L376*Prislapp!$L$2+M376*Prislapp!$M$2+N376*Prislapp!$N$2</f>
        <v>27063</v>
      </c>
      <c r="P376" s="42">
        <f>C376*Prislapp!$C$3+D376*Prislapp!$D$3+E376*Prislapp!$E$3+F376*Prislapp!$F$3+G376*Prislapp!$G$3+H376*Prislapp!$H$3+I376*Prislapp!$I$3+J376*Prislapp!$J$3+K376*Prislapp!$K$3+M376*Prislapp!$M$3+N376*Prislapp!$N$3</f>
        <v>54579.25</v>
      </c>
      <c r="Q376" s="42">
        <f>C376*Prislapp!$C$5+D376*Prislapp!$D$5+E376*Prislapp!$E$5+F376*Prislapp!$F$5+G376*Prislapp!$G$5+H376*Prislapp!$H$5+I376*Prislapp!$I$5+J376*Prislapp!$J$5+K376*Prislapp!$K$5+L376*Prislapp!$L$5+M376*Prislapp!$M$5+N376*Prislapp!$N$5</f>
        <v>56900</v>
      </c>
      <c r="R376" s="9">
        <f>VLOOKUP(A376,'Ansvar kurs'!$A$2:$B$847,2,FALSE)</f>
        <v>1650</v>
      </c>
      <c r="S376" s="159"/>
      <c r="T376" s="159"/>
      <c r="U376" s="159"/>
      <c r="V376" s="159"/>
      <c r="W376" s="159"/>
      <c r="X376" s="159"/>
      <c r="Y376" s="159"/>
      <c r="Z376" s="159"/>
    </row>
    <row r="377" spans="1:26" x14ac:dyDescent="0.25">
      <c r="A377" s="31" t="s">
        <v>151</v>
      </c>
      <c r="B377" s="31" t="s">
        <v>1181</v>
      </c>
      <c r="G377" s="31">
        <v>0.75</v>
      </c>
      <c r="K377" s="31">
        <v>0.25</v>
      </c>
      <c r="O377" s="42">
        <f>C377*Prislapp!$C$2+D377*Prislapp!$D$2+E377*Prislapp!$E$2+F377*Prislapp!$F$2+G377*Prislapp!$G$2+H377*Prislapp!$H$2+I377*Prislapp!$I$2+J377*Prislapp!$J$2+K377*Prislapp!$K$2+L377*Prislapp!$L$2+M377*Prislapp!$M$2+N377*Prislapp!$N$2</f>
        <v>28510</v>
      </c>
      <c r="P377" s="42">
        <f>C377*Prislapp!$C$3+D377*Prislapp!$D$3+E377*Prislapp!$E$3+F377*Prislapp!$F$3+G377*Prislapp!$G$3+H377*Prislapp!$H$3+I377*Prislapp!$I$3+J377*Prislapp!$J$3+K377*Prislapp!$K$3+M377*Prislapp!$M$3+N377*Prislapp!$N$3</f>
        <v>54594.25</v>
      </c>
      <c r="Q377" s="42">
        <f>C377*Prislapp!$C$5+D377*Prislapp!$D$5+E377*Prislapp!$E$5+F377*Prislapp!$F$5+G377*Prislapp!$G$5+H377*Prislapp!$H$5+I377*Prislapp!$I$5+J377*Prislapp!$J$5+K377*Prislapp!$K$5+L377*Prislapp!$L$5+M377*Prislapp!$M$5+N377*Prislapp!$N$5</f>
        <v>53425</v>
      </c>
      <c r="R377" s="9">
        <f>VLOOKUP(A377,'Ansvar kurs'!$A$2:$B$847,2,FALSE)</f>
        <v>1650</v>
      </c>
      <c r="S377" s="159"/>
      <c r="T377" s="159"/>
      <c r="U377" s="159"/>
      <c r="V377" s="159"/>
      <c r="W377" s="159"/>
      <c r="X377" s="159"/>
      <c r="Y377" s="159"/>
      <c r="Z377" s="159"/>
    </row>
    <row r="378" spans="1:26" x14ac:dyDescent="0.25">
      <c r="A378" s="31" t="s">
        <v>414</v>
      </c>
      <c r="B378" s="31" t="s">
        <v>705</v>
      </c>
      <c r="G378" s="31">
        <v>1</v>
      </c>
      <c r="O378" s="42">
        <f>C378*Prislapp!$C$2+D378*Prislapp!$D$2+E378*Prislapp!$E$2+F378*Prislapp!$F$2+G378*Prislapp!$G$2+H378*Prislapp!$H$2+I378*Prislapp!$I$2+J378*Prislapp!$J$2+K378*Prislapp!$K$2+L378*Prislapp!$L$2+M378*Prislapp!$M$2+N378*Prislapp!$N$2</f>
        <v>30802</v>
      </c>
      <c r="P378" s="42">
        <f>C378*Prislapp!$C$3+D378*Prislapp!$D$3+E378*Prislapp!$E$3+F378*Prislapp!$F$3+G378*Prislapp!$G$3+H378*Prislapp!$H$3+I378*Prislapp!$I$3+J378*Prislapp!$J$3+K378*Prislapp!$K$3+M378*Prislapp!$M$3+N378*Prislapp!$N$3</f>
        <v>63797</v>
      </c>
      <c r="Q378" s="42">
        <f>C378*Prislapp!$C$5+D378*Prislapp!$D$5+E378*Prislapp!$E$5+F378*Prislapp!$F$5+G378*Prislapp!$G$5+H378*Prislapp!$H$5+I378*Prislapp!$I$5+J378*Prislapp!$J$5+K378*Prislapp!$K$5+L378*Prislapp!$L$5+M378*Prislapp!$M$5+N378*Prislapp!$N$5</f>
        <v>70100</v>
      </c>
      <c r="R378" s="9">
        <f>VLOOKUP(A378,'Ansvar kurs'!$A$2:$B$847,2,FALSE)</f>
        <v>1650</v>
      </c>
      <c r="S378" s="159" t="s">
        <v>1353</v>
      </c>
      <c r="T378" s="159"/>
      <c r="U378" s="159"/>
      <c r="V378" s="159"/>
      <c r="W378" s="159"/>
      <c r="X378" s="159"/>
      <c r="Y378" s="159"/>
      <c r="Z378" s="159"/>
    </row>
    <row r="379" spans="1:26" x14ac:dyDescent="0.25">
      <c r="A379" s="31" t="s">
        <v>478</v>
      </c>
      <c r="B379" s="31" t="s">
        <v>477</v>
      </c>
      <c r="G379" s="31">
        <v>1</v>
      </c>
      <c r="O379" s="42">
        <f>C379*Prislapp!$C$2+D379*Prislapp!$D$2+E379*Prislapp!$E$2+F379*Prislapp!$F$2+G379*Prislapp!$G$2+H379*Prislapp!$H$2+I379*Prislapp!$I$2+J379*Prislapp!$J$2+K379*Prislapp!$K$2+L379*Prislapp!$L$2+M379*Prislapp!$M$2+N379*Prislapp!$N$2</f>
        <v>30802</v>
      </c>
      <c r="P379" s="42">
        <f>C379*Prislapp!$C$3+D379*Prislapp!$D$3+E379*Prislapp!$E$3+F379*Prislapp!$F$3+G379*Prislapp!$G$3+H379*Prislapp!$H$3+I379*Prislapp!$I$3+J379*Prislapp!$J$3+K379*Prislapp!$K$3+M379*Prislapp!$M$3+N379*Prislapp!$N$3</f>
        <v>63797</v>
      </c>
      <c r="Q379" s="42">
        <f>C379*Prislapp!$C$5+D379*Prislapp!$D$5+E379*Prislapp!$E$5+F379*Prislapp!$F$5+G379*Prislapp!$G$5+H379*Prislapp!$H$5+I379*Prislapp!$I$5+J379*Prislapp!$J$5+K379*Prislapp!$K$5+L379*Prislapp!$L$5+M379*Prislapp!$M$5+N379*Prislapp!$N$5</f>
        <v>70100</v>
      </c>
      <c r="R379" s="9">
        <f>VLOOKUP(A379,'Ansvar kurs'!$A$2:$B$847,2,FALSE)</f>
        <v>1650</v>
      </c>
      <c r="S379" s="159"/>
      <c r="T379" s="159"/>
      <c r="U379" s="159"/>
      <c r="V379" s="159"/>
      <c r="W379" s="159"/>
      <c r="X379" s="159"/>
      <c r="Y379" s="159"/>
      <c r="Z379" s="159"/>
    </row>
    <row r="380" spans="1:26" x14ac:dyDescent="0.25">
      <c r="A380" s="31" t="s">
        <v>526</v>
      </c>
      <c r="B380" s="31" t="s">
        <v>541</v>
      </c>
      <c r="G380" s="31">
        <v>1</v>
      </c>
      <c r="O380" s="42">
        <f>C380*Prislapp!$C$2+D380*Prislapp!$D$2+E380*Prislapp!$E$2+F380*Prislapp!$F$2+G380*Prislapp!$G$2+H380*Prislapp!$H$2+I380*Prislapp!$I$2+J380*Prislapp!$J$2+K380*Prislapp!$K$2+L380*Prislapp!$L$2+M380*Prislapp!$M$2+N380*Prislapp!$N$2</f>
        <v>30802</v>
      </c>
      <c r="P380" s="42">
        <f>C380*Prislapp!$C$3+D380*Prislapp!$D$3+E380*Prislapp!$E$3+F380*Prislapp!$F$3+G380*Prislapp!$G$3+H380*Prislapp!$H$3+I380*Prislapp!$I$3+J380*Prislapp!$J$3+K380*Prislapp!$K$3+M380*Prislapp!$M$3+N380*Prislapp!$N$3</f>
        <v>63797</v>
      </c>
      <c r="Q380" s="42">
        <f>C380*Prislapp!$C$5+D380*Prislapp!$D$5+E380*Prislapp!$E$5+F380*Prislapp!$F$5+G380*Prislapp!$G$5+H380*Prislapp!$H$5+I380*Prislapp!$I$5+J380*Prislapp!$J$5+K380*Prislapp!$K$5+L380*Prislapp!$L$5+M380*Prislapp!$M$5+N380*Prislapp!$N$5</f>
        <v>70100</v>
      </c>
      <c r="R380" s="9">
        <f>VLOOKUP(A380,'Ansvar kurs'!$A$2:$B$847,2,FALSE)</f>
        <v>1650</v>
      </c>
      <c r="S380" s="159"/>
      <c r="T380" s="159"/>
      <c r="U380" s="159"/>
      <c r="V380" s="159"/>
      <c r="W380" s="159"/>
      <c r="X380" s="159"/>
      <c r="Y380" s="159"/>
      <c r="Z380" s="159"/>
    </row>
    <row r="381" spans="1:26" x14ac:dyDescent="0.25">
      <c r="A381" s="31" t="s">
        <v>768</v>
      </c>
      <c r="B381" s="31" t="s">
        <v>764</v>
      </c>
      <c r="G381" s="31">
        <v>1</v>
      </c>
      <c r="O381" s="42">
        <f>C381*Prislapp!$C$2+D381*Prislapp!$D$2+E381*Prislapp!$E$2+F381*Prislapp!$F$2+G381*Prislapp!$G$2+H381*Prislapp!$H$2+I381*Prislapp!$I$2+J381*Prislapp!$J$2+K381*Prislapp!$K$2+L381*Prislapp!$L$2+M381*Prislapp!$M$2+N381*Prislapp!$N$2</f>
        <v>30802</v>
      </c>
      <c r="P381" s="42">
        <f>C381*Prislapp!$C$3+D381*Prislapp!$D$3+E381*Prislapp!$E$3+F381*Prislapp!$F$3+G381*Prislapp!$G$3+H381*Prislapp!$H$3+I381*Prislapp!$I$3+J381*Prislapp!$J$3+K381*Prislapp!$K$3+M381*Prislapp!$M$3+N381*Prislapp!$N$3</f>
        <v>63797</v>
      </c>
      <c r="Q381" s="42">
        <f>C381*Prislapp!$C$5+D381*Prislapp!$D$5+E381*Prislapp!$E$5+F381*Prislapp!$F$5+G381*Prislapp!$G$5+H381*Prislapp!$H$5+I381*Prislapp!$I$5+J381*Prislapp!$J$5+K381*Prislapp!$K$5+L381*Prislapp!$L$5+M381*Prislapp!$M$5+N381*Prislapp!$N$5</f>
        <v>70100</v>
      </c>
      <c r="R381" s="9">
        <f>VLOOKUP(A381,'Ansvar kurs'!$A$2:$B$847,2,FALSE)</f>
        <v>1650</v>
      </c>
      <c r="S381" s="159"/>
      <c r="T381" s="159"/>
      <c r="U381" s="159"/>
      <c r="V381" s="159"/>
      <c r="W381" s="159"/>
      <c r="X381" s="159"/>
      <c r="Y381" s="159"/>
      <c r="Z381" s="159"/>
    </row>
    <row r="382" spans="1:26" x14ac:dyDescent="0.25">
      <c r="A382" s="39" t="s">
        <v>2100</v>
      </c>
      <c r="B382" s="31" t="s">
        <v>765</v>
      </c>
      <c r="G382" s="31">
        <v>1</v>
      </c>
      <c r="O382" s="42">
        <f>C382*Prislapp!$C$2+D382*Prislapp!$D$2+E382*Prislapp!$E$2+F382*Prislapp!$F$2+G382*Prislapp!$G$2+H382*Prislapp!$H$2+I382*Prislapp!$I$2+J382*Prislapp!$J$2+K382*Prislapp!$K$2+L382*Prislapp!$L$2+M382*Prislapp!$M$2+N382*Prislapp!$N$2</f>
        <v>30802</v>
      </c>
      <c r="P382" s="42">
        <f>C382*Prislapp!$C$3+D382*Prislapp!$D$3+E382*Prislapp!$E$3+F382*Prislapp!$F$3+G382*Prislapp!$G$3+H382*Prislapp!$H$3+I382*Prislapp!$I$3+J382*Prislapp!$J$3+K382*Prislapp!$K$3+M382*Prislapp!$M$3+N382*Prislapp!$N$3</f>
        <v>63797</v>
      </c>
      <c r="Q382" s="42">
        <f>C382*Prislapp!$C$5+D382*Prislapp!$D$5+E382*Prislapp!$E$5+F382*Prislapp!$F$5+G382*Prislapp!$G$5+H382*Prislapp!$H$5+I382*Prislapp!$I$5+J382*Prislapp!$J$5+K382*Prislapp!$K$5+L382*Prislapp!$L$5+M382*Prislapp!$M$5+N382*Prislapp!$N$5</f>
        <v>70100</v>
      </c>
      <c r="R382" s="9">
        <f>VLOOKUP(A382,'Ansvar kurs'!$A$2:$B$847,2,FALSE)</f>
        <v>1650</v>
      </c>
      <c r="S382" s="159"/>
      <c r="T382" s="159"/>
      <c r="U382" s="159"/>
      <c r="V382" s="159"/>
      <c r="W382" s="159"/>
      <c r="X382" s="159"/>
      <c r="Y382" s="159"/>
      <c r="Z382" s="159"/>
    </row>
    <row r="383" spans="1:26" x14ac:dyDescent="0.25">
      <c r="A383" s="59" t="s">
        <v>865</v>
      </c>
      <c r="B383" s="31" t="s">
        <v>1182</v>
      </c>
      <c r="G383" s="31">
        <v>1</v>
      </c>
      <c r="O383" s="42">
        <f>C383*Prislapp!$C$2+D383*Prislapp!$D$2+E383*Prislapp!$E$2+F383*Prislapp!$F$2+G383*Prislapp!$G$2+H383*Prislapp!$H$2+I383*Prislapp!$I$2+J383*Prislapp!$J$2+K383*Prislapp!$K$2+L383*Prislapp!$L$2+M383*Prislapp!$M$2+N383*Prislapp!$N$2</f>
        <v>30802</v>
      </c>
      <c r="P383" s="42">
        <f>C383*Prislapp!$C$3+D383*Prislapp!$D$3+E383*Prislapp!$E$3+F383*Prislapp!$F$3+G383*Prislapp!$G$3+H383*Prislapp!$H$3+I383*Prislapp!$I$3+J383*Prislapp!$J$3+K383*Prislapp!$K$3+M383*Prislapp!$M$3+N383*Prislapp!$N$3</f>
        <v>63797</v>
      </c>
      <c r="Q383" s="42">
        <f>C383*Prislapp!$C$5+D383*Prislapp!$D$5+E383*Prislapp!$E$5+F383*Prislapp!$F$5+G383*Prislapp!$G$5+H383*Prislapp!$H$5+I383*Prislapp!$I$5+J383*Prislapp!$J$5+K383*Prislapp!$K$5+L383*Prislapp!$L$5+M383*Prislapp!$M$5+N383*Prislapp!$N$5</f>
        <v>70100</v>
      </c>
      <c r="R383" s="9">
        <f>VLOOKUP(A383,'Ansvar kurs'!$A$2:$B$847,2,FALSE)</f>
        <v>1650</v>
      </c>
      <c r="S383" s="159"/>
      <c r="T383" s="159"/>
      <c r="U383" s="159"/>
      <c r="V383" s="159"/>
      <c r="W383" s="159"/>
      <c r="X383" s="159"/>
      <c r="Y383" s="159"/>
      <c r="Z383" s="159"/>
    </row>
    <row r="384" spans="1:26" x14ac:dyDescent="0.25">
      <c r="A384" s="31" t="s">
        <v>567</v>
      </c>
      <c r="B384" s="31" t="s">
        <v>706</v>
      </c>
      <c r="G384" s="31">
        <v>1</v>
      </c>
      <c r="O384" s="42">
        <f>C384*Prislapp!$C$2+D384*Prislapp!$D$2+E384*Prislapp!$E$2+F384*Prislapp!$F$2+G384*Prislapp!$G$2+H384*Prislapp!$H$2+I384*Prislapp!$I$2+J384*Prislapp!$J$2+K384*Prislapp!$K$2+L384*Prislapp!$L$2+M384*Prislapp!$M$2+N384*Prislapp!$N$2</f>
        <v>30802</v>
      </c>
      <c r="P384" s="42">
        <f>C384*Prislapp!$C$3+D384*Prislapp!$D$3+E384*Prislapp!$E$3+F384*Prislapp!$F$3+G384*Prislapp!$G$3+H384*Prislapp!$H$3+I384*Prislapp!$I$3+J384*Prislapp!$J$3+K384*Prislapp!$K$3+M384*Prislapp!$M$3+N384*Prislapp!$N$3</f>
        <v>63797</v>
      </c>
      <c r="Q384" s="42">
        <f>C384*Prislapp!$C$5+D384*Prislapp!$D$5+E384*Prislapp!$E$5+F384*Prislapp!$F$5+G384*Prislapp!$G$5+H384*Prislapp!$H$5+I384*Prislapp!$I$5+J384*Prislapp!$J$5+K384*Prislapp!$K$5+L384*Prislapp!$L$5+M384*Prislapp!$M$5+N384*Prislapp!$N$5</f>
        <v>70100</v>
      </c>
      <c r="R384" s="9">
        <f>VLOOKUP(A384,'Ansvar kurs'!$A$2:$B$847,2,FALSE)</f>
        <v>1650</v>
      </c>
      <c r="S384" s="159"/>
      <c r="T384" s="159"/>
      <c r="U384" s="159"/>
      <c r="V384" s="159"/>
      <c r="W384" s="159"/>
      <c r="X384" s="159"/>
      <c r="Y384" s="159"/>
      <c r="Z384" s="159"/>
    </row>
    <row r="385" spans="1:26" x14ac:dyDescent="0.25">
      <c r="A385" s="31" t="s">
        <v>646</v>
      </c>
      <c r="B385" s="31" t="s">
        <v>766</v>
      </c>
      <c r="G385" s="31">
        <v>1</v>
      </c>
      <c r="O385" s="42">
        <f>C385*Prislapp!$C$2+D385*Prislapp!$D$2+E385*Prislapp!$E$2+F385*Prislapp!$F$2+G385*Prislapp!$G$2+H385*Prislapp!$H$2+I385*Prislapp!$I$2+J385*Prislapp!$J$2+K385*Prislapp!$K$2+L385*Prislapp!$L$2+M385*Prislapp!$M$2+N385*Prislapp!$N$2</f>
        <v>30802</v>
      </c>
      <c r="P385" s="42">
        <f>C385*Prislapp!$C$3+D385*Prislapp!$D$3+E385*Prislapp!$E$3+F385*Prislapp!$F$3+G385*Prislapp!$G$3+H385*Prislapp!$H$3+I385*Prislapp!$I$3+J385*Prislapp!$J$3+K385*Prislapp!$K$3+M385*Prislapp!$M$3+N385*Prislapp!$N$3</f>
        <v>63797</v>
      </c>
      <c r="Q385" s="42">
        <f>C385*Prislapp!$C$5+D385*Prislapp!$D$5+E385*Prislapp!$E$5+F385*Prislapp!$F$5+G385*Prislapp!$G$5+H385*Prislapp!$H$5+I385*Prislapp!$I$5+J385*Prislapp!$J$5+K385*Prislapp!$K$5+L385*Prislapp!$L$5+M385*Prislapp!$M$5+N385*Prislapp!$N$5</f>
        <v>70100</v>
      </c>
      <c r="R385" s="9">
        <f>VLOOKUP(A385,'Ansvar kurs'!$A$2:$B$847,2,FALSE)</f>
        <v>1650</v>
      </c>
      <c r="S385" s="159"/>
      <c r="T385" s="159"/>
      <c r="U385" s="159"/>
      <c r="V385" s="159"/>
      <c r="W385" s="159"/>
      <c r="X385" s="159"/>
      <c r="Y385" s="159"/>
      <c r="Z385" s="159"/>
    </row>
    <row r="386" spans="1:26" x14ac:dyDescent="0.25">
      <c r="A386" s="31" t="s">
        <v>1126</v>
      </c>
      <c r="B386" s="31" t="s">
        <v>1183</v>
      </c>
      <c r="G386" s="31">
        <v>1</v>
      </c>
      <c r="O386" s="42">
        <f>C386*Prislapp!$C$2+D386*Prislapp!$D$2+E386*Prislapp!$E$2+F386*Prislapp!$F$2+G386*Prislapp!$G$2+H386*Prislapp!$H$2+I386*Prislapp!$I$2+J386*Prislapp!$J$2+K386*Prislapp!$K$2+L386*Prislapp!$L$2+M386*Prislapp!$M$2+N386*Prislapp!$N$2</f>
        <v>30802</v>
      </c>
      <c r="P386" s="42">
        <f>C386*Prislapp!$C$3+D386*Prislapp!$D$3+E386*Prislapp!$E$3+F386*Prislapp!$F$3+G386*Prislapp!$G$3+H386*Prislapp!$H$3+I386*Prislapp!$I$3+J386*Prislapp!$J$3+K386*Prislapp!$K$3+M386*Prislapp!$M$3+N386*Prislapp!$N$3</f>
        <v>63797</v>
      </c>
      <c r="Q386" s="42">
        <f>C386*Prislapp!$C$5+D386*Prislapp!$D$5+E386*Prislapp!$E$5+F386*Prislapp!$F$5+G386*Prislapp!$G$5+H386*Prislapp!$H$5+I386*Prislapp!$I$5+J386*Prislapp!$J$5+K386*Prislapp!$K$5+L386*Prislapp!$L$5+M386*Prislapp!$M$5+N386*Prislapp!$N$5</f>
        <v>70100</v>
      </c>
      <c r="R386" s="9">
        <f>VLOOKUP(A386,'Ansvar kurs'!$A$2:$B$847,2,FALSE)</f>
        <v>1650</v>
      </c>
      <c r="S386" s="31" t="s">
        <v>1353</v>
      </c>
      <c r="U386" s="159"/>
      <c r="V386" s="159"/>
      <c r="W386" s="159"/>
      <c r="X386" s="159"/>
      <c r="Y386" s="159"/>
      <c r="Z386" s="159"/>
    </row>
    <row r="387" spans="1:26" x14ac:dyDescent="0.25">
      <c r="A387" s="31" t="s">
        <v>1316</v>
      </c>
      <c r="B387" t="s">
        <v>1317</v>
      </c>
      <c r="D387" s="31">
        <v>1</v>
      </c>
      <c r="O387" s="42">
        <f>C387*Prislapp!$C$2+D387*Prislapp!$D$2+E387*Prislapp!$E$2+F387*Prislapp!$F$2+G387*Prislapp!$G$2+H387*Prislapp!$H$2+I387*Prislapp!$I$2+J387*Prislapp!$J$2+K387*Prislapp!$K$2+L387*Prislapp!$L$2+M387*Prislapp!$M$2+N387*Prislapp!$N$2</f>
        <v>18405</v>
      </c>
      <c r="P387" s="42">
        <f>C387*Prislapp!$C$3+D387*Prislapp!$D$3+E387*Prislapp!$E$3+F387*Prislapp!$F$3+G387*Prislapp!$G$3+H387*Prislapp!$H$3+I387*Prislapp!$I$3+J387*Prislapp!$J$3+K387*Prislapp!$K$3+M387*Prislapp!$M$3+N387*Prislapp!$N$3</f>
        <v>15773</v>
      </c>
      <c r="Q387" s="42">
        <f>C387*Prislapp!$C$5+D387*Prislapp!$D$5+E387*Prislapp!$E$5+F387*Prislapp!$F$5+G387*Prislapp!$G$5+H387*Prislapp!$H$5+I387*Prislapp!$I$5+J387*Prislapp!$J$5+K387*Prislapp!$K$5+L387*Prislapp!$L$5+M387*Prislapp!$M$5+N387*Prislapp!$N$5</f>
        <v>5800</v>
      </c>
      <c r="R387" s="9">
        <f>VLOOKUP(A387,'Ansvar kurs'!$A$2:$B$847,2,FALSE)</f>
        <v>1650</v>
      </c>
      <c r="U387" s="159"/>
      <c r="V387" s="159"/>
      <c r="W387" s="159"/>
      <c r="X387" s="159"/>
      <c r="Y387" s="159"/>
      <c r="Z387" s="159"/>
    </row>
    <row r="388" spans="1:26" x14ac:dyDescent="0.25">
      <c r="A388" s="31" t="s">
        <v>1318</v>
      </c>
      <c r="B388" t="s">
        <v>1341</v>
      </c>
      <c r="G388" s="31">
        <v>1</v>
      </c>
      <c r="O388" s="42">
        <f>C388*Prislapp!$C$2+D388*Prislapp!$D$2+E388*Prislapp!$E$2+F388*Prislapp!$F$2+G388*Prislapp!$G$2+H388*Prislapp!$H$2+I388*Prislapp!$I$2+J388*Prislapp!$J$2+K388*Prislapp!$K$2+L388*Prislapp!$L$2+M388*Prislapp!$M$2+N388*Prislapp!$N$2</f>
        <v>30802</v>
      </c>
      <c r="P388" s="42">
        <f>C388*Prislapp!$C$3+D388*Prislapp!$D$3+E388*Prislapp!$E$3+F388*Prislapp!$F$3+G388*Prislapp!$G$3+H388*Prislapp!$H$3+I388*Prislapp!$I$3+J388*Prislapp!$J$3+K388*Prislapp!$K$3+M388*Prislapp!$M$3+N388*Prislapp!$N$3</f>
        <v>63797</v>
      </c>
      <c r="Q388" s="42">
        <f>C388*Prislapp!$C$5+D388*Prislapp!$D$5+E388*Prislapp!$E$5+F388*Prislapp!$F$5+G388*Prislapp!$G$5+H388*Prislapp!$H$5+I388*Prislapp!$I$5+J388*Prislapp!$J$5+K388*Prislapp!$K$5+L388*Prislapp!$L$5+M388*Prislapp!$M$5+N388*Prislapp!$N$5</f>
        <v>70100</v>
      </c>
      <c r="R388" s="9">
        <f>VLOOKUP(A388,'Ansvar kurs'!$A$2:$B$847,2,FALSE)</f>
        <v>1650</v>
      </c>
      <c r="S388" s="31" t="s">
        <v>1353</v>
      </c>
      <c r="U388" s="159"/>
      <c r="V388" s="159"/>
      <c r="W388" s="159"/>
      <c r="X388" s="159"/>
      <c r="Y388" s="159"/>
      <c r="Z388" s="159"/>
    </row>
    <row r="389" spans="1:26" x14ac:dyDescent="0.25">
      <c r="A389" s="245" t="s">
        <v>1354</v>
      </c>
      <c r="B389" s="62" t="s">
        <v>1331</v>
      </c>
      <c r="G389" s="31">
        <v>1</v>
      </c>
      <c r="O389" s="42">
        <f>C389*Prislapp!$C$2+D389*Prislapp!$D$2+E389*Prislapp!$E$2+F389*Prislapp!$F$2+G389*Prislapp!$G$2+H389*Prislapp!$H$2+I389*Prislapp!$I$2+J389*Prislapp!$J$2+K389*Prislapp!$K$2+L389*Prislapp!$L$2+M389*Prislapp!$M$2+N389*Prislapp!$N$2</f>
        <v>30802</v>
      </c>
      <c r="P389" s="42">
        <f>C389*Prislapp!$C$3+D389*Prislapp!$D$3+E389*Prislapp!$E$3+F389*Prislapp!$F$3+G389*Prislapp!$G$3+H389*Prislapp!$H$3+I389*Prislapp!$I$3+J389*Prislapp!$J$3+K389*Prislapp!$K$3+M389*Prislapp!$M$3+N389*Prislapp!$N$3</f>
        <v>63797</v>
      </c>
      <c r="Q389" s="42">
        <f>C389*Prislapp!$C$5+D389*Prislapp!$D$5+E389*Prislapp!$E$5+F389*Prislapp!$F$5+G389*Prislapp!$G$5+H389*Prislapp!$H$5+I389*Prislapp!$I$5+J389*Prislapp!$J$5+K389*Prislapp!$K$5+L389*Prislapp!$L$5+M389*Prislapp!$M$5+N389*Prislapp!$N$5</f>
        <v>70100</v>
      </c>
      <c r="R389" s="9">
        <f>VLOOKUP(A389,'Ansvar kurs'!$A$2:$B$847,2,FALSE)</f>
        <v>1650</v>
      </c>
      <c r="S389" s="182" t="s">
        <v>1517</v>
      </c>
      <c r="T389" s="182"/>
      <c r="U389" s="159"/>
      <c r="V389" s="159"/>
      <c r="W389" s="159"/>
      <c r="X389" s="159"/>
      <c r="Y389" s="159"/>
      <c r="Z389" s="159"/>
    </row>
    <row r="390" spans="1:26" x14ac:dyDescent="0.25">
      <c r="A390" s="245" t="s">
        <v>1355</v>
      </c>
      <c r="B390" s="62" t="s">
        <v>1356</v>
      </c>
      <c r="G390" s="31">
        <v>1</v>
      </c>
      <c r="O390" s="42">
        <f>C390*Prislapp!$C$2+D390*Prislapp!$D$2+E390*Prislapp!$E$2+F390*Prislapp!$F$2+G390*Prislapp!$G$2+H390*Prislapp!$H$2+I390*Prislapp!$I$2+J390*Prislapp!$J$2+K390*Prislapp!$K$2+L390*Prislapp!$L$2+M390*Prislapp!$M$2+N390*Prislapp!$N$2</f>
        <v>30802</v>
      </c>
      <c r="P390" s="42">
        <f>C390*Prislapp!$C$3+D390*Prislapp!$D$3+E390*Prislapp!$E$3+F390*Prislapp!$F$3+G390*Prislapp!$G$3+H390*Prislapp!$H$3+I390*Prislapp!$I$3+J390*Prislapp!$J$3+K390*Prislapp!$K$3+M390*Prislapp!$M$3+N390*Prislapp!$N$3</f>
        <v>63797</v>
      </c>
      <c r="Q390" s="42">
        <f>C390*Prislapp!$C$5+D390*Prislapp!$D$5+E390*Prislapp!$E$5+F390*Prislapp!$F$5+G390*Prislapp!$G$5+H390*Prislapp!$H$5+I390*Prislapp!$I$5+J390*Prislapp!$J$5+K390*Prislapp!$K$5+L390*Prislapp!$L$5+M390*Prislapp!$M$5+N390*Prislapp!$N$5</f>
        <v>70100</v>
      </c>
      <c r="R390" s="9">
        <f>VLOOKUP(A390,'Ansvar kurs'!$A$2:$B$847,2,FALSE)</f>
        <v>1650</v>
      </c>
      <c r="S390" s="182" t="s">
        <v>1517</v>
      </c>
      <c r="T390" s="182"/>
      <c r="U390" s="159"/>
      <c r="V390" s="159"/>
      <c r="W390" s="159"/>
      <c r="X390" s="159"/>
      <c r="Y390" s="159"/>
      <c r="Z390" s="159"/>
    </row>
    <row r="391" spans="1:26" x14ac:dyDescent="0.25">
      <c r="A391" s="245" t="s">
        <v>1576</v>
      </c>
      <c r="B391" s="62" t="s">
        <v>1594</v>
      </c>
      <c r="G391" s="31">
        <v>1</v>
      </c>
      <c r="O391" s="42">
        <f>C391*Prislapp!$C$2+D391*Prislapp!$D$2+E391*Prislapp!$E$2+F391*Prislapp!$F$2+G391*Prislapp!$G$2+H391*Prislapp!$H$2+I391*Prislapp!$I$2+J391*Prislapp!$J$2+K391*Prislapp!$K$2+L391*Prislapp!$L$2+M391*Prislapp!$M$2+N391*Prislapp!$N$2</f>
        <v>30802</v>
      </c>
      <c r="P391" s="42">
        <f>C391*Prislapp!$C$3+D391*Prislapp!$D$3+E391*Prislapp!$E$3+F391*Prislapp!$F$3+G391*Prislapp!$G$3+H391*Prislapp!$H$3+I391*Prislapp!$I$3+J391*Prislapp!$J$3+K391*Prislapp!$K$3+M391*Prislapp!$M$3+N391*Prislapp!$N$3</f>
        <v>63797</v>
      </c>
      <c r="Q391" s="42">
        <f>C391*Prislapp!$C$5+D391*Prislapp!$D$5+E391*Prislapp!$E$5+F391*Prislapp!$F$5+G391*Prislapp!$G$5+H391*Prislapp!$H$5+I391*Prislapp!$I$5+J391*Prislapp!$J$5+K391*Prislapp!$K$5+L391*Prislapp!$L$5+M391*Prislapp!$M$5+N391*Prislapp!$N$5</f>
        <v>70100</v>
      </c>
      <c r="R391" s="9">
        <f>VLOOKUP(A391,'Ansvar kurs'!$A$2:$B$847,2,FALSE)</f>
        <v>1650</v>
      </c>
      <c r="S391" s="182"/>
      <c r="T391" s="182"/>
      <c r="U391" s="159"/>
      <c r="V391" s="159"/>
      <c r="W391" s="159"/>
      <c r="X391" s="159"/>
      <c r="Y391" s="159"/>
      <c r="Z391" s="159"/>
    </row>
    <row r="392" spans="1:26" x14ac:dyDescent="0.25">
      <c r="A392" s="245" t="s">
        <v>1578</v>
      </c>
      <c r="B392" s="62" t="s">
        <v>1595</v>
      </c>
      <c r="G392" s="31">
        <v>1</v>
      </c>
      <c r="O392" s="42">
        <f>C392*Prislapp!$C$2+D392*Prislapp!$D$2+E392*Prislapp!$E$2+F392*Prislapp!$F$2+G392*Prislapp!$G$2+H392*Prislapp!$H$2+I392*Prislapp!$I$2+J392*Prislapp!$J$2+K392*Prislapp!$K$2+L392*Prislapp!$L$2+M392*Prislapp!$M$2+N392*Prislapp!$N$2</f>
        <v>30802</v>
      </c>
      <c r="P392" s="42">
        <f>C392*Prislapp!$C$3+D392*Prislapp!$D$3+E392*Prislapp!$E$3+F392*Prislapp!$F$3+G392*Prislapp!$G$3+H392*Prislapp!$H$3+I392*Prislapp!$I$3+J392*Prislapp!$J$3+K392*Prislapp!$K$3+M392*Prislapp!$M$3+N392*Prislapp!$N$3</f>
        <v>63797</v>
      </c>
      <c r="Q392" s="42">
        <f>C392*Prislapp!$C$5+D392*Prislapp!$D$5+E392*Prislapp!$E$5+F392*Prislapp!$F$5+G392*Prislapp!$G$5+H392*Prislapp!$H$5+I392*Prislapp!$I$5+J392*Prislapp!$J$5+K392*Prislapp!$K$5+L392*Prislapp!$L$5+M392*Prislapp!$M$5+N392*Prislapp!$N$5</f>
        <v>70100</v>
      </c>
      <c r="R392" s="9">
        <f>VLOOKUP(A392,'Ansvar kurs'!$A$2:$B$847,2,FALSE)</f>
        <v>1650</v>
      </c>
      <c r="S392" s="182"/>
      <c r="T392" s="182"/>
      <c r="U392" s="159"/>
      <c r="V392" s="159"/>
      <c r="W392" s="159"/>
      <c r="X392" s="159"/>
      <c r="Y392" s="159"/>
      <c r="Z392" s="159"/>
    </row>
    <row r="393" spans="1:26" x14ac:dyDescent="0.25">
      <c r="A393" s="31" t="s">
        <v>1718</v>
      </c>
      <c r="B393" s="31" t="s">
        <v>1623</v>
      </c>
      <c r="M393" s="31">
        <v>1</v>
      </c>
      <c r="O393" s="42">
        <f>C393*Prislapp!$C$2+D393*Prislapp!$D$2+E393*Prislapp!$E$2+F393*Prislapp!$F$2+G393*Prislapp!$G$2+H393*Prislapp!$H$2+I393*Prislapp!$I$2+J393*Prislapp!$J$2+K393*Prislapp!$K$2+L393*Prislapp!$L$2+M393*Prislapp!$M$2+N393*Prislapp!$N$2</f>
        <v>15846</v>
      </c>
      <c r="P393" s="42">
        <f>C393*Prislapp!$C$3+D393*Prislapp!$D$3+E393*Prislapp!$E$3+F393*Prislapp!$F$3+G393*Prislapp!$G$3+H393*Prislapp!$H$3+I393*Prislapp!$I$3+J393*Prislapp!$J$3+K393*Prislapp!$K$3+M393*Prislapp!$M$3+N393*Prislapp!$N$3</f>
        <v>26926</v>
      </c>
      <c r="Q393" s="42">
        <f>C393*Prislapp!$C$5+D393*Prislapp!$D$5+E393*Prislapp!$E$5+F393*Prislapp!$F$5+G393*Prislapp!$G$5+H393*Prislapp!$H$5+I393*Prislapp!$I$5+J393*Prislapp!$J$5+K393*Prislapp!$K$5+L393*Prislapp!$L$5+M393*Prislapp!$M$5+N393*Prislapp!$N$5</f>
        <v>17300</v>
      </c>
      <c r="R393" s="9">
        <f>VLOOKUP(A393,'Ansvar kurs'!$A$2:$B$847,2,FALSE)</f>
        <v>1650</v>
      </c>
      <c r="S393" s="159" t="s">
        <v>1902</v>
      </c>
      <c r="T393" s="159"/>
      <c r="U393" s="159"/>
      <c r="V393" s="159"/>
      <c r="W393" s="159"/>
      <c r="X393" s="159"/>
      <c r="Y393" s="159"/>
      <c r="Z393" s="159"/>
    </row>
    <row r="394" spans="1:26" x14ac:dyDescent="0.25">
      <c r="A394" s="31" t="s">
        <v>1914</v>
      </c>
      <c r="B394" s="31" t="s">
        <v>1915</v>
      </c>
      <c r="G394" s="31">
        <v>1</v>
      </c>
      <c r="O394" s="42">
        <f>C394*Prislapp!$C$2+D394*Prislapp!$D$2+E394*Prislapp!$E$2+F394*Prislapp!$F$2+G394*Prislapp!$G$2+H394*Prislapp!$H$2+I394*Prislapp!$I$2+J394*Prislapp!$J$2+K394*Prislapp!$K$2+L394*Prislapp!$L$2+M394*Prislapp!$M$2+N394*Prislapp!$N$2</f>
        <v>30802</v>
      </c>
      <c r="P394" s="42">
        <f>C394*Prislapp!$C$3+D394*Prislapp!$D$3+E394*Prislapp!$E$3+F394*Prislapp!$F$3+G394*Prislapp!$G$3+H394*Prislapp!$H$3+I394*Prislapp!$I$3+J394*Prislapp!$J$3+K394*Prislapp!$K$3+M394*Prislapp!$M$3+N394*Prislapp!$N$3</f>
        <v>63797</v>
      </c>
      <c r="Q394" s="42">
        <f>C394*Prislapp!$C$5+D394*Prislapp!$D$5+E394*Prislapp!$E$5+F394*Prislapp!$F$5+G394*Prislapp!$G$5+H394*Prislapp!$H$5+I394*Prislapp!$I$5+J394*Prislapp!$J$5+K394*Prislapp!$K$5+L394*Prislapp!$L$5+M394*Prislapp!$M$5+N394*Prislapp!$N$5</f>
        <v>70100</v>
      </c>
      <c r="R394" s="9">
        <f>VLOOKUP(A394,'Ansvar kurs'!$A$2:$B$847,2,FALSE)</f>
        <v>1650</v>
      </c>
      <c r="S394" s="159"/>
      <c r="T394" s="159"/>
      <c r="U394" s="159"/>
      <c r="V394" s="159"/>
      <c r="W394" s="159"/>
      <c r="X394" s="159"/>
      <c r="Y394" s="159"/>
      <c r="Z394" s="159"/>
    </row>
    <row r="395" spans="1:26" x14ac:dyDescent="0.25">
      <c r="A395" s="245" t="s">
        <v>2197</v>
      </c>
      <c r="B395" s="62" t="s">
        <v>2210</v>
      </c>
      <c r="G395" s="31">
        <v>1</v>
      </c>
      <c r="O395" s="42">
        <f>C395*Prislapp!$C$2+D395*Prislapp!$D$2+E395*Prislapp!$E$2+F395*Prislapp!$F$2+G395*Prislapp!$G$2+H395*Prislapp!$H$2+I395*Prislapp!$I$2+J395*Prislapp!$J$2+K395*Prislapp!$K$2+L395*Prislapp!$L$2+M395*Prislapp!$M$2+N395*Prislapp!$N$2</f>
        <v>30802</v>
      </c>
      <c r="P395" s="42">
        <f>C395*Prislapp!$C$3+D395*Prislapp!$D$3+E395*Prislapp!$E$3+F395*Prislapp!$F$3+G395*Prislapp!$G$3+H395*Prislapp!$H$3+I395*Prislapp!$I$3+J395*Prislapp!$J$3+K395*Prislapp!$K$3+M395*Prislapp!$M$3+N395*Prislapp!$N$3</f>
        <v>63797</v>
      </c>
      <c r="Q395" s="42">
        <f>C395*Prislapp!$C$5+D395*Prislapp!$D$5+E395*Prislapp!$E$5+F395*Prislapp!$F$5+G395*Prislapp!$G$5+H395*Prislapp!$H$5+I395*Prislapp!$I$5+J395*Prislapp!$J$5+K395*Prislapp!$K$5+L395*Prislapp!$L$5+M395*Prislapp!$M$5+N395*Prislapp!$N$5</f>
        <v>70100</v>
      </c>
      <c r="R395" s="9">
        <f>VLOOKUP(A395,'Ansvar kurs'!$A$2:$B$847,2,FALSE)</f>
        <v>1650</v>
      </c>
      <c r="S395" s="159"/>
      <c r="T395" s="159"/>
      <c r="U395" s="159"/>
      <c r="V395" s="159"/>
      <c r="W395" s="159"/>
      <c r="X395" s="159"/>
      <c r="Y395" s="159"/>
      <c r="Z395" s="159"/>
    </row>
    <row r="396" spans="1:26" x14ac:dyDescent="0.25">
      <c r="A396" s="245" t="s">
        <v>2198</v>
      </c>
      <c r="B396" s="62" t="s">
        <v>2211</v>
      </c>
      <c r="G396" s="31">
        <v>1</v>
      </c>
      <c r="O396" s="42">
        <f>C396*Prislapp!$C$2+D396*Prislapp!$D$2+E396*Prislapp!$E$2+F396*Prislapp!$F$2+G396*Prislapp!$G$2+H396*Prislapp!$H$2+I396*Prislapp!$I$2+J396*Prislapp!$J$2+K396*Prislapp!$K$2+L396*Prislapp!$L$2+M396*Prislapp!$M$2+N396*Prislapp!$N$2</f>
        <v>30802</v>
      </c>
      <c r="P396" s="42">
        <f>C396*Prislapp!$C$3+D396*Prislapp!$D$3+E396*Prislapp!$E$3+F396*Prislapp!$F$3+G396*Prislapp!$G$3+H396*Prislapp!$H$3+I396*Prislapp!$I$3+J396*Prislapp!$J$3+K396*Prislapp!$K$3+M396*Prislapp!$M$3+N396*Prislapp!$N$3</f>
        <v>63797</v>
      </c>
      <c r="Q396" s="42">
        <f>C396*Prislapp!$C$5+D396*Prislapp!$D$5+E396*Prislapp!$E$5+F396*Prislapp!$F$5+G396*Prislapp!$G$5+H396*Prislapp!$H$5+I396*Prislapp!$I$5+J396*Prislapp!$J$5+K396*Prislapp!$K$5+L396*Prislapp!$L$5+M396*Prislapp!$M$5+N396*Prislapp!$N$5</f>
        <v>70100</v>
      </c>
      <c r="R396" s="9">
        <f>VLOOKUP(A396,'Ansvar kurs'!$A$2:$B$847,2,FALSE)</f>
        <v>1650</v>
      </c>
      <c r="S396" s="159"/>
      <c r="T396" s="159"/>
      <c r="U396" s="159"/>
      <c r="V396" s="159"/>
      <c r="W396" s="159"/>
      <c r="X396" s="159"/>
      <c r="Y396" s="159"/>
      <c r="Z396" s="159"/>
    </row>
    <row r="397" spans="1:26" x14ac:dyDescent="0.25">
      <c r="A397" s="245" t="s">
        <v>2199</v>
      </c>
      <c r="B397" s="62" t="s">
        <v>2212</v>
      </c>
      <c r="G397" s="31">
        <v>1</v>
      </c>
      <c r="O397" s="42">
        <f>C397*Prislapp!$C$2+D397*Prislapp!$D$2+E397*Prislapp!$E$2+F397*Prislapp!$F$2+G397*Prislapp!$G$2+H397*Prislapp!$H$2+I397*Prislapp!$I$2+J397*Prislapp!$J$2+K397*Prislapp!$K$2+L397*Prislapp!$L$2+M397*Prislapp!$M$2+N397*Prislapp!$N$2</f>
        <v>30802</v>
      </c>
      <c r="P397" s="42">
        <f>C397*Prislapp!$C$3+D397*Prislapp!$D$3+E397*Prislapp!$E$3+F397*Prislapp!$F$3+G397*Prislapp!$G$3+H397*Prislapp!$H$3+I397*Prislapp!$I$3+J397*Prislapp!$J$3+K397*Prislapp!$K$3+M397*Prislapp!$M$3+N397*Prislapp!$N$3</f>
        <v>63797</v>
      </c>
      <c r="Q397" s="42">
        <f>C397*Prislapp!$C$5+D397*Prislapp!$D$5+E397*Prislapp!$E$5+F397*Prislapp!$F$5+G397*Prislapp!$G$5+H397*Prislapp!$H$5+I397*Prislapp!$I$5+J397*Prislapp!$J$5+K397*Prislapp!$K$5+L397*Prislapp!$L$5+M397*Prislapp!$M$5+N397*Prislapp!$N$5</f>
        <v>70100</v>
      </c>
      <c r="R397" s="9">
        <f>VLOOKUP(A397,'Ansvar kurs'!$A$2:$B$847,2,FALSE)</f>
        <v>1650</v>
      </c>
      <c r="S397" s="159"/>
      <c r="T397" s="159"/>
      <c r="U397" s="159"/>
      <c r="V397" s="159"/>
      <c r="W397" s="159"/>
      <c r="X397" s="159"/>
      <c r="Y397" s="159"/>
      <c r="Z397" s="159"/>
    </row>
    <row r="398" spans="1:26" x14ac:dyDescent="0.25">
      <c r="A398" s="39" t="s">
        <v>2100</v>
      </c>
      <c r="B398" s="31" t="s">
        <v>765</v>
      </c>
      <c r="G398" s="59">
        <v>1</v>
      </c>
      <c r="O398" s="42">
        <f>C398*Prislapp!$C$2+D398*Prislapp!$D$2+E398*Prislapp!$E$2+F398*Prislapp!$F$2+G398*Prislapp!$G$2+H398*Prislapp!$H$2+I398*Prislapp!$I$2+J398*Prislapp!$J$2+K398*Prislapp!$K$2+L398*Prislapp!$L$2+M398*Prislapp!$M$2+N398*Prislapp!$N$2</f>
        <v>30802</v>
      </c>
      <c r="P398" s="42">
        <f>C398*Prislapp!$C$3+D398*Prislapp!$D$3+E398*Prislapp!$E$3+F398*Prislapp!$F$3+G398*Prislapp!$G$3+H398*Prislapp!$H$3+I398*Prislapp!$I$3+J398*Prislapp!$J$3+K398*Prislapp!$K$3+M398*Prislapp!$M$3+N398*Prislapp!$N$3</f>
        <v>63797</v>
      </c>
      <c r="Q398" s="42">
        <f>C398*Prislapp!$C$5+D398*Prislapp!$D$5+E398*Prislapp!$E$5+F398*Prislapp!$F$5+G398*Prislapp!$G$5+H398*Prislapp!$H$5+I398*Prislapp!$I$5+J398*Prislapp!$J$5+K398*Prislapp!$K$5+L398*Prislapp!$L$5+M398*Prislapp!$M$5+N398*Prislapp!$N$5</f>
        <v>70100</v>
      </c>
      <c r="R398" s="9">
        <f>VLOOKUP(A398,'Ansvar kurs'!$A$2:$B$847,2,FALSE)</f>
        <v>1650</v>
      </c>
      <c r="S398" s="159"/>
      <c r="T398" s="159"/>
      <c r="U398" s="159"/>
      <c r="V398" s="159"/>
      <c r="W398" s="159"/>
      <c r="X398" s="159"/>
      <c r="Y398" s="159"/>
      <c r="Z398" s="159"/>
    </row>
    <row r="399" spans="1:26" x14ac:dyDescent="0.25">
      <c r="A399" s="506" t="s">
        <v>2107</v>
      </c>
      <c r="B399" s="62" t="s">
        <v>1583</v>
      </c>
      <c r="G399" s="31">
        <v>1</v>
      </c>
      <c r="O399" s="42">
        <f>C399*Prislapp!$C$2+D399*Prislapp!$D$2+E399*Prislapp!$E$2+F399*Prislapp!$F$2+G399*Prislapp!$G$2+H399*Prislapp!$H$2+I399*Prislapp!$I$2+J399*Prislapp!$J$2+K399*Prislapp!$K$2+L399*Prislapp!$L$2+M399*Prislapp!$M$2+N399*Prislapp!$N$2</f>
        <v>30802</v>
      </c>
      <c r="P399" s="42">
        <f>C399*Prislapp!$C$3+D399*Prislapp!$D$3+E399*Prislapp!$E$3+F399*Prislapp!$F$3+G399*Prislapp!$G$3+H399*Prislapp!$H$3+I399*Prislapp!$I$3+J399*Prislapp!$J$3+K399*Prislapp!$K$3+M399*Prislapp!$M$3+N399*Prislapp!$N$3</f>
        <v>63797</v>
      </c>
      <c r="Q399" s="42">
        <f>C399*Prislapp!$C$5+D399*Prislapp!$D$5+E399*Prislapp!$E$5+F399*Prislapp!$F$5+G399*Prislapp!$G$5+H399*Prislapp!$H$5+I399*Prislapp!$I$5+J399*Prislapp!$J$5+K399*Prislapp!$K$5+L399*Prislapp!$L$5+M399*Prislapp!$M$5+N399*Prislapp!$N$5</f>
        <v>70100</v>
      </c>
      <c r="R399" s="9">
        <f>VLOOKUP(A399,'Ansvar kurs'!$A$2:$B$847,2,FALSE)</f>
        <v>1650</v>
      </c>
      <c r="S399" s="182"/>
      <c r="T399" s="182"/>
      <c r="U399" s="159"/>
      <c r="V399" s="159"/>
      <c r="W399" s="159"/>
      <c r="X399" s="159"/>
      <c r="Y399" s="159"/>
      <c r="Z399" s="159"/>
    </row>
    <row r="400" spans="1:26" x14ac:dyDescent="0.25">
      <c r="A400" s="31" t="s">
        <v>434</v>
      </c>
      <c r="B400" s="31" t="s">
        <v>707</v>
      </c>
      <c r="I400" s="31">
        <v>1</v>
      </c>
      <c r="O400" s="42">
        <f>C400*Prislapp!$C$2+D400*Prislapp!$D$2+E400*Prislapp!$E$2+F400*Prislapp!$F$2+G400*Prislapp!$G$2+H400*Prislapp!$H$2+I400*Prislapp!$I$2+J400*Prislapp!$J$2+K400*Prislapp!$K$2+L400*Prislapp!$L$2+M400*Prislapp!$M$2+N400*Prislapp!$N$2</f>
        <v>18405</v>
      </c>
      <c r="P400" s="42">
        <f>C400*Prislapp!$C$3+D400*Prislapp!$D$3+E400*Prislapp!$E$3+F400*Prislapp!$F$3+G400*Prislapp!$G$3+H400*Prislapp!$H$3+I400*Prislapp!$I$3+J400*Prislapp!$J$3+K400*Prislapp!$K$3+M400*Prislapp!$M$3+N400*Prislapp!$N$3</f>
        <v>15773</v>
      </c>
      <c r="Q400" s="42">
        <f>C400*Prislapp!$C$5+D400*Prislapp!$D$5+E400*Prislapp!$E$5+F400*Prislapp!$F$5+G400*Prislapp!$G$5+H400*Prislapp!$H$5+I400*Prislapp!$I$5+J400*Prislapp!$J$5+K400*Prislapp!$K$5+L400*Prislapp!$L$5+M400*Prislapp!$M$5+N400*Prislapp!$N$5</f>
        <v>5800</v>
      </c>
      <c r="R400" s="9">
        <f>VLOOKUP(A400,'Ansvar kurs'!$A$2:$B$847,2,FALSE)</f>
        <v>2271</v>
      </c>
      <c r="S400" s="159"/>
      <c r="T400" s="159"/>
      <c r="U400" s="159"/>
      <c r="V400" s="159"/>
      <c r="W400" s="159"/>
      <c r="X400" s="159"/>
      <c r="Y400" s="159"/>
      <c r="Z400" s="159"/>
    </row>
    <row r="401" spans="1:26" x14ac:dyDescent="0.25">
      <c r="A401" s="245" t="s">
        <v>1802</v>
      </c>
      <c r="B401" s="31" t="s">
        <v>1810</v>
      </c>
      <c r="K401" s="31">
        <v>1</v>
      </c>
      <c r="O401" s="42">
        <f>C401*Prislapp!$C$2+D401*Prislapp!$D$2+E401*Prislapp!$E$2+F401*Prislapp!$F$2+G401*Prislapp!$G$2+H401*Prislapp!$H$2+I401*Prislapp!$I$2+J401*Prislapp!$J$2+K401*Prislapp!$K$2+L401*Prislapp!$L$2+M401*Prislapp!$M$2+N401*Prislapp!$N$2</f>
        <v>21634</v>
      </c>
      <c r="P401" s="42">
        <f>C401*Prislapp!$C$3+D401*Prislapp!$D$3+E401*Prislapp!$E$3+F401*Prislapp!$F$3+G401*Prislapp!$G$3+H401*Prislapp!$H$3+I401*Prislapp!$I$3+J401*Prislapp!$J$3+K401*Prislapp!$K$3+M401*Prislapp!$M$3+N401*Prislapp!$N$3</f>
        <v>26986</v>
      </c>
      <c r="Q401" s="42">
        <f>C401*Prislapp!$C$5+D401*Prislapp!$D$5+E401*Prislapp!$E$5+F401*Prislapp!$F$5+G401*Prislapp!$G$5+H401*Prislapp!$H$5+I401*Prislapp!$I$5+J401*Prislapp!$J$5+K401*Prislapp!$K$5+L401*Prislapp!$L$5+M401*Prislapp!$M$5+N401*Prislapp!$N$5</f>
        <v>3400</v>
      </c>
      <c r="R401" s="9">
        <f>VLOOKUP(A401,'Ansvar kurs'!$A$2:$B$847,2,FALSE)</f>
        <v>5740</v>
      </c>
      <c r="S401" s="159"/>
      <c r="T401" s="159"/>
      <c r="U401" s="159"/>
      <c r="V401" s="159"/>
      <c r="W401" s="159"/>
      <c r="X401" s="159"/>
      <c r="Y401" s="159"/>
      <c r="Z401" s="159"/>
    </row>
    <row r="402" spans="1:26" x14ac:dyDescent="0.25">
      <c r="A402" s="245" t="s">
        <v>2060</v>
      </c>
      <c r="B402" s="31" t="s">
        <v>2073</v>
      </c>
      <c r="H402" s="31">
        <v>1</v>
      </c>
      <c r="O402" s="42">
        <f>C402*Prislapp!$C$2+D402*Prislapp!$D$2+E402*Prislapp!$E$2+F402*Prislapp!$F$2+G402*Prislapp!$G$2+H402*Prislapp!$H$2+I402*Prislapp!$I$2+J402*Prislapp!$J$2+K402*Prislapp!$K$2+L402*Prislapp!$L$2+M402*Prislapp!$M$2+N402*Prislapp!$N$2</f>
        <v>19473</v>
      </c>
      <c r="P402" s="42">
        <f>C402*Prislapp!$C$3+D402*Prislapp!$D$3+E402*Prislapp!$E$3+F402*Prislapp!$F$3+G402*Prislapp!$G$3+H402*Prislapp!$H$3+I402*Prislapp!$I$3+J402*Prislapp!$J$3+K402*Prislapp!$K$3+M402*Prislapp!$M$3+N402*Prislapp!$N$3</f>
        <v>34806</v>
      </c>
      <c r="Q402" s="42">
        <f>C402*Prislapp!$C$5+D402*Prislapp!$D$5+E402*Prislapp!$E$5+F402*Prislapp!$F$5+G402*Prislapp!$G$5+H402*Prislapp!$H$5+I402*Prislapp!$I$5+J402*Prislapp!$J$5+K402*Prislapp!$K$5+L402*Prislapp!$L$5+M402*Prislapp!$M$5+N402*Prislapp!$N$5</f>
        <v>21800</v>
      </c>
      <c r="R402" s="9">
        <f>VLOOKUP(A402,'Ansvar kurs'!$A$2:$B$847,2,FALSE)</f>
        <v>5740</v>
      </c>
      <c r="S402" s="159"/>
      <c r="T402" s="159"/>
      <c r="U402" s="159"/>
      <c r="V402" s="159"/>
      <c r="W402" s="159"/>
      <c r="X402" s="159"/>
      <c r="Y402" s="159"/>
      <c r="Z402" s="159"/>
    </row>
    <row r="403" spans="1:26" x14ac:dyDescent="0.25">
      <c r="A403" s="245" t="s">
        <v>1803</v>
      </c>
      <c r="B403" s="31" t="s">
        <v>1811</v>
      </c>
      <c r="H403" s="31">
        <v>1</v>
      </c>
      <c r="O403" s="42">
        <f>C403*Prislapp!$C$2+D403*Prislapp!$D$2+E403*Prislapp!$E$2+F403*Prislapp!$F$2+G403*Prislapp!$G$2+H403*Prislapp!$H$2+I403*Prislapp!$I$2+J403*Prislapp!$J$2+K403*Prislapp!$K$2+L403*Prislapp!$L$2+M403*Prislapp!$M$2+N403*Prislapp!$N$2</f>
        <v>19473</v>
      </c>
      <c r="P403" s="42">
        <f>C403*Prislapp!$C$3+D403*Prislapp!$D$3+E403*Prislapp!$E$3+F403*Prislapp!$F$3+G403*Prislapp!$G$3+H403*Prislapp!$H$3+I403*Prislapp!$I$3+J403*Prislapp!$J$3+K403*Prislapp!$K$3+M403*Prislapp!$M$3+N403*Prislapp!$N$3</f>
        <v>34806</v>
      </c>
      <c r="Q403" s="42">
        <f>C403*Prislapp!$C$5+D403*Prislapp!$D$5+E403*Prislapp!$E$5+F403*Prislapp!$F$5+G403*Prislapp!$G$5+H403*Prislapp!$H$5+I403*Prislapp!$I$5+J403*Prislapp!$J$5+K403*Prislapp!$K$5+L403*Prislapp!$L$5+M403*Prislapp!$M$5+N403*Prislapp!$N$5</f>
        <v>21800</v>
      </c>
      <c r="R403" s="9">
        <f>VLOOKUP(A403,'Ansvar kurs'!$A$2:$B$847,2,FALSE)</f>
        <v>5740</v>
      </c>
      <c r="S403" s="159"/>
      <c r="T403" s="159"/>
      <c r="U403" s="159"/>
      <c r="V403" s="159"/>
      <c r="W403" s="159"/>
      <c r="X403" s="159"/>
      <c r="Y403" s="159"/>
      <c r="Z403" s="159"/>
    </row>
    <row r="404" spans="1:26" x14ac:dyDescent="0.25">
      <c r="A404" s="245" t="s">
        <v>1804</v>
      </c>
      <c r="B404" s="31" t="s">
        <v>1812</v>
      </c>
      <c r="H404" s="31">
        <v>1</v>
      </c>
      <c r="O404" s="42">
        <f>C404*Prislapp!$C$2+D404*Prislapp!$D$2+E404*Prislapp!$E$2+F404*Prislapp!$F$2+G404*Prislapp!$G$2+H404*Prislapp!$H$2+I404*Prislapp!$I$2+J404*Prislapp!$J$2+K404*Prislapp!$K$2+L404*Prislapp!$L$2+M404*Prislapp!$M$2+N404*Prislapp!$N$2</f>
        <v>19473</v>
      </c>
      <c r="P404" s="42">
        <f>C404*Prislapp!$C$3+D404*Prislapp!$D$3+E404*Prislapp!$E$3+F404*Prislapp!$F$3+G404*Prislapp!$G$3+H404*Prislapp!$H$3+I404*Prislapp!$I$3+J404*Prislapp!$J$3+K404*Prislapp!$K$3+M404*Prislapp!$M$3+N404*Prislapp!$N$3</f>
        <v>34806</v>
      </c>
      <c r="Q404" s="42">
        <f>C404*Prislapp!$C$5+D404*Prislapp!$D$5+E404*Prislapp!$E$5+F404*Prislapp!$F$5+G404*Prislapp!$G$5+H404*Prislapp!$H$5+I404*Prislapp!$I$5+J404*Prislapp!$J$5+K404*Prislapp!$K$5+L404*Prislapp!$L$5+M404*Prislapp!$M$5+N404*Prislapp!$N$5</f>
        <v>21800</v>
      </c>
      <c r="R404" s="9">
        <f>VLOOKUP(A404,'Ansvar kurs'!$A$2:$B$847,2,FALSE)</f>
        <v>5740</v>
      </c>
      <c r="S404" s="159"/>
      <c r="T404" s="159"/>
      <c r="U404" s="159"/>
      <c r="V404" s="159"/>
      <c r="W404" s="159"/>
      <c r="X404" s="159"/>
      <c r="Y404" s="159"/>
      <c r="Z404" s="159"/>
    </row>
    <row r="405" spans="1:26" x14ac:dyDescent="0.25">
      <c r="A405" s="31" t="s">
        <v>103</v>
      </c>
      <c r="B405" s="31" t="s">
        <v>708</v>
      </c>
      <c r="H405" s="31">
        <v>1</v>
      </c>
      <c r="O405" s="42">
        <f>C405*Prislapp!$C$2+D405*Prislapp!$D$2+E405*Prislapp!$E$2+F405*Prislapp!$F$2+G405*Prislapp!$G$2+H405*Prislapp!$H$2+I405*Prislapp!$I$2+J405*Prislapp!$J$2+K405*Prislapp!$K$2+L405*Prislapp!$L$2+M405*Prislapp!$M$2+N405*Prislapp!$N$2</f>
        <v>19473</v>
      </c>
      <c r="P405" s="42">
        <f>C405*Prislapp!$C$3+D405*Prislapp!$D$3+E405*Prislapp!$E$3+F405*Prislapp!$F$3+G405*Prislapp!$G$3+H405*Prislapp!$H$3+I405*Prislapp!$I$3+J405*Prislapp!$J$3+K405*Prislapp!$K$3+M405*Prislapp!$M$3+N405*Prislapp!$N$3</f>
        <v>34806</v>
      </c>
      <c r="Q405" s="42">
        <f>C405*Prislapp!$C$5+D405*Prislapp!$D$5+E405*Prislapp!$E$5+F405*Prislapp!$F$5+G405*Prislapp!$G$5+H405*Prislapp!$H$5+I405*Prislapp!$I$5+J405*Prislapp!$J$5+K405*Prislapp!$K$5+L405*Prislapp!$L$5+M405*Prislapp!$M$5+N405*Prislapp!$N$5</f>
        <v>21800</v>
      </c>
      <c r="R405" s="9">
        <f>VLOOKUP(A405,'Ansvar kurs'!$A$2:$B$847,2,FALSE)</f>
        <v>5740</v>
      </c>
      <c r="S405" s="159"/>
      <c r="T405" s="159"/>
      <c r="U405" s="159"/>
      <c r="V405" s="159"/>
      <c r="W405" s="159"/>
      <c r="X405" s="159"/>
      <c r="Y405" s="159"/>
      <c r="Z405" s="159"/>
    </row>
    <row r="406" spans="1:26" x14ac:dyDescent="0.25">
      <c r="A406" s="31" t="s">
        <v>655</v>
      </c>
      <c r="B406" s="31" t="s">
        <v>709</v>
      </c>
      <c r="H406" s="31">
        <v>1</v>
      </c>
      <c r="O406" s="42">
        <f>C406*Prislapp!$C$2+D406*Prislapp!$D$2+E406*Prislapp!$E$2+F406*Prislapp!$F$2+G406*Prislapp!$G$2+H406*Prislapp!$H$2+I406*Prislapp!$I$2+J406*Prislapp!$J$2+K406*Prislapp!$K$2+L406*Prislapp!$L$2+M406*Prislapp!$M$2+N406*Prislapp!$N$2</f>
        <v>19473</v>
      </c>
      <c r="P406" s="42">
        <f>C406*Prislapp!$C$3+D406*Prislapp!$D$3+E406*Prislapp!$E$3+F406*Prislapp!$F$3+G406*Prislapp!$G$3+H406*Prislapp!$H$3+I406*Prislapp!$I$3+J406*Prislapp!$J$3+K406*Prislapp!$K$3+M406*Prislapp!$M$3+N406*Prislapp!$N$3</f>
        <v>34806</v>
      </c>
      <c r="Q406" s="42">
        <f>C406*Prislapp!$C$5+D406*Prislapp!$D$5+E406*Prislapp!$E$5+F406*Prislapp!$F$5+G406*Prislapp!$G$5+H406*Prislapp!$H$5+I406*Prislapp!$I$5+J406*Prislapp!$J$5+K406*Prislapp!$K$5+L406*Prislapp!$L$5+M406*Prislapp!$M$5+N406*Prislapp!$N$5</f>
        <v>21800</v>
      </c>
      <c r="R406" s="9">
        <f>VLOOKUP(A406,'Ansvar kurs'!$A$2:$B$847,2,FALSE)</f>
        <v>5740</v>
      </c>
      <c r="S406" s="159"/>
      <c r="T406" s="159"/>
      <c r="U406" s="159"/>
      <c r="V406" s="159"/>
      <c r="W406" s="159"/>
      <c r="X406" s="159"/>
      <c r="Y406" s="159"/>
      <c r="Z406" s="159"/>
    </row>
    <row r="407" spans="1:26" x14ac:dyDescent="0.25">
      <c r="A407" s="31" t="s">
        <v>866</v>
      </c>
      <c r="B407" s="31" t="s">
        <v>1184</v>
      </c>
      <c r="H407" s="31">
        <v>1</v>
      </c>
      <c r="O407" s="42">
        <f>C407*Prislapp!$C$2+D407*Prislapp!$D$2+E407*Prislapp!$E$2+F407*Prislapp!$F$2+G407*Prislapp!$G$2+H407*Prislapp!$H$2+I407*Prislapp!$I$2+J407*Prislapp!$J$2+K407*Prislapp!$K$2+L407*Prislapp!$L$2+M407*Prislapp!$M$2+N407*Prislapp!$N$2</f>
        <v>19473</v>
      </c>
      <c r="P407" s="42">
        <f>C407*Prislapp!$C$3+D407*Prislapp!$D$3+E407*Prislapp!$E$3+F407*Prislapp!$F$3+G407*Prislapp!$G$3+H407*Prislapp!$H$3+I407*Prislapp!$I$3+J407*Prislapp!$J$3+K407*Prislapp!$K$3+M407*Prislapp!$M$3+N407*Prislapp!$N$3</f>
        <v>34806</v>
      </c>
      <c r="Q407" s="42">
        <f>C407*Prislapp!$C$5+D407*Prislapp!$D$5+E407*Prislapp!$E$5+F407*Prislapp!$F$5+G407*Prislapp!$G$5+H407*Prislapp!$H$5+I407*Prislapp!$I$5+J407*Prislapp!$J$5+K407*Prislapp!$K$5+L407*Prislapp!$L$5+M407*Prislapp!$M$5+N407*Prislapp!$N$5</f>
        <v>21800</v>
      </c>
      <c r="R407" s="9">
        <f>VLOOKUP(A407,'Ansvar kurs'!$A$2:$B$847,2,FALSE)</f>
        <v>5740</v>
      </c>
      <c r="S407" s="159"/>
      <c r="T407" s="159"/>
      <c r="U407" s="159"/>
      <c r="V407" s="159"/>
      <c r="W407" s="159"/>
      <c r="X407" s="159"/>
      <c r="Y407" s="159"/>
      <c r="Z407" s="159"/>
    </row>
    <row r="408" spans="1:26" x14ac:dyDescent="0.25">
      <c r="A408" s="59" t="s">
        <v>867</v>
      </c>
      <c r="B408" s="31" t="s">
        <v>1185</v>
      </c>
      <c r="H408" s="31">
        <v>1</v>
      </c>
      <c r="O408" s="42">
        <f>C408*Prislapp!$C$2+D408*Prislapp!$D$2+E408*Prislapp!$E$2+F408*Prislapp!$F$2+G408*Prislapp!$G$2+H408*Prislapp!$H$2+I408*Prislapp!$I$2+J408*Prislapp!$J$2+K408*Prislapp!$K$2+L408*Prislapp!$L$2+M408*Prislapp!$M$2+N408*Prislapp!$N$2</f>
        <v>19473</v>
      </c>
      <c r="P408" s="42">
        <f>C408*Prislapp!$C$3+D408*Prislapp!$D$3+E408*Prislapp!$E$3+F408*Prislapp!$F$3+G408*Prislapp!$G$3+H408*Prislapp!$H$3+I408*Prislapp!$I$3+J408*Prislapp!$J$3+K408*Prislapp!$K$3+M408*Prislapp!$M$3+N408*Prislapp!$N$3</f>
        <v>34806</v>
      </c>
      <c r="Q408" s="42">
        <f>C408*Prislapp!$C$5+D408*Prislapp!$D$5+E408*Prislapp!$E$5+F408*Prislapp!$F$5+G408*Prislapp!$G$5+H408*Prislapp!$H$5+I408*Prislapp!$I$5+J408*Prislapp!$J$5+K408*Prislapp!$K$5+L408*Prislapp!$L$5+M408*Prislapp!$M$5+N408*Prislapp!$N$5</f>
        <v>21800</v>
      </c>
      <c r="R408" s="9">
        <f>VLOOKUP(A408,'Ansvar kurs'!$A$2:$B$847,2,FALSE)</f>
        <v>5740</v>
      </c>
      <c r="S408" s="159"/>
      <c r="T408" s="159"/>
      <c r="U408" s="159"/>
      <c r="V408" s="159"/>
      <c r="W408" s="159"/>
      <c r="X408" s="159"/>
      <c r="Y408" s="159"/>
      <c r="Z408" s="159"/>
    </row>
    <row r="409" spans="1:26" x14ac:dyDescent="0.25">
      <c r="A409" s="31" t="s">
        <v>896</v>
      </c>
      <c r="B409" s="31" t="s">
        <v>1186</v>
      </c>
      <c r="H409" s="31">
        <v>1</v>
      </c>
      <c r="O409" s="42">
        <f>C409*Prislapp!$C$2+D409*Prislapp!$D$2+E409*Prislapp!$E$2+F409*Prislapp!$F$2+G409*Prislapp!$G$2+H409*Prislapp!$H$2+I409*Prislapp!$I$2+J409*Prislapp!$J$2+K409*Prislapp!$K$2+L409*Prislapp!$L$2+M409*Prislapp!$M$2+N409*Prislapp!$N$2</f>
        <v>19473</v>
      </c>
      <c r="P409" s="42">
        <f>C409*Prislapp!$C$3+D409*Prislapp!$D$3+E409*Prislapp!$E$3+F409*Prislapp!$F$3+G409*Prislapp!$G$3+H409*Prislapp!$H$3+I409*Prislapp!$I$3+J409*Prislapp!$J$3+K409*Prislapp!$K$3+M409*Prislapp!$M$3+N409*Prislapp!$N$3</f>
        <v>34806</v>
      </c>
      <c r="Q409" s="42">
        <f>C409*Prislapp!$C$5+D409*Prislapp!$D$5+E409*Prislapp!$E$5+F409*Prislapp!$F$5+G409*Prislapp!$G$5+H409*Prislapp!$H$5+I409*Prislapp!$I$5+J409*Prislapp!$J$5+K409*Prislapp!$K$5+L409*Prislapp!$L$5+M409*Prislapp!$M$5+N409*Prislapp!$N$5</f>
        <v>21800</v>
      </c>
      <c r="R409" s="9">
        <f>VLOOKUP(A409,'Ansvar kurs'!$A$2:$B$847,2,FALSE)</f>
        <v>5740</v>
      </c>
      <c r="S409" s="159"/>
      <c r="T409" s="159"/>
      <c r="U409" s="159"/>
      <c r="V409" s="159"/>
      <c r="W409" s="159"/>
      <c r="X409" s="159"/>
      <c r="Y409" s="159"/>
      <c r="Z409" s="159"/>
    </row>
    <row r="410" spans="1:26" x14ac:dyDescent="0.25">
      <c r="A410" s="31" t="s">
        <v>897</v>
      </c>
      <c r="B410" s="31" t="s">
        <v>905</v>
      </c>
      <c r="H410" s="31">
        <v>1</v>
      </c>
      <c r="O410" s="42">
        <f>C410*Prislapp!$C$2+D410*Prislapp!$D$2+E410*Prislapp!$E$2+F410*Prislapp!$F$2+G410*Prislapp!$G$2+H410*Prislapp!$H$2+I410*Prislapp!$I$2+J410*Prislapp!$J$2+K410*Prislapp!$K$2+L410*Prislapp!$L$2+M410*Prislapp!$M$2+N410*Prislapp!$N$2</f>
        <v>19473</v>
      </c>
      <c r="P410" s="42">
        <f>C410*Prislapp!$C$3+D410*Prislapp!$D$3+E410*Prislapp!$E$3+F410*Prislapp!$F$3+G410*Prislapp!$G$3+H410*Prislapp!$H$3+I410*Prislapp!$I$3+J410*Prislapp!$J$3+K410*Prislapp!$K$3+M410*Prislapp!$M$3+N410*Prislapp!$N$3</f>
        <v>34806</v>
      </c>
      <c r="Q410" s="42">
        <f>C410*Prislapp!$C$5+D410*Prislapp!$D$5+E410*Prislapp!$E$5+F410*Prislapp!$F$5+G410*Prislapp!$G$5+H410*Prislapp!$H$5+I410*Prislapp!$I$5+J410*Prislapp!$J$5+K410*Prislapp!$K$5+L410*Prislapp!$L$5+M410*Prislapp!$M$5+N410*Prislapp!$N$5</f>
        <v>21800</v>
      </c>
      <c r="R410" s="9">
        <f>VLOOKUP(A410,'Ansvar kurs'!$A$2:$B$847,2,FALSE)</f>
        <v>5740</v>
      </c>
      <c r="S410" s="159"/>
      <c r="T410" s="159"/>
      <c r="U410" s="159"/>
      <c r="V410" s="159"/>
      <c r="W410" s="159"/>
      <c r="X410" s="159"/>
      <c r="Y410" s="159"/>
      <c r="Z410" s="159"/>
    </row>
    <row r="411" spans="1:26" x14ac:dyDescent="0.25">
      <c r="A411" s="31" t="s">
        <v>1633</v>
      </c>
      <c r="B411" s="31" t="s">
        <v>1688</v>
      </c>
      <c r="H411" s="31">
        <v>1</v>
      </c>
      <c r="O411" s="42">
        <f>C411*Prislapp!$C$2+D411*Prislapp!$D$2+E411*Prislapp!$E$2+F411*Prislapp!$F$2+G411*Prislapp!$G$2+H411*Prislapp!$H$2+I411*Prislapp!$I$2+J411*Prislapp!$J$2+K411*Prislapp!$K$2+L411*Prislapp!$L$2+M411*Prislapp!$M$2+N411*Prislapp!$N$2</f>
        <v>19473</v>
      </c>
      <c r="P411" s="42">
        <f>C411*Prislapp!$C$3+D411*Prislapp!$D$3+E411*Prislapp!$E$3+F411*Prislapp!$F$3+G411*Prislapp!$G$3+H411*Prislapp!$H$3+I411*Prislapp!$I$3+J411*Prislapp!$J$3+K411*Prislapp!$K$3+M411*Prislapp!$M$3+N411*Prislapp!$N$3</f>
        <v>34806</v>
      </c>
      <c r="Q411" s="42">
        <f>C411*Prislapp!$C$5+D411*Prislapp!$D$5+E411*Prislapp!$E$5+F411*Prislapp!$F$5+G411*Prislapp!$G$5+H411*Prislapp!$H$5+I411*Prislapp!$I$5+J411*Prislapp!$J$5+K411*Prislapp!$K$5+L411*Prislapp!$L$5+M411*Prislapp!$M$5+N411*Prislapp!$N$5</f>
        <v>21800</v>
      </c>
      <c r="R411" s="9">
        <f>VLOOKUP(A411,'Ansvar kurs'!$A$2:$B$847,2,FALSE)</f>
        <v>5740</v>
      </c>
      <c r="S411" s="159"/>
      <c r="T411" s="159"/>
      <c r="U411" s="159"/>
      <c r="V411" s="159"/>
      <c r="W411" s="159"/>
      <c r="X411" s="159"/>
      <c r="Y411" s="159"/>
      <c r="Z411" s="159"/>
    </row>
    <row r="412" spans="1:26" x14ac:dyDescent="0.25">
      <c r="A412" s="31" t="s">
        <v>1564</v>
      </c>
      <c r="B412" s="31" t="s">
        <v>1430</v>
      </c>
      <c r="H412" s="31">
        <v>1</v>
      </c>
      <c r="O412" s="42">
        <f>C412*Prislapp!$C$2+D412*Prislapp!$D$2+E412*Prislapp!$E$2+F412*Prislapp!$F$2+G412*Prislapp!$G$2+H412*Prislapp!$H$2+I412*Prislapp!$I$2+J412*Prislapp!$J$2+K412*Prislapp!$K$2+L412*Prislapp!$L$2+M412*Prislapp!$M$2+N412*Prislapp!$N$2</f>
        <v>19473</v>
      </c>
      <c r="P412" s="42">
        <f>C412*Prislapp!$C$3+D412*Prislapp!$D$3+E412*Prislapp!$E$3+F412*Prislapp!$F$3+G412*Prislapp!$G$3+H412*Prislapp!$H$3+I412*Prislapp!$I$3+J412*Prislapp!$J$3+K412*Prislapp!$K$3+M412*Prislapp!$M$3+N412*Prislapp!$N$3</f>
        <v>34806</v>
      </c>
      <c r="Q412" s="42">
        <f>C412*Prislapp!$C$5+D412*Prislapp!$D$5+E412*Prislapp!$E$5+F412*Prislapp!$F$5+G412*Prislapp!$G$5+H412*Prislapp!$H$5+I412*Prislapp!$I$5+J412*Prislapp!$J$5+K412*Prislapp!$K$5+L412*Prislapp!$L$5+M412*Prislapp!$M$5+N412*Prislapp!$N$5</f>
        <v>21800</v>
      </c>
      <c r="R412" s="9">
        <f>VLOOKUP(A412,'Ansvar kurs'!$A$2:$B$847,2,FALSE)</f>
        <v>5740</v>
      </c>
      <c r="S412" s="159"/>
      <c r="T412" s="159"/>
      <c r="U412" s="159"/>
      <c r="V412" s="159"/>
      <c r="W412" s="159"/>
      <c r="X412" s="159"/>
      <c r="Y412" s="159"/>
      <c r="Z412" s="159"/>
    </row>
    <row r="413" spans="1:26" x14ac:dyDescent="0.25">
      <c r="A413" s="31" t="s">
        <v>1562</v>
      </c>
      <c r="B413" s="31" t="s">
        <v>1596</v>
      </c>
      <c r="H413" s="31">
        <v>1</v>
      </c>
      <c r="O413" s="42">
        <f>C413*Prislapp!$C$2+D413*Prislapp!$D$2+E413*Prislapp!$E$2+F413*Prislapp!$F$2+G413*Prislapp!$G$2+H413*Prislapp!$H$2+I413*Prislapp!$I$2+J413*Prislapp!$J$2+K413*Prislapp!$K$2+L413*Prislapp!$L$2+M413*Prislapp!$M$2+N413*Prislapp!$N$2</f>
        <v>19473</v>
      </c>
      <c r="P413" s="42">
        <f>C413*Prislapp!$C$3+D413*Prislapp!$D$3+E413*Prislapp!$E$3+F413*Prislapp!$F$3+G413*Prislapp!$G$3+H413*Prislapp!$H$3+I413*Prislapp!$I$3+J413*Prislapp!$J$3+K413*Prislapp!$K$3+M413*Prislapp!$M$3+N413*Prislapp!$N$3</f>
        <v>34806</v>
      </c>
      <c r="Q413" s="42">
        <f>C413*Prislapp!$C$5+D413*Prislapp!$D$5+E413*Prislapp!$E$5+F413*Prislapp!$F$5+G413*Prislapp!$G$5+H413*Prislapp!$H$5+I413*Prislapp!$I$5+J413*Prislapp!$J$5+K413*Prislapp!$K$5+L413*Prislapp!$L$5+M413*Prislapp!$M$5+N413*Prislapp!$N$5</f>
        <v>21800</v>
      </c>
      <c r="R413" s="9">
        <f>VLOOKUP(A413,'Ansvar kurs'!$A$2:$B$847,2,FALSE)</f>
        <v>5740</v>
      </c>
      <c r="S413" s="159"/>
      <c r="T413" s="159"/>
      <c r="U413" s="159"/>
      <c r="V413" s="159"/>
      <c r="W413" s="159"/>
      <c r="X413" s="159"/>
      <c r="Y413" s="159"/>
      <c r="Z413" s="159"/>
    </row>
    <row r="414" spans="1:26" x14ac:dyDescent="0.25">
      <c r="A414" s="31" t="s">
        <v>1565</v>
      </c>
      <c r="B414" s="31" t="s">
        <v>1597</v>
      </c>
      <c r="H414" s="31">
        <v>1</v>
      </c>
      <c r="O414" s="42">
        <f>C414*Prislapp!$C$2+D414*Prislapp!$D$2+E414*Prislapp!$E$2+F414*Prislapp!$F$2+G414*Prislapp!$G$2+H414*Prislapp!$H$2+I414*Prislapp!$I$2+J414*Prislapp!$J$2+K414*Prislapp!$K$2+L414*Prislapp!$L$2+M414*Prislapp!$M$2+N414*Prislapp!$N$2</f>
        <v>19473</v>
      </c>
      <c r="P414" s="42">
        <f>C414*Prislapp!$C$3+D414*Prislapp!$D$3+E414*Prislapp!$E$3+F414*Prislapp!$F$3+G414*Prislapp!$G$3+H414*Prislapp!$H$3+I414*Prislapp!$I$3+J414*Prislapp!$J$3+K414*Prislapp!$K$3+M414*Prislapp!$M$3+N414*Prislapp!$N$3</f>
        <v>34806</v>
      </c>
      <c r="Q414" s="42">
        <f>C414*Prislapp!$C$5+D414*Prislapp!$D$5+E414*Prislapp!$E$5+F414*Prislapp!$F$5+G414*Prislapp!$G$5+H414*Prislapp!$H$5+I414*Prislapp!$I$5+J414*Prislapp!$J$5+K414*Prislapp!$K$5+L414*Prislapp!$L$5+M414*Prislapp!$M$5+N414*Prislapp!$N$5</f>
        <v>21800</v>
      </c>
      <c r="R414" s="9">
        <f>VLOOKUP(A414,'Ansvar kurs'!$A$2:$B$847,2,FALSE)</f>
        <v>5740</v>
      </c>
      <c r="S414" s="159"/>
      <c r="T414" s="159"/>
      <c r="U414" s="159"/>
      <c r="V414" s="159"/>
      <c r="W414" s="159"/>
      <c r="X414" s="159"/>
      <c r="Y414" s="159"/>
      <c r="Z414" s="159"/>
    </row>
    <row r="415" spans="1:26" x14ac:dyDescent="0.25">
      <c r="A415" s="31" t="s">
        <v>1827</v>
      </c>
      <c r="B415" s="31" t="s">
        <v>1845</v>
      </c>
      <c r="H415" s="31">
        <v>1</v>
      </c>
      <c r="O415" s="42">
        <f>C415*Prislapp!$C$2+D415*Prislapp!$D$2+E415*Prislapp!$E$2+F415*Prislapp!$F$2+G415*Prislapp!$G$2+H415*Prislapp!$H$2+I415*Prislapp!$I$2+J415*Prislapp!$J$2+K415*Prislapp!$K$2+L415*Prislapp!$L$2+M415*Prislapp!$M$2+N415*Prislapp!$N$2</f>
        <v>19473</v>
      </c>
      <c r="P415" s="42">
        <f>C415*Prislapp!$C$3+D415*Prislapp!$D$3+E415*Prislapp!$E$3+F415*Prislapp!$F$3+G415*Prislapp!$G$3+H415*Prislapp!$H$3+I415*Prislapp!$I$3+J415*Prislapp!$J$3+K415*Prislapp!$K$3+M415*Prislapp!$M$3+N415*Prislapp!$N$3</f>
        <v>34806</v>
      </c>
      <c r="Q415" s="42">
        <f>C415*Prislapp!$C$5+D415*Prislapp!$D$5+E415*Prislapp!$E$5+F415*Prislapp!$F$5+G415*Prislapp!$G$5+H415*Prislapp!$H$5+I415*Prislapp!$I$5+J415*Prislapp!$J$5+K415*Prislapp!$K$5+L415*Prislapp!$L$5+M415*Prislapp!$M$5+N415*Prislapp!$N$5</f>
        <v>21800</v>
      </c>
      <c r="R415" s="9">
        <f>VLOOKUP(A415,'Ansvar kurs'!$A$2:$B$847,2,FALSE)</f>
        <v>5740</v>
      </c>
      <c r="T415" s="159"/>
      <c r="U415" s="159"/>
      <c r="V415" s="159"/>
      <c r="W415" s="159"/>
      <c r="X415" s="159"/>
      <c r="Y415" s="159"/>
      <c r="Z415" s="159"/>
    </row>
    <row r="416" spans="1:26" x14ac:dyDescent="0.25">
      <c r="A416" s="31" t="s">
        <v>1826</v>
      </c>
      <c r="B416" s="31" t="s">
        <v>1842</v>
      </c>
      <c r="H416" s="31">
        <v>1</v>
      </c>
      <c r="O416" s="42">
        <f>C416*Prislapp!$C$2+D416*Prislapp!$D$2+E416*Prislapp!$E$2+F416*Prislapp!$F$2+G416*Prislapp!$G$2+H416*Prislapp!$H$2+I416*Prislapp!$I$2+J416*Prislapp!$J$2+K416*Prislapp!$K$2+L416*Prislapp!$L$2+M416*Prislapp!$M$2+N416*Prislapp!$N$2</f>
        <v>19473</v>
      </c>
      <c r="P416" s="42">
        <f>C416*Prislapp!$C$3+D416*Prislapp!$D$3+E416*Prislapp!$E$3+F416*Prislapp!$F$3+G416*Prislapp!$G$3+H416*Prislapp!$H$3+I416*Prislapp!$I$3+J416*Prislapp!$J$3+K416*Prislapp!$K$3+M416*Prislapp!$M$3+N416*Prislapp!$N$3</f>
        <v>34806</v>
      </c>
      <c r="Q416" s="42">
        <f>C416*Prislapp!$C$5+D416*Prislapp!$D$5+E416*Prislapp!$E$5+F416*Prislapp!$F$5+G416*Prislapp!$G$5+H416*Prislapp!$H$5+I416*Prislapp!$I$5+J416*Prislapp!$J$5+K416*Prislapp!$K$5+L416*Prislapp!$L$5+M416*Prislapp!$M$5+N416*Prislapp!$N$5</f>
        <v>21800</v>
      </c>
      <c r="R416" s="9">
        <f>VLOOKUP(A416,'Ansvar kurs'!$A$2:$B$847,2,FALSE)</f>
        <v>5740</v>
      </c>
      <c r="T416" s="159"/>
      <c r="U416" s="159"/>
      <c r="V416" s="159"/>
      <c r="W416" s="159"/>
      <c r="X416" s="159"/>
      <c r="Y416" s="159"/>
      <c r="Z416" s="159"/>
    </row>
    <row r="417" spans="1:26" x14ac:dyDescent="0.25">
      <c r="A417" s="62" t="s">
        <v>1862</v>
      </c>
      <c r="B417" s="31" t="s">
        <v>1875</v>
      </c>
      <c r="H417" s="31">
        <v>1</v>
      </c>
      <c r="O417" s="42">
        <f>C417*Prislapp!$C$2+D417*Prislapp!$D$2+E417*Prislapp!$E$2+F417*Prislapp!$F$2+G417*Prislapp!$G$2+H417*Prislapp!$H$2+I417*Prislapp!$I$2+J417*Prislapp!$J$2+K417*Prislapp!$K$2+L417*Prislapp!$L$2+M417*Prislapp!$M$2+N417*Prislapp!$N$2</f>
        <v>19473</v>
      </c>
      <c r="P417" s="42">
        <f>C417*Prislapp!$C$3+D417*Prislapp!$D$3+E417*Prislapp!$E$3+F417*Prislapp!$F$3+G417*Prislapp!$G$3+H417*Prislapp!$H$3+I417*Prislapp!$I$3+J417*Prislapp!$J$3+K417*Prislapp!$K$3+M417*Prislapp!$M$3+N417*Prislapp!$N$3</f>
        <v>34806</v>
      </c>
      <c r="Q417" s="42">
        <f>C417*Prislapp!$C$5+D417*Prislapp!$D$5+E417*Prislapp!$E$5+F417*Prislapp!$F$5+G417*Prislapp!$G$5+H417*Prislapp!$H$5+I417*Prislapp!$I$5+J417*Prislapp!$J$5+K417*Prislapp!$K$5+L417*Prislapp!$L$5+M417*Prislapp!$M$5+N417*Prislapp!$N$5</f>
        <v>21800</v>
      </c>
      <c r="R417" s="9">
        <f>VLOOKUP(A417,'Ansvar kurs'!$A$2:$B$847,2,FALSE)</f>
        <v>5740</v>
      </c>
    </row>
    <row r="418" spans="1:26" x14ac:dyDescent="0.25">
      <c r="A418" s="62" t="s">
        <v>2152</v>
      </c>
      <c r="B418" s="31" t="s">
        <v>2153</v>
      </c>
      <c r="H418" s="31">
        <v>1</v>
      </c>
      <c r="O418" s="42">
        <f>C418*Prislapp!$C$2+D418*Prislapp!$D$2+E418*Prislapp!$E$2+F418*Prislapp!$F$2+G418*Prislapp!$G$2+H418*Prislapp!$H$2+I418*Prislapp!$I$2+J418*Prislapp!$J$2+K418*Prislapp!$K$2+L418*Prislapp!$L$2+M418*Prislapp!$M$2+N418*Prislapp!$N$2</f>
        <v>19473</v>
      </c>
      <c r="P418" s="42">
        <f>C418*Prislapp!$C$3+D418*Prislapp!$D$3+E418*Prislapp!$E$3+F418*Prislapp!$F$3+G418*Prislapp!$G$3+H418*Prislapp!$H$3+I418*Prislapp!$I$3+J418*Prislapp!$J$3+K418*Prislapp!$K$3+M418*Prislapp!$M$3+N418*Prislapp!$N$3</f>
        <v>34806</v>
      </c>
      <c r="Q418" s="42">
        <f>C418*Prislapp!$C$5+D418*Prislapp!$D$5+E418*Prislapp!$E$5+F418*Prislapp!$F$5+G418*Prislapp!$G$5+H418*Prislapp!$H$5+I418*Prislapp!$I$5+J418*Prislapp!$J$5+K418*Prislapp!$K$5+L418*Prislapp!$L$5+M418*Prislapp!$M$5+N418*Prislapp!$N$5</f>
        <v>21800</v>
      </c>
      <c r="R418" s="9">
        <f>VLOOKUP(A418,'Ansvar kurs'!$A$2:$B$847,2,FALSE)</f>
        <v>5740</v>
      </c>
    </row>
    <row r="419" spans="1:26" x14ac:dyDescent="0.25">
      <c r="A419" s="59" t="s">
        <v>868</v>
      </c>
      <c r="B419" s="31" t="s">
        <v>1187</v>
      </c>
      <c r="F419" s="31">
        <v>1</v>
      </c>
      <c r="O419" s="42">
        <f>C419*Prislapp!$C$2+D419*Prislapp!$D$2+E419*Prislapp!$E$2+F419*Prislapp!$F$2+G419*Prislapp!$G$2+H419*Prislapp!$H$2+I419*Prislapp!$I$2+J419*Prislapp!$J$2+K419*Prislapp!$K$2+L419*Prislapp!$L$2+M419*Prislapp!$M$2+N419*Prislapp!$N$2</f>
        <v>23641</v>
      </c>
      <c r="P419" s="42">
        <f>C419*Prislapp!$C$3+D419*Prislapp!$D$3+E419*Prislapp!$E$3+F419*Prislapp!$F$3+G419*Prislapp!$G$3+H419*Prislapp!$H$3+I419*Prislapp!$I$3+J419*Prislapp!$J$3+K419*Prislapp!$K$3+M419*Prislapp!$M$3+N419*Prislapp!$N$3</f>
        <v>28786</v>
      </c>
      <c r="Q419" s="42">
        <f>C419*Prislapp!$C$5+D419*Prislapp!$D$5+E419*Prislapp!$E$5+F419*Prislapp!$F$5+G419*Prislapp!$G$5+H419*Prislapp!$H$5+I419*Prislapp!$I$5+J419*Prislapp!$J$5+K419*Prislapp!$K$5+L419*Prislapp!$L$5+M419*Prislapp!$M$5+N419*Prislapp!$N$5</f>
        <v>5800</v>
      </c>
      <c r="R419" s="9">
        <f>VLOOKUP(A419,'Ansvar kurs'!$A$2:$B$847,2,FALSE)</f>
        <v>2180</v>
      </c>
      <c r="S419" s="159"/>
      <c r="T419" s="159"/>
      <c r="U419" s="159"/>
      <c r="V419" s="159"/>
      <c r="W419" s="159"/>
      <c r="X419" s="159"/>
      <c r="Y419" s="159"/>
      <c r="Z419" s="159"/>
    </row>
    <row r="420" spans="1:26" x14ac:dyDescent="0.25">
      <c r="A420" s="31" t="s">
        <v>436</v>
      </c>
      <c r="B420" s="31" t="s">
        <v>710</v>
      </c>
      <c r="H420" s="31">
        <v>0.4</v>
      </c>
      <c r="K420" s="31">
        <v>0.6</v>
      </c>
      <c r="O420" s="42">
        <f>C420*Prislapp!$C$2+D420*Prislapp!$D$2+E420*Prislapp!$E$2+F420*Prislapp!$F$2+G420*Prislapp!$G$2+H420*Prislapp!$H$2+I420*Prislapp!$I$2+J420*Prislapp!$J$2+K420*Prislapp!$K$2+L420*Prislapp!$L$2+M420*Prislapp!$M$2+N420*Prislapp!$N$2</f>
        <v>20769.599999999999</v>
      </c>
      <c r="P420" s="42">
        <f>C420*Prislapp!$C$3+D420*Prislapp!$D$3+E420*Prislapp!$E$3+F420*Prislapp!$F$3+G420*Prislapp!$G$3+H420*Prislapp!$H$3+I420*Prislapp!$I$3+J420*Prislapp!$J$3+K420*Prislapp!$K$3+M420*Prislapp!$M$3+N420*Prislapp!$N$3</f>
        <v>30114</v>
      </c>
      <c r="Q420" s="42">
        <f>C420*Prislapp!$C$5+D420*Prislapp!$D$5+E420*Prislapp!$E$5+F420*Prislapp!$F$5+G420*Prislapp!$G$5+H420*Prislapp!$H$5+I420*Prislapp!$I$5+J420*Prislapp!$J$5+K420*Prislapp!$K$5+L420*Prislapp!$L$5+M420*Prislapp!$M$5+N420*Prislapp!$N$5</f>
        <v>10760</v>
      </c>
      <c r="R420" s="9">
        <f>VLOOKUP(A420,'Ansvar kurs'!$A$2:$B$847,2,FALSE)</f>
        <v>5740</v>
      </c>
      <c r="S420" s="159"/>
      <c r="T420" s="159"/>
      <c r="U420" s="159"/>
      <c r="V420" s="159"/>
      <c r="W420" s="159"/>
      <c r="X420" s="159"/>
      <c r="Y420" s="159"/>
      <c r="Z420" s="159"/>
    </row>
    <row r="421" spans="1:26" x14ac:dyDescent="0.25">
      <c r="A421" s="31" t="s">
        <v>1036</v>
      </c>
      <c r="B421" s="31" t="s">
        <v>1065</v>
      </c>
      <c r="F421" s="31">
        <v>0.6</v>
      </c>
      <c r="H421" s="31">
        <v>0.4</v>
      </c>
      <c r="O421" s="42">
        <f>C421*Prislapp!$C$2+D421*Prislapp!$D$2+E421*Prislapp!$E$2+F421*Prislapp!$F$2+G421*Prislapp!$G$2+H421*Prislapp!$H$2+I421*Prislapp!$I$2+J421*Prislapp!$J$2+K421*Prislapp!$K$2+L421*Prislapp!$L$2+M421*Prislapp!$M$2+N421*Prislapp!$N$2</f>
        <v>21973.800000000003</v>
      </c>
      <c r="P421" s="42">
        <f>C421*Prislapp!$C$3+D421*Prislapp!$D$3+E421*Prislapp!$E$3+F421*Prislapp!$F$3+G421*Prislapp!$G$3+H421*Prislapp!$H$3+I421*Prislapp!$I$3+J421*Prislapp!$J$3+K421*Prislapp!$K$3+M421*Prislapp!$M$3+N421*Prislapp!$N$3</f>
        <v>31194</v>
      </c>
      <c r="Q421" s="42">
        <f>C421*Prislapp!$C$5+D421*Prislapp!$D$5+E421*Prislapp!$E$5+F421*Prislapp!$F$5+G421*Prislapp!$G$5+H421*Prislapp!$H$5+I421*Prislapp!$I$5+J421*Prislapp!$J$5+K421*Prislapp!$K$5+L421*Prislapp!$L$5+M421*Prislapp!$M$5+N421*Prislapp!$N$5</f>
        <v>12200</v>
      </c>
      <c r="R421" s="9">
        <f>VLOOKUP(A421,'Ansvar kurs'!$A$2:$B$847,2,FALSE)</f>
        <v>5740</v>
      </c>
      <c r="S421" s="159"/>
      <c r="T421" s="159"/>
      <c r="U421" s="159"/>
      <c r="V421" s="159"/>
      <c r="W421" s="159"/>
      <c r="X421" s="159"/>
      <c r="Y421" s="159"/>
      <c r="Z421" s="159"/>
    </row>
    <row r="422" spans="1:26" x14ac:dyDescent="0.25">
      <c r="A422" s="31" t="s">
        <v>1037</v>
      </c>
      <c r="B422" s="31" t="s">
        <v>323</v>
      </c>
      <c r="F422" s="31">
        <v>1</v>
      </c>
      <c r="O422" s="42">
        <f>C422*Prislapp!$C$2+D422*Prislapp!$D$2+E422*Prislapp!$E$2+F422*Prislapp!$F$2+G422*Prislapp!$G$2+H422*Prislapp!$H$2+I422*Prislapp!$I$2+J422*Prislapp!$J$2+K422*Prislapp!$K$2+L422*Prislapp!$L$2+M422*Prislapp!$M$2+N422*Prislapp!$N$2</f>
        <v>23641</v>
      </c>
      <c r="P422" s="42">
        <f>C422*Prislapp!$C$3+D422*Prislapp!$D$3+E422*Prislapp!$E$3+F422*Prislapp!$F$3+G422*Prislapp!$G$3+H422*Prislapp!$H$3+I422*Prislapp!$I$3+J422*Prislapp!$J$3+K422*Prislapp!$K$3+M422*Prislapp!$M$3+N422*Prislapp!$N$3</f>
        <v>28786</v>
      </c>
      <c r="Q422" s="42">
        <f>C422*Prislapp!$C$5+D422*Prislapp!$D$5+E422*Prislapp!$E$5+F422*Prislapp!$F$5+G422*Prislapp!$G$5+H422*Prislapp!$H$5+I422*Prislapp!$I$5+J422*Prislapp!$J$5+K422*Prislapp!$K$5+L422*Prislapp!$L$5+M422*Prislapp!$M$5+N422*Prislapp!$N$5</f>
        <v>5800</v>
      </c>
      <c r="R422" s="9">
        <f>VLOOKUP(A422,'Ansvar kurs'!$A$2:$B$847,2,FALSE)</f>
        <v>5740</v>
      </c>
      <c r="S422" s="159"/>
      <c r="T422" s="159"/>
      <c r="U422" s="159"/>
      <c r="V422" s="159"/>
      <c r="W422" s="159"/>
      <c r="X422" s="159"/>
      <c r="Y422" s="159"/>
      <c r="Z422" s="159"/>
    </row>
    <row r="423" spans="1:26" x14ac:dyDescent="0.25">
      <c r="A423" s="31" t="s">
        <v>146</v>
      </c>
      <c r="B423" s="31" t="s">
        <v>711</v>
      </c>
      <c r="H423" s="31">
        <v>0.4</v>
      </c>
      <c r="K423" s="31">
        <v>0.6</v>
      </c>
      <c r="O423" s="42">
        <f>C423*Prislapp!$C$2+D423*Prislapp!$D$2+E423*Prislapp!$E$2+F423*Prislapp!$F$2+G423*Prislapp!$G$2+H423*Prislapp!$H$2+I423*Prislapp!$I$2+J423*Prislapp!$J$2+K423*Prislapp!$K$2+L423*Prislapp!$L$2+M423*Prislapp!$M$2+N423*Prislapp!$N$2</f>
        <v>20769.599999999999</v>
      </c>
      <c r="P423" s="42">
        <f>C423*Prislapp!$C$3+D423*Prislapp!$D$3+E423*Prislapp!$E$3+F423*Prislapp!$F$3+G423*Prislapp!$G$3+H423*Prislapp!$H$3+I423*Prislapp!$I$3+J423*Prislapp!$J$3+K423*Prislapp!$K$3+M423*Prislapp!$M$3+N423*Prislapp!$N$3</f>
        <v>30114</v>
      </c>
      <c r="Q423" s="42">
        <f>C423*Prislapp!$C$5+D423*Prislapp!$D$5+E423*Prislapp!$E$5+F423*Prislapp!$F$5+G423*Prislapp!$G$5+H423*Prislapp!$H$5+I423*Prislapp!$I$5+J423*Prislapp!$J$5+K423*Prislapp!$K$5+L423*Prislapp!$L$5+M423*Prislapp!$M$5+N423*Prislapp!$N$5</f>
        <v>10760</v>
      </c>
      <c r="R423" s="9">
        <f>VLOOKUP(A423,'Ansvar kurs'!$A$2:$B$847,2,FALSE)</f>
        <v>5740</v>
      </c>
      <c r="S423" s="159"/>
      <c r="T423" s="159"/>
      <c r="U423" s="159"/>
      <c r="V423" s="159"/>
      <c r="W423" s="159"/>
      <c r="X423" s="159"/>
      <c r="Y423" s="159"/>
      <c r="Z423" s="159"/>
    </row>
    <row r="424" spans="1:26" x14ac:dyDescent="0.25">
      <c r="A424" s="31" t="s">
        <v>147</v>
      </c>
      <c r="B424" s="31" t="s">
        <v>712</v>
      </c>
      <c r="H424" s="31">
        <v>0.4</v>
      </c>
      <c r="K424" s="31">
        <v>0.6</v>
      </c>
      <c r="O424" s="42">
        <f>C424*Prislapp!$C$2+D424*Prislapp!$D$2+E424*Prislapp!$E$2+F424*Prislapp!$F$2+G424*Prislapp!$G$2+H424*Prislapp!$H$2+I424*Prislapp!$I$2+J424*Prislapp!$J$2+K424*Prislapp!$K$2+L424*Prislapp!$L$2+M424*Prislapp!$M$2+N424*Prislapp!$N$2</f>
        <v>20769.599999999999</v>
      </c>
      <c r="P424" s="42">
        <f>C424*Prislapp!$C$3+D424*Prislapp!$D$3+E424*Prislapp!$E$3+F424*Prislapp!$F$3+G424*Prislapp!$G$3+H424*Prislapp!$H$3+I424*Prislapp!$I$3+J424*Prislapp!$J$3+K424*Prislapp!$K$3+M424*Prislapp!$M$3+N424*Prislapp!$N$3</f>
        <v>30114</v>
      </c>
      <c r="Q424" s="42">
        <f>C424*Prislapp!$C$5+D424*Prislapp!$D$5+E424*Prislapp!$E$5+F424*Prislapp!$F$5+G424*Prislapp!$G$5+H424*Prislapp!$H$5+I424*Prislapp!$I$5+J424*Prislapp!$J$5+K424*Prislapp!$K$5+L424*Prislapp!$L$5+M424*Prislapp!$M$5+N424*Prislapp!$N$5</f>
        <v>10760</v>
      </c>
      <c r="R424" s="9">
        <f>VLOOKUP(A424,'Ansvar kurs'!$A$2:$B$847,2,FALSE)</f>
        <v>5740</v>
      </c>
      <c r="S424" s="159"/>
      <c r="T424" s="159"/>
      <c r="U424" s="159"/>
      <c r="V424" s="159"/>
      <c r="W424" s="159"/>
      <c r="X424" s="159"/>
      <c r="Y424" s="159"/>
      <c r="Z424" s="159"/>
    </row>
    <row r="425" spans="1:26" x14ac:dyDescent="0.25">
      <c r="A425" s="31" t="s">
        <v>91</v>
      </c>
      <c r="B425" s="31" t="s">
        <v>713</v>
      </c>
      <c r="F425" s="31">
        <v>1</v>
      </c>
      <c r="O425" s="42">
        <f>C425*Prislapp!$C$2+D425*Prislapp!$D$2+E425*Prislapp!$E$2+F425*Prislapp!$F$2+G425*Prislapp!$G$2+H425*Prislapp!$H$2+I425*Prislapp!$I$2+J425*Prislapp!$J$2+K425*Prislapp!$K$2+L425*Prislapp!$L$2+M425*Prislapp!$M$2+N425*Prislapp!$N$2</f>
        <v>23641</v>
      </c>
      <c r="P425" s="42">
        <f>C425*Prislapp!$C$3+D425*Prislapp!$D$3+E425*Prislapp!$E$3+F425*Prislapp!$F$3+G425*Prislapp!$G$3+H425*Prislapp!$H$3+I425*Prislapp!$I$3+J425*Prislapp!$J$3+K425*Prislapp!$K$3+M425*Prislapp!$M$3+N425*Prislapp!$N$3</f>
        <v>28786</v>
      </c>
      <c r="Q425" s="42">
        <f>C425*Prislapp!$C$5+D425*Prislapp!$D$5+E425*Prislapp!$E$5+F425*Prislapp!$F$5+G425*Prislapp!$G$5+H425*Prislapp!$H$5+I425*Prislapp!$I$5+J425*Prislapp!$J$5+K425*Prislapp!$K$5+L425*Prislapp!$L$5+M425*Prislapp!$M$5+N425*Prislapp!$N$5</f>
        <v>5800</v>
      </c>
      <c r="R425" s="9">
        <f>VLOOKUP(A425,'Ansvar kurs'!$A$2:$B$847,2,FALSE)</f>
        <v>2180</v>
      </c>
      <c r="S425" s="159"/>
      <c r="T425" s="159"/>
      <c r="U425" s="159"/>
      <c r="V425" s="159"/>
      <c r="W425" s="159"/>
      <c r="X425" s="159"/>
      <c r="Y425" s="159"/>
      <c r="Z425" s="159"/>
    </row>
    <row r="426" spans="1:26" x14ac:dyDescent="0.25">
      <c r="A426" s="31" t="s">
        <v>139</v>
      </c>
      <c r="B426" s="31" t="s">
        <v>323</v>
      </c>
      <c r="F426" s="31">
        <v>1</v>
      </c>
      <c r="O426" s="42">
        <f>C426*Prislapp!$C$2+D426*Prislapp!$D$2+E426*Prislapp!$E$2+F426*Prislapp!$F$2+G426*Prislapp!$G$2+H426*Prislapp!$H$2+I426*Prislapp!$I$2+J426*Prislapp!$J$2+K426*Prislapp!$K$2+L426*Prislapp!$L$2+M426*Prislapp!$M$2+N426*Prislapp!$N$2</f>
        <v>23641</v>
      </c>
      <c r="P426" s="42">
        <f>C426*Prislapp!$C$3+D426*Prislapp!$D$3+E426*Prislapp!$E$3+F426*Prislapp!$F$3+G426*Prislapp!$G$3+H426*Prislapp!$H$3+I426*Prislapp!$I$3+J426*Prislapp!$J$3+K426*Prislapp!$K$3+M426*Prislapp!$M$3+N426*Prislapp!$N$3</f>
        <v>28786</v>
      </c>
      <c r="Q426" s="42">
        <f>C426*Prislapp!$C$5+D426*Prislapp!$D$5+E426*Prislapp!$E$5+F426*Prislapp!$F$5+G426*Prislapp!$G$5+H426*Prislapp!$H$5+I426*Prislapp!$I$5+J426*Prislapp!$J$5+K426*Prislapp!$K$5+L426*Prislapp!$L$5+M426*Prislapp!$M$5+N426*Prislapp!$N$5</f>
        <v>5800</v>
      </c>
      <c r="R426" s="9">
        <f>VLOOKUP(A426,'Ansvar kurs'!$A$2:$B$847,2,FALSE)</f>
        <v>2193</v>
      </c>
      <c r="S426" s="159"/>
      <c r="T426" s="159"/>
      <c r="U426" s="159"/>
      <c r="V426" s="159"/>
      <c r="W426" s="159"/>
      <c r="X426" s="159"/>
      <c r="Y426" s="159"/>
      <c r="Z426" s="159"/>
    </row>
    <row r="427" spans="1:26" x14ac:dyDescent="0.25">
      <c r="A427" s="31" t="s">
        <v>140</v>
      </c>
      <c r="B427" s="31" t="s">
        <v>714</v>
      </c>
      <c r="I427" s="31">
        <v>1</v>
      </c>
      <c r="O427" s="42">
        <f>C427*Prislapp!$C$2+D427*Prislapp!$D$2+E427*Prislapp!$E$2+F427*Prislapp!$F$2+G427*Prislapp!$G$2+H427*Prislapp!$H$2+I427*Prislapp!$I$2+J427*Prislapp!$J$2+K427*Prislapp!$K$2+L427*Prislapp!$L$2+M427*Prislapp!$M$2+N427*Prislapp!$N$2</f>
        <v>18405</v>
      </c>
      <c r="P427" s="42">
        <f>C427*Prislapp!$C$3+D427*Prislapp!$D$3+E427*Prislapp!$E$3+F427*Prislapp!$F$3+G427*Prislapp!$G$3+H427*Prislapp!$H$3+I427*Prislapp!$I$3+J427*Prislapp!$J$3+K427*Prislapp!$K$3+M427*Prislapp!$M$3+N427*Prislapp!$N$3</f>
        <v>15773</v>
      </c>
      <c r="Q427" s="42">
        <f>C427*Prislapp!$C$5+D427*Prislapp!$D$5+E427*Prislapp!$E$5+F427*Prislapp!$F$5+G427*Prislapp!$G$5+H427*Prislapp!$H$5+I427*Prislapp!$I$5+J427*Prislapp!$J$5+K427*Prislapp!$K$5+L427*Prislapp!$L$5+M427*Prislapp!$M$5+N427*Prislapp!$N$5</f>
        <v>5800</v>
      </c>
      <c r="R427" s="9">
        <f>VLOOKUP(A427,'Ansvar kurs'!$A$2:$B$847,2,FALSE)</f>
        <v>2193</v>
      </c>
      <c r="S427" s="159" t="s">
        <v>1304</v>
      </c>
      <c r="T427" s="159"/>
      <c r="U427" s="159"/>
      <c r="V427" s="159"/>
      <c r="W427" s="159"/>
      <c r="X427" s="159"/>
      <c r="Y427" s="159"/>
      <c r="Z427" s="159"/>
    </row>
    <row r="428" spans="1:26" x14ac:dyDescent="0.25">
      <c r="A428" s="31" t="s">
        <v>1038</v>
      </c>
      <c r="B428" s="31" t="s">
        <v>1188</v>
      </c>
      <c r="I428" s="31">
        <v>1</v>
      </c>
      <c r="O428" s="42">
        <f>C428*Prislapp!$C$2+D428*Prislapp!$D$2+E428*Prislapp!$E$2+F428*Prislapp!$F$2+G428*Prislapp!$G$2+H428*Prislapp!$H$2+I428*Prislapp!$I$2+J428*Prislapp!$J$2+K428*Prislapp!$K$2+L428*Prislapp!$L$2+M428*Prislapp!$M$2+N428*Prislapp!$N$2</f>
        <v>18405</v>
      </c>
      <c r="P428" s="42">
        <f>C428*Prislapp!$C$3+D428*Prislapp!$D$3+E428*Prislapp!$E$3+F428*Prislapp!$F$3+G428*Prislapp!$G$3+H428*Prislapp!$H$3+I428*Prislapp!$I$3+J428*Prislapp!$J$3+K428*Prislapp!$K$3+M428*Prislapp!$M$3+N428*Prislapp!$N$3</f>
        <v>15773</v>
      </c>
      <c r="Q428" s="42">
        <f>C428*Prislapp!$C$5+D428*Prislapp!$D$5+E428*Prislapp!$E$5+F428*Prislapp!$F$5+G428*Prislapp!$G$5+H428*Prislapp!$H$5+I428*Prislapp!$I$5+J428*Prislapp!$J$5+K428*Prislapp!$K$5+L428*Prislapp!$L$5+M428*Prislapp!$M$5+N428*Prislapp!$N$5</f>
        <v>5800</v>
      </c>
      <c r="R428" s="9">
        <f>VLOOKUP(A428,'Ansvar kurs'!$A$2:$B$847,2,FALSE)</f>
        <v>2180</v>
      </c>
      <c r="S428" s="159"/>
      <c r="T428" s="159"/>
      <c r="U428" s="159"/>
      <c r="V428" s="159"/>
      <c r="W428" s="159"/>
      <c r="X428" s="159"/>
      <c r="Y428" s="159"/>
      <c r="Z428" s="159"/>
    </row>
    <row r="429" spans="1:26" x14ac:dyDescent="0.25">
      <c r="A429" s="31" t="s">
        <v>501</v>
      </c>
      <c r="B429" s="31" t="s">
        <v>715</v>
      </c>
      <c r="F429" s="31">
        <v>1</v>
      </c>
      <c r="O429" s="42">
        <f>C429*Prislapp!$C$2+D429*Prislapp!$D$2+E429*Prislapp!$E$2+F429*Prislapp!$F$2+G429*Prislapp!$G$2+H429*Prislapp!$H$2+I429*Prislapp!$I$2+J429*Prislapp!$J$2+K429*Prislapp!$K$2+L429*Prislapp!$L$2+M429*Prislapp!$M$2+N429*Prislapp!$N$2</f>
        <v>23641</v>
      </c>
      <c r="P429" s="42">
        <f>C429*Prislapp!$C$3+D429*Prislapp!$D$3+E429*Prislapp!$E$3+F429*Prislapp!$F$3+G429*Prislapp!$G$3+H429*Prislapp!$H$3+I429*Prislapp!$I$3+J429*Prislapp!$J$3+K429*Prislapp!$K$3+M429*Prislapp!$M$3+N429*Prislapp!$N$3</f>
        <v>28786</v>
      </c>
      <c r="Q429" s="42">
        <f>C429*Prislapp!$C$5+D429*Prislapp!$D$5+E429*Prislapp!$E$5+F429*Prislapp!$F$5+G429*Prislapp!$G$5+H429*Prislapp!$H$5+I429*Prislapp!$I$5+J429*Prislapp!$J$5+K429*Prislapp!$K$5+L429*Prislapp!$L$5+M429*Prislapp!$M$5+N429*Prislapp!$N$5</f>
        <v>5800</v>
      </c>
      <c r="R429" s="9">
        <f>VLOOKUP(A429,'Ansvar kurs'!$A$2:$B$847,2,FALSE)</f>
        <v>1620</v>
      </c>
      <c r="S429" s="159"/>
      <c r="T429" s="159"/>
      <c r="U429" s="159"/>
      <c r="V429" s="159"/>
      <c r="W429" s="159"/>
      <c r="X429" s="159"/>
      <c r="Y429" s="159"/>
      <c r="Z429" s="159"/>
    </row>
    <row r="430" spans="1:26" x14ac:dyDescent="0.25">
      <c r="A430" s="31" t="s">
        <v>129</v>
      </c>
      <c r="B430" s="31" t="s">
        <v>716</v>
      </c>
      <c r="F430" s="31">
        <v>1</v>
      </c>
      <c r="O430" s="42">
        <f>C430*Prislapp!$C$2+D430*Prislapp!$D$2+E430*Prislapp!$E$2+F430*Prislapp!$F$2+G430*Prislapp!$G$2+H430*Prislapp!$H$2+I430*Prislapp!$I$2+J430*Prislapp!$J$2+K430*Prislapp!$K$2+L430*Prislapp!$L$2+M430*Prislapp!$M$2+N430*Prislapp!$N$2</f>
        <v>23641</v>
      </c>
      <c r="P430" s="42">
        <f>C430*Prislapp!$C$3+D430*Prislapp!$D$3+E430*Prislapp!$E$3+F430*Prislapp!$F$3+G430*Prislapp!$G$3+H430*Prislapp!$H$3+I430*Prislapp!$I$3+J430*Prislapp!$J$3+K430*Prislapp!$K$3+M430*Prislapp!$M$3+N430*Prislapp!$N$3</f>
        <v>28786</v>
      </c>
      <c r="Q430" s="42">
        <f>C430*Prislapp!$C$5+D430*Prislapp!$D$5+E430*Prislapp!$E$5+F430*Prislapp!$F$5+G430*Prislapp!$G$5+H430*Prislapp!$H$5+I430*Prislapp!$I$5+J430*Prislapp!$J$5+K430*Prislapp!$K$5+L430*Prislapp!$L$5+M430*Prislapp!$M$5+N430*Prislapp!$N$5</f>
        <v>5800</v>
      </c>
      <c r="R430" s="9">
        <f>VLOOKUP(A430,'Ansvar kurs'!$A$2:$B$847,2,FALSE)</f>
        <v>2180</v>
      </c>
      <c r="S430" s="159"/>
      <c r="T430" s="159"/>
      <c r="U430" s="159"/>
      <c r="V430" s="159"/>
      <c r="W430" s="159"/>
      <c r="X430" s="159"/>
      <c r="Y430" s="159"/>
      <c r="Z430" s="159"/>
    </row>
    <row r="431" spans="1:26" x14ac:dyDescent="0.25">
      <c r="A431" s="31" t="s">
        <v>334</v>
      </c>
      <c r="B431" s="31" t="s">
        <v>717</v>
      </c>
      <c r="F431" s="31">
        <v>0.25</v>
      </c>
      <c r="K431" s="31">
        <v>0.75</v>
      </c>
      <c r="O431" s="42">
        <f>C431*Prislapp!$C$2+D431*Prislapp!$D$2+E431*Prislapp!$E$2+F431*Prislapp!$F$2+G431*Prislapp!$G$2+H431*Prislapp!$H$2+I431*Prislapp!$I$2+J431*Prislapp!$J$2+K431*Prislapp!$K$2+L431*Prislapp!$L$2+M431*Prislapp!$M$2+N431*Prislapp!$N$2</f>
        <v>22135.75</v>
      </c>
      <c r="P431" s="42">
        <f>C431*Prislapp!$C$3+D431*Prislapp!$D$3+E431*Prislapp!$E$3+F431*Prislapp!$F$3+G431*Prislapp!$G$3+H431*Prislapp!$H$3+I431*Prislapp!$I$3+J431*Prislapp!$J$3+K431*Prislapp!$K$3+M431*Prislapp!$M$3+N431*Prislapp!$N$3</f>
        <v>27436</v>
      </c>
      <c r="Q431" s="42">
        <f>C431*Prislapp!$C$5+D431*Prislapp!$D$5+E431*Prislapp!$E$5+F431*Prislapp!$F$5+G431*Prislapp!$G$5+H431*Prislapp!$H$5+I431*Prislapp!$I$5+J431*Prislapp!$J$5+K431*Prislapp!$K$5+L431*Prislapp!$L$5+M431*Prislapp!$M$5+N431*Prislapp!$N$5</f>
        <v>4000</v>
      </c>
      <c r="R431" s="9">
        <f>VLOOKUP(A431,'Ansvar kurs'!$A$2:$B$847,2,FALSE)</f>
        <v>2180</v>
      </c>
      <c r="S431" s="182" t="s">
        <v>1098</v>
      </c>
      <c r="T431" s="159"/>
      <c r="U431" s="159"/>
      <c r="V431" s="159"/>
      <c r="W431" s="159"/>
      <c r="X431" s="159"/>
      <c r="Y431" s="159"/>
      <c r="Z431" s="159"/>
    </row>
    <row r="432" spans="1:26" x14ac:dyDescent="0.25">
      <c r="A432" s="31" t="s">
        <v>121</v>
      </c>
      <c r="B432" s="31" t="s">
        <v>718</v>
      </c>
      <c r="I432" s="31">
        <v>0.2</v>
      </c>
      <c r="N432" s="31">
        <v>0.8</v>
      </c>
      <c r="O432" s="42">
        <f>C432*Prislapp!$C$2+D432*Prislapp!$D$2+E432*Prislapp!$E$2+F432*Prislapp!$F$2+G432*Prislapp!$G$2+H432*Prislapp!$H$2+I432*Prislapp!$I$2+J432*Prislapp!$J$2+K432*Prislapp!$K$2+L432*Prislapp!$L$2+M432*Prislapp!$M$2+N432*Prislapp!$N$2</f>
        <v>34144.199999999997</v>
      </c>
      <c r="P432" s="42">
        <f>C432*Prislapp!$C$3+D432*Prislapp!$D$3+E432*Prislapp!$E$3+F432*Prislapp!$F$3+G432*Prislapp!$G$3+H432*Prislapp!$H$3+I432*Prislapp!$I$3+J432*Prislapp!$J$3+K432*Prislapp!$K$3+M432*Prislapp!$M$3+N432*Prislapp!$N$3</f>
        <v>33557.800000000003</v>
      </c>
      <c r="Q432" s="42">
        <f>C432*Prislapp!$C$5+D432*Prislapp!$D$5+E432*Prislapp!$E$5+F432*Prislapp!$F$5+G432*Prislapp!$G$5+H432*Prislapp!$H$5+I432*Prislapp!$I$5+J432*Prislapp!$J$5+K432*Prislapp!$K$5+L432*Prislapp!$L$5+M432*Prislapp!$M$5+N432*Prislapp!$N$5</f>
        <v>5800</v>
      </c>
      <c r="R432" s="9">
        <f>VLOOKUP(A432,'Ansvar kurs'!$A$2:$B$847,2,FALSE)</f>
        <v>2193</v>
      </c>
      <c r="S432" s="159" t="s">
        <v>1304</v>
      </c>
      <c r="T432" s="159"/>
      <c r="U432" s="159"/>
      <c r="V432" s="159"/>
      <c r="W432" s="159"/>
      <c r="X432" s="159"/>
      <c r="Y432" s="159"/>
      <c r="Z432" s="159"/>
    </row>
    <row r="433" spans="1:26" x14ac:dyDescent="0.25">
      <c r="A433" s="31" t="s">
        <v>393</v>
      </c>
      <c r="B433" s="31" t="s">
        <v>719</v>
      </c>
      <c r="C433" s="104"/>
      <c r="D433" s="104"/>
      <c r="E433" s="104"/>
      <c r="F433" s="104">
        <v>1</v>
      </c>
      <c r="G433" s="104"/>
      <c r="H433" s="104"/>
      <c r="I433" s="104"/>
      <c r="J433" s="104"/>
      <c r="K433" s="104"/>
      <c r="L433" s="104"/>
      <c r="M433" s="104"/>
      <c r="N433" s="104"/>
      <c r="O433" s="42">
        <f>C433*Prislapp!$C$2+D433*Prislapp!$D$2+E433*Prislapp!$E$2+F433*Prislapp!$F$2+G433*Prislapp!$G$2+H433*Prislapp!$H$2+I433*Prislapp!$I$2+J433*Prislapp!$J$2+K433*Prislapp!$K$2+L433*Prislapp!$L$2+M433*Prislapp!$M$2+N433*Prislapp!$N$2</f>
        <v>23641</v>
      </c>
      <c r="P433" s="42">
        <f>C433*Prislapp!$C$3+D433*Prislapp!$D$3+E433*Prislapp!$E$3+F433*Prislapp!$F$3+G433*Prislapp!$G$3+H433*Prislapp!$H$3+I433*Prislapp!$I$3+J433*Prislapp!$J$3+K433*Prislapp!$K$3+M433*Prislapp!$M$3+N433*Prislapp!$N$3</f>
        <v>28786</v>
      </c>
      <c r="Q433" s="42">
        <f>C433*Prislapp!$C$5+D433*Prislapp!$D$5+E433*Prislapp!$E$5+F433*Prislapp!$F$5+G433*Prislapp!$G$5+H433*Prislapp!$H$5+I433*Prislapp!$I$5+J433*Prislapp!$J$5+K433*Prislapp!$K$5+L433*Prislapp!$L$5+M433*Prislapp!$M$5+N433*Prislapp!$N$5</f>
        <v>5800</v>
      </c>
      <c r="R433" s="9">
        <f>VLOOKUP(A433,'Ansvar kurs'!$A$2:$B$847,2,FALSE)</f>
        <v>5740</v>
      </c>
      <c r="S433" s="159"/>
      <c r="T433" s="159"/>
      <c r="U433" s="159"/>
      <c r="V433" s="159"/>
      <c r="W433" s="159"/>
      <c r="X433" s="159"/>
      <c r="Y433" s="159"/>
      <c r="Z433" s="159"/>
    </row>
    <row r="434" spans="1:26" x14ac:dyDescent="0.25">
      <c r="A434" s="31" t="s">
        <v>369</v>
      </c>
      <c r="B434" s="31" t="s">
        <v>359</v>
      </c>
      <c r="F434" s="31">
        <v>1</v>
      </c>
      <c r="O434" s="42">
        <f>C434*Prislapp!$C$2+D434*Prislapp!$D$2+E434*Prislapp!$E$2+F434*Prislapp!$F$2+G434*Prislapp!$G$2+H434*Prislapp!$H$2+I434*Prislapp!$I$2+J434*Prislapp!$J$2+K434*Prislapp!$K$2+L434*Prislapp!$L$2+M434*Prislapp!$M$2+N434*Prislapp!$N$2</f>
        <v>23641</v>
      </c>
      <c r="P434" s="42">
        <f>C434*Prislapp!$C$3+D434*Prislapp!$D$3+E434*Prislapp!$E$3+F434*Prislapp!$F$3+G434*Prislapp!$G$3+H434*Prislapp!$H$3+I434*Prislapp!$I$3+J434*Prislapp!$J$3+K434*Prislapp!$K$3+M434*Prislapp!$M$3+N434*Prislapp!$N$3</f>
        <v>28786</v>
      </c>
      <c r="Q434" s="42">
        <f>C434*Prislapp!$C$5+D434*Prislapp!$D$5+E434*Prislapp!$E$5+F434*Prislapp!$F$5+G434*Prislapp!$G$5+H434*Prislapp!$H$5+I434*Prislapp!$I$5+J434*Prislapp!$J$5+K434*Prislapp!$K$5+L434*Prislapp!$L$5+M434*Prislapp!$M$5+N434*Prislapp!$N$5</f>
        <v>5800</v>
      </c>
      <c r="R434" s="9">
        <f>VLOOKUP(A434,'Ansvar kurs'!$A$2:$B$847,2,FALSE)</f>
        <v>5740</v>
      </c>
      <c r="S434" s="159"/>
      <c r="T434" s="159"/>
      <c r="U434" s="159"/>
      <c r="V434" s="159"/>
      <c r="W434" s="159"/>
      <c r="X434" s="159"/>
      <c r="Y434" s="159"/>
      <c r="Z434" s="159"/>
    </row>
    <row r="435" spans="1:26" x14ac:dyDescent="0.25">
      <c r="A435" s="31" t="s">
        <v>720</v>
      </c>
      <c r="B435" s="31" t="s">
        <v>359</v>
      </c>
      <c r="F435" s="31">
        <v>1</v>
      </c>
      <c r="O435" s="42">
        <f>C435*Prislapp!$C$2+D435*Prislapp!$D$2+E435*Prislapp!$E$2+F435*Prislapp!$F$2+G435*Prislapp!$G$2+H435*Prislapp!$H$2+I435*Prislapp!$I$2+J435*Prislapp!$J$2+K435*Prislapp!$K$2+L435*Prislapp!$L$2+M435*Prislapp!$M$2+N435*Prislapp!$N$2</f>
        <v>23641</v>
      </c>
      <c r="P435" s="42">
        <f>C435*Prislapp!$C$3+D435*Prislapp!$D$3+E435*Prislapp!$E$3+F435*Prislapp!$F$3+G435*Prislapp!$G$3+H435*Prislapp!$H$3+I435*Prislapp!$I$3+J435*Prislapp!$J$3+K435*Prislapp!$K$3+M435*Prislapp!$M$3+N435*Prislapp!$N$3</f>
        <v>28786</v>
      </c>
      <c r="Q435" s="42">
        <f>C435*Prislapp!$C$5+D435*Prislapp!$D$5+E435*Prislapp!$E$5+F435*Prislapp!$F$5+G435*Prislapp!$G$5+H435*Prislapp!$H$5+I435*Prislapp!$I$5+J435*Prislapp!$J$5+K435*Prislapp!$K$5+L435*Prislapp!$L$5+M435*Prislapp!$M$5+N435*Prislapp!$N$5</f>
        <v>5800</v>
      </c>
      <c r="R435" s="9">
        <f>VLOOKUP(A435,'Ansvar kurs'!$A$2:$B$847,2,FALSE)</f>
        <v>2193</v>
      </c>
      <c r="S435" s="159"/>
      <c r="T435" s="159"/>
      <c r="U435" s="159"/>
      <c r="V435" s="159"/>
      <c r="W435" s="159"/>
      <c r="X435" s="159"/>
      <c r="Y435" s="159"/>
      <c r="Z435" s="159"/>
    </row>
    <row r="436" spans="1:26" x14ac:dyDescent="0.25">
      <c r="A436" s="31" t="s">
        <v>370</v>
      </c>
      <c r="B436" s="31" t="s">
        <v>359</v>
      </c>
      <c r="F436" s="31">
        <v>1</v>
      </c>
      <c r="O436" s="42">
        <f>C436*Prislapp!$C$2+D436*Prislapp!$D$2+E436*Prislapp!$E$2+F436*Prislapp!$F$2+G436*Prislapp!$G$2+H436*Prislapp!$H$2+I436*Prislapp!$I$2+J436*Prislapp!$J$2+K436*Prislapp!$K$2+L436*Prislapp!$L$2+M436*Prislapp!$M$2+N436*Prislapp!$N$2</f>
        <v>23641</v>
      </c>
      <c r="P436" s="42">
        <f>C436*Prislapp!$C$3+D436*Prislapp!$D$3+E436*Prislapp!$E$3+F436*Prislapp!$F$3+G436*Prislapp!$G$3+H436*Prislapp!$H$3+I436*Prislapp!$I$3+J436*Prislapp!$J$3+K436*Prislapp!$K$3+M436*Prislapp!$M$3+N436*Prislapp!$N$3</f>
        <v>28786</v>
      </c>
      <c r="Q436" s="42">
        <f>C436*Prislapp!$C$5+D436*Prislapp!$D$5+E436*Prislapp!$E$5+F436*Prislapp!$F$5+G436*Prislapp!$G$5+H436*Prislapp!$H$5+I436*Prislapp!$I$5+J436*Prislapp!$J$5+K436*Prislapp!$K$5+L436*Prislapp!$L$5+M436*Prislapp!$M$5+N436*Prislapp!$N$5</f>
        <v>5800</v>
      </c>
      <c r="R436" s="9">
        <f>VLOOKUP(A436,'Ansvar kurs'!$A$2:$B$847,2,FALSE)</f>
        <v>2180</v>
      </c>
      <c r="S436" s="159"/>
      <c r="T436" s="159"/>
      <c r="U436" s="159"/>
      <c r="V436" s="159"/>
      <c r="W436" s="159"/>
      <c r="X436" s="159"/>
      <c r="Y436" s="159"/>
      <c r="Z436" s="159"/>
    </row>
    <row r="437" spans="1:26" x14ac:dyDescent="0.25">
      <c r="A437" s="244" t="s">
        <v>593</v>
      </c>
      <c r="B437" s="31" t="s">
        <v>1484</v>
      </c>
      <c r="F437" s="31">
        <v>1</v>
      </c>
      <c r="O437" s="42">
        <f>C437*Prislapp!$C$2+D437*Prislapp!$D$2+E437*Prislapp!$E$2+F437*Prislapp!$F$2+G437*Prislapp!$G$2+H437*Prislapp!$H$2+I437*Prislapp!$I$2+J437*Prislapp!$J$2+K437*Prislapp!$K$2+L437*Prislapp!$L$2+M437*Prislapp!$M$2+N437*Prislapp!$N$2</f>
        <v>23641</v>
      </c>
      <c r="P437" s="42">
        <f>C437*Prislapp!$C$3+D437*Prislapp!$D$3+E437*Prislapp!$E$3+F437*Prislapp!$F$3+G437*Prislapp!$G$3+H437*Prislapp!$H$3+I437*Prislapp!$I$3+J437*Prislapp!$J$3+K437*Prislapp!$K$3+M437*Prislapp!$M$3+N437*Prislapp!$N$3</f>
        <v>28786</v>
      </c>
      <c r="Q437" s="42">
        <f>C437*Prislapp!$C$5+D437*Prislapp!$D$5+E437*Prislapp!$E$5+F437*Prislapp!$F$5+G437*Prislapp!$G$5+H437*Prislapp!$H$5+I437*Prislapp!$I$5+J437*Prislapp!$J$5+K437*Prislapp!$K$5+L437*Prislapp!$L$5+M437*Prislapp!$M$5+N437*Prislapp!$N$5</f>
        <v>5800</v>
      </c>
      <c r="R437" s="9">
        <f>VLOOKUP(A437,'Ansvar kurs'!$A$2:$B$847,2,FALSE)</f>
        <v>2193</v>
      </c>
      <c r="S437" s="159"/>
      <c r="T437" s="159"/>
      <c r="U437" s="159"/>
      <c r="V437" s="159"/>
      <c r="W437" s="159"/>
      <c r="X437" s="159"/>
      <c r="Y437" s="159"/>
      <c r="Z437" s="159"/>
    </row>
    <row r="438" spans="1:26" x14ac:dyDescent="0.25">
      <c r="A438" s="244" t="s">
        <v>481</v>
      </c>
      <c r="B438" s="31" t="s">
        <v>1189</v>
      </c>
      <c r="K438" s="31">
        <v>1</v>
      </c>
      <c r="O438" s="42">
        <f>C438*Prislapp!$C$2+D438*Prislapp!$D$2+E438*Prislapp!$E$2+F438*Prislapp!$F$2+G438*Prislapp!$G$2+H438*Prislapp!$H$2+I438*Prislapp!$I$2+J438*Prislapp!$J$2+K438*Prislapp!$K$2+L438*Prislapp!$L$2+M438*Prislapp!$M$2+N438*Prislapp!$N$2</f>
        <v>21634</v>
      </c>
      <c r="P438" s="42">
        <f>C438*Prislapp!$C$3+D438*Prislapp!$D$3+E438*Prislapp!$E$3+F438*Prislapp!$F$3+G438*Prislapp!$G$3+H438*Prislapp!$H$3+I438*Prislapp!$I$3+J438*Prislapp!$J$3+K438*Prislapp!$K$3+M438*Prislapp!$M$3+N438*Prislapp!$N$3</f>
        <v>26986</v>
      </c>
      <c r="Q438" s="42">
        <f>C438*Prislapp!$C$5+D438*Prislapp!$D$5+E438*Prislapp!$E$5+F438*Prislapp!$F$5+G438*Prislapp!$G$5+H438*Prislapp!$H$5+I438*Prislapp!$I$5+J438*Prislapp!$J$5+K438*Prislapp!$K$5+L438*Prislapp!$L$5+M438*Prislapp!$M$5+N438*Prislapp!$N$5</f>
        <v>3400</v>
      </c>
      <c r="R438" s="9">
        <f>VLOOKUP(A438,'Ansvar kurs'!$A$2:$B$847,2,FALSE)</f>
        <v>2193</v>
      </c>
      <c r="S438" s="159"/>
      <c r="T438" s="159"/>
      <c r="U438" s="159"/>
      <c r="V438" s="159"/>
      <c r="W438" s="159"/>
      <c r="X438" s="159"/>
      <c r="Y438" s="159"/>
      <c r="Z438" s="159"/>
    </row>
    <row r="439" spans="1:26" x14ac:dyDescent="0.25">
      <c r="A439" s="31" t="s">
        <v>502</v>
      </c>
      <c r="B439" s="31" t="s">
        <v>553</v>
      </c>
      <c r="H439" s="31">
        <v>0.12</v>
      </c>
      <c r="I439" s="31">
        <v>0.88</v>
      </c>
      <c r="O439" s="42">
        <f>C439*Prislapp!$C$2+D439*Prislapp!$D$2+E439*Prislapp!$E$2+F439*Prislapp!$F$2+G439*Prislapp!$G$2+H439*Prislapp!$H$2+I439*Prislapp!$I$2+J439*Prislapp!$J$2+K439*Prislapp!$K$2+L439*Prislapp!$L$2+M439*Prislapp!$M$2+N439*Prislapp!$N$2</f>
        <v>18533.16</v>
      </c>
      <c r="P439" s="42">
        <f>C439*Prislapp!$C$3+D439*Prislapp!$D$3+E439*Prislapp!$E$3+F439*Prislapp!$F$3+G439*Prislapp!$G$3+H439*Prislapp!$H$3+I439*Prislapp!$I$3+J439*Prislapp!$J$3+K439*Prislapp!$K$3+M439*Prislapp!$M$3+N439*Prislapp!$N$3</f>
        <v>18056.96</v>
      </c>
      <c r="Q439" s="42">
        <f>C439*Prislapp!$C$5+D439*Prislapp!$D$5+E439*Prislapp!$E$5+F439*Prislapp!$F$5+G439*Prislapp!$G$5+H439*Prislapp!$H$5+I439*Prislapp!$I$5+J439*Prislapp!$J$5+K439*Prislapp!$K$5+L439*Prislapp!$L$5+M439*Prislapp!$M$5+N439*Prislapp!$N$5</f>
        <v>7720</v>
      </c>
      <c r="R439" s="9">
        <f>VLOOKUP(A439,'Ansvar kurs'!$A$2:$B$847,2,FALSE)</f>
        <v>2193</v>
      </c>
      <c r="S439" s="159" t="s">
        <v>1304</v>
      </c>
      <c r="T439" s="159"/>
      <c r="U439" s="159"/>
      <c r="V439" s="159"/>
      <c r="W439" s="159"/>
      <c r="X439" s="159"/>
      <c r="Y439" s="159"/>
      <c r="Z439" s="159"/>
    </row>
    <row r="440" spans="1:26" x14ac:dyDescent="0.25">
      <c r="A440" s="244" t="s">
        <v>594</v>
      </c>
      <c r="B440" s="31" t="s">
        <v>1485</v>
      </c>
      <c r="F440" s="31">
        <v>1</v>
      </c>
      <c r="O440" s="42">
        <f>C440*Prislapp!$C$2+D440*Prislapp!$D$2+E440*Prislapp!$E$2+F440*Prislapp!$F$2+G440*Prislapp!$G$2+H440*Prislapp!$H$2+I440*Prislapp!$I$2+J440*Prislapp!$J$2+K440*Prislapp!$K$2+L440*Prislapp!$L$2+M440*Prislapp!$M$2+N440*Prislapp!$N$2</f>
        <v>23641</v>
      </c>
      <c r="P440" s="42">
        <f>C440*Prislapp!$C$3+D440*Prislapp!$D$3+E440*Prislapp!$E$3+F440*Prislapp!$F$3+G440*Prislapp!$G$3+H440*Prislapp!$H$3+I440*Prislapp!$I$3+J440*Prislapp!$J$3+K440*Prislapp!$K$3+M440*Prislapp!$M$3+N440*Prislapp!$N$3</f>
        <v>28786</v>
      </c>
      <c r="Q440" s="42">
        <f>C440*Prislapp!$C$5+D440*Prislapp!$D$5+E440*Prislapp!$E$5+F440*Prislapp!$F$5+G440*Prislapp!$G$5+H440*Prislapp!$H$5+I440*Prislapp!$I$5+J440*Prislapp!$J$5+K440*Prislapp!$K$5+L440*Prislapp!$L$5+M440*Prislapp!$M$5+N440*Prislapp!$N$5</f>
        <v>5800</v>
      </c>
      <c r="R440" s="9">
        <f>VLOOKUP(A440,'Ansvar kurs'!$A$2:$B$847,2,FALSE)</f>
        <v>2193</v>
      </c>
      <c r="S440" s="159"/>
      <c r="T440" s="159"/>
      <c r="U440" s="159"/>
      <c r="V440" s="159"/>
      <c r="W440" s="159"/>
      <c r="X440" s="159"/>
      <c r="Y440" s="159"/>
      <c r="Z440" s="159"/>
    </row>
    <row r="441" spans="1:26" x14ac:dyDescent="0.25">
      <c r="A441" s="31" t="s">
        <v>503</v>
      </c>
      <c r="B441" s="31" t="s">
        <v>721</v>
      </c>
      <c r="K441" s="31">
        <v>1</v>
      </c>
      <c r="O441" s="42">
        <f>C441*Prislapp!$C$2+D441*Prislapp!$D$2+E441*Prislapp!$E$2+F441*Prislapp!$F$2+G441*Prislapp!$G$2+H441*Prislapp!$H$2+I441*Prislapp!$I$2+J441*Prislapp!$J$2+K441*Prislapp!$K$2+L441*Prislapp!$L$2+M441*Prislapp!$M$2+N441*Prislapp!$N$2</f>
        <v>21634</v>
      </c>
      <c r="P441" s="42">
        <f>C441*Prislapp!$C$3+D441*Prislapp!$D$3+E441*Prislapp!$E$3+F441*Prislapp!$F$3+G441*Prislapp!$G$3+H441*Prislapp!$H$3+I441*Prislapp!$I$3+J441*Prislapp!$J$3+K441*Prislapp!$K$3+M441*Prislapp!$M$3+N441*Prislapp!$N$3</f>
        <v>26986</v>
      </c>
      <c r="Q441" s="42">
        <f>C441*Prislapp!$C$5+D441*Prislapp!$D$5+E441*Prislapp!$E$5+F441*Prislapp!$F$5+G441*Prislapp!$G$5+H441*Prislapp!$H$5+I441*Prislapp!$I$5+J441*Prislapp!$J$5+K441*Prislapp!$K$5+L441*Prislapp!$L$5+M441*Prislapp!$M$5+N441*Prislapp!$N$5</f>
        <v>3400</v>
      </c>
      <c r="R441" s="9">
        <f>VLOOKUP(A441,'Ansvar kurs'!$A$2:$B$847,2,FALSE)</f>
        <v>2193</v>
      </c>
      <c r="S441" s="159"/>
      <c r="T441" s="159"/>
      <c r="U441" s="159"/>
      <c r="V441" s="159"/>
      <c r="W441" s="159"/>
      <c r="X441" s="159"/>
      <c r="Y441" s="159"/>
      <c r="Z441" s="159"/>
    </row>
    <row r="442" spans="1:26" x14ac:dyDescent="0.25">
      <c r="A442" s="244" t="s">
        <v>595</v>
      </c>
      <c r="B442" s="31" t="s">
        <v>1486</v>
      </c>
      <c r="F442" s="31">
        <v>1</v>
      </c>
      <c r="O442" s="42">
        <f>C442*Prislapp!$C$2+D442*Prislapp!$D$2+E442*Prislapp!$E$2+F442*Prislapp!$F$2+G442*Prislapp!$G$2+H442*Prislapp!$H$2+I442*Prislapp!$I$2+J442*Prislapp!$J$2+K442*Prislapp!$K$2+L442*Prislapp!$L$2+M442*Prislapp!$M$2+N442*Prislapp!$N$2</f>
        <v>23641</v>
      </c>
      <c r="P442" s="42">
        <f>C442*Prislapp!$C$3+D442*Prislapp!$D$3+E442*Prislapp!$E$3+F442*Prislapp!$F$3+G442*Prislapp!$G$3+H442*Prislapp!$H$3+I442*Prislapp!$I$3+J442*Prislapp!$J$3+K442*Prislapp!$K$3+M442*Prislapp!$M$3+N442*Prislapp!$N$3</f>
        <v>28786</v>
      </c>
      <c r="Q442" s="42">
        <f>C442*Prislapp!$C$5+D442*Prislapp!$D$5+E442*Prislapp!$E$5+F442*Prislapp!$F$5+G442*Prislapp!$G$5+H442*Prislapp!$H$5+I442*Prislapp!$I$5+J442*Prislapp!$J$5+K442*Prislapp!$K$5+L442*Prislapp!$L$5+M442*Prislapp!$M$5+N442*Prislapp!$N$5</f>
        <v>5800</v>
      </c>
      <c r="R442" s="9">
        <f>VLOOKUP(A442,'Ansvar kurs'!$A$2:$B$847,2,FALSE)</f>
        <v>2193</v>
      </c>
      <c r="S442" s="159"/>
      <c r="T442" s="159"/>
      <c r="U442" s="159"/>
      <c r="V442" s="159"/>
      <c r="W442" s="159"/>
      <c r="X442" s="159"/>
      <c r="Y442" s="159"/>
      <c r="Z442" s="159"/>
    </row>
    <row r="443" spans="1:26" x14ac:dyDescent="0.25">
      <c r="A443" s="244" t="s">
        <v>596</v>
      </c>
      <c r="B443" s="159" t="s">
        <v>1747</v>
      </c>
      <c r="K443" s="31">
        <v>1</v>
      </c>
      <c r="O443" s="42">
        <f>C443*Prislapp!$C$2+D443*Prislapp!$D$2+E443*Prislapp!$E$2+F443*Prislapp!$F$2+G443*Prislapp!$G$2+H443*Prislapp!$H$2+I443*Prislapp!$I$2+J443*Prislapp!$J$2+K443*Prislapp!$K$2+L443*Prislapp!$L$2+M443*Prislapp!$M$2+N443*Prislapp!$N$2</f>
        <v>21634</v>
      </c>
      <c r="P443" s="42">
        <f>C443*Prislapp!$C$3+D443*Prislapp!$D$3+E443*Prislapp!$E$3+F443*Prislapp!$F$3+G443*Prislapp!$G$3+H443*Prislapp!$H$3+I443*Prislapp!$I$3+J443*Prislapp!$J$3+K443*Prislapp!$K$3+M443*Prislapp!$M$3+N443*Prislapp!$N$3</f>
        <v>26986</v>
      </c>
      <c r="Q443" s="42">
        <f>C443*Prislapp!$C$5+D443*Prislapp!$D$5+E443*Prislapp!$E$5+F443*Prislapp!$F$5+G443*Prislapp!$G$5+H443*Prislapp!$H$5+I443*Prislapp!$I$5+J443*Prislapp!$J$5+K443*Prislapp!$K$5+L443*Prislapp!$L$5+M443*Prislapp!$M$5+N443*Prislapp!$N$5</f>
        <v>3400</v>
      </c>
      <c r="R443" s="9">
        <f>VLOOKUP(A443,'Ansvar kurs'!$A$2:$B$847,2,FALSE)</f>
        <v>2193</v>
      </c>
      <c r="S443" s="159"/>
      <c r="T443" s="159"/>
      <c r="U443" s="159"/>
      <c r="V443" s="159"/>
      <c r="W443" s="159"/>
      <c r="X443" s="159"/>
      <c r="Y443" s="159"/>
      <c r="Z443" s="159"/>
    </row>
    <row r="444" spans="1:26" x14ac:dyDescent="0.25">
      <c r="A444" s="244" t="s">
        <v>597</v>
      </c>
      <c r="B444" s="31" t="s">
        <v>614</v>
      </c>
      <c r="H444" s="31">
        <v>0.47</v>
      </c>
      <c r="I444" s="31">
        <v>0.53</v>
      </c>
      <c r="O444" s="42">
        <f>C444*Prislapp!$C$2+D444*Prislapp!$D$2+E444*Prislapp!$E$2+F444*Prislapp!$F$2+G444*Prislapp!$G$2+H444*Prislapp!$H$2+I444*Prislapp!$I$2+J444*Prislapp!$J$2+K444*Prislapp!$K$2+L444*Prislapp!$L$2+M444*Prislapp!$M$2+N444*Prislapp!$N$2</f>
        <v>18906.96</v>
      </c>
      <c r="P444" s="42">
        <f>C444*Prislapp!$C$3+D444*Prislapp!$D$3+E444*Prislapp!$E$3+F444*Prislapp!$F$3+G444*Prislapp!$G$3+H444*Prislapp!$H$3+I444*Prislapp!$I$3+J444*Prislapp!$J$3+K444*Prislapp!$K$3+M444*Prislapp!$M$3+N444*Prislapp!$N$3</f>
        <v>24718.510000000002</v>
      </c>
      <c r="Q444" s="42">
        <f>C444*Prislapp!$C$5+D444*Prislapp!$D$5+E444*Prislapp!$E$5+F444*Prislapp!$F$5+G444*Prislapp!$G$5+H444*Prislapp!$H$5+I444*Prislapp!$I$5+J444*Prislapp!$J$5+K444*Prislapp!$K$5+L444*Prislapp!$L$5+M444*Prislapp!$M$5+N444*Prislapp!$N$5</f>
        <v>13320</v>
      </c>
      <c r="R444" s="9">
        <f>VLOOKUP(A444,'Ansvar kurs'!$A$2:$B$847,2,FALSE)</f>
        <v>2193</v>
      </c>
      <c r="S444" s="159" t="s">
        <v>1304</v>
      </c>
      <c r="T444" s="159"/>
      <c r="U444" s="159"/>
      <c r="V444" s="159"/>
      <c r="W444" s="159"/>
      <c r="X444" s="159"/>
      <c r="Y444" s="159"/>
      <c r="Z444" s="159"/>
    </row>
    <row r="445" spans="1:26" x14ac:dyDescent="0.25">
      <c r="A445" s="245" t="s">
        <v>869</v>
      </c>
      <c r="B445" s="31" t="s">
        <v>886</v>
      </c>
      <c r="D445" s="31">
        <v>1</v>
      </c>
      <c r="O445" s="42">
        <f>C445*Prislapp!$C$2+D445*Prislapp!$D$2+E445*Prislapp!$E$2+F445*Prislapp!$F$2+G445*Prislapp!$G$2+H445*Prislapp!$H$2+I445*Prislapp!$I$2+J445*Prislapp!$J$2+K445*Prislapp!$K$2+L445*Prislapp!$L$2+M445*Prislapp!$M$2+N445*Prislapp!$N$2</f>
        <v>18405</v>
      </c>
      <c r="P445" s="42">
        <f>C445*Prislapp!$C$3+D445*Prislapp!$D$3+E445*Prislapp!$E$3+F445*Prislapp!$F$3+G445*Prislapp!$G$3+H445*Prislapp!$H$3+I445*Prislapp!$I$3+J445*Prislapp!$J$3+K445*Prislapp!$K$3+M445*Prislapp!$M$3+N445*Prislapp!$N$3</f>
        <v>15773</v>
      </c>
      <c r="Q445" s="42">
        <f>C445*Prislapp!$C$5+D445*Prislapp!$D$5+E445*Prislapp!$E$5+F445*Prislapp!$F$5+G445*Prislapp!$G$5+H445*Prislapp!$H$5+I445*Prislapp!$I$5+J445*Prislapp!$J$5+K445*Prislapp!$K$5+L445*Prislapp!$L$5+M445*Prislapp!$M$5+N445*Prislapp!$N$5</f>
        <v>5800</v>
      </c>
      <c r="R445" s="9">
        <f>VLOOKUP(A445,'Ansvar kurs'!$A$2:$B$847,2,FALSE)</f>
        <v>2193</v>
      </c>
      <c r="S445" s="159" t="s">
        <v>1304</v>
      </c>
      <c r="T445" s="159"/>
      <c r="U445" s="159"/>
      <c r="V445" s="159"/>
      <c r="W445" s="159"/>
      <c r="X445" s="159"/>
      <c r="Y445" s="159"/>
      <c r="Z445" s="159"/>
    </row>
    <row r="446" spans="1:26" x14ac:dyDescent="0.25">
      <c r="A446" s="245" t="s">
        <v>870</v>
      </c>
      <c r="B446" s="31" t="s">
        <v>1743</v>
      </c>
      <c r="K446" s="31">
        <v>1</v>
      </c>
      <c r="O446" s="42">
        <f>C446*Prislapp!$C$2+D446*Prislapp!$D$2+E446*Prislapp!$E$2+F446*Prislapp!$F$2+G446*Prislapp!$G$2+H446*Prislapp!$H$2+I446*Prislapp!$I$2+J446*Prislapp!$J$2+K446*Prislapp!$K$2+L446*Prislapp!$L$2+M446*Prislapp!$M$2+N446*Prislapp!$N$2</f>
        <v>21634</v>
      </c>
      <c r="P446" s="42">
        <f>C446*Prislapp!$C$3+D446*Prislapp!$D$3+E446*Prislapp!$E$3+F446*Prislapp!$F$3+G446*Prislapp!$G$3+H446*Prislapp!$H$3+I446*Prislapp!$I$3+J446*Prislapp!$J$3+K446*Prislapp!$K$3+M446*Prislapp!$M$3+N446*Prislapp!$N$3</f>
        <v>26986</v>
      </c>
      <c r="Q446" s="42">
        <f>C446*Prislapp!$C$5+D446*Prislapp!$D$5+E446*Prislapp!$E$5+F446*Prislapp!$F$5+G446*Prislapp!$G$5+H446*Prislapp!$H$5+I446*Prislapp!$I$5+J446*Prislapp!$J$5+K446*Prislapp!$K$5+L446*Prislapp!$L$5+M446*Prislapp!$M$5+N446*Prislapp!$N$5</f>
        <v>3400</v>
      </c>
      <c r="R446" s="9">
        <f>VLOOKUP(A446,'Ansvar kurs'!$A$2:$B$847,2,FALSE)</f>
        <v>2193</v>
      </c>
      <c r="S446" s="159"/>
      <c r="T446" s="159"/>
      <c r="U446" s="159"/>
      <c r="V446" s="159"/>
      <c r="W446" s="159"/>
      <c r="X446" s="159"/>
      <c r="Y446" s="159"/>
      <c r="Z446" s="159"/>
    </row>
    <row r="447" spans="1:26" x14ac:dyDescent="0.25">
      <c r="A447" s="245" t="s">
        <v>871</v>
      </c>
      <c r="B447" s="31" t="s">
        <v>1190</v>
      </c>
      <c r="I447" s="31">
        <v>1</v>
      </c>
      <c r="O447" s="42">
        <f>C447*Prislapp!$C$2+D447*Prislapp!$D$2+E447*Prislapp!$E$2+F447*Prislapp!$F$2+G447*Prislapp!$G$2+H447*Prislapp!$H$2+I447*Prislapp!$I$2+J447*Prislapp!$J$2+K447*Prislapp!$K$2+L447*Prislapp!$L$2+M447*Prislapp!$M$2+N447*Prislapp!$N$2</f>
        <v>18405</v>
      </c>
      <c r="P447" s="42">
        <f>C447*Prislapp!$C$3+D447*Prislapp!$D$3+E447*Prislapp!$E$3+F447*Prislapp!$F$3+G447*Prislapp!$G$3+H447*Prislapp!$H$3+I447*Prislapp!$I$3+J447*Prislapp!$J$3+K447*Prislapp!$K$3+M447*Prislapp!$M$3+N447*Prislapp!$N$3</f>
        <v>15773</v>
      </c>
      <c r="Q447" s="42">
        <f>C447*Prislapp!$C$5+D447*Prislapp!$D$5+E447*Prislapp!$E$5+F447*Prislapp!$F$5+G447*Prislapp!$G$5+H447*Prislapp!$H$5+I447*Prislapp!$I$5+J447*Prislapp!$J$5+K447*Prislapp!$K$5+L447*Prislapp!$L$5+M447*Prislapp!$M$5+N447*Prislapp!$N$5</f>
        <v>5800</v>
      </c>
      <c r="R447" s="9">
        <f>VLOOKUP(A447,'Ansvar kurs'!$A$2:$B$847,2,FALSE)</f>
        <v>2193</v>
      </c>
      <c r="S447" s="159" t="s">
        <v>1304</v>
      </c>
      <c r="T447" s="159"/>
      <c r="U447" s="159"/>
      <c r="V447" s="159"/>
      <c r="W447" s="159"/>
      <c r="X447" s="159"/>
      <c r="Y447" s="159"/>
      <c r="Z447" s="159"/>
    </row>
    <row r="448" spans="1:26" x14ac:dyDescent="0.25">
      <c r="A448" s="245" t="s">
        <v>872</v>
      </c>
      <c r="B448" s="31" t="s">
        <v>1487</v>
      </c>
      <c r="F448" s="31">
        <v>1</v>
      </c>
      <c r="O448" s="42">
        <f>C448*Prislapp!$C$2+D448*Prislapp!$D$2+E448*Prislapp!$E$2+F448*Prislapp!$F$2+G448*Prislapp!$G$2+H448*Prislapp!$H$2+I448*Prislapp!$I$2+J448*Prislapp!$J$2+K448*Prislapp!$K$2+L448*Prislapp!$L$2+M448*Prislapp!$M$2+N448*Prislapp!$N$2</f>
        <v>23641</v>
      </c>
      <c r="P448" s="42">
        <f>C448*Prislapp!$C$3+D448*Prislapp!$D$3+E448*Prislapp!$E$3+F448*Prislapp!$F$3+G448*Prislapp!$G$3+H448*Prislapp!$H$3+I448*Prislapp!$I$3+J448*Prislapp!$J$3+K448*Prislapp!$K$3+M448*Prislapp!$M$3+N448*Prislapp!$N$3</f>
        <v>28786</v>
      </c>
      <c r="Q448" s="42">
        <f>C448*Prislapp!$C$5+D448*Prislapp!$D$5+E448*Prislapp!$E$5+F448*Prislapp!$F$5+G448*Prislapp!$G$5+H448*Prislapp!$H$5+I448*Prislapp!$I$5+J448*Prislapp!$J$5+K448*Prislapp!$K$5+L448*Prislapp!$L$5+M448*Prislapp!$M$5+N448*Prislapp!$N$5</f>
        <v>5800</v>
      </c>
      <c r="R448" s="9">
        <f>VLOOKUP(A448,'Ansvar kurs'!$A$2:$B$847,2,FALSE)</f>
        <v>2193</v>
      </c>
      <c r="S448" s="159"/>
      <c r="T448" s="159"/>
      <c r="U448" s="159"/>
      <c r="V448" s="159"/>
      <c r="W448" s="159"/>
      <c r="X448" s="159"/>
      <c r="Y448" s="159"/>
      <c r="Z448" s="159"/>
    </row>
    <row r="449" spans="1:26" x14ac:dyDescent="0.25">
      <c r="A449" s="245" t="s">
        <v>873</v>
      </c>
      <c r="B449" s="31" t="s">
        <v>887</v>
      </c>
      <c r="F449" s="31">
        <v>1</v>
      </c>
      <c r="O449" s="42">
        <f>C449*Prislapp!$C$2+D449*Prislapp!$D$2+E449*Prislapp!$E$2+F449*Prislapp!$F$2+G449*Prislapp!$G$2+H449*Prislapp!$H$2+I449*Prislapp!$I$2+J449*Prislapp!$J$2+K449*Prislapp!$K$2+L449*Prislapp!$L$2+M449*Prislapp!$M$2+N449*Prislapp!$N$2</f>
        <v>23641</v>
      </c>
      <c r="P449" s="42">
        <f>C449*Prislapp!$C$3+D449*Prislapp!$D$3+E449*Prislapp!$E$3+F449*Prislapp!$F$3+G449*Prislapp!$G$3+H449*Prislapp!$H$3+I449*Prislapp!$I$3+J449*Prislapp!$J$3+K449*Prislapp!$K$3+M449*Prislapp!$M$3+N449*Prislapp!$N$3</f>
        <v>28786</v>
      </c>
      <c r="Q449" s="42">
        <f>C449*Prislapp!$C$5+D449*Prislapp!$D$5+E449*Prislapp!$E$5+F449*Prislapp!$F$5+G449*Prislapp!$G$5+H449*Prislapp!$H$5+I449*Prislapp!$I$5+J449*Prislapp!$J$5+K449*Prislapp!$K$5+L449*Prislapp!$L$5+M449*Prislapp!$M$5+N449*Prislapp!$N$5</f>
        <v>5800</v>
      </c>
      <c r="R449" s="9">
        <f>VLOOKUP(A449,'Ansvar kurs'!$A$2:$B$847,2,FALSE)</f>
        <v>2193</v>
      </c>
      <c r="S449" s="159"/>
      <c r="T449" s="159"/>
      <c r="U449" s="159"/>
      <c r="V449" s="159"/>
      <c r="W449" s="159"/>
      <c r="X449" s="159"/>
      <c r="Y449" s="159"/>
      <c r="Z449" s="159"/>
    </row>
    <row r="450" spans="1:26" x14ac:dyDescent="0.25">
      <c r="A450" s="31" t="s">
        <v>504</v>
      </c>
      <c r="B450" s="31" t="s">
        <v>554</v>
      </c>
      <c r="H450" s="31">
        <v>0.2</v>
      </c>
      <c r="I450" s="31">
        <v>0.8</v>
      </c>
      <c r="O450" s="42">
        <f>C450*Prislapp!$C$2+D450*Prislapp!$D$2+E450*Prislapp!$E$2+F450*Prislapp!$F$2+G450*Prislapp!$G$2+H450*Prislapp!$H$2+I450*Prislapp!$I$2+J450*Prislapp!$J$2+K450*Prislapp!$K$2+L450*Prislapp!$L$2+M450*Prislapp!$M$2+N450*Prislapp!$N$2</f>
        <v>18618.599999999999</v>
      </c>
      <c r="P450" s="42">
        <f>C450*Prislapp!$C$3+D450*Prislapp!$D$3+E450*Prislapp!$E$3+F450*Prislapp!$F$3+G450*Prislapp!$G$3+H450*Prislapp!$H$3+I450*Prislapp!$I$3+J450*Prislapp!$J$3+K450*Prislapp!$K$3+M450*Prislapp!$M$3+N450*Prislapp!$N$3</f>
        <v>19579.600000000002</v>
      </c>
      <c r="Q450" s="42">
        <f>C450*Prislapp!$C$5+D450*Prislapp!$D$5+E450*Prislapp!$E$5+F450*Prislapp!$F$5+G450*Prislapp!$G$5+H450*Prislapp!$H$5+I450*Prislapp!$I$5+J450*Prislapp!$J$5+K450*Prislapp!$K$5+L450*Prislapp!$L$5+M450*Prislapp!$M$5+N450*Prislapp!$N$5</f>
        <v>9000</v>
      </c>
      <c r="R450" s="9">
        <f>VLOOKUP(A450,'Ansvar kurs'!$A$2:$B$847,2,FALSE)</f>
        <v>2193</v>
      </c>
      <c r="S450" s="31" t="s">
        <v>1304</v>
      </c>
      <c r="T450" s="159" t="s">
        <v>1069</v>
      </c>
      <c r="U450" s="159"/>
      <c r="V450" s="159"/>
      <c r="W450" s="159"/>
      <c r="X450" s="159"/>
      <c r="Y450" s="159"/>
      <c r="Z450" s="159"/>
    </row>
    <row r="451" spans="1:26" x14ac:dyDescent="0.25">
      <c r="A451" s="31" t="s">
        <v>505</v>
      </c>
      <c r="B451" s="31" t="s">
        <v>722</v>
      </c>
      <c r="H451" s="31">
        <v>0.33</v>
      </c>
      <c r="I451" s="31">
        <v>0.67</v>
      </c>
      <c r="O451" s="42">
        <f>C451*Prislapp!$C$2+D451*Prislapp!$D$2+E451*Prislapp!$E$2+F451*Prislapp!$F$2+G451*Prislapp!$G$2+H451*Prislapp!$H$2+I451*Prislapp!$I$2+J451*Prislapp!$J$2+K451*Prislapp!$K$2+L451*Prislapp!$L$2+M451*Prislapp!$M$2+N451*Prislapp!$N$2</f>
        <v>18757.440000000002</v>
      </c>
      <c r="P451" s="42">
        <f>C451*Prislapp!$C$3+D451*Prislapp!$D$3+E451*Prislapp!$E$3+F451*Prislapp!$F$3+G451*Prislapp!$G$3+H451*Prislapp!$H$3+I451*Prislapp!$I$3+J451*Prislapp!$J$3+K451*Prislapp!$K$3+M451*Prislapp!$M$3+N451*Prislapp!$N$3</f>
        <v>22053.89</v>
      </c>
      <c r="Q451" s="42">
        <f>C451*Prislapp!$C$5+D451*Prislapp!$D$5+E451*Prislapp!$E$5+F451*Prislapp!$F$5+G451*Prislapp!$G$5+H451*Prislapp!$H$5+I451*Prislapp!$I$5+J451*Prislapp!$J$5+K451*Prislapp!$K$5+L451*Prislapp!$L$5+M451*Prislapp!$M$5+N451*Prislapp!$N$5</f>
        <v>11080</v>
      </c>
      <c r="R451" s="9">
        <f>VLOOKUP(A451,'Ansvar kurs'!$A$2:$B$847,2,FALSE)</f>
        <v>2193</v>
      </c>
      <c r="S451" s="31" t="s">
        <v>1304</v>
      </c>
      <c r="T451" s="159" t="s">
        <v>1069</v>
      </c>
      <c r="U451" s="159"/>
      <c r="V451" s="159"/>
      <c r="W451" s="159"/>
      <c r="X451" s="159"/>
      <c r="Y451" s="159"/>
      <c r="Z451" s="159"/>
    </row>
    <row r="452" spans="1:26" x14ac:dyDescent="0.25">
      <c r="A452" s="31" t="s">
        <v>506</v>
      </c>
      <c r="B452" s="31" t="s">
        <v>555</v>
      </c>
      <c r="I452" s="31">
        <v>1</v>
      </c>
      <c r="O452" s="42">
        <f>C452*Prislapp!$C$2+D452*Prislapp!$D$2+E452*Prislapp!$E$2+F452*Prislapp!$F$2+G452*Prislapp!$G$2+H452*Prislapp!$H$2+I452*Prislapp!$I$2+J452*Prislapp!$J$2+K452*Prislapp!$K$2+L452*Prislapp!$L$2+M452*Prislapp!$M$2+N452*Prislapp!$N$2</f>
        <v>18405</v>
      </c>
      <c r="P452" s="42">
        <f>C452*Prislapp!$C$3+D452*Prislapp!$D$3+E452*Prislapp!$E$3+F452*Prislapp!$F$3+G452*Prislapp!$G$3+H452*Prislapp!$H$3+I452*Prislapp!$I$3+J452*Prislapp!$J$3+K452*Prislapp!$K$3+M452*Prislapp!$M$3+N452*Prislapp!$N$3</f>
        <v>15773</v>
      </c>
      <c r="Q452" s="42">
        <f>C452*Prislapp!$C$5+D452*Prislapp!$D$5+E452*Prislapp!$E$5+F452*Prislapp!$F$5+G452*Prislapp!$G$5+H452*Prislapp!$H$5+I452*Prislapp!$I$5+J452*Prislapp!$J$5+K452*Prislapp!$K$5+L452*Prislapp!$L$5+M452*Prislapp!$M$5+N452*Prislapp!$N$5</f>
        <v>5800</v>
      </c>
      <c r="R452" s="9">
        <f>VLOOKUP(A452,'Ansvar kurs'!$A$2:$B$847,2,FALSE)</f>
        <v>2193</v>
      </c>
      <c r="S452" s="31" t="s">
        <v>1304</v>
      </c>
      <c r="T452" s="159"/>
      <c r="U452" s="159"/>
      <c r="V452" s="159"/>
      <c r="W452" s="159"/>
      <c r="X452" s="159"/>
      <c r="Y452" s="159"/>
      <c r="Z452" s="159"/>
    </row>
    <row r="453" spans="1:26" x14ac:dyDescent="0.25">
      <c r="A453" s="244" t="s">
        <v>507</v>
      </c>
      <c r="B453" s="31" t="s">
        <v>1191</v>
      </c>
      <c r="K453" s="31">
        <v>1</v>
      </c>
      <c r="O453" s="42">
        <f>C453*Prislapp!$C$2+D453*Prislapp!$D$2+E453*Prislapp!$E$2+F453*Prislapp!$F$2+G453*Prislapp!$G$2+H453*Prislapp!$H$2+I453*Prislapp!$I$2+J453*Prislapp!$J$2+K453*Prislapp!$K$2+L453*Prislapp!$L$2+M453*Prislapp!$M$2+N453*Prislapp!$N$2</f>
        <v>21634</v>
      </c>
      <c r="P453" s="42">
        <f>C453*Prislapp!$C$3+D453*Prislapp!$D$3+E453*Prislapp!$E$3+F453*Prislapp!$F$3+G453*Prislapp!$G$3+H453*Prislapp!$H$3+I453*Prislapp!$I$3+J453*Prislapp!$J$3+K453*Prislapp!$K$3+M453*Prislapp!$M$3+N453*Prislapp!$N$3</f>
        <v>26986</v>
      </c>
      <c r="Q453" s="42">
        <f>C453*Prislapp!$C$5+D453*Prislapp!$D$5+E453*Prislapp!$E$5+F453*Prislapp!$F$5+G453*Prislapp!$G$5+H453*Prislapp!$H$5+I453*Prislapp!$I$5+J453*Prislapp!$J$5+K453*Prislapp!$K$5+L453*Prislapp!$L$5+M453*Prislapp!$M$5+N453*Prislapp!$N$5</f>
        <v>3400</v>
      </c>
      <c r="R453" s="9">
        <f>VLOOKUP(A453,'Ansvar kurs'!$A$2:$B$847,2,FALSE)</f>
        <v>2193</v>
      </c>
      <c r="S453" s="159"/>
      <c r="T453" s="159"/>
      <c r="U453" s="159"/>
      <c r="V453" s="159"/>
      <c r="W453" s="159"/>
      <c r="X453" s="159"/>
      <c r="Y453" s="159"/>
      <c r="Z453" s="159"/>
    </row>
    <row r="454" spans="1:26" x14ac:dyDescent="0.25">
      <c r="A454" s="244" t="s">
        <v>508</v>
      </c>
      <c r="B454" s="31" t="s">
        <v>556</v>
      </c>
      <c r="I454" s="31">
        <v>1</v>
      </c>
      <c r="O454" s="42">
        <f>C454*Prislapp!$C$2+D454*Prislapp!$D$2+E454*Prislapp!$E$2+F454*Prislapp!$F$2+G454*Prislapp!$G$2+H454*Prislapp!$H$2+I454*Prislapp!$I$2+J454*Prislapp!$J$2+K454*Prislapp!$K$2+L454*Prislapp!$L$2+M454*Prislapp!$M$2+N454*Prislapp!$N$2</f>
        <v>18405</v>
      </c>
      <c r="P454" s="42">
        <f>C454*Prislapp!$C$3+D454*Prislapp!$D$3+E454*Prislapp!$E$3+F454*Prislapp!$F$3+G454*Prislapp!$G$3+H454*Prislapp!$H$3+I454*Prislapp!$I$3+J454*Prislapp!$J$3+K454*Prislapp!$K$3+M454*Prislapp!$M$3+N454*Prislapp!$N$3</f>
        <v>15773</v>
      </c>
      <c r="Q454" s="42">
        <f>C454*Prislapp!$C$5+D454*Prislapp!$D$5+E454*Prislapp!$E$5+F454*Prislapp!$F$5+G454*Prislapp!$G$5+H454*Prislapp!$H$5+I454*Prislapp!$I$5+J454*Prislapp!$J$5+K454*Prislapp!$K$5+L454*Prislapp!$L$5+M454*Prislapp!$M$5+N454*Prislapp!$N$5</f>
        <v>5800</v>
      </c>
      <c r="R454" s="9">
        <f>VLOOKUP(A454,'Ansvar kurs'!$A$2:$B$847,2,FALSE)</f>
        <v>2193</v>
      </c>
      <c r="S454" s="31" t="s">
        <v>1304</v>
      </c>
      <c r="T454" s="159"/>
      <c r="U454" s="159"/>
      <c r="V454" s="159"/>
      <c r="W454" s="159"/>
      <c r="X454" s="159"/>
      <c r="Y454" s="159"/>
      <c r="Z454" s="159"/>
    </row>
    <row r="455" spans="1:26" x14ac:dyDescent="0.25">
      <c r="A455" s="244" t="s">
        <v>509</v>
      </c>
      <c r="B455" s="31" t="s">
        <v>557</v>
      </c>
      <c r="F455" s="31">
        <v>1</v>
      </c>
      <c r="O455" s="42">
        <f>C455*Prislapp!$C$2+D455*Prislapp!$D$2+E455*Prislapp!$E$2+F455*Prislapp!$F$2+G455*Prislapp!$G$2+H455*Prislapp!$H$2+I455*Prislapp!$I$2+J455*Prislapp!$J$2+K455*Prislapp!$K$2+L455*Prislapp!$L$2+M455*Prislapp!$M$2+N455*Prislapp!$N$2</f>
        <v>23641</v>
      </c>
      <c r="P455" s="42">
        <f>C455*Prislapp!$C$3+D455*Prislapp!$D$3+E455*Prislapp!$E$3+F455*Prislapp!$F$3+G455*Prislapp!$G$3+H455*Prislapp!$H$3+I455*Prislapp!$I$3+J455*Prislapp!$J$3+K455*Prislapp!$K$3+M455*Prislapp!$M$3+N455*Prislapp!$N$3</f>
        <v>28786</v>
      </c>
      <c r="Q455" s="42">
        <f>C455*Prislapp!$C$5+D455*Prislapp!$D$5+E455*Prislapp!$E$5+F455*Prislapp!$F$5+G455*Prislapp!$G$5+H455*Prislapp!$H$5+I455*Prislapp!$I$5+J455*Prislapp!$J$5+K455*Prislapp!$K$5+L455*Prislapp!$L$5+M455*Prislapp!$M$5+N455*Prislapp!$N$5</f>
        <v>5800</v>
      </c>
      <c r="R455" s="9">
        <f>VLOOKUP(A455,'Ansvar kurs'!$A$2:$B$847,2,FALSE)</f>
        <v>2193</v>
      </c>
      <c r="S455" s="159"/>
      <c r="T455" s="159"/>
      <c r="U455" s="159"/>
      <c r="V455" s="159"/>
      <c r="W455" s="159"/>
      <c r="X455" s="159"/>
      <c r="Y455" s="159"/>
      <c r="Z455" s="159"/>
    </row>
    <row r="456" spans="1:26" x14ac:dyDescent="0.25">
      <c r="A456" s="244" t="s">
        <v>598</v>
      </c>
      <c r="B456" s="31" t="s">
        <v>615</v>
      </c>
      <c r="F456" s="31">
        <v>1</v>
      </c>
      <c r="O456" s="42">
        <f>C456*Prislapp!$C$2+D456*Prislapp!$D$2+E456*Prislapp!$E$2+F456*Prislapp!$F$2+G456*Prislapp!$G$2+H456*Prislapp!$H$2+I456*Prislapp!$I$2+J456*Prislapp!$J$2+K456*Prislapp!$K$2+L456*Prislapp!$L$2+M456*Prislapp!$M$2+N456*Prislapp!$N$2</f>
        <v>23641</v>
      </c>
      <c r="P456" s="42">
        <f>C456*Prislapp!$C$3+D456*Prislapp!$D$3+E456*Prislapp!$E$3+F456*Prislapp!$F$3+G456*Prislapp!$G$3+H456*Prislapp!$H$3+I456*Prislapp!$I$3+J456*Prislapp!$J$3+K456*Prislapp!$K$3+M456*Prislapp!$M$3+N456*Prislapp!$N$3</f>
        <v>28786</v>
      </c>
      <c r="Q456" s="42">
        <f>C456*Prislapp!$C$5+D456*Prislapp!$D$5+E456*Prislapp!$E$5+F456*Prislapp!$F$5+G456*Prislapp!$G$5+H456*Prislapp!$H$5+I456*Prislapp!$I$5+J456*Prislapp!$J$5+K456*Prislapp!$K$5+L456*Prislapp!$L$5+M456*Prislapp!$M$5+N456*Prislapp!$N$5</f>
        <v>5800</v>
      </c>
      <c r="R456" s="9">
        <f>VLOOKUP(A456,'Ansvar kurs'!$A$2:$B$847,2,FALSE)</f>
        <v>2193</v>
      </c>
      <c r="S456" s="159"/>
      <c r="T456" s="159"/>
      <c r="U456" s="159"/>
      <c r="V456" s="159"/>
      <c r="W456" s="159"/>
      <c r="X456" s="159"/>
      <c r="Y456" s="159"/>
      <c r="Z456" s="159"/>
    </row>
    <row r="457" spans="1:26" x14ac:dyDescent="0.25">
      <c r="A457" s="244" t="s">
        <v>599</v>
      </c>
      <c r="B457" s="31" t="s">
        <v>616</v>
      </c>
      <c r="K457" s="31">
        <v>1</v>
      </c>
      <c r="O457" s="42">
        <f>C457*Prislapp!$C$2+D457*Prislapp!$D$2+E457*Prislapp!$E$2+F457*Prislapp!$F$2+G457*Prislapp!$G$2+H457*Prislapp!$H$2+I457*Prislapp!$I$2+J457*Prislapp!$J$2+K457*Prislapp!$K$2+L457*Prislapp!$L$2+M457*Prislapp!$M$2+N457*Prislapp!$N$2</f>
        <v>21634</v>
      </c>
      <c r="P457" s="42">
        <f>C457*Prislapp!$C$3+D457*Prislapp!$D$3+E457*Prislapp!$E$3+F457*Prislapp!$F$3+G457*Prislapp!$G$3+H457*Prislapp!$H$3+I457*Prislapp!$I$3+J457*Prislapp!$J$3+K457*Prislapp!$K$3+M457*Prislapp!$M$3+N457*Prislapp!$N$3</f>
        <v>26986</v>
      </c>
      <c r="Q457" s="42">
        <f>C457*Prislapp!$C$5+D457*Prislapp!$D$5+E457*Prislapp!$E$5+F457*Prislapp!$F$5+G457*Prislapp!$G$5+H457*Prislapp!$H$5+I457*Prislapp!$I$5+J457*Prislapp!$J$5+K457*Prislapp!$K$5+L457*Prislapp!$L$5+M457*Prislapp!$M$5+N457*Prislapp!$N$5</f>
        <v>3400</v>
      </c>
      <c r="R457" s="9">
        <f>VLOOKUP(A457,'Ansvar kurs'!$A$2:$B$847,2,FALSE)</f>
        <v>2193</v>
      </c>
      <c r="S457" s="159"/>
      <c r="T457" s="159"/>
      <c r="U457" s="159"/>
      <c r="V457" s="159"/>
      <c r="W457" s="159"/>
      <c r="X457" s="159"/>
      <c r="Y457" s="159"/>
      <c r="Z457" s="159"/>
    </row>
    <row r="458" spans="1:26" x14ac:dyDescent="0.25">
      <c r="A458" s="385" t="s">
        <v>874</v>
      </c>
      <c r="B458" s="31" t="s">
        <v>1192</v>
      </c>
      <c r="K458" s="31">
        <v>1</v>
      </c>
      <c r="O458" s="42">
        <f>C458*Prislapp!$C$2+D458*Prislapp!$D$2+E458*Prislapp!$E$2+F458*Prislapp!$F$2+G458*Prislapp!$G$2+H458*Prislapp!$H$2+I458*Prislapp!$I$2+J458*Prislapp!$J$2+K458*Prislapp!$K$2+L458*Prislapp!$L$2+M458*Prislapp!$M$2+N458*Prislapp!$N$2</f>
        <v>21634</v>
      </c>
      <c r="P458" s="42">
        <f>C458*Prislapp!$C$3+D458*Prislapp!$D$3+E458*Prislapp!$E$3+F458*Prislapp!$F$3+G458*Prislapp!$G$3+H458*Prislapp!$H$3+I458*Prislapp!$I$3+J458*Prislapp!$J$3+K458*Prislapp!$K$3+M458*Prislapp!$M$3+N458*Prislapp!$N$3</f>
        <v>26986</v>
      </c>
      <c r="Q458" s="42">
        <f>C458*Prislapp!$C$5+D458*Prislapp!$D$5+E458*Prislapp!$E$5+F458*Prislapp!$F$5+G458*Prislapp!$G$5+H458*Prislapp!$H$5+I458*Prislapp!$I$5+J458*Prislapp!$J$5+K458*Prislapp!$K$5+L458*Prislapp!$L$5+M458*Prislapp!$M$5+N458*Prislapp!$N$5</f>
        <v>3400</v>
      </c>
      <c r="R458" s="9">
        <f>VLOOKUP(A458,'Ansvar kurs'!$A$2:$B$847,2,FALSE)</f>
        <v>2193</v>
      </c>
      <c r="S458" s="159"/>
      <c r="T458" s="159"/>
      <c r="U458" s="159"/>
      <c r="V458" s="159"/>
      <c r="W458" s="159"/>
      <c r="X458" s="159"/>
      <c r="Y458" s="159"/>
      <c r="Z458" s="159"/>
    </row>
    <row r="459" spans="1:26" x14ac:dyDescent="0.25">
      <c r="A459" s="245" t="s">
        <v>875</v>
      </c>
      <c r="B459" s="31" t="s">
        <v>1193</v>
      </c>
      <c r="I459" s="31">
        <v>1</v>
      </c>
      <c r="O459" s="42">
        <f>C459*Prislapp!$C$2+D459*Prislapp!$D$2+E459*Prislapp!$E$2+F459*Prislapp!$F$2+G459*Prislapp!$G$2+H459*Prislapp!$H$2+I459*Prislapp!$I$2+J459*Prislapp!$J$2+K459*Prislapp!$K$2+L459*Prislapp!$L$2+M459*Prislapp!$M$2+N459*Prislapp!$N$2</f>
        <v>18405</v>
      </c>
      <c r="P459" s="42">
        <f>C459*Prislapp!$C$3+D459*Prislapp!$D$3+E459*Prislapp!$E$3+F459*Prislapp!$F$3+G459*Prislapp!$G$3+H459*Prislapp!$H$3+I459*Prislapp!$I$3+J459*Prislapp!$J$3+K459*Prislapp!$K$3+M459*Prislapp!$M$3+N459*Prislapp!$N$3</f>
        <v>15773</v>
      </c>
      <c r="Q459" s="42">
        <f>C459*Prislapp!$C$5+D459*Prislapp!$D$5+E459*Prislapp!$E$5+F459*Prislapp!$F$5+G459*Prislapp!$G$5+H459*Prislapp!$H$5+I459*Prislapp!$I$5+J459*Prislapp!$J$5+K459*Prislapp!$K$5+L459*Prislapp!$L$5+M459*Prislapp!$M$5+N459*Prislapp!$N$5</f>
        <v>5800</v>
      </c>
      <c r="R459" s="9">
        <f>VLOOKUP(A459,'Ansvar kurs'!$A$2:$B$847,2,FALSE)</f>
        <v>2193</v>
      </c>
      <c r="S459" s="31" t="s">
        <v>1304</v>
      </c>
      <c r="T459" s="159"/>
      <c r="U459" s="159"/>
      <c r="V459" s="159"/>
      <c r="W459" s="159"/>
      <c r="X459" s="159"/>
      <c r="Y459" s="159"/>
      <c r="Z459" s="159"/>
    </row>
    <row r="460" spans="1:26" x14ac:dyDescent="0.25">
      <c r="A460" s="245" t="s">
        <v>1071</v>
      </c>
      <c r="B460" s="31" t="s">
        <v>1154</v>
      </c>
      <c r="K460" s="31">
        <v>1</v>
      </c>
      <c r="O460" s="42">
        <f>C460*Prislapp!$C$2+D460*Prislapp!$D$2+E460*Prislapp!$E$2+F460*Prislapp!$F$2+G460*Prislapp!$G$2+H460*Prislapp!$H$2+I460*Prislapp!$I$2+J460*Prislapp!$J$2+K460*Prislapp!$K$2+L460*Prislapp!$L$2+M460*Prislapp!$M$2+N460*Prislapp!$N$2</f>
        <v>21634</v>
      </c>
      <c r="P460" s="42">
        <f>C460*Prislapp!$C$3+D460*Prislapp!$D$3+E460*Prislapp!$E$3+F460*Prislapp!$F$3+G460*Prislapp!$G$3+H460*Prislapp!$H$3+I460*Prislapp!$I$3+J460*Prislapp!$J$3+K460*Prislapp!$K$3+M460*Prislapp!$M$3+N460*Prislapp!$N$3</f>
        <v>26986</v>
      </c>
      <c r="Q460" s="42">
        <f>C460*Prislapp!$C$5+D460*Prislapp!$D$5+E460*Prislapp!$E$5+F460*Prislapp!$F$5+G460*Prislapp!$G$5+H460*Prislapp!$H$5+I460*Prislapp!$I$5+J460*Prislapp!$J$5+K460*Prislapp!$K$5+L460*Prislapp!$L$5+M460*Prislapp!$M$5+N460*Prislapp!$N$5</f>
        <v>3400</v>
      </c>
      <c r="R460" s="9">
        <f>VLOOKUP(A460,'Ansvar kurs'!$A$2:$B$847,2,FALSE)</f>
        <v>2193</v>
      </c>
      <c r="S460" s="159"/>
      <c r="T460" s="159"/>
      <c r="U460" s="159"/>
      <c r="V460" s="159"/>
      <c r="W460" s="159"/>
      <c r="X460" s="159"/>
      <c r="Y460" s="159"/>
      <c r="Z460" s="159"/>
    </row>
    <row r="461" spans="1:26" x14ac:dyDescent="0.25">
      <c r="A461" s="31" t="s">
        <v>637</v>
      </c>
      <c r="B461" s="31" t="s">
        <v>638</v>
      </c>
      <c r="I461" s="31">
        <v>0.4</v>
      </c>
      <c r="K461" s="31">
        <v>0.6</v>
      </c>
      <c r="O461" s="42">
        <f>C461*Prislapp!$C$2+D461*Prislapp!$D$2+E461*Prislapp!$E$2+F461*Prislapp!$F$2+G461*Prislapp!$G$2+H461*Prislapp!$H$2+I461*Prislapp!$I$2+J461*Prislapp!$J$2+K461*Prislapp!$K$2+L461*Prislapp!$L$2+M461*Prislapp!$M$2+N461*Prislapp!$N$2</f>
        <v>20342.400000000001</v>
      </c>
      <c r="P461" s="42">
        <f>C461*Prislapp!$C$3+D461*Prislapp!$D$3+E461*Prislapp!$E$3+F461*Prislapp!$F$3+G461*Prislapp!$G$3+H461*Prislapp!$H$3+I461*Prislapp!$I$3+J461*Prislapp!$J$3+K461*Prislapp!$K$3+M461*Prislapp!$M$3+N461*Prislapp!$N$3</f>
        <v>22500.799999999999</v>
      </c>
      <c r="Q461" s="42">
        <f>C461*Prislapp!$C$5+D461*Prislapp!$D$5+E461*Prislapp!$E$5+F461*Prislapp!$F$5+G461*Prislapp!$G$5+H461*Prislapp!$H$5+I461*Prislapp!$I$5+J461*Prislapp!$J$5+K461*Prislapp!$K$5+L461*Prislapp!$L$5+M461*Prislapp!$M$5+N461*Prislapp!$N$5</f>
        <v>4360</v>
      </c>
      <c r="R461" s="9">
        <f>VLOOKUP(A461,'Ansvar kurs'!$A$2:$B$847,2,FALSE)</f>
        <v>2180</v>
      </c>
      <c r="S461" s="159" t="s">
        <v>1069</v>
      </c>
      <c r="T461" s="159"/>
      <c r="U461" s="159"/>
      <c r="V461" s="159"/>
      <c r="W461" s="159"/>
      <c r="X461" s="159"/>
      <c r="Y461" s="159"/>
      <c r="Z461" s="159"/>
    </row>
    <row r="462" spans="1:26" x14ac:dyDescent="0.25">
      <c r="A462" s="31" t="s">
        <v>632</v>
      </c>
      <c r="B462" s="31" t="s">
        <v>723</v>
      </c>
      <c r="F462" s="31">
        <v>0</v>
      </c>
      <c r="I462" s="31">
        <v>1</v>
      </c>
      <c r="O462" s="42">
        <f>C462*Prislapp!$C$2+D462*Prislapp!$D$2+E462*Prislapp!$E$2+F462*Prislapp!$F$2+G462*Prislapp!$G$2+H462*Prislapp!$H$2+I462*Prislapp!$I$2+J462*Prislapp!$J$2+K462*Prislapp!$K$2+L462*Prislapp!$L$2+M462*Prislapp!$M$2+N462*Prislapp!$N$2</f>
        <v>18405</v>
      </c>
      <c r="P462" s="42">
        <f>C462*Prislapp!$C$3+D462*Prislapp!$D$3+E462*Prislapp!$E$3+F462*Prislapp!$F$3+G462*Prislapp!$G$3+H462*Prislapp!$H$3+I462*Prislapp!$I$3+J462*Prislapp!$J$3+K462*Prislapp!$K$3+M462*Prislapp!$M$3+N462*Prislapp!$N$3</f>
        <v>15773</v>
      </c>
      <c r="Q462" s="42">
        <f>C462*Prislapp!$C$5+D462*Prislapp!$D$5+E462*Prislapp!$E$5+F462*Prislapp!$F$5+G462*Prislapp!$G$5+H462*Prislapp!$H$5+I462*Prislapp!$I$5+J462*Prislapp!$J$5+K462*Prislapp!$K$5+L462*Prislapp!$L$5+M462*Prislapp!$M$5+N462*Prislapp!$N$5</f>
        <v>5800</v>
      </c>
      <c r="R462" s="9">
        <f>VLOOKUP(A462,'Ansvar kurs'!$A$2:$B$847,2,FALSE)</f>
        <v>2180</v>
      </c>
      <c r="S462" s="182" t="s">
        <v>1429</v>
      </c>
      <c r="T462" s="159"/>
      <c r="U462" s="159"/>
      <c r="V462" s="159"/>
      <c r="W462" s="159"/>
      <c r="X462" s="159"/>
      <c r="Y462" s="159"/>
      <c r="Z462" s="159"/>
    </row>
    <row r="463" spans="1:26" x14ac:dyDescent="0.25">
      <c r="A463" s="31" t="s">
        <v>633</v>
      </c>
      <c r="B463" s="31" t="s">
        <v>724</v>
      </c>
      <c r="F463" s="31">
        <v>0</v>
      </c>
      <c r="I463" s="31">
        <v>1</v>
      </c>
      <c r="O463" s="42">
        <f>C463*Prislapp!$C$2+D463*Prislapp!$D$2+E463*Prislapp!$E$2+F463*Prislapp!$F$2+G463*Prislapp!$G$2+H463*Prislapp!$H$2+I463*Prislapp!$I$2+J463*Prislapp!$J$2+K463*Prislapp!$K$2+L463*Prislapp!$L$2+M463*Prislapp!$M$2+N463*Prislapp!$N$2</f>
        <v>18405</v>
      </c>
      <c r="P463" s="42">
        <f>C463*Prislapp!$C$3+D463*Prislapp!$D$3+E463*Prislapp!$E$3+F463*Prislapp!$F$3+G463*Prislapp!$G$3+H463*Prislapp!$H$3+I463*Prislapp!$I$3+J463*Prislapp!$J$3+K463*Prislapp!$K$3+M463*Prislapp!$M$3+N463*Prislapp!$N$3</f>
        <v>15773</v>
      </c>
      <c r="Q463" s="42">
        <f>C463*Prislapp!$C$5+D463*Prislapp!$D$5+E463*Prislapp!$E$5+F463*Prislapp!$F$5+G463*Prislapp!$G$5+H463*Prislapp!$H$5+I463*Prislapp!$I$5+J463*Prislapp!$J$5+K463*Prislapp!$K$5+L463*Prislapp!$L$5+M463*Prislapp!$M$5+N463*Prislapp!$N$5</f>
        <v>5800</v>
      </c>
      <c r="R463" s="9">
        <f>VLOOKUP(A463,'Ansvar kurs'!$A$2:$B$847,2,FALSE)</f>
        <v>2180</v>
      </c>
      <c r="S463" s="182" t="s">
        <v>1429</v>
      </c>
      <c r="T463" s="159"/>
      <c r="U463" s="159"/>
      <c r="V463" s="159"/>
      <c r="W463" s="159"/>
      <c r="X463" s="159"/>
      <c r="Y463" s="159"/>
      <c r="Z463" s="159"/>
    </row>
    <row r="464" spans="1:26" x14ac:dyDescent="0.25">
      <c r="A464" s="31" t="s">
        <v>826</v>
      </c>
      <c r="B464" s="31" t="s">
        <v>1194</v>
      </c>
      <c r="F464" s="31">
        <v>1</v>
      </c>
      <c r="O464" s="42">
        <f>C464*Prislapp!$C$2+D464*Prislapp!$D$2+E464*Prislapp!$E$2+F464*Prislapp!$F$2+G464*Prislapp!$G$2+H464*Prislapp!$H$2+I464*Prislapp!$I$2+J464*Prislapp!$J$2+K464*Prislapp!$K$2+L464*Prislapp!$L$2+M464*Prislapp!$M$2+N464*Prislapp!$N$2</f>
        <v>23641</v>
      </c>
      <c r="P464" s="42">
        <f>C464*Prislapp!$C$3+D464*Prislapp!$D$3+E464*Prislapp!$E$3+F464*Prislapp!$F$3+G464*Prislapp!$G$3+H464*Prislapp!$H$3+I464*Prislapp!$I$3+J464*Prislapp!$J$3+K464*Prislapp!$K$3+M464*Prislapp!$M$3+N464*Prislapp!$N$3</f>
        <v>28786</v>
      </c>
      <c r="Q464" s="42">
        <f>C464*Prislapp!$C$5+D464*Prislapp!$D$5+E464*Prislapp!$E$5+F464*Prislapp!$F$5+G464*Prislapp!$G$5+H464*Prislapp!$H$5+I464*Prislapp!$I$5+J464*Prislapp!$J$5+K464*Prislapp!$K$5+L464*Prislapp!$L$5+M464*Prislapp!$M$5+N464*Prislapp!$N$5</f>
        <v>5800</v>
      </c>
      <c r="R464" s="9">
        <f>VLOOKUP(A464,'Ansvar kurs'!$A$2:$B$847,2,FALSE)</f>
        <v>2180</v>
      </c>
      <c r="S464" s="159"/>
      <c r="T464" s="159"/>
      <c r="U464" s="159"/>
      <c r="V464" s="159"/>
      <c r="W464" s="159"/>
      <c r="X464" s="159"/>
      <c r="Y464" s="159"/>
      <c r="Z464" s="159"/>
    </row>
    <row r="465" spans="1:26" x14ac:dyDescent="0.25">
      <c r="A465" s="244" t="s">
        <v>814</v>
      </c>
      <c r="B465" s="31" t="s">
        <v>816</v>
      </c>
      <c r="F465" s="31">
        <v>1</v>
      </c>
      <c r="O465" s="42">
        <f>C465*Prislapp!$C$2+D465*Prislapp!$D$2+E465*Prislapp!$E$2+F465*Prislapp!$F$2+G465*Prislapp!$G$2+H465*Prislapp!$H$2+I465*Prislapp!$I$2+J465*Prislapp!$J$2+K465*Prislapp!$K$2+L465*Prislapp!$L$2+M465*Prislapp!$M$2+N465*Prislapp!$N$2</f>
        <v>23641</v>
      </c>
      <c r="P465" s="42">
        <f>C465*Prislapp!$C$3+D465*Prislapp!$D$3+E465*Prislapp!$E$3+F465*Prislapp!$F$3+G465*Prislapp!$G$3+H465*Prislapp!$H$3+I465*Prislapp!$I$3+J465*Prislapp!$J$3+K465*Prislapp!$K$3+M465*Prislapp!$M$3+N465*Prislapp!$N$3</f>
        <v>28786</v>
      </c>
      <c r="Q465" s="42">
        <f>C465*Prislapp!$C$5+D465*Prislapp!$D$5+E465*Prislapp!$E$5+F465*Prislapp!$F$5+G465*Prislapp!$G$5+H465*Prislapp!$H$5+I465*Prislapp!$I$5+J465*Prislapp!$J$5+K465*Prislapp!$K$5+L465*Prislapp!$L$5+M465*Prislapp!$M$5+N465*Prislapp!$N$5</f>
        <v>5800</v>
      </c>
      <c r="R465" s="9">
        <f>VLOOKUP(A465,'Ansvar kurs'!$A$2:$B$847,2,FALSE)</f>
        <v>5740</v>
      </c>
      <c r="S465" s="159"/>
      <c r="T465" s="159"/>
      <c r="U465" s="159"/>
      <c r="V465" s="159"/>
      <c r="W465" s="159"/>
      <c r="X465" s="159"/>
      <c r="Y465" s="159"/>
      <c r="Z465" s="159"/>
    </row>
    <row r="466" spans="1:26" x14ac:dyDescent="0.25">
      <c r="A466" s="244" t="s">
        <v>815</v>
      </c>
      <c r="B466" s="31" t="s">
        <v>817</v>
      </c>
      <c r="F466" s="31">
        <v>1</v>
      </c>
      <c r="O466" s="42">
        <f>C466*Prislapp!$C$2+D466*Prislapp!$D$2+E466*Prislapp!$E$2+F466*Prislapp!$F$2+G466*Prislapp!$G$2+H466*Prislapp!$H$2+I466*Prislapp!$I$2+J466*Prislapp!$J$2+K466*Prislapp!$K$2+L466*Prislapp!$L$2+M466*Prislapp!$M$2+N466*Prislapp!$N$2</f>
        <v>23641</v>
      </c>
      <c r="P466" s="42">
        <f>C466*Prislapp!$C$3+D466*Prislapp!$D$3+E466*Prislapp!$E$3+F466*Prislapp!$F$3+G466*Prislapp!$G$3+H466*Prislapp!$H$3+I466*Prislapp!$I$3+J466*Prislapp!$J$3+K466*Prislapp!$K$3+M466*Prislapp!$M$3+N466*Prislapp!$N$3</f>
        <v>28786</v>
      </c>
      <c r="Q466" s="42">
        <f>C466*Prislapp!$C$5+D466*Prislapp!$D$5+E466*Prislapp!$E$5+F466*Prislapp!$F$5+G466*Prislapp!$G$5+H466*Prislapp!$H$5+I466*Prislapp!$I$5+J466*Prislapp!$J$5+K466*Prislapp!$K$5+L466*Prislapp!$L$5+M466*Prislapp!$M$5+N466*Prislapp!$N$5</f>
        <v>5800</v>
      </c>
      <c r="R466" s="9">
        <f>VLOOKUP(A466,'Ansvar kurs'!$A$2:$B$847,2,FALSE)</f>
        <v>5740</v>
      </c>
      <c r="S466" s="159"/>
      <c r="T466" s="159"/>
      <c r="U466" s="159"/>
      <c r="V466" s="159"/>
      <c r="W466" s="159"/>
      <c r="X466" s="159"/>
      <c r="Y466" s="159"/>
      <c r="Z466" s="159"/>
    </row>
    <row r="467" spans="1:26" x14ac:dyDescent="0.25">
      <c r="A467" s="244" t="s">
        <v>967</v>
      </c>
      <c r="B467" s="31" t="s">
        <v>1195</v>
      </c>
      <c r="I467" s="31">
        <v>1</v>
      </c>
      <c r="O467" s="42">
        <f>C467*Prislapp!$C$2+D467*Prislapp!$D$2+E467*Prislapp!$E$2+F467*Prislapp!$F$2+G467*Prislapp!$G$2+H467*Prislapp!$H$2+I467*Prislapp!$I$2+J467*Prislapp!$J$2+K467*Prislapp!$K$2+L467*Prislapp!$L$2+M467*Prislapp!$M$2+N467*Prislapp!$N$2</f>
        <v>18405</v>
      </c>
      <c r="P467" s="42">
        <f>C467*Prislapp!$C$3+D467*Prislapp!$D$3+E467*Prislapp!$E$3+F467*Prislapp!$F$3+G467*Prislapp!$G$3+H467*Prislapp!$H$3+I467*Prislapp!$I$3+J467*Prislapp!$J$3+K467*Prislapp!$K$3+M467*Prislapp!$M$3+N467*Prislapp!$N$3</f>
        <v>15773</v>
      </c>
      <c r="Q467" s="42">
        <f>C467*Prislapp!$C$5+D467*Prislapp!$D$5+E467*Prislapp!$E$5+F467*Prislapp!$F$5+G467*Prislapp!$G$5+H467*Prislapp!$H$5+I467*Prislapp!$I$5+J467*Prislapp!$J$5+K467*Prislapp!$K$5+L467*Prislapp!$L$5+M467*Prislapp!$M$5+N467*Prislapp!$N$5</f>
        <v>5800</v>
      </c>
      <c r="R467" s="9">
        <f>VLOOKUP(A467,'Ansvar kurs'!$A$2:$B$847,2,FALSE)</f>
        <v>2193</v>
      </c>
      <c r="S467" s="159"/>
      <c r="T467" s="159"/>
      <c r="U467" s="159"/>
      <c r="V467" s="159"/>
      <c r="W467" s="159"/>
      <c r="X467" s="159"/>
      <c r="Y467" s="159"/>
      <c r="Z467" s="159"/>
    </row>
    <row r="468" spans="1:26" x14ac:dyDescent="0.25">
      <c r="A468" s="59" t="s">
        <v>911</v>
      </c>
      <c r="B468" s="31" t="s">
        <v>1249</v>
      </c>
      <c r="F468" s="31">
        <v>1</v>
      </c>
      <c r="O468" s="42">
        <f>C468*Prislapp!$C$2+D468*Prislapp!$D$2+E468*Prislapp!$E$2+F468*Prislapp!$F$2+G468*Prislapp!$G$2+H468*Prislapp!$H$2+I468*Prislapp!$I$2+J468*Prislapp!$J$2+K468*Prislapp!$K$2+L468*Prislapp!$L$2+M468*Prislapp!$M$2+N468*Prislapp!$N$2</f>
        <v>23641</v>
      </c>
      <c r="P468" s="42">
        <f>C468*Prislapp!$C$3+D468*Prislapp!$D$3+E468*Prislapp!$E$3+F468*Prislapp!$F$3+G468*Prislapp!$G$3+H468*Prislapp!$H$3+I468*Prislapp!$I$3+J468*Prislapp!$J$3+K468*Prislapp!$K$3+M468*Prislapp!$M$3+N468*Prislapp!$N$3</f>
        <v>28786</v>
      </c>
      <c r="Q468" s="42">
        <f>C468*Prislapp!$C$5+D468*Prislapp!$D$5+E468*Prislapp!$E$5+F468*Prislapp!$F$5+G468*Prislapp!$G$5+H468*Prislapp!$H$5+I468*Prislapp!$I$5+J468*Prislapp!$J$5+K468*Prislapp!$K$5+L468*Prislapp!$L$5+M468*Prislapp!$M$5+N468*Prislapp!$N$5</f>
        <v>5800</v>
      </c>
      <c r="R468" s="9">
        <f>VLOOKUP(A468,'Ansvar kurs'!$A$2:$B$847,2,FALSE)</f>
        <v>2193</v>
      </c>
      <c r="U468" s="159"/>
      <c r="V468" s="159"/>
      <c r="W468" s="159"/>
      <c r="X468" s="159"/>
      <c r="Y468" s="159"/>
      <c r="Z468" s="159"/>
    </row>
    <row r="469" spans="1:26" x14ac:dyDescent="0.25">
      <c r="A469" s="59" t="s">
        <v>912</v>
      </c>
      <c r="B469" s="31" t="s">
        <v>1250</v>
      </c>
      <c r="F469" s="31">
        <v>1</v>
      </c>
      <c r="O469" s="42">
        <f>C469*Prislapp!$C$2+D469*Prislapp!$D$2+E469*Prislapp!$E$2+F469*Prislapp!$F$2+G469*Prislapp!$G$2+H469*Prislapp!$H$2+I469*Prislapp!$I$2+J469*Prislapp!$J$2+K469*Prislapp!$K$2+L469*Prislapp!$L$2+M469*Prislapp!$M$2+N469*Prislapp!$N$2</f>
        <v>23641</v>
      </c>
      <c r="P469" s="42">
        <f>C469*Prislapp!$C$3+D469*Prislapp!$D$3+E469*Prislapp!$E$3+F469*Prislapp!$F$3+G469*Prislapp!$G$3+H469*Prislapp!$H$3+I469*Prislapp!$I$3+J469*Prislapp!$J$3+K469*Prislapp!$K$3+M469*Prislapp!$M$3+N469*Prislapp!$N$3</f>
        <v>28786</v>
      </c>
      <c r="Q469" s="42">
        <f>C469*Prislapp!$C$5+D469*Prislapp!$D$5+E469*Prislapp!$E$5+F469*Prislapp!$F$5+G469*Prislapp!$G$5+H469*Prislapp!$H$5+I469*Prislapp!$I$5+J469*Prislapp!$J$5+K469*Prislapp!$K$5+L469*Prislapp!$L$5+M469*Prislapp!$M$5+N469*Prislapp!$N$5</f>
        <v>5800</v>
      </c>
      <c r="R469" s="9">
        <f>VLOOKUP(A469,'Ansvar kurs'!$A$2:$B$847,2,FALSE)</f>
        <v>2193</v>
      </c>
    </row>
    <row r="470" spans="1:26" x14ac:dyDescent="0.25">
      <c r="A470" s="245" t="s">
        <v>937</v>
      </c>
      <c r="B470" s="31" t="s">
        <v>1196</v>
      </c>
      <c r="I470" s="31">
        <v>1</v>
      </c>
      <c r="O470" s="42">
        <f>C470*Prislapp!$C$2+D470*Prislapp!$D$2+E470*Prislapp!$E$2+F470*Prislapp!$F$2+G470*Prislapp!$G$2+H470*Prislapp!$H$2+I470*Prislapp!$I$2+J470*Prislapp!$J$2+K470*Prislapp!$K$2+L470*Prislapp!$L$2+M470*Prislapp!$M$2+N470*Prislapp!$N$2</f>
        <v>18405</v>
      </c>
      <c r="P470" s="42">
        <f>C470*Prislapp!$C$3+D470*Prislapp!$D$3+E470*Prislapp!$E$3+F470*Prislapp!$F$3+G470*Prislapp!$G$3+H470*Prislapp!$H$3+I470*Prislapp!$I$3+J470*Prislapp!$J$3+K470*Prislapp!$K$3+M470*Prislapp!$M$3+N470*Prislapp!$N$3</f>
        <v>15773</v>
      </c>
      <c r="Q470" s="42">
        <f>C470*Prislapp!$C$5+D470*Prislapp!$D$5+E470*Prislapp!$E$5+F470*Prislapp!$F$5+G470*Prislapp!$G$5+H470*Prislapp!$H$5+I470*Prislapp!$I$5+J470*Prislapp!$J$5+K470*Prislapp!$K$5+L470*Prislapp!$L$5+M470*Prislapp!$M$5+N470*Prislapp!$N$5</f>
        <v>5800</v>
      </c>
      <c r="R470" s="9">
        <f>VLOOKUP(A470,'Ansvar kurs'!$A$2:$B$847,2,FALSE)</f>
        <v>2180</v>
      </c>
      <c r="S470" s="159"/>
      <c r="T470" s="159"/>
    </row>
    <row r="471" spans="1:26" x14ac:dyDescent="0.25">
      <c r="A471" s="245" t="s">
        <v>1088</v>
      </c>
      <c r="B471" s="31" t="s">
        <v>1092</v>
      </c>
      <c r="I471" s="31">
        <v>1</v>
      </c>
      <c r="O471" s="42">
        <f>C471*Prislapp!$C$2+D471*Prislapp!$D$2+E471*Prislapp!$E$2+F471*Prislapp!$F$2+G471*Prislapp!$G$2+H471*Prislapp!$H$2+I471*Prislapp!$I$2+J471*Prislapp!$J$2+K471*Prislapp!$K$2+L471*Prislapp!$L$2+M471*Prislapp!$M$2+N471*Prislapp!$N$2</f>
        <v>18405</v>
      </c>
      <c r="P471" s="42">
        <f>C471*Prislapp!$C$3+D471*Prislapp!$D$3+E471*Prislapp!$E$3+F471*Prislapp!$F$3+G471*Prislapp!$G$3+H471*Prislapp!$H$3+I471*Prislapp!$I$3+J471*Prislapp!$J$3+K471*Prislapp!$K$3+M471*Prislapp!$M$3+N471*Prislapp!$N$3</f>
        <v>15773</v>
      </c>
      <c r="Q471" s="42">
        <f>C471*Prislapp!$C$5+D471*Prislapp!$D$5+E471*Prislapp!$E$5+F471*Prislapp!$F$5+G471*Prislapp!$G$5+H471*Prislapp!$H$5+I471*Prislapp!$I$5+J471*Prislapp!$J$5+K471*Prislapp!$K$5+L471*Prislapp!$L$5+M471*Prislapp!$M$5+N471*Prislapp!$N$5</f>
        <v>5800</v>
      </c>
      <c r="R471" s="9">
        <f>VLOOKUP(A471,'Ansvar kurs'!$A$2:$B$847,2,FALSE)</f>
        <v>2193</v>
      </c>
      <c r="S471" s="159"/>
      <c r="T471" s="159"/>
    </row>
    <row r="472" spans="1:26" x14ac:dyDescent="0.25">
      <c r="A472" s="245" t="s">
        <v>968</v>
      </c>
      <c r="B472" s="31" t="s">
        <v>1197</v>
      </c>
      <c r="I472" s="31">
        <v>1</v>
      </c>
      <c r="O472" s="42">
        <f>C472*Prislapp!$C$2+D472*Prislapp!$D$2+E472*Prislapp!$E$2+F472*Prislapp!$F$2+G472*Prislapp!$G$2+H472*Prislapp!$H$2+I472*Prislapp!$I$2+J472*Prislapp!$J$2+K472*Prislapp!$K$2+L472*Prislapp!$L$2+M472*Prislapp!$M$2+N472*Prislapp!$N$2</f>
        <v>18405</v>
      </c>
      <c r="P472" s="42">
        <f>C472*Prislapp!$C$3+D472*Prislapp!$D$3+E472*Prislapp!$E$3+F472*Prislapp!$F$3+G472*Prislapp!$G$3+H472*Prislapp!$H$3+I472*Prislapp!$I$3+J472*Prislapp!$J$3+K472*Prislapp!$K$3+M472*Prislapp!$M$3+N472*Prislapp!$N$3</f>
        <v>15773</v>
      </c>
      <c r="Q472" s="42">
        <f>C472*Prislapp!$C$5+D472*Prislapp!$D$5+E472*Prislapp!$E$5+F472*Prislapp!$F$5+G472*Prislapp!$G$5+H472*Prislapp!$H$5+I472*Prislapp!$I$5+J472*Prislapp!$J$5+K472*Prislapp!$K$5+L472*Prislapp!$L$5+M472*Prislapp!$M$5+N472*Prislapp!$N$5</f>
        <v>5800</v>
      </c>
      <c r="R472" s="9">
        <f>VLOOKUP(A472,'Ansvar kurs'!$A$2:$B$847,2,FALSE)</f>
        <v>2193</v>
      </c>
      <c r="S472" s="159"/>
      <c r="T472" s="159"/>
    </row>
    <row r="473" spans="1:26" x14ac:dyDescent="0.25">
      <c r="A473" s="245" t="s">
        <v>969</v>
      </c>
      <c r="B473" s="31" t="s">
        <v>1197</v>
      </c>
      <c r="I473" s="31">
        <v>1</v>
      </c>
      <c r="O473" s="42">
        <f>C473*Prislapp!$C$2+D473*Prislapp!$D$2+E473*Prislapp!$E$2+F473*Prislapp!$F$2+G473*Prislapp!$G$2+H473*Prislapp!$H$2+I473*Prislapp!$I$2+J473*Prislapp!$J$2+K473*Prislapp!$K$2+L473*Prislapp!$L$2+M473*Prislapp!$M$2+N473*Prislapp!$N$2</f>
        <v>18405</v>
      </c>
      <c r="P473" s="42">
        <f>C473*Prislapp!$C$3+D473*Prislapp!$D$3+E473*Prislapp!$E$3+F473*Prislapp!$F$3+G473*Prislapp!$G$3+H473*Prislapp!$H$3+I473*Prislapp!$I$3+J473*Prislapp!$J$3+K473*Prislapp!$K$3+M473*Prislapp!$M$3+N473*Prislapp!$N$3</f>
        <v>15773</v>
      </c>
      <c r="Q473" s="42">
        <f>C473*Prislapp!$C$5+D473*Prislapp!$D$5+E473*Prislapp!$E$5+F473*Prislapp!$F$5+G473*Prislapp!$G$5+H473*Prislapp!$H$5+I473*Prislapp!$I$5+J473*Prislapp!$J$5+K473*Prislapp!$K$5+L473*Prislapp!$L$5+M473*Prislapp!$M$5+N473*Prislapp!$N$5</f>
        <v>5800</v>
      </c>
      <c r="R473" s="9">
        <f>VLOOKUP(A473,'Ansvar kurs'!$A$2:$B$847,2,FALSE)</f>
        <v>2193</v>
      </c>
      <c r="S473" s="159"/>
      <c r="T473" s="159"/>
    </row>
    <row r="474" spans="1:26" x14ac:dyDescent="0.25">
      <c r="A474" s="245" t="s">
        <v>976</v>
      </c>
      <c r="B474" s="31" t="s">
        <v>1198</v>
      </c>
      <c r="K474" s="31">
        <v>1</v>
      </c>
      <c r="O474" s="42">
        <f>C474*Prislapp!$C$2+D474*Prislapp!$D$2+E474*Prislapp!$E$2+F474*Prislapp!$F$2+G474*Prislapp!$G$2+H474*Prislapp!$H$2+I474*Prislapp!$I$2+J474*Prislapp!$J$2+K474*Prislapp!$K$2+L474*Prislapp!$L$2+M474*Prislapp!$M$2+N474*Prislapp!$N$2</f>
        <v>21634</v>
      </c>
      <c r="P474" s="42">
        <f>C474*Prislapp!$C$3+D474*Prislapp!$D$3+E474*Prislapp!$E$3+F474*Prislapp!$F$3+G474*Prislapp!$G$3+H474*Prislapp!$H$3+I474*Prislapp!$I$3+J474*Prislapp!$J$3+K474*Prislapp!$K$3+M474*Prislapp!$M$3+N474*Prislapp!$N$3</f>
        <v>26986</v>
      </c>
      <c r="Q474" s="42">
        <f>C474*Prislapp!$C$5+D474*Prislapp!$D$5+E474*Prislapp!$E$5+F474*Prislapp!$F$5+G474*Prislapp!$G$5+H474*Prislapp!$H$5+I474*Prislapp!$I$5+J474*Prislapp!$J$5+K474*Prislapp!$K$5+L474*Prislapp!$L$5+M474*Prislapp!$M$5+N474*Prislapp!$N$5</f>
        <v>3400</v>
      </c>
      <c r="R474" s="9">
        <f>VLOOKUP(A474,'Ansvar kurs'!$A$2:$B$847,2,FALSE)</f>
        <v>5740</v>
      </c>
      <c r="S474" s="31" t="s">
        <v>961</v>
      </c>
      <c r="T474" s="31" t="s">
        <v>963</v>
      </c>
      <c r="U474" s="159"/>
      <c r="V474" s="159"/>
      <c r="W474" s="159"/>
      <c r="X474" s="159"/>
      <c r="Y474" s="159"/>
      <c r="Z474" s="159"/>
    </row>
    <row r="475" spans="1:26" x14ac:dyDescent="0.25">
      <c r="A475" s="245" t="s">
        <v>975</v>
      </c>
      <c r="B475" s="31" t="s">
        <v>1199</v>
      </c>
      <c r="K475" s="31">
        <v>1</v>
      </c>
      <c r="O475" s="42">
        <f>C475*Prislapp!$C$2+D475*Prislapp!$D$2+E475*Prislapp!$E$2+F475*Prislapp!$F$2+G475*Prislapp!$G$2+H475*Prislapp!$H$2+I475*Prislapp!$I$2+J475*Prislapp!$J$2+K475*Prislapp!$K$2+L475*Prislapp!$L$2+M475*Prislapp!$M$2+N475*Prislapp!$N$2</f>
        <v>21634</v>
      </c>
      <c r="P475" s="42">
        <f>C475*Prislapp!$C$3+D475*Prislapp!$D$3+E475*Prislapp!$E$3+F475*Prislapp!$F$3+G475*Prislapp!$G$3+H475*Prislapp!$H$3+I475*Prislapp!$I$3+J475*Prislapp!$J$3+K475*Prislapp!$K$3+M475*Prislapp!$M$3+N475*Prislapp!$N$3</f>
        <v>26986</v>
      </c>
      <c r="Q475" s="42">
        <f>C475*Prislapp!$C$5+D475*Prislapp!$D$5+E475*Prislapp!$E$5+F475*Prislapp!$F$5+G475*Prislapp!$G$5+H475*Prislapp!$H$5+I475*Prislapp!$I$5+J475*Prislapp!$J$5+K475*Prislapp!$K$5+L475*Prislapp!$L$5+M475*Prislapp!$M$5+N475*Prislapp!$N$5</f>
        <v>3400</v>
      </c>
      <c r="R475" s="9">
        <f>VLOOKUP(A475,'Ansvar kurs'!$A$2:$B$847,2,FALSE)</f>
        <v>5740</v>
      </c>
      <c r="S475" s="31" t="s">
        <v>960</v>
      </c>
      <c r="T475" s="31" t="s">
        <v>962</v>
      </c>
    </row>
    <row r="476" spans="1:26" x14ac:dyDescent="0.25">
      <c r="A476" s="59" t="s">
        <v>970</v>
      </c>
      <c r="B476" s="31" t="s">
        <v>1251</v>
      </c>
      <c r="K476" s="31">
        <v>1</v>
      </c>
      <c r="O476" s="42">
        <f>C476*Prislapp!$C$2+D476*Prislapp!$D$2+E476*Prislapp!$E$2+F476*Prislapp!$F$2+G476*Prislapp!$G$2+H476*Prislapp!$H$2+I476*Prislapp!$I$2+J476*Prislapp!$J$2+K476*Prislapp!$K$2+L476*Prislapp!$L$2+M476*Prislapp!$M$2+N476*Prislapp!$N$2</f>
        <v>21634</v>
      </c>
      <c r="P476" s="42">
        <f>C476*Prislapp!$C$3+D476*Prislapp!$D$3+E476*Prislapp!$E$3+F476*Prislapp!$F$3+G476*Prislapp!$G$3+H476*Prislapp!$H$3+I476*Prislapp!$I$3+J476*Prislapp!$J$3+K476*Prislapp!$K$3+M476*Prislapp!$M$3+N476*Prislapp!$N$3</f>
        <v>26986</v>
      </c>
      <c r="Q476" s="42">
        <f>C476*Prislapp!$C$5+D476*Prislapp!$D$5+E476*Prislapp!$E$5+F476*Prislapp!$F$5+G476*Prislapp!$G$5+H476*Prislapp!$H$5+I476*Prislapp!$I$5+J476*Prislapp!$J$5+K476*Prislapp!$K$5+L476*Prislapp!$L$5+M476*Prislapp!$M$5+N476*Prislapp!$N$5</f>
        <v>3400</v>
      </c>
      <c r="R476" s="9">
        <f>VLOOKUP(A476,'Ansvar kurs'!$A$2:$B$847,2,FALSE)</f>
        <v>2180</v>
      </c>
      <c r="S476" s="31" t="s">
        <v>971</v>
      </c>
    </row>
    <row r="477" spans="1:26" x14ac:dyDescent="0.25">
      <c r="A477" s="59" t="s">
        <v>1105</v>
      </c>
      <c r="B477" s="31" t="s">
        <v>1200</v>
      </c>
      <c r="I477" s="31">
        <v>1</v>
      </c>
      <c r="O477" s="42">
        <f>C477*Prislapp!$C$2+D477*Prislapp!$D$2+E477*Prislapp!$E$2+F477*Prislapp!$F$2+G477*Prislapp!$G$2+H477*Prislapp!$H$2+I477*Prislapp!$I$2+J477*Prislapp!$J$2+K477*Prislapp!$K$2+L477*Prislapp!$L$2+M477*Prislapp!$M$2+N477*Prislapp!$N$2</f>
        <v>18405</v>
      </c>
      <c r="P477" s="42">
        <f>C477*Prislapp!$C$3+D477*Prislapp!$D$3+E477*Prislapp!$E$3+F477*Prislapp!$F$3+G477*Prislapp!$G$3+H477*Prislapp!$H$3+I477*Prislapp!$I$3+J477*Prislapp!$J$3+K477*Prislapp!$K$3+M477*Prislapp!$M$3+N477*Prislapp!$N$3</f>
        <v>15773</v>
      </c>
      <c r="Q477" s="42">
        <f>C477*Prislapp!$C$5+D477*Prislapp!$D$5+E477*Prislapp!$E$5+F477*Prislapp!$F$5+G477*Prislapp!$G$5+H477*Prislapp!$H$5+I477*Prislapp!$I$5+J477*Prislapp!$J$5+K477*Prislapp!$K$5+L477*Prislapp!$L$5+M477*Prislapp!$M$5+N477*Prislapp!$N$5</f>
        <v>5800</v>
      </c>
      <c r="R477" s="9">
        <f>VLOOKUP(A477,'Ansvar kurs'!$A$2:$B$847,2,FALSE)</f>
        <v>2180</v>
      </c>
    </row>
    <row r="478" spans="1:26" x14ac:dyDescent="0.25">
      <c r="A478" s="244" t="s">
        <v>989</v>
      </c>
      <c r="B478" s="31" t="s">
        <v>1201</v>
      </c>
      <c r="F478" s="31">
        <v>1</v>
      </c>
      <c r="O478" s="42">
        <f>C478*Prislapp!$C$2+D478*Prislapp!$D$2+E478*Prislapp!$E$2+F478*Prislapp!$F$2+G478*Prislapp!$G$2+H478*Prislapp!$H$2+I478*Prislapp!$I$2+J478*Prislapp!$J$2+K478*Prislapp!$K$2+L478*Prislapp!$L$2+M478*Prislapp!$M$2+N478*Prislapp!$N$2</f>
        <v>23641</v>
      </c>
      <c r="P478" s="42">
        <f>C478*Prislapp!$C$3+D478*Prislapp!$D$3+E478*Prislapp!$E$3+F478*Prislapp!$F$3+G478*Prislapp!$G$3+H478*Prislapp!$H$3+I478*Prislapp!$I$3+J478*Prislapp!$J$3+K478*Prislapp!$K$3+M478*Prislapp!$M$3+N478*Prislapp!$N$3</f>
        <v>28786</v>
      </c>
      <c r="Q478" s="42">
        <f>C478*Prislapp!$C$5+D478*Prislapp!$D$5+E478*Prislapp!$E$5+F478*Prislapp!$F$5+G478*Prislapp!$G$5+H478*Prislapp!$H$5+I478*Prislapp!$I$5+J478*Prislapp!$J$5+K478*Prislapp!$K$5+L478*Prislapp!$L$5+M478*Prislapp!$M$5+N478*Prislapp!$N$5</f>
        <v>5800</v>
      </c>
      <c r="R478" s="9">
        <f>VLOOKUP(A478,'Ansvar kurs'!$A$2:$B$847,2,FALSE)</f>
        <v>5740</v>
      </c>
      <c r="S478" s="159"/>
      <c r="T478" s="159" t="s">
        <v>988</v>
      </c>
      <c r="U478" s="159"/>
      <c r="V478" s="159"/>
      <c r="W478" s="159"/>
      <c r="X478" s="159"/>
      <c r="Y478" s="159"/>
      <c r="Z478" s="159"/>
    </row>
    <row r="479" spans="1:26" x14ac:dyDescent="0.25">
      <c r="A479" s="244" t="s">
        <v>1039</v>
      </c>
      <c r="B479" s="31" t="s">
        <v>1202</v>
      </c>
      <c r="K479" s="31">
        <v>1</v>
      </c>
      <c r="O479" s="42">
        <f>C479*Prislapp!$C$2+D479*Prislapp!$D$2+E479*Prislapp!$E$2+F479*Prislapp!$F$2+G479*Prislapp!$G$2+H479*Prislapp!$H$2+I479*Prislapp!$I$2+J479*Prislapp!$J$2+K479*Prislapp!$K$2+L479*Prislapp!$L$2+M479*Prislapp!$M$2+N479*Prislapp!$N$2</f>
        <v>21634</v>
      </c>
      <c r="P479" s="42">
        <f>C479*Prislapp!$C$3+D479*Prislapp!$D$3+E479*Prislapp!$E$3+F479*Prislapp!$F$3+G479*Prislapp!$G$3+H479*Prislapp!$H$3+I479*Prislapp!$I$3+J479*Prislapp!$J$3+K479*Prislapp!$K$3+M479*Prislapp!$M$3+N479*Prislapp!$N$3</f>
        <v>26986</v>
      </c>
      <c r="Q479" s="42">
        <f>C479*Prislapp!$C$5+D479*Prislapp!$D$5+E479*Prislapp!$E$5+F479*Prislapp!$F$5+G479*Prislapp!$G$5+H479*Prislapp!$H$5+I479*Prislapp!$I$5+J479*Prislapp!$J$5+K479*Prislapp!$K$5+L479*Prislapp!$L$5+M479*Prislapp!$M$5+N479*Prislapp!$N$5</f>
        <v>3400</v>
      </c>
      <c r="R479" s="9">
        <f>VLOOKUP(A479,'Ansvar kurs'!$A$2:$B$847,2,FALSE)</f>
        <v>5740</v>
      </c>
      <c r="S479" s="159"/>
      <c r="T479" s="159"/>
      <c r="U479" s="159"/>
      <c r="V479" s="159"/>
      <c r="W479" s="159"/>
      <c r="X479" s="159"/>
      <c r="Y479" s="159"/>
      <c r="Z479" s="159"/>
    </row>
    <row r="480" spans="1:26" x14ac:dyDescent="0.25">
      <c r="A480" s="244" t="s">
        <v>1040</v>
      </c>
      <c r="B480" s="31" t="s">
        <v>1203</v>
      </c>
      <c r="K480" s="31">
        <v>1</v>
      </c>
      <c r="O480" s="42">
        <f>C480*Prislapp!$C$2+D480*Prislapp!$D$2+E480*Prislapp!$E$2+F480*Prislapp!$F$2+G480*Prislapp!$G$2+H480*Prislapp!$H$2+I480*Prislapp!$I$2+J480*Prislapp!$J$2+K480*Prislapp!$K$2+L480*Prislapp!$L$2+M480*Prislapp!$M$2+N480*Prislapp!$N$2</f>
        <v>21634</v>
      </c>
      <c r="P480" s="42">
        <f>C480*Prislapp!$C$3+D480*Prislapp!$D$3+E480*Prislapp!$E$3+F480*Prislapp!$F$3+G480*Prislapp!$G$3+H480*Prislapp!$H$3+I480*Prislapp!$I$3+J480*Prislapp!$J$3+K480*Prislapp!$K$3+M480*Prislapp!$M$3+N480*Prislapp!$N$3</f>
        <v>26986</v>
      </c>
      <c r="Q480" s="42">
        <f>C480*Prislapp!$C$5+D480*Prislapp!$D$5+E480*Prislapp!$E$5+F480*Prislapp!$F$5+G480*Prislapp!$G$5+H480*Prislapp!$H$5+I480*Prislapp!$I$5+J480*Prislapp!$J$5+K480*Prislapp!$K$5+L480*Prislapp!$L$5+M480*Prislapp!$M$5+N480*Prislapp!$N$5</f>
        <v>3400</v>
      </c>
      <c r="R480" s="9">
        <f>VLOOKUP(A480,'Ansvar kurs'!$A$2:$B$847,2,FALSE)</f>
        <v>5740</v>
      </c>
      <c r="S480" s="159"/>
      <c r="T480" s="159"/>
      <c r="U480" s="159"/>
      <c r="V480" s="159"/>
      <c r="W480" s="159"/>
      <c r="X480" s="159"/>
      <c r="Y480" s="159"/>
      <c r="Z480" s="159"/>
    </row>
    <row r="481" spans="1:26" x14ac:dyDescent="0.25">
      <c r="A481" s="244" t="s">
        <v>984</v>
      </c>
      <c r="B481" s="31" t="s">
        <v>1204</v>
      </c>
      <c r="F481" s="31">
        <v>1</v>
      </c>
      <c r="O481" s="42">
        <f>C481*Prislapp!$C$2+D481*Prislapp!$D$2+E481*Prislapp!$E$2+F481*Prislapp!$F$2+G481*Prislapp!$G$2+H481*Prislapp!$H$2+I481*Prislapp!$I$2+J481*Prislapp!$J$2+K481*Prislapp!$K$2+L481*Prislapp!$L$2+M481*Prislapp!$M$2+N481*Prislapp!$N$2</f>
        <v>23641</v>
      </c>
      <c r="P481" s="42">
        <f>C481*Prislapp!$C$3+D481*Prislapp!$D$3+E481*Prislapp!$E$3+F481*Prislapp!$F$3+G481*Prislapp!$G$3+H481*Prislapp!$H$3+I481*Prislapp!$I$3+J481*Prislapp!$J$3+K481*Prislapp!$K$3+M481*Prislapp!$M$3+N481*Prislapp!$N$3</f>
        <v>28786</v>
      </c>
      <c r="Q481" s="42">
        <f>C481*Prislapp!$C$5+D481*Prislapp!$D$5+E481*Prislapp!$E$5+F481*Prislapp!$F$5+G481*Prislapp!$G$5+H481*Prislapp!$H$5+I481*Prislapp!$I$5+J481*Prislapp!$J$5+K481*Prislapp!$K$5+L481*Prislapp!$L$5+M481*Prislapp!$M$5+N481*Prislapp!$N$5</f>
        <v>5800</v>
      </c>
      <c r="R481" s="9">
        <f>VLOOKUP(A481,'Ansvar kurs'!$A$2:$B$847,2,FALSE)</f>
        <v>5740</v>
      </c>
      <c r="S481" s="159" t="s">
        <v>931</v>
      </c>
      <c r="T481" s="159" t="s">
        <v>985</v>
      </c>
      <c r="U481" s="159"/>
      <c r="V481" s="159"/>
      <c r="W481" s="159"/>
      <c r="X481" s="159"/>
      <c r="Y481" s="159"/>
      <c r="Z481" s="159"/>
    </row>
    <row r="482" spans="1:26" x14ac:dyDescent="0.25">
      <c r="A482" s="244" t="s">
        <v>987</v>
      </c>
      <c r="B482" s="31" t="s">
        <v>1205</v>
      </c>
      <c r="F482" s="31">
        <v>1</v>
      </c>
      <c r="O482" s="42">
        <f>C482*Prislapp!$C$2+D482*Prislapp!$D$2+E482*Prislapp!$E$2+F482*Prislapp!$F$2+G482*Prislapp!$G$2+H482*Prislapp!$H$2+I482*Prislapp!$I$2+J482*Prislapp!$J$2+K482*Prislapp!$K$2+L482*Prislapp!$L$2+M482*Prislapp!$M$2+N482*Prislapp!$N$2</f>
        <v>23641</v>
      </c>
      <c r="P482" s="42">
        <f>C482*Prislapp!$C$3+D482*Prislapp!$D$3+E482*Prislapp!$E$3+F482*Prislapp!$F$3+G482*Prislapp!$G$3+H482*Prislapp!$H$3+I482*Prislapp!$I$3+J482*Prislapp!$J$3+K482*Prislapp!$K$3+M482*Prislapp!$M$3+N482*Prislapp!$N$3</f>
        <v>28786</v>
      </c>
      <c r="Q482" s="42">
        <f>C482*Prislapp!$C$5+D482*Prislapp!$D$5+E482*Prislapp!$E$5+F482*Prislapp!$F$5+G482*Prislapp!$G$5+H482*Prislapp!$H$5+I482*Prislapp!$I$5+J482*Prislapp!$J$5+K482*Prislapp!$K$5+L482*Prislapp!$L$5+M482*Prislapp!$M$5+N482*Prislapp!$N$5</f>
        <v>5800</v>
      </c>
      <c r="R482" s="9">
        <f>VLOOKUP(A482,'Ansvar kurs'!$A$2:$B$847,2,FALSE)</f>
        <v>5740</v>
      </c>
      <c r="S482" s="159" t="s">
        <v>931</v>
      </c>
      <c r="T482" s="159" t="s">
        <v>986</v>
      </c>
      <c r="U482" s="159"/>
      <c r="V482" s="159"/>
      <c r="W482" s="159"/>
      <c r="X482" s="159"/>
      <c r="Y482" s="159"/>
      <c r="Z482" s="159"/>
    </row>
    <row r="483" spans="1:26" x14ac:dyDescent="0.25">
      <c r="A483" s="244" t="s">
        <v>998</v>
      </c>
      <c r="B483" s="31" t="s">
        <v>1206</v>
      </c>
      <c r="F483" s="31">
        <v>1</v>
      </c>
      <c r="O483" s="42">
        <f>C483*Prislapp!$C$2+D483*Prislapp!$D$2+E483*Prislapp!$E$2+F483*Prislapp!$F$2+G483*Prislapp!$G$2+H483*Prislapp!$H$2+I483*Prislapp!$I$2+J483*Prislapp!$J$2+K483*Prislapp!$K$2+L483*Prislapp!$L$2+M483*Prislapp!$M$2+N483*Prislapp!$N$2</f>
        <v>23641</v>
      </c>
      <c r="P483" s="42">
        <f>C483*Prislapp!$C$3+D483*Prislapp!$D$3+E483*Prislapp!$E$3+F483*Prislapp!$F$3+G483*Prislapp!$G$3+H483*Prislapp!$H$3+I483*Prislapp!$I$3+J483*Prislapp!$J$3+K483*Prislapp!$K$3+M483*Prislapp!$M$3+N483*Prislapp!$N$3</f>
        <v>28786</v>
      </c>
      <c r="Q483" s="42">
        <f>C483*Prislapp!$C$5+D483*Prislapp!$D$5+E483*Prislapp!$E$5+F483*Prislapp!$F$5+G483*Prislapp!$G$5+H483*Prislapp!$H$5+I483*Prislapp!$I$5+J483*Prislapp!$J$5+K483*Prislapp!$K$5+L483*Prislapp!$L$5+M483*Prislapp!$M$5+N483*Prislapp!$N$5</f>
        <v>5800</v>
      </c>
      <c r="R483" s="9">
        <f>VLOOKUP(A483,'Ansvar kurs'!$A$2:$B$847,2,FALSE)</f>
        <v>2193</v>
      </c>
      <c r="S483" s="159" t="s">
        <v>931</v>
      </c>
      <c r="T483" s="159" t="s">
        <v>1002</v>
      </c>
      <c r="U483" s="159"/>
      <c r="V483" s="159"/>
      <c r="W483" s="159"/>
      <c r="X483" s="159"/>
      <c r="Y483" s="159"/>
      <c r="Z483" s="159"/>
    </row>
    <row r="484" spans="1:26" x14ac:dyDescent="0.25">
      <c r="A484" s="244" t="s">
        <v>999</v>
      </c>
      <c r="B484" s="31" t="s">
        <v>1207</v>
      </c>
      <c r="F484" s="31">
        <v>1</v>
      </c>
      <c r="O484" s="42">
        <f>C484*Prislapp!$C$2+D484*Prislapp!$D$2+E484*Prislapp!$E$2+F484*Prislapp!$F$2+G484*Prislapp!$G$2+H484*Prislapp!$H$2+I484*Prislapp!$I$2+J484*Prislapp!$J$2+K484*Prislapp!$K$2+L484*Prislapp!$L$2+M484*Prislapp!$M$2+N484*Prislapp!$N$2</f>
        <v>23641</v>
      </c>
      <c r="P484" s="42">
        <f>C484*Prislapp!$C$3+D484*Prislapp!$D$3+E484*Prislapp!$E$3+F484*Prislapp!$F$3+G484*Prislapp!$G$3+H484*Prislapp!$H$3+I484*Prislapp!$I$3+J484*Prislapp!$J$3+K484*Prislapp!$K$3+M484*Prislapp!$M$3+N484*Prislapp!$N$3</f>
        <v>28786</v>
      </c>
      <c r="Q484" s="42">
        <f>C484*Prislapp!$C$5+D484*Prislapp!$D$5+E484*Prislapp!$E$5+F484*Prislapp!$F$5+G484*Prislapp!$G$5+H484*Prislapp!$H$5+I484*Prislapp!$I$5+J484*Prislapp!$J$5+K484*Prislapp!$K$5+L484*Prislapp!$L$5+M484*Prislapp!$M$5+N484*Prislapp!$N$5</f>
        <v>5800</v>
      </c>
      <c r="R484" s="9">
        <f>VLOOKUP(A484,'Ansvar kurs'!$A$2:$B$847,2,FALSE)</f>
        <v>2193</v>
      </c>
      <c r="S484" s="159" t="s">
        <v>931</v>
      </c>
      <c r="T484" s="159" t="s">
        <v>1003</v>
      </c>
      <c r="U484" s="159"/>
      <c r="V484" s="159"/>
      <c r="W484" s="159"/>
      <c r="X484" s="159"/>
      <c r="Y484" s="159"/>
      <c r="Z484" s="159"/>
    </row>
    <row r="485" spans="1:26" x14ac:dyDescent="0.25">
      <c r="A485" s="244" t="s">
        <v>1000</v>
      </c>
      <c r="B485" s="31" t="s">
        <v>1208</v>
      </c>
      <c r="F485" s="31">
        <v>1</v>
      </c>
      <c r="O485" s="42">
        <f>C485*Prislapp!$C$2+D485*Prislapp!$D$2+E485*Prislapp!$E$2+F485*Prislapp!$F$2+G485*Prislapp!$G$2+H485*Prislapp!$H$2+I485*Prislapp!$I$2+J485*Prislapp!$J$2+K485*Prislapp!$K$2+L485*Prislapp!$L$2+M485*Prislapp!$M$2+N485*Prislapp!$N$2</f>
        <v>23641</v>
      </c>
      <c r="P485" s="42">
        <f>C485*Prislapp!$C$3+D485*Prislapp!$D$3+E485*Prislapp!$E$3+F485*Prislapp!$F$3+G485*Prislapp!$G$3+H485*Prislapp!$H$3+I485*Prislapp!$I$3+J485*Prislapp!$J$3+K485*Prislapp!$K$3+M485*Prislapp!$M$3+N485*Prislapp!$N$3</f>
        <v>28786</v>
      </c>
      <c r="Q485" s="42">
        <f>C485*Prislapp!$C$5+D485*Prislapp!$D$5+E485*Prislapp!$E$5+F485*Prislapp!$F$5+G485*Prislapp!$G$5+H485*Prislapp!$H$5+I485*Prislapp!$I$5+J485*Prislapp!$J$5+K485*Prislapp!$K$5+L485*Prislapp!$L$5+M485*Prislapp!$M$5+N485*Prislapp!$N$5</f>
        <v>5800</v>
      </c>
      <c r="R485" s="9">
        <f>VLOOKUP(A485,'Ansvar kurs'!$A$2:$B$847,2,FALSE)</f>
        <v>2180</v>
      </c>
      <c r="S485" s="159" t="s">
        <v>931</v>
      </c>
      <c r="T485" s="159" t="s">
        <v>1004</v>
      </c>
      <c r="U485" s="159"/>
      <c r="V485" s="159"/>
      <c r="W485" s="159"/>
      <c r="X485" s="159"/>
      <c r="Y485" s="159"/>
      <c r="Z485" s="159"/>
    </row>
    <row r="486" spans="1:26" x14ac:dyDescent="0.25">
      <c r="A486" s="244" t="s">
        <v>1001</v>
      </c>
      <c r="B486" s="31" t="s">
        <v>1209</v>
      </c>
      <c r="F486" s="31">
        <v>1</v>
      </c>
      <c r="O486" s="42">
        <f>C486*Prislapp!$C$2+D486*Prislapp!$D$2+E486*Prislapp!$E$2+F486*Prislapp!$F$2+G486*Prislapp!$G$2+H486*Prislapp!$H$2+I486*Prislapp!$I$2+J486*Prislapp!$J$2+K486*Prislapp!$K$2+L486*Prislapp!$L$2+M486*Prislapp!$M$2+N486*Prislapp!$N$2</f>
        <v>23641</v>
      </c>
      <c r="P486" s="42">
        <f>C486*Prislapp!$C$3+D486*Prislapp!$D$3+E486*Prislapp!$E$3+F486*Prislapp!$F$3+G486*Prislapp!$G$3+H486*Prislapp!$H$3+I486*Prislapp!$I$3+J486*Prislapp!$J$3+K486*Prislapp!$K$3+M486*Prislapp!$M$3+N486*Prislapp!$N$3</f>
        <v>28786</v>
      </c>
      <c r="Q486" s="42">
        <f>C486*Prislapp!$C$5+D486*Prislapp!$D$5+E486*Prislapp!$E$5+F486*Prislapp!$F$5+G486*Prislapp!$G$5+H486*Prislapp!$H$5+I486*Prislapp!$I$5+J486*Prislapp!$J$5+K486*Prislapp!$K$5+L486*Prislapp!$L$5+M486*Prislapp!$M$5+N486*Prislapp!$N$5</f>
        <v>5800</v>
      </c>
      <c r="R486" s="9">
        <f>VLOOKUP(A486,'Ansvar kurs'!$A$2:$B$847,2,FALSE)</f>
        <v>2180</v>
      </c>
      <c r="S486" s="159" t="s">
        <v>931</v>
      </c>
      <c r="T486" s="159" t="s">
        <v>1005</v>
      </c>
      <c r="U486" s="159"/>
      <c r="V486" s="159"/>
      <c r="W486" s="159"/>
      <c r="X486" s="159"/>
      <c r="Y486" s="159"/>
      <c r="Z486" s="159"/>
    </row>
    <row r="487" spans="1:26" x14ac:dyDescent="0.25">
      <c r="A487" s="245" t="s">
        <v>1263</v>
      </c>
      <c r="B487" s="62" t="s">
        <v>1210</v>
      </c>
      <c r="H487" s="31">
        <v>1</v>
      </c>
      <c r="O487" s="42">
        <f>C487*Prislapp!$C$2+D487*Prislapp!$D$2+E487*Prislapp!$E$2+F487*Prislapp!$F$2+G487*Prislapp!$G$2+H487*Prislapp!$H$2+I487*Prislapp!$I$2+J487*Prislapp!$J$2+K487*Prislapp!$K$2+L487*Prislapp!$L$2+M487*Prislapp!$M$2+N487*Prislapp!$N$2</f>
        <v>19473</v>
      </c>
      <c r="P487" s="42">
        <f>C487*Prislapp!$C$3+D487*Prislapp!$D$3+E487*Prislapp!$E$3+F487*Prislapp!$F$3+G487*Prislapp!$G$3+H487*Prislapp!$H$3+I487*Prislapp!$I$3+J487*Prislapp!$J$3+K487*Prislapp!$K$3+M487*Prislapp!$M$3+N487*Prislapp!$N$3</f>
        <v>34806</v>
      </c>
      <c r="Q487" s="42">
        <f>C487*Prislapp!$C$5+D487*Prislapp!$D$5+E487*Prislapp!$E$5+F487*Prislapp!$F$5+G487*Prislapp!$G$5+H487*Prislapp!$H$5+I487*Prislapp!$I$5+J487*Prislapp!$J$5+K487*Prislapp!$K$5+L487*Prislapp!$L$5+M487*Prislapp!$M$5+N487*Prislapp!$N$5</f>
        <v>21800</v>
      </c>
      <c r="R487" s="9">
        <f>VLOOKUP(A487,'Ansvar kurs'!$A$2:$B$847,2,FALSE)</f>
        <v>5740</v>
      </c>
      <c r="S487" s="159"/>
      <c r="T487" s="159"/>
      <c r="U487" s="159"/>
      <c r="V487" s="159"/>
      <c r="W487" s="159"/>
      <c r="X487" s="159"/>
      <c r="Y487" s="159"/>
      <c r="Z487" s="159"/>
    </row>
    <row r="488" spans="1:26" x14ac:dyDescent="0.25">
      <c r="A488" s="245" t="s">
        <v>1319</v>
      </c>
      <c r="B488" t="s">
        <v>1112</v>
      </c>
      <c r="H488" s="31">
        <v>1</v>
      </c>
      <c r="O488" s="42">
        <f>C488*Prislapp!$C$2+D488*Prislapp!$D$2+E488*Prislapp!$E$2+F488*Prislapp!$F$2+G488*Prislapp!$G$2+H488*Prislapp!$H$2+I488*Prislapp!$I$2+J488*Prislapp!$J$2+K488*Prislapp!$K$2+L488*Prislapp!$L$2+M488*Prislapp!$M$2+N488*Prislapp!$N$2</f>
        <v>19473</v>
      </c>
      <c r="P488" s="42">
        <f>C488*Prislapp!$C$3+D488*Prislapp!$D$3+E488*Prislapp!$E$3+F488*Prislapp!$F$3+G488*Prislapp!$G$3+H488*Prislapp!$H$3+I488*Prislapp!$I$3+J488*Prislapp!$J$3+K488*Prislapp!$K$3+M488*Prislapp!$M$3+N488*Prislapp!$N$3</f>
        <v>34806</v>
      </c>
      <c r="Q488" s="42">
        <f>C488*Prislapp!$C$5+D488*Prislapp!$D$5+E488*Prislapp!$E$5+F488*Prislapp!$F$5+G488*Prislapp!$G$5+H488*Prislapp!$H$5+I488*Prislapp!$I$5+J488*Prislapp!$J$5+K488*Prislapp!$K$5+L488*Prislapp!$L$5+M488*Prislapp!$M$5+N488*Prislapp!$N$5</f>
        <v>21800</v>
      </c>
      <c r="R488" s="9">
        <f>VLOOKUP(A488,'Ansvar kurs'!$A$2:$B$847,2,FALSE)</f>
        <v>5740</v>
      </c>
      <c r="S488" s="159"/>
    </row>
    <row r="489" spans="1:26" x14ac:dyDescent="0.25">
      <c r="A489" s="245" t="s">
        <v>1320</v>
      </c>
      <c r="B489" t="s">
        <v>1113</v>
      </c>
      <c r="H489" s="31">
        <v>1</v>
      </c>
      <c r="O489" s="42">
        <f>C489*Prislapp!$C$2+D489*Prislapp!$D$2+E489*Prislapp!$E$2+F489*Prislapp!$F$2+G489*Prislapp!$G$2+H489*Prislapp!$H$2+I489*Prislapp!$I$2+J489*Prislapp!$J$2+K489*Prislapp!$K$2+L489*Prislapp!$L$2+M489*Prislapp!$M$2+N489*Prislapp!$N$2</f>
        <v>19473</v>
      </c>
      <c r="P489" s="42">
        <f>C489*Prislapp!$C$3+D489*Prislapp!$D$3+E489*Prislapp!$E$3+F489*Prislapp!$F$3+G489*Prislapp!$G$3+H489*Prislapp!$H$3+I489*Prislapp!$I$3+J489*Prislapp!$J$3+K489*Prislapp!$K$3+M489*Prislapp!$M$3+N489*Prislapp!$N$3</f>
        <v>34806</v>
      </c>
      <c r="Q489" s="42">
        <f>C489*Prislapp!$C$5+D489*Prislapp!$D$5+E489*Prislapp!$E$5+F489*Prislapp!$F$5+G489*Prislapp!$G$5+H489*Prislapp!$H$5+I489*Prislapp!$I$5+J489*Prislapp!$J$5+K489*Prislapp!$K$5+L489*Prislapp!$L$5+M489*Prislapp!$M$5+N489*Prislapp!$N$5</f>
        <v>21800</v>
      </c>
      <c r="R489" s="9">
        <f>VLOOKUP(A489,'Ansvar kurs'!$A$2:$B$847,2,FALSE)</f>
        <v>5740</v>
      </c>
      <c r="S489" s="159"/>
    </row>
    <row r="490" spans="1:26" x14ac:dyDescent="0.25">
      <c r="A490" s="245" t="s">
        <v>1321</v>
      </c>
      <c r="B490" t="s">
        <v>1114</v>
      </c>
      <c r="H490" s="31">
        <v>1</v>
      </c>
      <c r="O490" s="42">
        <f>C490*Prislapp!$C$2+D490*Prislapp!$D$2+E490*Prislapp!$E$2+F490*Prislapp!$F$2+G490*Prislapp!$G$2+H490*Prislapp!$H$2+I490*Prislapp!$I$2+J490*Prislapp!$J$2+K490*Prislapp!$K$2+L490*Prislapp!$L$2+M490*Prislapp!$M$2+N490*Prislapp!$N$2</f>
        <v>19473</v>
      </c>
      <c r="P490" s="42">
        <f>C490*Prislapp!$C$3+D490*Prislapp!$D$3+E490*Prislapp!$E$3+F490*Prislapp!$F$3+G490*Prislapp!$G$3+H490*Prislapp!$H$3+I490*Prislapp!$I$3+J490*Prislapp!$J$3+K490*Prislapp!$K$3+M490*Prislapp!$M$3+N490*Prislapp!$N$3</f>
        <v>34806</v>
      </c>
      <c r="Q490" s="42">
        <f>C490*Prislapp!$C$5+D490*Prislapp!$D$5+E490*Prislapp!$E$5+F490*Prislapp!$F$5+G490*Prislapp!$G$5+H490*Prislapp!$H$5+I490*Prislapp!$I$5+J490*Prislapp!$J$5+K490*Prislapp!$K$5+L490*Prislapp!$L$5+M490*Prislapp!$M$5+N490*Prislapp!$N$5</f>
        <v>21800</v>
      </c>
      <c r="R490" s="9">
        <f>VLOOKUP(A490,'Ansvar kurs'!$A$2:$B$847,2,FALSE)</f>
        <v>5740</v>
      </c>
      <c r="S490" s="159"/>
    </row>
    <row r="491" spans="1:26" x14ac:dyDescent="0.25">
      <c r="A491" s="245" t="s">
        <v>1322</v>
      </c>
      <c r="B491" t="s">
        <v>1147</v>
      </c>
      <c r="H491" s="31">
        <v>1</v>
      </c>
      <c r="O491" s="42">
        <f>C491*Prislapp!$C$2+D491*Prislapp!$D$2+E491*Prislapp!$E$2+F491*Prislapp!$F$2+G491*Prislapp!$G$2+H491*Prislapp!$H$2+I491*Prislapp!$I$2+J491*Prislapp!$J$2+K491*Prislapp!$K$2+L491*Prislapp!$L$2+M491*Prislapp!$M$2+N491*Prislapp!$N$2</f>
        <v>19473</v>
      </c>
      <c r="P491" s="42">
        <f>C491*Prislapp!$C$3+D491*Prislapp!$D$3+E491*Prislapp!$E$3+F491*Prislapp!$F$3+G491*Prislapp!$G$3+H491*Prislapp!$H$3+I491*Prislapp!$I$3+J491*Prislapp!$J$3+K491*Prislapp!$K$3+M491*Prislapp!$M$3+N491*Prislapp!$N$3</f>
        <v>34806</v>
      </c>
      <c r="Q491" s="42">
        <f>C491*Prislapp!$C$5+D491*Prislapp!$D$5+E491*Prislapp!$E$5+F491*Prislapp!$F$5+G491*Prislapp!$G$5+H491*Prislapp!$H$5+I491*Prislapp!$I$5+J491*Prislapp!$J$5+K491*Prislapp!$K$5+L491*Prislapp!$L$5+M491*Prislapp!$M$5+N491*Prislapp!$N$5</f>
        <v>21800</v>
      </c>
      <c r="R491" s="9">
        <f>VLOOKUP(A491,'Ansvar kurs'!$A$2:$B$847,2,FALSE)</f>
        <v>5740</v>
      </c>
      <c r="S491" s="159"/>
    </row>
    <row r="492" spans="1:26" x14ac:dyDescent="0.25">
      <c r="A492" s="245" t="s">
        <v>1323</v>
      </c>
      <c r="B492" t="s">
        <v>1148</v>
      </c>
      <c r="H492" s="31">
        <v>1</v>
      </c>
      <c r="O492" s="42">
        <f>C492*Prislapp!$C$2+D492*Prislapp!$D$2+E492*Prislapp!$E$2+F492*Prislapp!$F$2+G492*Prislapp!$G$2+H492*Prislapp!$H$2+I492*Prislapp!$I$2+J492*Prislapp!$J$2+K492*Prislapp!$K$2+L492*Prislapp!$L$2+M492*Prislapp!$M$2+N492*Prislapp!$N$2</f>
        <v>19473</v>
      </c>
      <c r="P492" s="42">
        <f>C492*Prislapp!$C$3+D492*Prislapp!$D$3+E492*Prislapp!$E$3+F492*Prislapp!$F$3+G492*Prislapp!$G$3+H492*Prislapp!$H$3+I492*Prislapp!$I$3+J492*Prislapp!$J$3+K492*Prislapp!$K$3+M492*Prislapp!$M$3+N492*Prislapp!$N$3</f>
        <v>34806</v>
      </c>
      <c r="Q492" s="42">
        <f>C492*Prislapp!$C$5+D492*Prislapp!$D$5+E492*Prislapp!$E$5+F492*Prislapp!$F$5+G492*Prislapp!$G$5+H492*Prislapp!$H$5+I492*Prislapp!$I$5+J492*Prislapp!$J$5+K492*Prislapp!$K$5+L492*Prislapp!$L$5+M492*Prislapp!$M$5+N492*Prislapp!$N$5</f>
        <v>21800</v>
      </c>
      <c r="R492" s="9">
        <f>VLOOKUP(A492,'Ansvar kurs'!$A$2:$B$847,2,FALSE)</f>
        <v>5740</v>
      </c>
      <c r="S492" s="159"/>
    </row>
    <row r="493" spans="1:26" x14ac:dyDescent="0.25">
      <c r="A493" s="245" t="s">
        <v>1324</v>
      </c>
      <c r="B493" t="s">
        <v>1149</v>
      </c>
      <c r="H493" s="31">
        <v>1</v>
      </c>
      <c r="O493" s="42">
        <f>C493*Prislapp!$C$2+D493*Prislapp!$D$2+E493*Prislapp!$E$2+F493*Prislapp!$F$2+G493*Prislapp!$G$2+H493*Prislapp!$H$2+I493*Prislapp!$I$2+J493*Prislapp!$J$2+K493*Prislapp!$K$2+L493*Prislapp!$L$2+M493*Prislapp!$M$2+N493*Prislapp!$N$2</f>
        <v>19473</v>
      </c>
      <c r="P493" s="42">
        <f>C493*Prislapp!$C$3+D493*Prislapp!$D$3+E493*Prislapp!$E$3+F493*Prislapp!$F$3+G493*Prislapp!$G$3+H493*Prislapp!$H$3+I493*Prislapp!$I$3+J493*Prislapp!$J$3+K493*Prislapp!$K$3+M493*Prislapp!$M$3+N493*Prislapp!$N$3</f>
        <v>34806</v>
      </c>
      <c r="Q493" s="42">
        <f>C493*Prislapp!$C$5+D493*Prislapp!$D$5+E493*Prislapp!$E$5+F493*Prislapp!$F$5+G493*Prislapp!$G$5+H493*Prislapp!$H$5+I493*Prislapp!$I$5+J493*Prislapp!$J$5+K493*Prislapp!$K$5+L493*Prislapp!$L$5+M493*Prislapp!$M$5+N493*Prislapp!$N$5</f>
        <v>21800</v>
      </c>
      <c r="R493" s="9">
        <f>VLOOKUP(A493,'Ansvar kurs'!$A$2:$B$847,2,FALSE)</f>
        <v>5740</v>
      </c>
      <c r="S493" s="159"/>
    </row>
    <row r="494" spans="1:26" x14ac:dyDescent="0.25">
      <c r="A494" s="245" t="s">
        <v>1325</v>
      </c>
      <c r="B494" t="s">
        <v>1150</v>
      </c>
      <c r="H494" s="31">
        <v>1</v>
      </c>
      <c r="O494" s="42">
        <f>C494*Prislapp!$C$2+D494*Prislapp!$D$2+E494*Prislapp!$E$2+F494*Prislapp!$F$2+G494*Prislapp!$G$2+H494*Prislapp!$H$2+I494*Prislapp!$I$2+J494*Prislapp!$J$2+K494*Prislapp!$K$2+L494*Prislapp!$L$2+M494*Prislapp!$M$2+N494*Prislapp!$N$2</f>
        <v>19473</v>
      </c>
      <c r="P494" s="42">
        <f>C494*Prislapp!$C$3+D494*Prislapp!$D$3+E494*Prislapp!$E$3+F494*Prislapp!$F$3+G494*Prislapp!$G$3+H494*Prislapp!$H$3+I494*Prislapp!$I$3+J494*Prislapp!$J$3+K494*Prislapp!$K$3+M494*Prislapp!$M$3+N494*Prislapp!$N$3</f>
        <v>34806</v>
      </c>
      <c r="Q494" s="42">
        <f>C494*Prislapp!$C$5+D494*Prislapp!$D$5+E494*Prislapp!$E$5+F494*Prislapp!$F$5+G494*Prislapp!$G$5+H494*Prislapp!$H$5+I494*Prislapp!$I$5+J494*Prislapp!$J$5+K494*Prislapp!$K$5+L494*Prislapp!$L$5+M494*Prislapp!$M$5+N494*Prislapp!$N$5</f>
        <v>21800</v>
      </c>
      <c r="R494" s="9">
        <f>VLOOKUP(A494,'Ansvar kurs'!$A$2:$B$847,2,FALSE)</f>
        <v>5740</v>
      </c>
      <c r="S494" s="159"/>
    </row>
    <row r="495" spans="1:26" x14ac:dyDescent="0.25">
      <c r="A495" s="245" t="s">
        <v>1326</v>
      </c>
      <c r="B495" t="s">
        <v>1151</v>
      </c>
      <c r="H495" s="31">
        <v>1</v>
      </c>
      <c r="O495" s="42">
        <f>C495*Prislapp!$C$2+D495*Prislapp!$D$2+E495*Prislapp!$E$2+F495*Prislapp!$F$2+G495*Prislapp!$G$2+H495*Prislapp!$H$2+I495*Prislapp!$I$2+J495*Prislapp!$J$2+K495*Prislapp!$K$2+L495*Prislapp!$L$2+M495*Prislapp!$M$2+N495*Prislapp!$N$2</f>
        <v>19473</v>
      </c>
      <c r="P495" s="42">
        <f>C495*Prislapp!$C$3+D495*Prislapp!$D$3+E495*Prislapp!$E$3+F495*Prislapp!$F$3+G495*Prislapp!$G$3+H495*Prislapp!$H$3+I495*Prislapp!$I$3+J495*Prislapp!$J$3+K495*Prislapp!$K$3+M495*Prislapp!$M$3+N495*Prislapp!$N$3</f>
        <v>34806</v>
      </c>
      <c r="Q495" s="42">
        <f>C495*Prislapp!$C$5+D495*Prislapp!$D$5+E495*Prislapp!$E$5+F495*Prislapp!$F$5+G495*Prislapp!$G$5+H495*Prislapp!$H$5+I495*Prislapp!$I$5+J495*Prislapp!$J$5+K495*Prislapp!$K$5+L495*Prislapp!$L$5+M495*Prislapp!$M$5+N495*Prislapp!$N$5</f>
        <v>21800</v>
      </c>
      <c r="R495" s="9">
        <f>VLOOKUP(A495,'Ansvar kurs'!$A$2:$B$847,2,FALSE)</f>
        <v>5740</v>
      </c>
      <c r="S495" s="159"/>
    </row>
    <row r="496" spans="1:26" x14ac:dyDescent="0.25">
      <c r="A496" s="245" t="s">
        <v>1327</v>
      </c>
      <c r="B496" t="s">
        <v>1152</v>
      </c>
      <c r="H496" s="31">
        <v>1</v>
      </c>
      <c r="O496" s="42">
        <f>C496*Prislapp!$C$2+D496*Prislapp!$D$2+E496*Prislapp!$E$2+F496*Prislapp!$F$2+G496*Prislapp!$G$2+H496*Prislapp!$H$2+I496*Prislapp!$I$2+J496*Prislapp!$J$2+K496*Prislapp!$K$2+L496*Prislapp!$L$2+M496*Prislapp!$M$2+N496*Prislapp!$N$2</f>
        <v>19473</v>
      </c>
      <c r="P496" s="42">
        <f>C496*Prislapp!$C$3+D496*Prislapp!$D$3+E496*Prislapp!$E$3+F496*Prislapp!$F$3+G496*Prislapp!$G$3+H496*Prislapp!$H$3+I496*Prislapp!$I$3+J496*Prislapp!$J$3+K496*Prislapp!$K$3+M496*Prislapp!$M$3+N496*Prislapp!$N$3</f>
        <v>34806</v>
      </c>
      <c r="Q496" s="42">
        <f>C496*Prislapp!$C$5+D496*Prislapp!$D$5+E496*Prislapp!$E$5+F496*Prislapp!$F$5+G496*Prislapp!$G$5+H496*Prislapp!$H$5+I496*Prislapp!$I$5+J496*Prislapp!$J$5+K496*Prislapp!$K$5+L496*Prislapp!$L$5+M496*Prislapp!$M$5+N496*Prislapp!$N$5</f>
        <v>21800</v>
      </c>
      <c r="R496" s="9">
        <f>VLOOKUP(A496,'Ansvar kurs'!$A$2:$B$847,2,FALSE)</f>
        <v>5740</v>
      </c>
      <c r="S496" s="159"/>
    </row>
    <row r="497" spans="1:26" x14ac:dyDescent="0.25">
      <c r="A497" s="244" t="s">
        <v>1099</v>
      </c>
      <c r="B497" s="31" t="s">
        <v>761</v>
      </c>
      <c r="F497" s="31">
        <v>1</v>
      </c>
      <c r="O497" s="42">
        <f>C497*Prislapp!$C$2+D497*Prislapp!$D$2+E497*Prislapp!$E$2+F497*Prislapp!$F$2+G497*Prislapp!$G$2+H497*Prislapp!$H$2+I497*Prislapp!$I$2+J497*Prislapp!$J$2+K497*Prislapp!$K$2+L497*Prislapp!$L$2+M497*Prislapp!$M$2+N497*Prislapp!$N$2</f>
        <v>23641</v>
      </c>
      <c r="P497" s="42">
        <f>C497*Prislapp!$C$3+D497*Prislapp!$D$3+E497*Prislapp!$E$3+F497*Prislapp!$F$3+G497*Prislapp!$G$3+H497*Prislapp!$H$3+I497*Prislapp!$I$3+J497*Prislapp!$J$3+K497*Prislapp!$K$3+M497*Prislapp!$M$3+N497*Prislapp!$N$3</f>
        <v>28786</v>
      </c>
      <c r="Q497" s="42">
        <f>C497*Prislapp!$C$5+D497*Prislapp!$D$5+E497*Prislapp!$E$5+F497*Prislapp!$F$5+G497*Prislapp!$G$5+H497*Prislapp!$H$5+I497*Prislapp!$I$5+J497*Prislapp!$J$5+K497*Prislapp!$K$5+L497*Prislapp!$L$5+M497*Prislapp!$M$5+N497*Prislapp!$N$5</f>
        <v>5800</v>
      </c>
      <c r="R497" s="9">
        <f>VLOOKUP(A497,'Ansvar kurs'!$A$2:$B$847,2,FALSE)</f>
        <v>2193</v>
      </c>
      <c r="S497" s="159" t="s">
        <v>1107</v>
      </c>
      <c r="T497" s="159" t="s">
        <v>931</v>
      </c>
    </row>
    <row r="498" spans="1:26" x14ac:dyDescent="0.25">
      <c r="A498" s="244" t="s">
        <v>1102</v>
      </c>
      <c r="B498" s="31" t="s">
        <v>1214</v>
      </c>
      <c r="K498" s="31">
        <v>1</v>
      </c>
      <c r="O498" s="42">
        <f>C498*Prislapp!$C$2+D498*Prislapp!$D$2+E498*Prislapp!$E$2+F498*Prislapp!$F$2+G498*Prislapp!$G$2+H498*Prislapp!$H$2+I498*Prislapp!$I$2+J498*Prislapp!$J$2+K498*Prislapp!$K$2+L498*Prislapp!$L$2+M498*Prislapp!$M$2+N498*Prislapp!$N$2</f>
        <v>21634</v>
      </c>
      <c r="P498" s="42">
        <f>C498*Prislapp!$C$3+D498*Prislapp!$D$3+E498*Prislapp!$E$3+F498*Prislapp!$F$3+G498*Prislapp!$G$3+H498*Prislapp!$H$3+I498*Prislapp!$I$3+J498*Prislapp!$J$3+K498*Prislapp!$K$3+M498*Prislapp!$M$3+N498*Prislapp!$N$3</f>
        <v>26986</v>
      </c>
      <c r="Q498" s="42">
        <f>C498*Prislapp!$C$5+D498*Prislapp!$D$5+E498*Prislapp!$E$5+F498*Prislapp!$F$5+G498*Prislapp!$G$5+H498*Prislapp!$H$5+I498*Prislapp!$I$5+J498*Prislapp!$J$5+K498*Prislapp!$K$5+L498*Prislapp!$L$5+M498*Prislapp!$M$5+N498*Prislapp!$N$5</f>
        <v>3400</v>
      </c>
      <c r="R498" s="9">
        <f>VLOOKUP(A498,'Ansvar kurs'!$A$2:$B$847,2,FALSE)</f>
        <v>2180</v>
      </c>
      <c r="S498" s="159" t="s">
        <v>1107</v>
      </c>
      <c r="T498" s="159" t="s">
        <v>931</v>
      </c>
      <c r="U498" s="159"/>
      <c r="V498" s="159"/>
      <c r="W498" s="159"/>
      <c r="X498" s="159"/>
      <c r="Y498" s="159"/>
      <c r="Z498" s="159"/>
    </row>
    <row r="499" spans="1:26" x14ac:dyDescent="0.25">
      <c r="A499" s="244" t="s">
        <v>1100</v>
      </c>
      <c r="B499" s="31" t="s">
        <v>1215</v>
      </c>
      <c r="K499" s="31">
        <v>1</v>
      </c>
      <c r="O499" s="42">
        <f>C499*Prislapp!$C$2+D499*Prislapp!$D$2+E499*Prislapp!$E$2+F499*Prislapp!$F$2+G499*Prislapp!$G$2+H499*Prislapp!$H$2+I499*Prislapp!$I$2+J499*Prislapp!$J$2+K499*Prislapp!$K$2+L499*Prislapp!$L$2+M499*Prislapp!$M$2+N499*Prislapp!$N$2</f>
        <v>21634</v>
      </c>
      <c r="P499" s="42">
        <f>C499*Prislapp!$C$3+D499*Prislapp!$D$3+E499*Prislapp!$E$3+F499*Prislapp!$F$3+G499*Prislapp!$G$3+H499*Prislapp!$H$3+I499*Prislapp!$I$3+J499*Prislapp!$J$3+K499*Prislapp!$K$3+M499*Prislapp!$M$3+N499*Prislapp!$N$3</f>
        <v>26986</v>
      </c>
      <c r="Q499" s="42">
        <f>C499*Prislapp!$C$5+D499*Prislapp!$D$5+E499*Prislapp!$E$5+F499*Prislapp!$F$5+G499*Prislapp!$G$5+H499*Prislapp!$H$5+I499*Prislapp!$I$5+J499*Prislapp!$J$5+K499*Prislapp!$K$5+L499*Prislapp!$L$5+M499*Prislapp!$M$5+N499*Prislapp!$N$5</f>
        <v>3400</v>
      </c>
      <c r="R499" s="9">
        <f>VLOOKUP(A499,'Ansvar kurs'!$A$2:$B$847,2,FALSE)</f>
        <v>5740</v>
      </c>
      <c r="S499" s="159" t="s">
        <v>1107</v>
      </c>
      <c r="T499" s="159" t="s">
        <v>931</v>
      </c>
    </row>
    <row r="500" spans="1:26" x14ac:dyDescent="0.25">
      <c r="A500" s="244" t="s">
        <v>1101</v>
      </c>
      <c r="B500" s="31" t="s">
        <v>1210</v>
      </c>
      <c r="F500" s="31">
        <v>1</v>
      </c>
      <c r="O500" s="42">
        <f>C500*Prislapp!$C$2+D500*Prislapp!$D$2+E500*Prislapp!$E$2+F500*Prislapp!$F$2+G500*Prislapp!$G$2+H500*Prislapp!$H$2+I500*Prislapp!$I$2+J500*Prislapp!$J$2+K500*Prislapp!$K$2+L500*Prislapp!$L$2+M500*Prislapp!$M$2+N500*Prislapp!$N$2</f>
        <v>23641</v>
      </c>
      <c r="P500" s="42">
        <f>C500*Prislapp!$C$3+D500*Prislapp!$D$3+E500*Prislapp!$E$3+F500*Prislapp!$F$3+G500*Prislapp!$G$3+H500*Prislapp!$H$3+I500*Prislapp!$I$3+J500*Prislapp!$J$3+K500*Prislapp!$K$3+M500*Prislapp!$M$3+N500*Prislapp!$N$3</f>
        <v>28786</v>
      </c>
      <c r="Q500" s="42">
        <f>C500*Prislapp!$C$5+D500*Prislapp!$D$5+E500*Prislapp!$E$5+F500*Prislapp!$F$5+G500*Prislapp!$G$5+H500*Prislapp!$H$5+I500*Prislapp!$I$5+J500*Prislapp!$J$5+K500*Prislapp!$K$5+L500*Prislapp!$L$5+M500*Prislapp!$M$5+N500*Prislapp!$N$5</f>
        <v>5800</v>
      </c>
      <c r="R500" s="9">
        <f>VLOOKUP(A500,'Ansvar kurs'!$A$2:$B$847,2,FALSE)</f>
        <v>5740</v>
      </c>
      <c r="S500" s="159" t="s">
        <v>1107</v>
      </c>
      <c r="T500" s="159" t="s">
        <v>931</v>
      </c>
    </row>
    <row r="501" spans="1:26" x14ac:dyDescent="0.25">
      <c r="A501" s="244" t="s">
        <v>1115</v>
      </c>
      <c r="B501" s="31" t="s">
        <v>1217</v>
      </c>
      <c r="H501" s="31">
        <v>1</v>
      </c>
      <c r="O501" s="42">
        <f>C501*Prislapp!$C$2+D501*Prislapp!$D$2+E501*Prislapp!$E$2+F501*Prislapp!$F$2+G501*Prislapp!$G$2+H501*Prislapp!$H$2+I501*Prislapp!$I$2+J501*Prislapp!$J$2+K501*Prislapp!$K$2+L501*Prislapp!$L$2+M501*Prislapp!$M$2+N501*Prislapp!$N$2</f>
        <v>19473</v>
      </c>
      <c r="P501" s="42">
        <f>C501*Prislapp!$C$3+D501*Prislapp!$D$3+E501*Prislapp!$E$3+F501*Prislapp!$F$3+G501*Prislapp!$G$3+H501*Prislapp!$H$3+I501*Prislapp!$I$3+J501*Prislapp!$J$3+K501*Prislapp!$K$3+M501*Prislapp!$M$3+N501*Prislapp!$N$3</f>
        <v>34806</v>
      </c>
      <c r="Q501" s="42">
        <f>C501*Prislapp!$C$5+D501*Prislapp!$D$5+E501*Prislapp!$E$5+F501*Prislapp!$F$5+G501*Prislapp!$G$5+H501*Prislapp!$H$5+I501*Prislapp!$I$5+J501*Prislapp!$J$5+K501*Prislapp!$K$5+L501*Prislapp!$L$5+M501*Prislapp!$M$5+N501*Prislapp!$N$5</f>
        <v>21800</v>
      </c>
      <c r="R501" s="9">
        <f>VLOOKUP(A501,'Ansvar kurs'!$A$2:$B$847,2,FALSE)</f>
        <v>5740</v>
      </c>
      <c r="S501" s="159" t="s">
        <v>1107</v>
      </c>
      <c r="T501" s="159"/>
    </row>
    <row r="502" spans="1:26" x14ac:dyDescent="0.25">
      <c r="A502" s="244" t="s">
        <v>1103</v>
      </c>
      <c r="B502" s="31" t="s">
        <v>1218</v>
      </c>
      <c r="I502" s="31">
        <v>1</v>
      </c>
      <c r="O502" s="42">
        <f>C502*Prislapp!$C$2+D502*Prislapp!$D$2+E502*Prislapp!$E$2+F502*Prislapp!$F$2+G502*Prislapp!$G$2+H502*Prislapp!$H$2+I502*Prislapp!$I$2+J502*Prislapp!$J$2+K502*Prislapp!$K$2+L502*Prislapp!$L$2+M502*Prislapp!$M$2+N502*Prislapp!$N$2</f>
        <v>18405</v>
      </c>
      <c r="P502" s="42">
        <f>C502*Prislapp!$C$3+D502*Prislapp!$D$3+E502*Prislapp!$E$3+F502*Prislapp!$F$3+G502*Prislapp!$G$3+H502*Prislapp!$H$3+I502*Prislapp!$I$3+J502*Prislapp!$J$3+K502*Prislapp!$K$3+M502*Prislapp!$M$3+N502*Prislapp!$N$3</f>
        <v>15773</v>
      </c>
      <c r="Q502" s="42">
        <f>C502*Prislapp!$C$5+D502*Prislapp!$D$5+E502*Prislapp!$E$5+F502*Prislapp!$F$5+G502*Prislapp!$G$5+H502*Prislapp!$H$5+I502*Prislapp!$I$5+J502*Prislapp!$J$5+K502*Prislapp!$K$5+L502*Prislapp!$L$5+M502*Prislapp!$M$5+N502*Prislapp!$N$5</f>
        <v>5800</v>
      </c>
      <c r="R502" s="9">
        <f>VLOOKUP(A502,'Ansvar kurs'!$A$2:$B$847,2,FALSE)</f>
        <v>2193</v>
      </c>
      <c r="S502" s="159" t="s">
        <v>1107</v>
      </c>
    </row>
    <row r="503" spans="1:26" x14ac:dyDescent="0.25">
      <c r="A503" s="244" t="s">
        <v>1403</v>
      </c>
      <c r="B503" s="31" t="s">
        <v>1408</v>
      </c>
      <c r="F503" s="31">
        <v>1</v>
      </c>
      <c r="O503" s="42">
        <f>C503*Prislapp!$C$2+D503*Prislapp!$D$2+E503*Prislapp!$E$2+F503*Prislapp!$F$2+G503*Prislapp!$G$2+H503*Prislapp!$H$2+I503*Prislapp!$I$2+J503*Prislapp!$J$2+K503*Prislapp!$K$2+L503*Prislapp!$L$2+M503*Prislapp!$M$2+N503*Prislapp!$N$2</f>
        <v>23641</v>
      </c>
      <c r="P503" s="42">
        <f>C503*Prislapp!$C$3+D503*Prislapp!$D$3+E503*Prislapp!$E$3+F503*Prislapp!$F$3+G503*Prislapp!$G$3+H503*Prislapp!$H$3+I503*Prislapp!$I$3+J503*Prislapp!$J$3+K503*Prislapp!$K$3+M503*Prislapp!$M$3+N503*Prislapp!$N$3</f>
        <v>28786</v>
      </c>
      <c r="Q503" s="42">
        <f>C503*Prislapp!$C$5+D503*Prislapp!$D$5+E503*Prislapp!$E$5+F503*Prislapp!$F$5+G503*Prislapp!$G$5+H503*Prislapp!$H$5+I503*Prislapp!$I$5+J503*Prislapp!$J$5+K503*Prislapp!$K$5+L503*Prislapp!$L$5+M503*Prislapp!$M$5+N503*Prislapp!$N$5</f>
        <v>5800</v>
      </c>
      <c r="R503" s="9">
        <f>VLOOKUP(A503,'Ansvar kurs'!$A$2:$B$847,2,FALSE)</f>
        <v>2193</v>
      </c>
      <c r="S503" s="159"/>
    </row>
    <row r="504" spans="1:26" x14ac:dyDescent="0.25">
      <c r="A504" s="244" t="s">
        <v>1404</v>
      </c>
      <c r="B504" s="31" t="s">
        <v>1409</v>
      </c>
      <c r="F504" s="31">
        <v>1</v>
      </c>
      <c r="O504" s="42">
        <f>C504*Prislapp!$C$2+D504*Prislapp!$D$2+E504*Prislapp!$E$2+F504*Prislapp!$F$2+G504*Prislapp!$G$2+H504*Prislapp!$H$2+I504*Prislapp!$I$2+J504*Prislapp!$J$2+K504*Prislapp!$K$2+L504*Prislapp!$L$2+M504*Prislapp!$M$2+N504*Prislapp!$N$2</f>
        <v>23641</v>
      </c>
      <c r="P504" s="42">
        <f>C504*Prislapp!$C$3+D504*Prislapp!$D$3+E504*Prislapp!$E$3+F504*Prislapp!$F$3+G504*Prislapp!$G$3+H504*Prislapp!$H$3+I504*Prislapp!$I$3+J504*Prislapp!$J$3+K504*Prislapp!$K$3+M504*Prislapp!$M$3+N504*Prislapp!$N$3</f>
        <v>28786</v>
      </c>
      <c r="Q504" s="42">
        <f>C504*Prislapp!$C$5+D504*Prislapp!$D$5+E504*Prislapp!$E$5+F504*Prislapp!$F$5+G504*Prislapp!$G$5+H504*Prislapp!$H$5+I504*Prislapp!$I$5+J504*Prislapp!$J$5+K504*Prislapp!$K$5+L504*Prislapp!$L$5+M504*Prislapp!$M$5+N504*Prislapp!$N$5</f>
        <v>5800</v>
      </c>
      <c r="R504" s="9">
        <f>VLOOKUP(A504,'Ansvar kurs'!$A$2:$B$847,2,FALSE)</f>
        <v>2193</v>
      </c>
      <c r="S504" s="159"/>
    </row>
    <row r="505" spans="1:26" x14ac:dyDescent="0.25">
      <c r="A505" s="244" t="s">
        <v>1405</v>
      </c>
      <c r="B505" s="31" t="s">
        <v>1410</v>
      </c>
      <c r="F505" s="31">
        <v>1</v>
      </c>
      <c r="O505" s="42">
        <f>C505*Prislapp!$C$2+D505*Prislapp!$D$2+E505*Prislapp!$E$2+F505*Prislapp!$F$2+G505*Prislapp!$G$2+H505*Prislapp!$H$2+I505*Prislapp!$I$2+J505*Prislapp!$J$2+K505*Prislapp!$K$2+L505*Prislapp!$L$2+M505*Prislapp!$M$2+N505*Prislapp!$N$2</f>
        <v>23641</v>
      </c>
      <c r="P505" s="42">
        <f>C505*Prislapp!$C$3+D505*Prislapp!$D$3+E505*Prislapp!$E$3+F505*Prislapp!$F$3+G505*Prislapp!$G$3+H505*Prislapp!$H$3+I505*Prislapp!$I$3+J505*Prislapp!$J$3+K505*Prislapp!$K$3+M505*Prislapp!$M$3+N505*Prislapp!$N$3</f>
        <v>28786</v>
      </c>
      <c r="Q505" s="42">
        <f>C505*Prislapp!$C$5+D505*Prislapp!$D$5+E505*Prislapp!$E$5+F505*Prislapp!$F$5+G505*Prislapp!$G$5+H505*Prislapp!$H$5+I505*Prislapp!$I$5+J505*Prislapp!$J$5+K505*Prislapp!$K$5+L505*Prislapp!$L$5+M505*Prislapp!$M$5+N505*Prislapp!$N$5</f>
        <v>5800</v>
      </c>
      <c r="R505" s="9">
        <f>VLOOKUP(A505,'Ansvar kurs'!$A$2:$B$847,2,FALSE)</f>
        <v>2193</v>
      </c>
      <c r="S505" s="159"/>
    </row>
    <row r="506" spans="1:26" x14ac:dyDescent="0.25">
      <c r="A506" s="244" t="s">
        <v>1406</v>
      </c>
      <c r="B506" s="31" t="s">
        <v>1411</v>
      </c>
      <c r="F506" s="31">
        <v>1</v>
      </c>
      <c r="O506" s="42">
        <f>C506*Prislapp!$C$2+D506*Prislapp!$D$2+E506*Prislapp!$E$2+F506*Prislapp!$F$2+G506*Prislapp!$G$2+H506*Prislapp!$H$2+I506*Prislapp!$I$2+J506*Prislapp!$J$2+K506*Prislapp!$K$2+L506*Prislapp!$L$2+M506*Prislapp!$M$2+N506*Prislapp!$N$2</f>
        <v>23641</v>
      </c>
      <c r="P506" s="42">
        <f>C506*Prislapp!$C$3+D506*Prislapp!$D$3+E506*Prislapp!$E$3+F506*Prislapp!$F$3+G506*Prislapp!$G$3+H506*Prislapp!$H$3+I506*Prislapp!$I$3+J506*Prislapp!$J$3+K506*Prislapp!$K$3+M506*Prislapp!$M$3+N506*Prislapp!$N$3</f>
        <v>28786</v>
      </c>
      <c r="Q506" s="42">
        <f>C506*Prislapp!$C$5+D506*Prislapp!$D$5+E506*Prislapp!$E$5+F506*Prislapp!$F$5+G506*Prislapp!$G$5+H506*Prislapp!$H$5+I506*Prislapp!$I$5+J506*Prislapp!$J$5+K506*Prislapp!$K$5+L506*Prislapp!$L$5+M506*Prislapp!$M$5+N506*Prislapp!$N$5</f>
        <v>5800</v>
      </c>
      <c r="R506" s="9">
        <f>VLOOKUP(A506,'Ansvar kurs'!$A$2:$B$847,2,FALSE)</f>
        <v>2180</v>
      </c>
      <c r="S506" s="159"/>
    </row>
    <row r="507" spans="1:26" x14ac:dyDescent="0.25">
      <c r="A507" s="244" t="s">
        <v>1407</v>
      </c>
      <c r="B507" s="31" t="s">
        <v>1412</v>
      </c>
      <c r="F507" s="31">
        <v>1</v>
      </c>
      <c r="O507" s="42">
        <f>C507*Prislapp!$C$2+D507*Prislapp!$D$2+E507*Prislapp!$E$2+F507*Prislapp!$F$2+G507*Prislapp!$G$2+H507*Prislapp!$H$2+I507*Prislapp!$I$2+J507*Prislapp!$J$2+K507*Prislapp!$K$2+L507*Prislapp!$L$2+M507*Prislapp!$M$2+N507*Prislapp!$N$2</f>
        <v>23641</v>
      </c>
      <c r="P507" s="42">
        <f>C507*Prislapp!$C$3+D507*Prislapp!$D$3+E507*Prislapp!$E$3+F507*Prislapp!$F$3+G507*Prislapp!$G$3+H507*Prislapp!$H$3+I507*Prislapp!$I$3+J507*Prislapp!$J$3+K507*Prislapp!$K$3+M507*Prislapp!$M$3+N507*Prislapp!$N$3</f>
        <v>28786</v>
      </c>
      <c r="Q507" s="42">
        <f>C507*Prislapp!$C$5+D507*Prislapp!$D$5+E507*Prislapp!$E$5+F507*Prislapp!$F$5+G507*Prislapp!$G$5+H507*Prislapp!$H$5+I507*Prislapp!$I$5+J507*Prislapp!$J$5+K507*Prislapp!$K$5+L507*Prislapp!$L$5+M507*Prislapp!$M$5+N507*Prislapp!$N$5</f>
        <v>5800</v>
      </c>
      <c r="R507" s="9">
        <f>VLOOKUP(A507,'Ansvar kurs'!$A$2:$B$847,2,FALSE)</f>
        <v>2180</v>
      </c>
      <c r="S507" s="159"/>
    </row>
    <row r="508" spans="1:26" x14ac:dyDescent="0.25">
      <c r="A508" s="244" t="s">
        <v>1413</v>
      </c>
      <c r="B508" t="s">
        <v>1907</v>
      </c>
      <c r="F508" s="31">
        <v>1</v>
      </c>
      <c r="O508" s="42">
        <f>C508*Prislapp!$C$2+D508*Prislapp!$D$2+E508*Prislapp!$E$2+F508*Prislapp!$F$2+G508*Prislapp!$G$2+H508*Prislapp!$H$2+I508*Prislapp!$I$2+J508*Prislapp!$J$2+K508*Prislapp!$K$2+L508*Prislapp!$L$2+M508*Prislapp!$M$2+N508*Prislapp!$N$2</f>
        <v>23641</v>
      </c>
      <c r="P508" s="42">
        <f>C508*Prislapp!$C$3+D508*Prislapp!$D$3+E508*Prislapp!$E$3+F508*Prislapp!$F$3+G508*Prislapp!$G$3+H508*Prislapp!$H$3+I508*Prislapp!$I$3+J508*Prislapp!$J$3+K508*Prislapp!$K$3+M508*Prislapp!$M$3+N508*Prislapp!$N$3</f>
        <v>28786</v>
      </c>
      <c r="Q508" s="42">
        <f>C508*Prislapp!$C$5+D508*Prislapp!$D$5+E508*Prislapp!$E$5+F508*Prislapp!$F$5+G508*Prislapp!$G$5+H508*Prislapp!$H$5+I508*Prislapp!$I$5+J508*Prislapp!$J$5+K508*Prislapp!$K$5+L508*Prislapp!$L$5+M508*Prislapp!$M$5+N508*Prislapp!$N$5</f>
        <v>5800</v>
      </c>
      <c r="R508" s="9">
        <f>VLOOKUP(A508,'Ansvar kurs'!$A$2:$B$847,2,FALSE)</f>
        <v>2180</v>
      </c>
      <c r="S508" s="159"/>
    </row>
    <row r="509" spans="1:26" x14ac:dyDescent="0.25">
      <c r="A509" s="256" t="s">
        <v>1122</v>
      </c>
      <c r="B509" s="31" t="s">
        <v>1085</v>
      </c>
      <c r="H509" s="31">
        <v>1</v>
      </c>
      <c r="O509" s="42">
        <f>C509*Prislapp!$C$2+D509*Prislapp!$D$2+E509*Prislapp!$E$2+F509*Prislapp!$F$2+G509*Prislapp!$G$2+H509*Prislapp!$H$2+I509*Prislapp!$I$2+J509*Prislapp!$J$2+K509*Prislapp!$K$2+L509*Prislapp!$L$2+M509*Prislapp!$M$2+N509*Prislapp!$N$2</f>
        <v>19473</v>
      </c>
      <c r="P509" s="42">
        <f>C509*Prislapp!$C$3+D509*Prislapp!$D$3+E509*Prislapp!$E$3+F509*Prislapp!$F$3+G509*Prislapp!$G$3+H509*Prislapp!$H$3+I509*Prislapp!$I$3+J509*Prislapp!$J$3+K509*Prislapp!$K$3+M509*Prislapp!$M$3+N509*Prislapp!$N$3</f>
        <v>34806</v>
      </c>
      <c r="Q509" s="42">
        <f>C509*Prislapp!$C$5+D509*Prislapp!$D$5+E509*Prislapp!$E$5+F509*Prislapp!$F$5+G509*Prislapp!$G$5+H509*Prislapp!$H$5+I509*Prislapp!$I$5+J509*Prislapp!$J$5+K509*Prislapp!$K$5+L509*Prislapp!$L$5+M509*Prislapp!$M$5+N509*Prislapp!$N$5</f>
        <v>21800</v>
      </c>
      <c r="R509" s="9">
        <f>VLOOKUP(A509,'Ansvar kurs'!$A$2:$B$847,2,FALSE)</f>
        <v>5740</v>
      </c>
      <c r="S509" s="159" t="s">
        <v>1287</v>
      </c>
      <c r="U509" s="159"/>
      <c r="V509" s="159"/>
      <c r="W509" s="159"/>
      <c r="X509" s="159"/>
      <c r="Y509" s="159"/>
      <c r="Z509" s="159"/>
    </row>
    <row r="510" spans="1:26" x14ac:dyDescent="0.25">
      <c r="A510" s="59" t="s">
        <v>1141</v>
      </c>
      <c r="B510" s="31" t="s">
        <v>1219</v>
      </c>
      <c r="F510" s="31">
        <v>1</v>
      </c>
      <c r="O510" s="42">
        <f>C510*Prislapp!$C$2+D510*Prislapp!$D$2+E510*Prislapp!$E$2+F510*Prislapp!$F$2+G510*Prislapp!$G$2+H510*Prislapp!$H$2+I510*Prislapp!$I$2+J510*Prislapp!$J$2+K510*Prislapp!$K$2+L510*Prislapp!$L$2+M510*Prislapp!$M$2+N510*Prislapp!$N$2</f>
        <v>23641</v>
      </c>
      <c r="P510" s="42">
        <f>C510*Prislapp!$C$3+D510*Prislapp!$D$3+E510*Prislapp!$E$3+F510*Prislapp!$F$3+G510*Prislapp!$G$3+H510*Prislapp!$H$3+I510*Prislapp!$I$3+J510*Prislapp!$J$3+K510*Prislapp!$K$3+M510*Prislapp!$M$3+N510*Prislapp!$N$3</f>
        <v>28786</v>
      </c>
      <c r="Q510" s="42">
        <f>C510*Prislapp!$C$5+D510*Prislapp!$D$5+E510*Prislapp!$E$5+F510*Prislapp!$F$5+G510*Prislapp!$G$5+H510*Prislapp!$H$5+I510*Prislapp!$I$5+J510*Prislapp!$J$5+K510*Prislapp!$K$5+L510*Prislapp!$L$5+M510*Prislapp!$M$5+N510*Prislapp!$N$5</f>
        <v>5800</v>
      </c>
      <c r="R510" s="9">
        <f>VLOOKUP(A510,'Ansvar kurs'!$A$2:$B$847,2,FALSE)</f>
        <v>2193</v>
      </c>
      <c r="S510" s="159" t="s">
        <v>1287</v>
      </c>
      <c r="T510" s="31" t="s">
        <v>1290</v>
      </c>
    </row>
    <row r="511" spans="1:26" x14ac:dyDescent="0.25">
      <c r="A511" s="59" t="s">
        <v>1142</v>
      </c>
      <c r="B511" s="31" t="s">
        <v>1220</v>
      </c>
      <c r="K511" s="31">
        <v>1</v>
      </c>
      <c r="O511" s="42">
        <f>C511*Prislapp!$C$2+D511*Prislapp!$D$2+E511*Prislapp!$E$2+F511*Prislapp!$F$2+G511*Prislapp!$G$2+H511*Prislapp!$H$2+I511*Prislapp!$I$2+J511*Prislapp!$J$2+K511*Prislapp!$K$2+L511*Prislapp!$L$2+M511*Prislapp!$M$2+N511*Prislapp!$N$2</f>
        <v>21634</v>
      </c>
      <c r="P511" s="42">
        <f>C511*Prislapp!$C$3+D511*Prislapp!$D$3+E511*Prislapp!$E$3+F511*Prislapp!$F$3+G511*Prislapp!$G$3+H511*Prislapp!$H$3+I511*Prislapp!$I$3+J511*Prislapp!$J$3+K511*Prislapp!$K$3+M511*Prislapp!$M$3+N511*Prislapp!$N$3</f>
        <v>26986</v>
      </c>
      <c r="Q511" s="42">
        <f>C511*Prislapp!$C$5+D511*Prislapp!$D$5+E511*Prislapp!$E$5+F511*Prislapp!$F$5+G511*Prislapp!$G$5+H511*Prislapp!$H$5+I511*Prislapp!$I$5+J511*Prislapp!$J$5+K511*Prislapp!$K$5+L511*Prislapp!$L$5+M511*Prislapp!$M$5+N511*Prislapp!$N$5</f>
        <v>3400</v>
      </c>
      <c r="R511" s="9">
        <f>VLOOKUP(A511,'Ansvar kurs'!$A$2:$B$847,2,FALSE)</f>
        <v>2193</v>
      </c>
      <c r="S511" s="159" t="s">
        <v>1287</v>
      </c>
      <c r="T511" s="31" t="s">
        <v>1291</v>
      </c>
    </row>
    <row r="512" spans="1:26" x14ac:dyDescent="0.25">
      <c r="A512" s="59" t="s">
        <v>1279</v>
      </c>
      <c r="B512" s="31" t="s">
        <v>1284</v>
      </c>
      <c r="F512" s="31">
        <v>1</v>
      </c>
      <c r="O512" s="42">
        <f>C512*Prislapp!$C$2+D512*Prislapp!$D$2+E512*Prislapp!$E$2+F512*Prislapp!$F$2+G512*Prislapp!$G$2+H512*Prislapp!$H$2+I512*Prislapp!$I$2+J512*Prislapp!$J$2+K512*Prislapp!$K$2+L512*Prislapp!$L$2+M512*Prislapp!$M$2+N512*Prislapp!$N$2</f>
        <v>23641</v>
      </c>
      <c r="P512" s="42">
        <f>C512*Prislapp!$C$3+D512*Prislapp!$D$3+E512*Prislapp!$E$3+F512*Prislapp!$F$3+G512*Prislapp!$G$3+H512*Prislapp!$H$3+I512*Prislapp!$I$3+J512*Prislapp!$J$3+K512*Prislapp!$K$3+M512*Prislapp!$M$3+N512*Prislapp!$N$3</f>
        <v>28786</v>
      </c>
      <c r="Q512" s="42">
        <f>C512*Prislapp!$C$5+D512*Prislapp!$D$5+E512*Prislapp!$E$5+F512*Prislapp!$F$5+G512*Prislapp!$G$5+H512*Prislapp!$H$5+I512*Prislapp!$I$5+J512*Prislapp!$J$5+K512*Prislapp!$K$5+L512*Prislapp!$L$5+M512*Prislapp!$M$5+N512*Prislapp!$N$5</f>
        <v>5800</v>
      </c>
      <c r="R512" s="9">
        <f>VLOOKUP(A512,'Ansvar kurs'!$A$2:$B$847,2,FALSE)</f>
        <v>2180</v>
      </c>
      <c r="S512" s="31" t="s">
        <v>1127</v>
      </c>
      <c r="T512" s="31" t="s">
        <v>1128</v>
      </c>
    </row>
    <row r="513" spans="1:26" x14ac:dyDescent="0.25">
      <c r="A513" s="59" t="s">
        <v>1280</v>
      </c>
      <c r="B513" s="31" t="s">
        <v>1285</v>
      </c>
      <c r="K513" s="31">
        <v>1</v>
      </c>
      <c r="O513" s="42">
        <f>C513*Prislapp!$C$2+D513*Prislapp!$D$2+E513*Prislapp!$E$2+F513*Prislapp!$F$2+G513*Prislapp!$G$2+H513*Prislapp!$H$2+I513*Prislapp!$I$2+J513*Prislapp!$J$2+K513*Prislapp!$K$2+L513*Prislapp!$L$2+M513*Prislapp!$M$2+N513*Prislapp!$N$2</f>
        <v>21634</v>
      </c>
      <c r="P513" s="42">
        <f>C513*Prislapp!$C$3+D513*Prislapp!$D$3+E513*Prislapp!$E$3+F513*Prislapp!$F$3+G513*Prislapp!$G$3+H513*Prislapp!$H$3+I513*Prislapp!$I$3+J513*Prislapp!$J$3+K513*Prislapp!$K$3+M513*Prislapp!$M$3+N513*Prislapp!$N$3</f>
        <v>26986</v>
      </c>
      <c r="Q513" s="42">
        <f>C513*Prislapp!$C$5+D513*Prislapp!$D$5+E513*Prislapp!$E$5+F513*Prislapp!$F$5+G513*Prislapp!$G$5+H513*Prislapp!$H$5+I513*Prislapp!$I$5+J513*Prislapp!$J$5+K513*Prislapp!$K$5+L513*Prislapp!$L$5+M513*Prislapp!$M$5+N513*Prislapp!$N$5</f>
        <v>3400</v>
      </c>
      <c r="R513" s="9">
        <f>VLOOKUP(A513,'Ansvar kurs'!$A$2:$B$847,2,FALSE)</f>
        <v>2180</v>
      </c>
      <c r="S513" s="31" t="s">
        <v>774</v>
      </c>
      <c r="T513" s="31" t="s">
        <v>1128</v>
      </c>
    </row>
    <row r="514" spans="1:26" x14ac:dyDescent="0.25">
      <c r="A514" s="59" t="s">
        <v>1277</v>
      </c>
      <c r="B514" s="31" t="s">
        <v>1283</v>
      </c>
      <c r="F514" s="31">
        <v>1</v>
      </c>
      <c r="O514" s="42">
        <f>C514*Prislapp!$C$2+D514*Prislapp!$D$2+E514*Prislapp!$E$2+F514*Prislapp!$F$2+G514*Prislapp!$G$2+H514*Prislapp!$H$2+I514*Prislapp!$I$2+J514*Prislapp!$J$2+K514*Prislapp!$K$2+L514*Prislapp!$L$2+M514*Prislapp!$M$2+N514*Prislapp!$N$2</f>
        <v>23641</v>
      </c>
      <c r="P514" s="42">
        <f>C514*Prislapp!$C$3+D514*Prislapp!$D$3+E514*Prislapp!$E$3+F514*Prislapp!$F$3+G514*Prislapp!$G$3+H514*Prislapp!$H$3+I514*Prislapp!$I$3+J514*Prislapp!$J$3+K514*Prislapp!$K$3+M514*Prislapp!$M$3+N514*Prislapp!$N$3</f>
        <v>28786</v>
      </c>
      <c r="Q514" s="42">
        <f>C514*Prislapp!$C$5+D514*Prislapp!$D$5+E514*Prislapp!$E$5+F514*Prislapp!$F$5+G514*Prislapp!$G$5+H514*Prislapp!$H$5+I514*Prislapp!$I$5+J514*Prislapp!$J$5+K514*Prislapp!$K$5+L514*Prislapp!$L$5+M514*Prislapp!$M$5+N514*Prislapp!$N$5</f>
        <v>5800</v>
      </c>
      <c r="R514" s="9">
        <f>VLOOKUP(A514,'Ansvar kurs'!$A$2:$B$847,2,FALSE)</f>
        <v>2180</v>
      </c>
      <c r="S514" s="31" t="s">
        <v>1127</v>
      </c>
    </row>
    <row r="515" spans="1:26" x14ac:dyDescent="0.25">
      <c r="A515" s="59" t="s">
        <v>1278</v>
      </c>
      <c r="B515" s="31" t="s">
        <v>1286</v>
      </c>
      <c r="K515" s="31">
        <v>1</v>
      </c>
      <c r="O515" s="42">
        <f>C515*Prislapp!$C$2+D515*Prislapp!$D$2+E515*Prislapp!$E$2+F515*Prislapp!$F$2+G515*Prislapp!$G$2+H515*Prislapp!$H$2+I515*Prislapp!$I$2+J515*Prislapp!$J$2+K515*Prislapp!$K$2+L515*Prislapp!$L$2+M515*Prislapp!$M$2+N515*Prislapp!$N$2</f>
        <v>21634</v>
      </c>
      <c r="P515" s="42">
        <f>C515*Prislapp!$C$3+D515*Prislapp!$D$3+E515*Prislapp!$E$3+F515*Prislapp!$F$3+G515*Prislapp!$G$3+H515*Prislapp!$H$3+I515*Prislapp!$I$3+J515*Prislapp!$J$3+K515*Prislapp!$K$3+M515*Prislapp!$M$3+N515*Prislapp!$N$3</f>
        <v>26986</v>
      </c>
      <c r="Q515" s="42">
        <f>C515*Prislapp!$C$5+D515*Prislapp!$D$5+E515*Prislapp!$E$5+F515*Prislapp!$F$5+G515*Prislapp!$G$5+H515*Prislapp!$H$5+I515*Prislapp!$I$5+J515*Prislapp!$J$5+K515*Prislapp!$K$5+L515*Prislapp!$L$5+M515*Prislapp!$M$5+N515*Prislapp!$N$5</f>
        <v>3400</v>
      </c>
      <c r="R515" s="9">
        <f>VLOOKUP(A515,'Ansvar kurs'!$A$2:$B$847,2,FALSE)</f>
        <v>5740</v>
      </c>
      <c r="S515" s="159" t="s">
        <v>1287</v>
      </c>
      <c r="T515" s="31" t="s">
        <v>1292</v>
      </c>
    </row>
    <row r="516" spans="1:26" x14ac:dyDescent="0.25">
      <c r="A516" s="59" t="s">
        <v>1328</v>
      </c>
      <c r="B516" t="s">
        <v>1329</v>
      </c>
      <c r="I516" s="31">
        <v>1</v>
      </c>
      <c r="O516" s="42">
        <f>C516*Prislapp!$C$2+D516*Prislapp!$D$2+E516*Prislapp!$E$2+F516*Prislapp!$F$2+G516*Prislapp!$G$2+H516*Prislapp!$H$2+I516*Prislapp!$I$2+J516*Prislapp!$J$2+K516*Prislapp!$K$2+L516*Prislapp!$L$2+M516*Prislapp!$M$2+N516*Prislapp!$N$2</f>
        <v>18405</v>
      </c>
      <c r="P516" s="42">
        <f>C516*Prislapp!$C$3+D516*Prislapp!$D$3+E516*Prislapp!$E$3+F516*Prislapp!$F$3+G516*Prislapp!$G$3+H516*Prislapp!$H$3+I516*Prislapp!$I$3+J516*Prislapp!$J$3+K516*Prislapp!$K$3+M516*Prislapp!$M$3+N516*Prislapp!$N$3</f>
        <v>15773</v>
      </c>
      <c r="Q516" s="42">
        <f>C516*Prislapp!$C$5+D516*Prislapp!$D$5+E516*Prislapp!$E$5+F516*Prislapp!$F$5+G516*Prislapp!$G$5+H516*Prislapp!$H$5+I516*Prislapp!$I$5+J516*Prislapp!$J$5+K516*Prislapp!$K$5+L516*Prislapp!$L$5+M516*Prislapp!$M$5+N516*Prislapp!$N$5</f>
        <v>5800</v>
      </c>
      <c r="R516" s="9">
        <f>VLOOKUP(A516,'Ansvar kurs'!$A$2:$B$847,2,FALSE)</f>
        <v>2193</v>
      </c>
      <c r="S516" s="159"/>
    </row>
    <row r="517" spans="1:26" x14ac:dyDescent="0.25">
      <c r="A517" s="59" t="s">
        <v>1330</v>
      </c>
      <c r="B517" t="s">
        <v>1342</v>
      </c>
      <c r="I517" s="31">
        <v>1</v>
      </c>
      <c r="O517" s="42">
        <f>C517*Prislapp!$C$2+D517*Prislapp!$D$2+E517*Prislapp!$E$2+F517*Prislapp!$F$2+G517*Prislapp!$G$2+H517*Prislapp!$H$2+I517*Prislapp!$I$2+J517*Prislapp!$J$2+K517*Prislapp!$K$2+L517*Prislapp!$L$2+M517*Prislapp!$M$2+N517*Prislapp!$N$2</f>
        <v>18405</v>
      </c>
      <c r="P517" s="42">
        <f>C517*Prislapp!$C$3+D517*Prislapp!$D$3+E517*Prislapp!$E$3+F517*Prislapp!$F$3+G517*Prislapp!$G$3+H517*Prislapp!$H$3+I517*Prislapp!$I$3+J517*Prislapp!$J$3+K517*Prislapp!$K$3+M517*Prislapp!$M$3+N517*Prislapp!$N$3</f>
        <v>15773</v>
      </c>
      <c r="Q517" s="42">
        <f>C517*Prislapp!$C$5+D517*Prislapp!$D$5+E517*Prislapp!$E$5+F517*Prislapp!$F$5+G517*Prislapp!$G$5+H517*Prislapp!$H$5+I517*Prislapp!$I$5+J517*Prislapp!$J$5+K517*Prislapp!$K$5+L517*Prislapp!$L$5+M517*Prislapp!$M$5+N517*Prislapp!$N$5</f>
        <v>5800</v>
      </c>
      <c r="R517" s="9">
        <f>VLOOKUP(A517,'Ansvar kurs'!$A$2:$B$847,2,FALSE)</f>
        <v>2193</v>
      </c>
      <c r="S517" s="159"/>
    </row>
    <row r="518" spans="1:26" x14ac:dyDescent="0.25">
      <c r="A518" s="59" t="s">
        <v>1362</v>
      </c>
      <c r="B518" s="39" t="s">
        <v>724</v>
      </c>
      <c r="I518" s="31">
        <v>0.2</v>
      </c>
      <c r="K518" s="31">
        <v>0.8</v>
      </c>
      <c r="O518" s="42">
        <f>C518*Prislapp!$C$2+D518*Prislapp!$D$2+E518*Prislapp!$E$2+F518*Prislapp!$F$2+G518*Prislapp!$G$2+H518*Prislapp!$H$2+I518*Prislapp!$I$2+J518*Prislapp!$J$2+K518*Prislapp!$K$2+L518*Prislapp!$L$2+M518*Prislapp!$M$2+N518*Prislapp!$N$2</f>
        <v>20988.2</v>
      </c>
      <c r="P518" s="42">
        <f>C518*Prislapp!$C$3+D518*Prislapp!$D$3+E518*Prislapp!$E$3+F518*Prislapp!$F$3+G518*Prislapp!$G$3+H518*Prislapp!$H$3+I518*Prislapp!$I$3+J518*Prislapp!$J$3+K518*Prislapp!$K$3+M518*Prislapp!$M$3+N518*Prislapp!$N$3</f>
        <v>24743.4</v>
      </c>
      <c r="Q518" s="42">
        <f>C518*Prislapp!$C$5+D518*Prislapp!$D$5+E518*Prislapp!$E$5+F518*Prislapp!$F$5+G518*Prislapp!$G$5+H518*Prislapp!$H$5+I518*Prislapp!$I$5+J518*Prislapp!$J$5+K518*Prislapp!$K$5+L518*Prislapp!$L$5+M518*Prislapp!$M$5+N518*Prislapp!$N$5</f>
        <v>3880</v>
      </c>
      <c r="R518" s="9">
        <f>VLOOKUP(A518,'Ansvar kurs'!$A$2:$B$847,2,FALSE)</f>
        <v>2180</v>
      </c>
      <c r="S518" s="182" t="s">
        <v>1369</v>
      </c>
      <c r="T518" s="59"/>
    </row>
    <row r="519" spans="1:26" x14ac:dyDescent="0.25">
      <c r="A519" s="59" t="s">
        <v>1364</v>
      </c>
      <c r="B519" s="39" t="s">
        <v>1366</v>
      </c>
      <c r="I519" s="31">
        <v>1</v>
      </c>
      <c r="O519" s="42">
        <f>C519*Prislapp!$C$2+D519*Prislapp!$D$2+E519*Prislapp!$E$2+F519*Prislapp!$F$2+G519*Prislapp!$G$2+H519*Prislapp!$H$2+I519*Prislapp!$I$2+J519*Prislapp!$J$2+K519*Prislapp!$K$2+L519*Prislapp!$L$2+M519*Prislapp!$M$2+N519*Prislapp!$N$2</f>
        <v>18405</v>
      </c>
      <c r="P519" s="42">
        <f>C519*Prislapp!$C$3+D519*Prislapp!$D$3+E519*Prislapp!$E$3+F519*Prislapp!$F$3+G519*Prislapp!$G$3+H519*Prislapp!$H$3+I519*Prislapp!$I$3+J519*Prislapp!$J$3+K519*Prislapp!$K$3+M519*Prislapp!$M$3+N519*Prislapp!$N$3</f>
        <v>15773</v>
      </c>
      <c r="Q519" s="42">
        <f>C519*Prislapp!$C$5+D519*Prislapp!$D$5+E519*Prislapp!$E$5+F519*Prislapp!$F$5+G519*Prislapp!$G$5+H519*Prislapp!$H$5+I519*Prislapp!$I$5+J519*Prislapp!$J$5+K519*Prislapp!$K$5+L519*Prislapp!$L$5+M519*Prislapp!$M$5+N519*Prislapp!$N$5</f>
        <v>5800</v>
      </c>
      <c r="R519" s="9">
        <f>VLOOKUP(A519,'Ansvar kurs'!$A$2:$B$847,2,FALSE)</f>
        <v>2180</v>
      </c>
      <c r="S519" s="182" t="s">
        <v>1369</v>
      </c>
    </row>
    <row r="520" spans="1:26" x14ac:dyDescent="0.25">
      <c r="A520" s="59" t="s">
        <v>1363</v>
      </c>
      <c r="B520" s="39" t="s">
        <v>1367</v>
      </c>
      <c r="I520" s="31">
        <v>1</v>
      </c>
      <c r="O520" s="42">
        <f>C520*Prislapp!$C$2+D520*Prislapp!$D$2+E520*Prislapp!$E$2+F520*Prislapp!$F$2+G520*Prislapp!$G$2+H520*Prislapp!$H$2+I520*Prislapp!$I$2+J520*Prislapp!$J$2+K520*Prislapp!$K$2+L520*Prislapp!$L$2+M520*Prislapp!$M$2+N520*Prislapp!$N$2</f>
        <v>18405</v>
      </c>
      <c r="P520" s="42">
        <f>C520*Prislapp!$C$3+D520*Prislapp!$D$3+E520*Prislapp!$E$3+F520*Prislapp!$F$3+G520*Prislapp!$G$3+H520*Prislapp!$H$3+I520*Prislapp!$I$3+J520*Prislapp!$J$3+K520*Prislapp!$K$3+M520*Prislapp!$M$3+N520*Prislapp!$N$3</f>
        <v>15773</v>
      </c>
      <c r="Q520" s="42">
        <f>C520*Prislapp!$C$5+D520*Prislapp!$D$5+E520*Prislapp!$E$5+F520*Prislapp!$F$5+G520*Prislapp!$G$5+H520*Prislapp!$H$5+I520*Prislapp!$I$5+J520*Prislapp!$J$5+K520*Prislapp!$K$5+L520*Prislapp!$L$5+M520*Prislapp!$M$5+N520*Prislapp!$N$5</f>
        <v>5800</v>
      </c>
      <c r="R520" s="9">
        <f>VLOOKUP(A520,'Ansvar kurs'!$A$2:$B$847,2,FALSE)</f>
        <v>2180</v>
      </c>
      <c r="S520" s="182" t="s">
        <v>1369</v>
      </c>
    </row>
    <row r="521" spans="1:26" x14ac:dyDescent="0.25">
      <c r="A521" s="59" t="s">
        <v>1365</v>
      </c>
      <c r="B521" s="39" t="s">
        <v>1368</v>
      </c>
      <c r="I521" s="31">
        <v>1</v>
      </c>
      <c r="O521" s="42">
        <f>C521*Prislapp!$C$2+D521*Prislapp!$D$2+E521*Prislapp!$E$2+F521*Prislapp!$F$2+G521*Prislapp!$G$2+H521*Prislapp!$H$2+I521*Prislapp!$I$2+J521*Prislapp!$J$2+K521*Prislapp!$K$2+L521*Prislapp!$L$2+M521*Prislapp!$M$2+N521*Prislapp!$N$2</f>
        <v>18405</v>
      </c>
      <c r="P521" s="42">
        <f>C521*Prislapp!$C$3+D521*Prislapp!$D$3+E521*Prislapp!$E$3+F521*Prislapp!$F$3+G521*Prislapp!$G$3+H521*Prislapp!$H$3+I521*Prislapp!$I$3+J521*Prislapp!$J$3+K521*Prislapp!$K$3+M521*Prislapp!$M$3+N521*Prislapp!$N$3</f>
        <v>15773</v>
      </c>
      <c r="Q521" s="42">
        <f>C521*Prislapp!$C$5+D521*Prislapp!$D$5+E521*Prislapp!$E$5+F521*Prislapp!$F$5+G521*Prislapp!$G$5+H521*Prislapp!$H$5+I521*Prislapp!$I$5+J521*Prislapp!$J$5+K521*Prislapp!$K$5+L521*Prislapp!$L$5+M521*Prislapp!$M$5+N521*Prislapp!$N$5</f>
        <v>5800</v>
      </c>
      <c r="R521" s="9">
        <f>VLOOKUP(A521,'Ansvar kurs'!$A$2:$B$847,2,FALSE)</f>
        <v>2180</v>
      </c>
      <c r="S521" s="182" t="s">
        <v>1369</v>
      </c>
    </row>
    <row r="522" spans="1:26" x14ac:dyDescent="0.25">
      <c r="A522" s="59" t="s">
        <v>1530</v>
      </c>
      <c r="B522" s="39" t="s">
        <v>1545</v>
      </c>
      <c r="H522" s="31">
        <v>1</v>
      </c>
      <c r="O522" s="42">
        <f>C522*Prislapp!$C$2+D522*Prislapp!$D$2+E522*Prislapp!$E$2+F522*Prislapp!$F$2+G522*Prislapp!$G$2+H522*Prislapp!$H$2+I522*Prislapp!$I$2+J522*Prislapp!$J$2+K522*Prislapp!$K$2+L522*Prislapp!$L$2+M522*Prislapp!$M$2+N522*Prislapp!$N$2</f>
        <v>19473</v>
      </c>
      <c r="P522" s="42">
        <f>C522*Prislapp!$C$3+D522*Prislapp!$D$3+E522*Prislapp!$E$3+F522*Prislapp!$F$3+G522*Prislapp!$G$3+H522*Prislapp!$H$3+I522*Prislapp!$I$3+J522*Prislapp!$J$3+K522*Prislapp!$K$3+M522*Prislapp!$M$3+N522*Prislapp!$N$3</f>
        <v>34806</v>
      </c>
      <c r="Q522" s="42">
        <f>C522*Prislapp!$C$5+D522*Prislapp!$D$5+E522*Prislapp!$E$5+F522*Prislapp!$F$5+G522*Prislapp!$G$5+H522*Prislapp!$H$5+I522*Prislapp!$I$5+J522*Prislapp!$J$5+K522*Prislapp!$K$5+L522*Prislapp!$L$5+M522*Prislapp!$M$5+N522*Prislapp!$N$5</f>
        <v>21800</v>
      </c>
      <c r="R522" s="9">
        <f>VLOOKUP(A522,'Ansvar kurs'!$A$2:$B$847,2,FALSE)</f>
        <v>5740</v>
      </c>
      <c r="S522" s="182"/>
    </row>
    <row r="523" spans="1:26" x14ac:dyDescent="0.25">
      <c r="A523" s="59" t="s">
        <v>1531</v>
      </c>
      <c r="B523" s="39" t="s">
        <v>1546</v>
      </c>
      <c r="H523" s="31">
        <v>1</v>
      </c>
      <c r="O523" s="42">
        <f>C523*Prislapp!$C$2+D523*Prislapp!$D$2+E523*Prislapp!$E$2+F523*Prislapp!$F$2+G523*Prislapp!$G$2+H523*Prislapp!$H$2+I523*Prislapp!$I$2+J523*Prislapp!$J$2+K523*Prislapp!$K$2+L523*Prislapp!$L$2+M523*Prislapp!$M$2+N523*Prislapp!$N$2</f>
        <v>19473</v>
      </c>
      <c r="P523" s="42">
        <f>C523*Prislapp!$C$3+D523*Prislapp!$D$3+E523*Prislapp!$E$3+F523*Prislapp!$F$3+G523*Prislapp!$G$3+H523*Prislapp!$H$3+I523*Prislapp!$I$3+J523*Prislapp!$J$3+K523*Prislapp!$K$3+M523*Prislapp!$M$3+N523*Prislapp!$N$3</f>
        <v>34806</v>
      </c>
      <c r="Q523" s="42">
        <f>C523*Prislapp!$C$5+D523*Prislapp!$D$5+E523*Prislapp!$E$5+F523*Prislapp!$F$5+G523*Prislapp!$G$5+H523*Prislapp!$H$5+I523*Prislapp!$I$5+J523*Prislapp!$J$5+K523*Prislapp!$K$5+L523*Prislapp!$L$5+M523*Prislapp!$M$5+N523*Prislapp!$N$5</f>
        <v>21800</v>
      </c>
      <c r="R523" s="9">
        <f>VLOOKUP(A523,'Ansvar kurs'!$A$2:$B$847,2,FALSE)</f>
        <v>5740</v>
      </c>
      <c r="S523" s="182"/>
    </row>
    <row r="524" spans="1:26" ht="30" customHeight="1" x14ac:dyDescent="0.25">
      <c r="A524" s="59" t="s">
        <v>1532</v>
      </c>
      <c r="B524" s="292" t="s">
        <v>1547</v>
      </c>
      <c r="H524" s="31">
        <v>1</v>
      </c>
      <c r="O524" s="42">
        <f>C524*Prislapp!$C$2+D524*Prislapp!$D$2+E524*Prislapp!$E$2+F524*Prislapp!$F$2+G524*Prislapp!$G$2+H524*Prislapp!$H$2+I524*Prislapp!$I$2+J524*Prislapp!$J$2+K524*Prislapp!$K$2+L524*Prislapp!$L$2+M524*Prislapp!$M$2+N524*Prislapp!$N$2</f>
        <v>19473</v>
      </c>
      <c r="P524" s="42">
        <f>C524*Prislapp!$C$3+D524*Prislapp!$D$3+E524*Prislapp!$E$3+F524*Prislapp!$F$3+G524*Prislapp!$G$3+H524*Prislapp!$H$3+I524*Prislapp!$I$3+J524*Prislapp!$J$3+K524*Prislapp!$K$3+M524*Prislapp!$M$3+N524*Prislapp!$N$3</f>
        <v>34806</v>
      </c>
      <c r="Q524" s="42">
        <f>C524*Prislapp!$C$5+D524*Prislapp!$D$5+E524*Prislapp!$E$5+F524*Prislapp!$F$5+G524*Prislapp!$G$5+H524*Prislapp!$H$5+I524*Prislapp!$I$5+J524*Prislapp!$J$5+K524*Prislapp!$K$5+L524*Prislapp!$L$5+M524*Prislapp!$M$5+N524*Prislapp!$N$5</f>
        <v>21800</v>
      </c>
      <c r="R524" s="9">
        <f>VLOOKUP(A524,'Ansvar kurs'!$A$2:$B$847,2,FALSE)</f>
        <v>5740</v>
      </c>
      <c r="S524" s="182"/>
    </row>
    <row r="525" spans="1:26" x14ac:dyDescent="0.25">
      <c r="A525" s="59" t="s">
        <v>1431</v>
      </c>
      <c r="B525" s="31" t="s">
        <v>1432</v>
      </c>
      <c r="K525" s="31">
        <v>1</v>
      </c>
      <c r="O525" s="42">
        <f>C525*Prislapp!$C$2+D525*Prislapp!$D$2+E525*Prislapp!$E$2+F525*Prislapp!$F$2+G525*Prislapp!$G$2+H525*Prislapp!$H$2+I525*Prislapp!$I$2+J525*Prislapp!$J$2+K525*Prislapp!$K$2+L525*Prislapp!$L$2+M525*Prislapp!$M$2+N525*Prislapp!$N$2</f>
        <v>21634</v>
      </c>
      <c r="P525" s="42">
        <f>C525*Prislapp!$C$3+D525*Prislapp!$D$3+E525*Prislapp!$E$3+F525*Prislapp!$F$3+G525*Prislapp!$G$3+H525*Prislapp!$H$3+I525*Prislapp!$I$3+J525*Prislapp!$J$3+K525*Prislapp!$K$3+M525*Prislapp!$M$3+N525*Prislapp!$N$3</f>
        <v>26986</v>
      </c>
      <c r="Q525" s="42">
        <f>C525*Prislapp!$C$5+D525*Prislapp!$D$5+E525*Prislapp!$E$5+F525*Prislapp!$F$5+G525*Prislapp!$G$5+H525*Prislapp!$H$5+I525*Prislapp!$I$5+J525*Prislapp!$J$5+K525*Prislapp!$K$5+L525*Prislapp!$L$5+M525*Prislapp!$M$5+N525*Prislapp!$N$5</f>
        <v>3400</v>
      </c>
      <c r="R525" s="9">
        <f>VLOOKUP(A525,'Ansvar kurs'!$A$2:$B$847,2,FALSE)</f>
        <v>2180</v>
      </c>
      <c r="S525" s="182" t="s">
        <v>1433</v>
      </c>
      <c r="T525" s="31" t="s">
        <v>1434</v>
      </c>
    </row>
    <row r="526" spans="1:26" x14ac:dyDescent="0.25">
      <c r="A526" s="62" t="s">
        <v>1435</v>
      </c>
      <c r="B526" s="31" t="s">
        <v>1415</v>
      </c>
      <c r="I526" s="31">
        <v>1</v>
      </c>
      <c r="O526" s="42">
        <f>C526*Prislapp!$C$2+D526*Prislapp!$D$2+E526*Prislapp!$E$2+F526*Prislapp!$F$2+G526*Prislapp!$G$2+H526*Prislapp!$H$2+I526*Prislapp!$I$2+J526*Prislapp!$J$2+K526*Prislapp!$K$2+L526*Prislapp!$L$2+M526*Prislapp!$M$2+N526*Prislapp!$N$2</f>
        <v>18405</v>
      </c>
      <c r="P526" s="42">
        <f>C526*Prislapp!$C$3+D526*Prislapp!$D$3+E526*Prislapp!$E$3+F526*Prislapp!$F$3+G526*Prislapp!$G$3+H526*Prislapp!$H$3+I526*Prislapp!$I$3+J526*Prislapp!$J$3+K526*Prislapp!$K$3+M526*Prislapp!$M$3+N526*Prislapp!$N$3</f>
        <v>15773</v>
      </c>
      <c r="Q526" s="42">
        <f>C526*Prislapp!$C$5+D526*Prislapp!$D$5+E526*Prislapp!$E$5+F526*Prislapp!$F$5+G526*Prislapp!$G$5+H526*Prislapp!$H$5+I526*Prislapp!$I$5+J526*Prislapp!$J$5+K526*Prislapp!$K$5+L526*Prislapp!$L$5+M526*Prislapp!$M$5+N526*Prislapp!$N$5</f>
        <v>5800</v>
      </c>
      <c r="R526" s="9">
        <f>VLOOKUP(A526,'Ansvar kurs'!$A$2:$B$847,2,FALSE)</f>
        <v>2193</v>
      </c>
    </row>
    <row r="527" spans="1:26" x14ac:dyDescent="0.25">
      <c r="A527" s="62" t="s">
        <v>1436</v>
      </c>
      <c r="B527" s="31" t="s">
        <v>1416</v>
      </c>
      <c r="I527" s="31">
        <v>1</v>
      </c>
      <c r="O527" s="42">
        <f>C527*Prislapp!$C$2+D527*Prislapp!$D$2+E527*Prislapp!$E$2+F527*Prislapp!$F$2+G527*Prislapp!$G$2+H527*Prislapp!$H$2+I527*Prislapp!$I$2+J527*Prislapp!$J$2+K527*Prislapp!$K$2+L527*Prislapp!$L$2+M527*Prislapp!$M$2+N527*Prislapp!$N$2</f>
        <v>18405</v>
      </c>
      <c r="P527" s="42">
        <f>C527*Prislapp!$C$3+D527*Prislapp!$D$3+E527*Prislapp!$E$3+F527*Prislapp!$F$3+G527*Prislapp!$G$3+H527*Prislapp!$H$3+I527*Prislapp!$I$3+J527*Prislapp!$J$3+K527*Prislapp!$K$3+M527*Prislapp!$M$3+N527*Prislapp!$N$3</f>
        <v>15773</v>
      </c>
      <c r="Q527" s="42">
        <f>C527*Prislapp!$C$5+D527*Prislapp!$D$5+E527*Prislapp!$E$5+F527*Prislapp!$F$5+G527*Prislapp!$G$5+H527*Prislapp!$H$5+I527*Prislapp!$I$5+J527*Prislapp!$J$5+K527*Prislapp!$K$5+L527*Prislapp!$L$5+M527*Prislapp!$M$5+N527*Prislapp!$N$5</f>
        <v>5800</v>
      </c>
      <c r="R527" s="9">
        <f>VLOOKUP(A527,'Ansvar kurs'!$A$2:$B$847,2,FALSE)</f>
        <v>2193</v>
      </c>
    </row>
    <row r="528" spans="1:26" x14ac:dyDescent="0.25">
      <c r="A528" s="31" t="s">
        <v>1437</v>
      </c>
      <c r="B528" s="31" t="s">
        <v>1438</v>
      </c>
      <c r="H528" s="31">
        <v>1</v>
      </c>
      <c r="O528" s="42">
        <f>C528*Prislapp!$C$2+D528*Prislapp!$D$2+E528*Prislapp!$E$2+F528*Prislapp!$F$2+G528*Prislapp!$G$2+H528*Prislapp!$H$2+I528*Prislapp!$I$2+J528*Prislapp!$J$2+K528*Prislapp!$K$2+L528*Prislapp!$L$2+M528*Prislapp!$M$2+N528*Prislapp!$N$2</f>
        <v>19473</v>
      </c>
      <c r="P528" s="42">
        <f>C528*Prislapp!$C$3+D528*Prislapp!$D$3+E528*Prislapp!$E$3+F528*Prislapp!$F$3+G528*Prislapp!$G$3+H528*Prislapp!$H$3+I528*Prislapp!$I$3+J528*Prislapp!$J$3+K528*Prislapp!$K$3+M528*Prislapp!$M$3+N528*Prislapp!$N$3</f>
        <v>34806</v>
      </c>
      <c r="Q528" s="42">
        <f>C528*Prislapp!$C$5+D528*Prislapp!$D$5+E528*Prislapp!$E$5+F528*Prislapp!$F$5+G528*Prislapp!$G$5+H528*Prislapp!$H$5+I528*Prislapp!$I$5+J528*Prislapp!$J$5+K528*Prislapp!$K$5+L528*Prislapp!$L$5+M528*Prislapp!$M$5+N528*Prislapp!$N$5</f>
        <v>21800</v>
      </c>
      <c r="R528" s="9">
        <f>VLOOKUP(A528,'Ansvar kurs'!$A$2:$B$847,2,FALSE)</f>
        <v>5740</v>
      </c>
      <c r="S528" s="182" t="s">
        <v>1433</v>
      </c>
      <c r="T528" s="159" t="s">
        <v>1439</v>
      </c>
      <c r="U528" s="159"/>
      <c r="V528" s="159"/>
      <c r="W528" s="159"/>
      <c r="X528" s="159"/>
      <c r="Y528" s="159"/>
      <c r="Z528" s="159"/>
    </row>
    <row r="529" spans="1:26" x14ac:dyDescent="0.25">
      <c r="A529" s="62" t="s">
        <v>1477</v>
      </c>
      <c r="B529" s="31" t="s">
        <v>1217</v>
      </c>
      <c r="H529" s="31">
        <v>1</v>
      </c>
      <c r="O529" s="42">
        <f>C529*Prislapp!$C$2+D529*Prislapp!$D$2+E529*Prislapp!$E$2+F529*Prislapp!$F$2+G529*Prislapp!$G$2+H529*Prislapp!$H$2+I529*Prislapp!$I$2+J529*Prislapp!$J$2+K529*Prislapp!$K$2+L529*Prislapp!$L$2+M529*Prislapp!$M$2+N529*Prislapp!$N$2</f>
        <v>19473</v>
      </c>
      <c r="P529" s="42">
        <f>C529*Prislapp!$C$3+D529*Prislapp!$D$3+E529*Prislapp!$E$3+F529*Prislapp!$F$3+G529*Prislapp!$G$3+H529*Prislapp!$H$3+I529*Prislapp!$I$3+J529*Prislapp!$J$3+K529*Prislapp!$K$3+M529*Prislapp!$M$3+N529*Prislapp!$N$3</f>
        <v>34806</v>
      </c>
      <c r="Q529" s="42">
        <f>C529*Prislapp!$C$5+D529*Prislapp!$D$5+E529*Prislapp!$E$5+F529*Prislapp!$F$5+G529*Prislapp!$G$5+H529*Prislapp!$H$5+I529*Prislapp!$I$5+J529*Prislapp!$J$5+K529*Prislapp!$K$5+L529*Prislapp!$L$5+M529*Prislapp!$M$5+N529*Prislapp!$N$5</f>
        <v>21800</v>
      </c>
      <c r="R529" s="9">
        <f>VLOOKUP(A529,'Ansvar kurs'!$A$2:$B$847,2,FALSE)</f>
        <v>5740</v>
      </c>
    </row>
    <row r="530" spans="1:26" x14ac:dyDescent="0.25">
      <c r="A530" s="31" t="s">
        <v>1506</v>
      </c>
      <c r="B530" s="31" t="s">
        <v>1515</v>
      </c>
      <c r="K530" s="31">
        <v>1</v>
      </c>
      <c r="O530" s="42">
        <f>C530*Prislapp!$C$2+D530*Prislapp!$D$2+E530*Prislapp!$E$2+F530*Prislapp!$F$2+G530*Prislapp!$G$2+H530*Prislapp!$H$2+I530*Prislapp!$I$2+J530*Prislapp!$J$2+K530*Prislapp!$K$2+L530*Prislapp!$L$2+M530*Prislapp!$M$2+N530*Prislapp!$N$2</f>
        <v>21634</v>
      </c>
      <c r="P530" s="42">
        <f>C530*Prislapp!$C$3+D530*Prislapp!$D$3+E530*Prislapp!$E$3+F530*Prislapp!$F$3+G530*Prislapp!$G$3+H530*Prislapp!$H$3+I530*Prislapp!$I$3+J530*Prislapp!$J$3+K530*Prislapp!$K$3+M530*Prislapp!$M$3+N530*Prislapp!$N$3</f>
        <v>26986</v>
      </c>
      <c r="Q530" s="42">
        <f>C530*Prislapp!$C$5+D530*Prislapp!$D$5+E530*Prislapp!$E$5+F530*Prislapp!$F$5+G530*Prislapp!$G$5+H530*Prislapp!$H$5+I530*Prislapp!$I$5+J530*Prislapp!$J$5+K530*Prislapp!$K$5+L530*Prislapp!$L$5+M530*Prislapp!$M$5+N530*Prislapp!$N$5</f>
        <v>3400</v>
      </c>
      <c r="R530" s="9">
        <f>VLOOKUP(A530,'Ansvar kurs'!$A$2:$B$847,2,FALSE)</f>
        <v>2180</v>
      </c>
      <c r="S530" s="182"/>
      <c r="T530" s="159"/>
      <c r="U530" s="159"/>
      <c r="V530" s="159"/>
      <c r="W530" s="159"/>
      <c r="X530" s="159"/>
      <c r="Y530" s="159"/>
      <c r="Z530" s="159"/>
    </row>
    <row r="531" spans="1:26" x14ac:dyDescent="0.25">
      <c r="A531" s="31" t="s">
        <v>1507</v>
      </c>
      <c r="B531" s="31" t="s">
        <v>1423</v>
      </c>
      <c r="K531" s="31">
        <v>1</v>
      </c>
      <c r="O531" s="42">
        <f>C531*Prislapp!$C$2+D531*Prislapp!$D$2+E531*Prislapp!$E$2+F531*Prislapp!$F$2+G531*Prislapp!$G$2+H531*Prislapp!$H$2+I531*Prislapp!$I$2+J531*Prislapp!$J$2+K531*Prislapp!$K$2+L531*Prislapp!$L$2+M531*Prislapp!$M$2+N531*Prislapp!$N$2</f>
        <v>21634</v>
      </c>
      <c r="P531" s="42">
        <f>C531*Prislapp!$C$3+D531*Prislapp!$D$3+E531*Prislapp!$E$3+F531*Prislapp!$F$3+G531*Prislapp!$G$3+H531*Prislapp!$H$3+I531*Prislapp!$I$3+J531*Prislapp!$J$3+K531*Prislapp!$K$3+M531*Prislapp!$M$3+N531*Prislapp!$N$3</f>
        <v>26986</v>
      </c>
      <c r="Q531" s="42">
        <f>C531*Prislapp!$C$5+D531*Prislapp!$D$5+E531*Prislapp!$E$5+F531*Prislapp!$F$5+G531*Prislapp!$G$5+H531*Prislapp!$H$5+I531*Prislapp!$I$5+J531*Prislapp!$J$5+K531*Prislapp!$K$5+L531*Prislapp!$L$5+M531*Prislapp!$M$5+N531*Prislapp!$N$5</f>
        <v>3400</v>
      </c>
      <c r="R531" s="9">
        <f>VLOOKUP(A531,'Ansvar kurs'!$A$2:$B$847,2,FALSE)</f>
        <v>2193</v>
      </c>
      <c r="S531" s="182"/>
      <c r="T531" s="159"/>
      <c r="U531" s="159"/>
      <c r="V531" s="159"/>
      <c r="W531" s="159"/>
      <c r="X531" s="159"/>
      <c r="Y531" s="159"/>
      <c r="Z531" s="159"/>
    </row>
    <row r="532" spans="1:26" x14ac:dyDescent="0.25">
      <c r="A532" s="244" t="s">
        <v>1920</v>
      </c>
      <c r="B532" s="31" t="s">
        <v>1216</v>
      </c>
      <c r="I532" s="31">
        <v>1</v>
      </c>
      <c r="O532" s="42">
        <f>C532*Prislapp!$C$2+D532*Prislapp!$D$2+E532*Prislapp!$E$2+F532*Prislapp!$F$2+G532*Prislapp!$G$2+H532*Prislapp!$H$2+I532*Prislapp!$I$2+J532*Prislapp!$J$2+K532*Prislapp!$K$2+L532*Prislapp!$L$2+M532*Prislapp!$M$2+N532*Prislapp!$N$2</f>
        <v>18405</v>
      </c>
      <c r="P532" s="42">
        <f>C532*Prislapp!$C$3+D532*Prislapp!$D$3+E532*Prislapp!$E$3+F532*Prislapp!$F$3+G532*Prislapp!$G$3+H532*Prislapp!$H$3+I532*Prislapp!$I$3+J532*Prislapp!$J$3+K532*Prislapp!$K$3+M532*Prislapp!$M$3+N532*Prislapp!$N$3</f>
        <v>15773</v>
      </c>
      <c r="Q532" s="42">
        <f>C532*Prislapp!$C$5+D532*Prislapp!$D$5+E532*Prislapp!$E$5+F532*Prislapp!$F$5+G532*Prislapp!$G$5+H532*Prislapp!$H$5+I532*Prislapp!$I$5+J532*Prislapp!$J$5+K532*Prislapp!$K$5+L532*Prislapp!$L$5+M532*Prislapp!$M$5+N532*Prislapp!$N$5</f>
        <v>5800</v>
      </c>
      <c r="R532" s="9">
        <f>VLOOKUP(A532,'Ansvar kurs'!$A$2:$B$847,2,FALSE)</f>
        <v>2193</v>
      </c>
      <c r="S532" s="159" t="s">
        <v>1107</v>
      </c>
      <c r="T532" s="159"/>
    </row>
    <row r="533" spans="1:26" x14ac:dyDescent="0.25">
      <c r="A533" s="31" t="s">
        <v>1473</v>
      </c>
      <c r="B533" s="31" t="s">
        <v>1472</v>
      </c>
      <c r="K533" s="31">
        <v>1</v>
      </c>
      <c r="O533" s="42">
        <f>C533*Prislapp!$C$2+D533*Prislapp!$D$2+E533*Prislapp!$E$2+F533*Prislapp!$F$2+G533*Prislapp!$G$2+H533*Prislapp!$H$2+I533*Prislapp!$I$2+J533*Prislapp!$J$2+K533*Prislapp!$K$2+L533*Prislapp!$L$2+M533*Prislapp!$M$2+N533*Prislapp!$N$2</f>
        <v>21634</v>
      </c>
      <c r="P533" s="42">
        <f>C533*Prislapp!$C$3+D533*Prislapp!$D$3+E533*Prislapp!$E$3+F533*Prislapp!$F$3+G533*Prislapp!$G$3+H533*Prislapp!$H$3+I533*Prislapp!$I$3+J533*Prislapp!$J$3+K533*Prislapp!$K$3+M533*Prislapp!$M$3+N533*Prislapp!$N$3</f>
        <v>26986</v>
      </c>
      <c r="Q533" s="42">
        <f>C533*Prislapp!$C$5+D533*Prislapp!$D$5+E533*Prislapp!$E$5+F533*Prislapp!$F$5+G533*Prislapp!$G$5+H533*Prislapp!$H$5+I533*Prislapp!$I$5+J533*Prislapp!$J$5+K533*Prislapp!$K$5+L533*Prislapp!$L$5+M533*Prislapp!$M$5+N533*Prislapp!$N$5</f>
        <v>3400</v>
      </c>
      <c r="R533" s="9">
        <f>VLOOKUP(A533,'Ansvar kurs'!$A$2:$B$847,2,FALSE)</f>
        <v>2180</v>
      </c>
      <c r="S533" s="182"/>
      <c r="T533" s="159"/>
      <c r="U533" s="159"/>
      <c r="V533" s="159"/>
      <c r="W533" s="159"/>
      <c r="X533" s="159"/>
      <c r="Y533" s="159"/>
      <c r="Z533" s="159"/>
    </row>
    <row r="534" spans="1:26" x14ac:dyDescent="0.25">
      <c r="A534" s="31" t="s">
        <v>1475</v>
      </c>
      <c r="B534" s="31" t="s">
        <v>1176</v>
      </c>
      <c r="H534" s="31">
        <v>1</v>
      </c>
      <c r="O534" s="42">
        <f>C534*Prislapp!$C$2+D534*Prislapp!$D$2+E534*Prislapp!$E$2+F534*Prislapp!$F$2+G534*Prislapp!$G$2+H534*Prislapp!$H$2+I534*Prislapp!$I$2+J534*Prislapp!$J$2+K534*Prislapp!$K$2+L534*Prislapp!$L$2+M534*Prislapp!$M$2+N534*Prislapp!$N$2</f>
        <v>19473</v>
      </c>
      <c r="P534" s="42">
        <f>C534*Prislapp!$C$3+D534*Prislapp!$D$3+E534*Prislapp!$E$3+F534*Prislapp!$F$3+G534*Prislapp!$G$3+H534*Prislapp!$H$3+I534*Prislapp!$I$3+J534*Prislapp!$J$3+K534*Prislapp!$K$3+M534*Prislapp!$M$3+N534*Prislapp!$N$3</f>
        <v>34806</v>
      </c>
      <c r="Q534" s="42">
        <f>C534*Prislapp!$C$5+D534*Prislapp!$D$5+E534*Prislapp!$E$5+F534*Prislapp!$F$5+G534*Prislapp!$G$5+H534*Prislapp!$H$5+I534*Prislapp!$I$5+J534*Prislapp!$J$5+K534*Prislapp!$K$5+L534*Prislapp!$L$5+M534*Prislapp!$M$5+N534*Prislapp!$N$5</f>
        <v>21800</v>
      </c>
      <c r="R534" s="9">
        <f>VLOOKUP(A534,'Ansvar kurs'!$A$2:$B$847,2,FALSE)</f>
        <v>5740</v>
      </c>
      <c r="S534" s="182"/>
      <c r="T534" s="159"/>
      <c r="U534" s="159"/>
      <c r="V534" s="159"/>
      <c r="W534" s="159"/>
      <c r="X534" s="159"/>
      <c r="Y534" s="159"/>
      <c r="Z534" s="159"/>
    </row>
    <row r="535" spans="1:26" x14ac:dyDescent="0.25">
      <c r="A535" s="31" t="s">
        <v>1476</v>
      </c>
      <c r="B535" s="31" t="s">
        <v>1177</v>
      </c>
      <c r="H535" s="31">
        <v>1</v>
      </c>
      <c r="O535" s="42">
        <f>C535*Prislapp!$C$2+D535*Prislapp!$D$2+E535*Prislapp!$E$2+F535*Prislapp!$F$2+G535*Prislapp!$G$2+H535*Prislapp!$H$2+I535*Prislapp!$I$2+J535*Prislapp!$J$2+K535*Prislapp!$K$2+L535*Prislapp!$L$2+M535*Prislapp!$M$2+N535*Prislapp!$N$2</f>
        <v>19473</v>
      </c>
      <c r="P535" s="42">
        <f>C535*Prislapp!$C$3+D535*Prislapp!$D$3+E535*Prislapp!$E$3+F535*Prislapp!$F$3+G535*Prislapp!$G$3+H535*Prislapp!$H$3+I535*Prislapp!$I$3+J535*Prislapp!$J$3+K535*Prislapp!$K$3+M535*Prislapp!$M$3+N535*Prislapp!$N$3</f>
        <v>34806</v>
      </c>
      <c r="Q535" s="42">
        <f>C535*Prislapp!$C$5+D535*Prislapp!$D$5+E535*Prislapp!$E$5+F535*Prislapp!$F$5+G535*Prislapp!$G$5+H535*Prislapp!$H$5+I535*Prislapp!$I$5+J535*Prislapp!$J$5+K535*Prislapp!$K$5+L535*Prislapp!$L$5+M535*Prislapp!$M$5+N535*Prislapp!$N$5</f>
        <v>21800</v>
      </c>
      <c r="R535" s="9">
        <f>VLOOKUP(A535,'Ansvar kurs'!$A$2:$B$847,2,FALSE)</f>
        <v>5740</v>
      </c>
      <c r="S535" s="182"/>
      <c r="T535" s="159"/>
      <c r="U535" s="159"/>
      <c r="V535" s="159"/>
      <c r="W535" s="159"/>
      <c r="X535" s="159"/>
      <c r="Y535" s="159"/>
      <c r="Z535" s="159"/>
    </row>
    <row r="536" spans="1:26" x14ac:dyDescent="0.25">
      <c r="A536" s="31" t="s">
        <v>1466</v>
      </c>
      <c r="B536" s="31" t="s">
        <v>1467</v>
      </c>
      <c r="F536" s="31">
        <v>0.83</v>
      </c>
      <c r="K536" s="31">
        <v>0.17</v>
      </c>
      <c r="O536" s="42">
        <f>C536*Prislapp!$C$2+D536*Prislapp!$D$2+E536*Prislapp!$E$2+F536*Prislapp!$F$2+G536*Prislapp!$G$2+H536*Prislapp!$H$2+I536*Prislapp!$I$2+J536*Prislapp!$J$2+K536*Prislapp!$K$2+L536*Prislapp!$L$2+M536*Prislapp!$M$2+N536*Prislapp!$N$2</f>
        <v>23299.809999999998</v>
      </c>
      <c r="P536" s="42">
        <f>C536*Prislapp!$C$3+D536*Prislapp!$D$3+E536*Prislapp!$E$3+F536*Prislapp!$F$3+G536*Prislapp!$G$3+H536*Prislapp!$H$3+I536*Prislapp!$I$3+J536*Prislapp!$J$3+K536*Prislapp!$K$3+M536*Prislapp!$M$3+N536*Prislapp!$N$3</f>
        <v>28479.999999999996</v>
      </c>
      <c r="Q536" s="42">
        <f>C536*Prislapp!$C$5+D536*Prislapp!$D$5+E536*Prislapp!$E$5+F536*Prislapp!$F$5+G536*Prislapp!$G$5+H536*Prislapp!$H$5+I536*Prislapp!$I$5+J536*Prislapp!$J$5+K536*Prislapp!$K$5+L536*Prislapp!$L$5+M536*Prislapp!$M$5+N536*Prislapp!$N$5</f>
        <v>5392</v>
      </c>
      <c r="R536" s="9">
        <f>VLOOKUP(A536,'Ansvar kurs'!$A$2:$B$847,2,FALSE)</f>
        <v>2180</v>
      </c>
      <c r="S536" s="182"/>
      <c r="T536" s="159"/>
      <c r="U536" s="159"/>
      <c r="V536" s="159"/>
      <c r="W536" s="159"/>
      <c r="X536" s="159"/>
      <c r="Y536" s="159"/>
      <c r="Z536" s="159"/>
    </row>
    <row r="537" spans="1:26" x14ac:dyDescent="0.25">
      <c r="A537" s="31" t="s">
        <v>1518</v>
      </c>
      <c r="B537" s="31" t="s">
        <v>1715</v>
      </c>
      <c r="F537" s="31">
        <v>1</v>
      </c>
      <c r="O537" s="42">
        <f>C537*Prislapp!$C$2+D537*Prislapp!$D$2+E537*Prislapp!$E$2+F537*Prislapp!$F$2+G537*Prislapp!$G$2+H537*Prislapp!$H$2+I537*Prislapp!$I$2+J537*Prislapp!$J$2+K537*Prislapp!$K$2+L537*Prislapp!$L$2+M537*Prislapp!$M$2+N537*Prislapp!$N$2</f>
        <v>23641</v>
      </c>
      <c r="P537" s="42">
        <f>C537*Prislapp!$C$3+D537*Prislapp!$D$3+E537*Prislapp!$E$3+F537*Prislapp!$F$3+G537*Prislapp!$G$3+H537*Prislapp!$H$3+I537*Prislapp!$I$3+J537*Prislapp!$J$3+K537*Prislapp!$K$3+M537*Prislapp!$M$3+N537*Prislapp!$N$3</f>
        <v>28786</v>
      </c>
      <c r="Q537" s="42">
        <f>C537*Prislapp!$C$5+D537*Prislapp!$D$5+E537*Prislapp!$E$5+F537*Prislapp!$F$5+G537*Prislapp!$G$5+H537*Prislapp!$H$5+I537*Prislapp!$I$5+J537*Prislapp!$J$5+K537*Prislapp!$K$5+L537*Prislapp!$L$5+M537*Prislapp!$M$5+N537*Prislapp!$N$5</f>
        <v>5800</v>
      </c>
      <c r="R537" s="9">
        <f>VLOOKUP(A537,'Ansvar kurs'!$A$2:$B$847,2,FALSE)</f>
        <v>5740</v>
      </c>
      <c r="S537" s="182"/>
      <c r="T537" s="159"/>
      <c r="U537" s="159"/>
      <c r="V537" s="159"/>
      <c r="W537" s="159"/>
      <c r="X537" s="159"/>
      <c r="Y537" s="159"/>
      <c r="Z537" s="159"/>
    </row>
    <row r="538" spans="1:26" x14ac:dyDescent="0.25">
      <c r="A538" s="31" t="s">
        <v>1529</v>
      </c>
      <c r="B538" s="31" t="s">
        <v>1544</v>
      </c>
      <c r="F538" s="31">
        <v>1</v>
      </c>
      <c r="O538" s="42">
        <f>C538*Prislapp!$C$2+D538*Prislapp!$D$2+E538*Prislapp!$E$2+F538*Prislapp!$F$2+G538*Prislapp!$G$2+H538*Prislapp!$H$2+I538*Prislapp!$I$2+J538*Prislapp!$J$2+K538*Prislapp!$K$2+L538*Prislapp!$L$2+M538*Prislapp!$M$2+N538*Prislapp!$N$2</f>
        <v>23641</v>
      </c>
      <c r="P538" s="42">
        <f>C538*Prislapp!$C$3+D538*Prislapp!$D$3+E538*Prislapp!$E$3+F538*Prislapp!$F$3+G538*Prislapp!$G$3+H538*Prislapp!$H$3+I538*Prislapp!$I$3+J538*Prislapp!$J$3+K538*Prislapp!$K$3+M538*Prislapp!$M$3+N538*Prislapp!$N$3</f>
        <v>28786</v>
      </c>
      <c r="Q538" s="42">
        <f>C538*Prislapp!$C$5+D538*Prislapp!$D$5+E538*Prislapp!$E$5+F538*Prislapp!$F$5+G538*Prislapp!$G$5+H538*Prislapp!$H$5+I538*Prislapp!$I$5+J538*Prislapp!$J$5+K538*Prislapp!$K$5+L538*Prislapp!$L$5+M538*Prislapp!$M$5+N538*Prislapp!$N$5</f>
        <v>5800</v>
      </c>
      <c r="R538" s="9">
        <f>VLOOKUP(A538,'Ansvar kurs'!$A$2:$B$847,2,FALSE)</f>
        <v>5740</v>
      </c>
      <c r="S538" s="182"/>
      <c r="T538" s="159"/>
      <c r="U538" s="159"/>
      <c r="V538" s="159"/>
      <c r="W538" s="159"/>
      <c r="X538" s="159"/>
      <c r="Y538" s="159"/>
      <c r="Z538" s="159"/>
    </row>
    <row r="539" spans="1:26" x14ac:dyDescent="0.25">
      <c r="A539" s="31" t="s">
        <v>1605</v>
      </c>
      <c r="B539" s="31" t="s">
        <v>1606</v>
      </c>
      <c r="F539" s="31">
        <v>1</v>
      </c>
      <c r="O539" s="42">
        <f>C539*Prislapp!$C$2+D539*Prislapp!$D$2+E539*Prislapp!$E$2+F539*Prislapp!$F$2+G539*Prislapp!$G$2+H539*Prislapp!$H$2+I539*Prislapp!$I$2+J539*Prislapp!$J$2+K539*Prislapp!$K$2+L539*Prislapp!$L$2+M539*Prislapp!$M$2+N539*Prislapp!$N$2</f>
        <v>23641</v>
      </c>
      <c r="P539" s="42">
        <f>C539*Prislapp!$C$3+D539*Prislapp!$D$3+E539*Prislapp!$E$3+F539*Prislapp!$F$3+G539*Prislapp!$G$3+H539*Prislapp!$H$3+I539*Prislapp!$I$3+J539*Prislapp!$J$3+K539*Prislapp!$K$3+M539*Prislapp!$M$3+N539*Prislapp!$N$3</f>
        <v>28786</v>
      </c>
      <c r="Q539" s="42">
        <f>C539*Prislapp!$C$5+D539*Prislapp!$D$5+E539*Prislapp!$E$5+F539*Prislapp!$F$5+G539*Prislapp!$G$5+H539*Prislapp!$H$5+I539*Prislapp!$I$5+J539*Prislapp!$J$5+K539*Prislapp!$K$5+L539*Prislapp!$L$5+M539*Prislapp!$M$5+N539*Prislapp!$N$5</f>
        <v>5800</v>
      </c>
      <c r="R539" s="9">
        <f>VLOOKUP(A539,'Ansvar kurs'!$A$2:$B$847,2,FALSE)</f>
        <v>2193</v>
      </c>
      <c r="S539" s="182"/>
      <c r="T539" s="159"/>
      <c r="U539" s="159"/>
      <c r="V539" s="159"/>
      <c r="W539" s="159"/>
      <c r="X539" s="159"/>
      <c r="Y539" s="159"/>
      <c r="Z539" s="159"/>
    </row>
    <row r="540" spans="1:26" x14ac:dyDescent="0.25">
      <c r="A540" s="31" t="s">
        <v>1608</v>
      </c>
      <c r="B540" s="31" t="s">
        <v>1609</v>
      </c>
      <c r="F540" s="31">
        <v>1</v>
      </c>
      <c r="O540" s="42">
        <f>C540*Prislapp!$C$2+D540*Prislapp!$D$2+E540*Prislapp!$E$2+F540*Prislapp!$F$2+G540*Prislapp!$G$2+H540*Prislapp!$H$2+I540*Prislapp!$I$2+J540*Prislapp!$J$2+K540*Prislapp!$K$2+L540*Prislapp!$L$2+M540*Prislapp!$M$2+N540*Prislapp!$N$2</f>
        <v>23641</v>
      </c>
      <c r="P540" s="42">
        <f>C540*Prislapp!$C$3+D540*Prislapp!$D$3+E540*Prislapp!$E$3+F540*Prislapp!$F$3+G540*Prislapp!$G$3+H540*Prislapp!$H$3+I540*Prislapp!$I$3+J540*Prislapp!$J$3+K540*Prislapp!$K$3+M540*Prislapp!$M$3+N540*Prislapp!$N$3</f>
        <v>28786</v>
      </c>
      <c r="Q540" s="42">
        <f>C540*Prislapp!$C$5+D540*Prislapp!$D$5+E540*Prislapp!$E$5+F540*Prislapp!$F$5+G540*Prislapp!$G$5+H540*Prislapp!$H$5+I540*Prislapp!$I$5+J540*Prislapp!$J$5+K540*Prislapp!$K$5+L540*Prislapp!$L$5+M540*Prislapp!$M$5+N540*Prislapp!$N$5</f>
        <v>5800</v>
      </c>
      <c r="R540" s="9">
        <f>VLOOKUP(A540,'Ansvar kurs'!$A$2:$B$847,2,FALSE)</f>
        <v>2193</v>
      </c>
      <c r="S540" s="182"/>
      <c r="T540" s="159"/>
      <c r="U540" s="159"/>
      <c r="V540" s="159"/>
      <c r="W540" s="159"/>
      <c r="X540" s="159"/>
      <c r="Y540" s="159"/>
      <c r="Z540" s="159"/>
    </row>
    <row r="541" spans="1:26" x14ac:dyDescent="0.25">
      <c r="A541" s="31" t="s">
        <v>1561</v>
      </c>
      <c r="B541" s="31" t="s">
        <v>1599</v>
      </c>
      <c r="F541" s="31">
        <v>1</v>
      </c>
      <c r="O541" s="42">
        <f>C541*Prislapp!$C$2+D541*Prislapp!$D$2+E541*Prislapp!$E$2+F541*Prislapp!$F$2+G541*Prislapp!$G$2+H541*Prislapp!$H$2+I541*Prislapp!$I$2+J541*Prislapp!$J$2+K541*Prislapp!$K$2+L541*Prislapp!$L$2+M541*Prislapp!$M$2+N541*Prislapp!$N$2</f>
        <v>23641</v>
      </c>
      <c r="P541" s="42">
        <f>C541*Prislapp!$C$3+D541*Prislapp!$D$3+E541*Prislapp!$E$3+F541*Prislapp!$F$3+G541*Prislapp!$G$3+H541*Prislapp!$H$3+I541*Prislapp!$I$3+J541*Prislapp!$J$3+K541*Prislapp!$K$3+M541*Prislapp!$M$3+N541*Prislapp!$N$3</f>
        <v>28786</v>
      </c>
      <c r="Q541" s="42">
        <f>C541*Prislapp!$C$5+D541*Prislapp!$D$5+E541*Prislapp!$E$5+F541*Prislapp!$F$5+G541*Prislapp!$G$5+H541*Prislapp!$H$5+I541*Prislapp!$I$5+J541*Prislapp!$J$5+K541*Prislapp!$K$5+L541*Prislapp!$L$5+M541*Prislapp!$M$5+N541*Prislapp!$N$5</f>
        <v>5800</v>
      </c>
      <c r="R541" s="9">
        <f>VLOOKUP(A541,'Ansvar kurs'!$A$2:$B$847,2,FALSE)</f>
        <v>2193</v>
      </c>
      <c r="S541" s="182"/>
      <c r="T541" s="159"/>
      <c r="U541" s="159"/>
      <c r="V541" s="159"/>
      <c r="W541" s="159"/>
      <c r="X541" s="159"/>
      <c r="Y541" s="159"/>
      <c r="Z541" s="159"/>
    </row>
    <row r="542" spans="1:26" x14ac:dyDescent="0.25">
      <c r="A542" s="31" t="s">
        <v>1558</v>
      </c>
      <c r="B542" s="31" t="s">
        <v>1598</v>
      </c>
      <c r="F542" s="31">
        <v>1</v>
      </c>
      <c r="O542" s="42">
        <f>C542*Prislapp!$C$2+D542*Prislapp!$D$2+E542*Prislapp!$E$2+F542*Prislapp!$F$2+G542*Prislapp!$G$2+H542*Prislapp!$H$2+I542*Prislapp!$I$2+J542*Prislapp!$J$2+K542*Prislapp!$K$2+L542*Prislapp!$L$2+M542*Prislapp!$M$2+N542*Prislapp!$N$2</f>
        <v>23641</v>
      </c>
      <c r="P542" s="42">
        <f>C542*Prislapp!$C$3+D542*Prislapp!$D$3+E542*Prislapp!$E$3+F542*Prislapp!$F$3+G542*Prislapp!$G$3+H542*Prislapp!$H$3+I542*Prislapp!$I$3+J542*Prislapp!$J$3+K542*Prislapp!$K$3+M542*Prislapp!$M$3+N542*Prislapp!$N$3</f>
        <v>28786</v>
      </c>
      <c r="Q542" s="42">
        <f>C542*Prislapp!$C$5+D542*Prislapp!$D$5+E542*Prislapp!$E$5+F542*Prislapp!$F$5+G542*Prislapp!$G$5+H542*Prislapp!$H$5+I542*Prislapp!$I$5+J542*Prislapp!$J$5+K542*Prislapp!$K$5+L542*Prislapp!$L$5+M542*Prislapp!$M$5+N542*Prislapp!$N$5</f>
        <v>5800</v>
      </c>
      <c r="R542" s="9">
        <f>VLOOKUP(A542,'Ansvar kurs'!$A$2:$B$847,2,FALSE)</f>
        <v>2193</v>
      </c>
      <c r="S542" s="182"/>
      <c r="T542" s="159"/>
      <c r="U542" s="159"/>
      <c r="V542" s="159"/>
      <c r="W542" s="159"/>
      <c r="X542" s="159"/>
      <c r="Y542" s="159"/>
      <c r="Z542" s="159"/>
    </row>
    <row r="543" spans="1:26" x14ac:dyDescent="0.25">
      <c r="A543" s="62" t="s">
        <v>1550</v>
      </c>
      <c r="B543" s="31" t="s">
        <v>1551</v>
      </c>
      <c r="F543" s="31">
        <v>1</v>
      </c>
      <c r="O543" s="42">
        <f>C543*Prislapp!$C$2+D543*Prislapp!$D$2+E543*Prislapp!$E$2+F543*Prislapp!$F$2+G543*Prislapp!$G$2+H543*Prislapp!$H$2+I543*Prislapp!$I$2+J543*Prislapp!$J$2+K543*Prislapp!$K$2+L543*Prislapp!$L$2+M543*Prislapp!$M$2+N543*Prislapp!$N$2</f>
        <v>23641</v>
      </c>
      <c r="P543" s="42">
        <f>C543*Prislapp!$C$3+D543*Prislapp!$D$3+E543*Prislapp!$E$3+F543*Prislapp!$F$3+G543*Prislapp!$G$3+H543*Prislapp!$H$3+I543*Prislapp!$I$3+J543*Prislapp!$J$3+K543*Prislapp!$K$3+M543*Prislapp!$M$3+N543*Prislapp!$N$3</f>
        <v>28786</v>
      </c>
      <c r="Q543" s="42">
        <f>C543*Prislapp!$C$5+D543*Prislapp!$D$5+E543*Prislapp!$E$5+F543*Prislapp!$F$5+G543*Prislapp!$G$5+H543*Prislapp!$H$5+I543*Prislapp!$I$5+J543*Prislapp!$J$5+K543*Prislapp!$K$5+L543*Prislapp!$L$5+M543*Prislapp!$M$5+N543*Prislapp!$N$5</f>
        <v>5800</v>
      </c>
      <c r="R543" s="9">
        <f>VLOOKUP(A543,'Ansvar kurs'!$A$2:$B$847,2,FALSE)</f>
        <v>2180</v>
      </c>
    </row>
    <row r="544" spans="1:26" x14ac:dyDescent="0.25">
      <c r="A544" s="62" t="s">
        <v>1637</v>
      </c>
      <c r="B544" s="31" t="s">
        <v>1658</v>
      </c>
      <c r="F544" s="31">
        <v>1</v>
      </c>
      <c r="O544" s="42">
        <f>C544*Prislapp!$C$2+D544*Prislapp!$D$2+E544*Prislapp!$E$2+F544*Prislapp!$F$2+G544*Prislapp!$G$2+H544*Prislapp!$H$2+I544*Prislapp!$I$2+J544*Prislapp!$J$2+K544*Prislapp!$K$2+L544*Prislapp!$L$2+M544*Prislapp!$M$2+N544*Prislapp!$N$2</f>
        <v>23641</v>
      </c>
      <c r="P544" s="42">
        <f>C544*Prislapp!$C$3+D544*Prislapp!$D$3+E544*Prislapp!$E$3+F544*Prislapp!$F$3+G544*Prislapp!$G$3+H544*Prislapp!$H$3+I544*Prislapp!$I$3+J544*Prislapp!$J$3+K544*Prislapp!$K$3+M544*Prislapp!$M$3+N544*Prislapp!$N$3</f>
        <v>28786</v>
      </c>
      <c r="Q544" s="42">
        <f>C544*Prislapp!$C$5+D544*Prislapp!$D$5+E544*Prislapp!$E$5+F544*Prislapp!$F$5+G544*Prislapp!$G$5+H544*Prislapp!$H$5+I544*Prislapp!$I$5+J544*Prislapp!$J$5+K544*Prislapp!$K$5+L544*Prislapp!$L$5+M544*Prislapp!$M$5+N544*Prislapp!$N$5</f>
        <v>5800</v>
      </c>
      <c r="R544" s="9">
        <f>VLOOKUP(A544,'Ansvar kurs'!$A$2:$B$847,2,FALSE)</f>
        <v>2180</v>
      </c>
    </row>
    <row r="545" spans="1:26" x14ac:dyDescent="0.25">
      <c r="A545" s="62" t="s">
        <v>1567</v>
      </c>
      <c r="B545" s="31" t="s">
        <v>1600</v>
      </c>
      <c r="F545" s="31">
        <v>1</v>
      </c>
      <c r="O545" s="42">
        <f>C545*Prislapp!$C$2+D545*Prislapp!$D$2+E545*Prislapp!$E$2+F545*Prislapp!$F$2+G545*Prislapp!$G$2+H545*Prislapp!$H$2+I545*Prislapp!$I$2+J545*Prislapp!$J$2+K545*Prislapp!$K$2+L545*Prislapp!$L$2+M545*Prislapp!$M$2+N545*Prislapp!$N$2</f>
        <v>23641</v>
      </c>
      <c r="P545" s="42">
        <f>C545*Prislapp!$C$3+D545*Prislapp!$D$3+E545*Prislapp!$E$3+F545*Prislapp!$F$3+G545*Prislapp!$G$3+H545*Prislapp!$H$3+I545*Prislapp!$I$3+J545*Prislapp!$J$3+K545*Prislapp!$K$3+M545*Prislapp!$M$3+N545*Prislapp!$N$3</f>
        <v>28786</v>
      </c>
      <c r="Q545" s="42">
        <f>C545*Prislapp!$C$5+D545*Prislapp!$D$5+E545*Prislapp!$E$5+F545*Prislapp!$F$5+G545*Prislapp!$G$5+H545*Prislapp!$H$5+I545*Prislapp!$I$5+J545*Prislapp!$J$5+K545*Prislapp!$K$5+L545*Prislapp!$L$5+M545*Prislapp!$M$5+N545*Prislapp!$N$5</f>
        <v>5800</v>
      </c>
      <c r="R545" s="9">
        <f>VLOOKUP(A545,'Ansvar kurs'!$A$2:$B$847,2,FALSE)</f>
        <v>2180</v>
      </c>
    </row>
    <row r="546" spans="1:26" x14ac:dyDescent="0.25">
      <c r="A546" s="62" t="s">
        <v>1568</v>
      </c>
      <c r="B546" s="31" t="s">
        <v>1601</v>
      </c>
      <c r="F546" s="31">
        <v>1</v>
      </c>
      <c r="O546" s="42">
        <f>C546*Prislapp!$C$2+D546*Prislapp!$D$2+E546*Prislapp!$E$2+F546*Prislapp!$F$2+G546*Prislapp!$G$2+H546*Prislapp!$H$2+I546*Prislapp!$I$2+J546*Prislapp!$J$2+K546*Prislapp!$K$2+L546*Prislapp!$L$2+M546*Prislapp!$M$2+N546*Prislapp!$N$2</f>
        <v>23641</v>
      </c>
      <c r="P546" s="42">
        <f>C546*Prislapp!$C$3+D546*Prislapp!$D$3+E546*Prislapp!$E$3+F546*Prislapp!$F$3+G546*Prislapp!$G$3+H546*Prislapp!$H$3+I546*Prislapp!$I$3+J546*Prislapp!$J$3+K546*Prislapp!$K$3+M546*Prislapp!$M$3+N546*Prislapp!$N$3</f>
        <v>28786</v>
      </c>
      <c r="Q546" s="42">
        <f>C546*Prislapp!$C$5+D546*Prislapp!$D$5+E546*Prislapp!$E$5+F546*Prislapp!$F$5+G546*Prislapp!$G$5+H546*Prislapp!$H$5+I546*Prislapp!$I$5+J546*Prislapp!$J$5+K546*Prislapp!$K$5+L546*Prislapp!$L$5+M546*Prislapp!$M$5+N546*Prislapp!$N$5</f>
        <v>5800</v>
      </c>
      <c r="R546" s="9">
        <f>VLOOKUP(A546,'Ansvar kurs'!$A$2:$B$847,2,FALSE)</f>
        <v>2180</v>
      </c>
    </row>
    <row r="547" spans="1:26" x14ac:dyDescent="0.25">
      <c r="A547" s="62" t="s">
        <v>1669</v>
      </c>
      <c r="B547" s="31" t="s">
        <v>1670</v>
      </c>
      <c r="F547" s="31">
        <v>1</v>
      </c>
      <c r="O547" s="42">
        <f>C547*Prislapp!$C$2+D547*Prislapp!$D$2+E547*Prislapp!$E$2+F547*Prislapp!$F$2+G547*Prislapp!$G$2+H547*Prislapp!$H$2+I547*Prislapp!$I$2+J547*Prislapp!$J$2+K547*Prislapp!$K$2+L547*Prislapp!$L$2+M547*Prislapp!$M$2+N547*Prislapp!$N$2</f>
        <v>23641</v>
      </c>
      <c r="P547" s="42">
        <f>C547*Prislapp!$C$3+D547*Prislapp!$D$3+E547*Prislapp!$E$3+F547*Prislapp!$F$3+G547*Prislapp!$G$3+H547*Prislapp!$H$3+I547*Prislapp!$I$3+J547*Prislapp!$J$3+K547*Prislapp!$K$3+M547*Prislapp!$M$3+N547*Prislapp!$N$3</f>
        <v>28786</v>
      </c>
      <c r="Q547" s="42">
        <f>C547*Prislapp!$C$5+D547*Prislapp!$D$5+E547*Prislapp!$E$5+F547*Prislapp!$F$5+G547*Prislapp!$G$5+H547*Prislapp!$H$5+I547*Prislapp!$I$5+J547*Prislapp!$J$5+K547*Prislapp!$K$5+L547*Prislapp!$L$5+M547*Prislapp!$M$5+N547*Prislapp!$N$5</f>
        <v>5800</v>
      </c>
      <c r="R547" s="9">
        <f>VLOOKUP(A547,'Ansvar kurs'!$A$2:$B$847,2,FALSE)</f>
        <v>2180</v>
      </c>
    </row>
    <row r="548" spans="1:26" x14ac:dyDescent="0.25">
      <c r="A548" s="62" t="s">
        <v>1610</v>
      </c>
      <c r="B548" s="31" t="s">
        <v>1611</v>
      </c>
      <c r="F548" s="31">
        <v>1</v>
      </c>
      <c r="O548" s="42">
        <f>C548*Prislapp!$C$2+D548*Prislapp!$D$2+E548*Prislapp!$E$2+F548*Prislapp!$F$2+G548*Prislapp!$G$2+H548*Prislapp!$H$2+I548*Prislapp!$I$2+J548*Prislapp!$J$2+K548*Prislapp!$K$2+L548*Prislapp!$L$2+M548*Prislapp!$M$2+N548*Prislapp!$N$2</f>
        <v>23641</v>
      </c>
      <c r="P548" s="42">
        <f>C548*Prislapp!$C$3+D548*Prislapp!$D$3+E548*Prislapp!$E$3+F548*Prislapp!$F$3+G548*Prislapp!$G$3+H548*Prislapp!$H$3+I548*Prislapp!$I$3+J548*Prislapp!$J$3+K548*Prislapp!$K$3+M548*Prislapp!$M$3+N548*Prislapp!$N$3</f>
        <v>28786</v>
      </c>
      <c r="Q548" s="42">
        <f>C548*Prislapp!$C$5+D548*Prislapp!$D$5+E548*Prislapp!$E$5+F548*Prislapp!$F$5+G548*Prislapp!$G$5+H548*Prislapp!$H$5+I548*Prislapp!$I$5+J548*Prislapp!$J$5+K548*Prislapp!$K$5+L548*Prislapp!$L$5+M548*Prislapp!$M$5+N548*Prislapp!$N$5</f>
        <v>5800</v>
      </c>
      <c r="R548" s="9">
        <f>VLOOKUP(A548,'Ansvar kurs'!$A$2:$B$847,2,FALSE)</f>
        <v>2180</v>
      </c>
    </row>
    <row r="549" spans="1:26" x14ac:dyDescent="0.25">
      <c r="A549" s="62" t="s">
        <v>1563</v>
      </c>
      <c r="B549" s="31" t="s">
        <v>1421</v>
      </c>
      <c r="I549" s="31">
        <v>1</v>
      </c>
      <c r="O549" s="42">
        <f>C549*Prislapp!$C$2+D549*Prislapp!$D$2+E549*Prislapp!$E$2+F549*Prislapp!$F$2+G549*Prislapp!$G$2+H549*Prislapp!$H$2+I549*Prislapp!$I$2+J549*Prislapp!$J$2+K549*Prislapp!$K$2+L549*Prislapp!$L$2+M549*Prislapp!$M$2+N549*Prislapp!$N$2</f>
        <v>18405</v>
      </c>
      <c r="P549" s="42">
        <f>C549*Prislapp!$C$3+D549*Prislapp!$D$3+E549*Prislapp!$E$3+F549*Prislapp!$F$3+G549*Prislapp!$G$3+H549*Prislapp!$H$3+I549*Prislapp!$I$3+J549*Prislapp!$J$3+K549*Prislapp!$K$3+M549*Prislapp!$M$3+N549*Prislapp!$N$3</f>
        <v>15773</v>
      </c>
      <c r="Q549" s="42">
        <f>C549*Prislapp!$C$5+D549*Prislapp!$D$5+E549*Prislapp!$E$5+F549*Prislapp!$F$5+G549*Prislapp!$G$5+H549*Prislapp!$H$5+I549*Prislapp!$I$5+J549*Prislapp!$J$5+K549*Prislapp!$K$5+L549*Prislapp!$L$5+M549*Prislapp!$M$5+N549*Prislapp!$N$5</f>
        <v>5800</v>
      </c>
      <c r="R549" s="9">
        <f>VLOOKUP(A549,'Ansvar kurs'!$A$2:$B$847,2,FALSE)</f>
        <v>2193</v>
      </c>
    </row>
    <row r="550" spans="1:26" x14ac:dyDescent="0.25">
      <c r="A550" s="62" t="s">
        <v>1566</v>
      </c>
      <c r="B550" s="31" t="s">
        <v>1426</v>
      </c>
      <c r="K550" s="31">
        <v>1</v>
      </c>
      <c r="O550" s="42">
        <f>C550*Prislapp!$C$2+D550*Prislapp!$D$2+E550*Prislapp!$E$2+F550*Prislapp!$F$2+G550*Prislapp!$G$2+H550*Prislapp!$H$2+I550*Prislapp!$I$2+J550*Prislapp!$J$2+K550*Prislapp!$K$2+L550*Prislapp!$L$2+M550*Prislapp!$M$2+N550*Prislapp!$N$2</f>
        <v>21634</v>
      </c>
      <c r="P550" s="42">
        <f>C550*Prislapp!$C$3+D550*Prislapp!$D$3+E550*Prislapp!$E$3+F550*Prislapp!$F$3+G550*Prislapp!$G$3+H550*Prislapp!$H$3+I550*Prislapp!$I$3+J550*Prislapp!$J$3+K550*Prislapp!$K$3+M550*Prislapp!$M$3+N550*Prislapp!$N$3</f>
        <v>26986</v>
      </c>
      <c r="Q550" s="42">
        <f>C550*Prislapp!$C$5+D550*Prislapp!$D$5+E550*Prislapp!$E$5+F550*Prislapp!$F$5+G550*Prislapp!$G$5+H550*Prislapp!$H$5+I550*Prislapp!$I$5+J550*Prislapp!$J$5+K550*Prislapp!$K$5+L550*Prislapp!$L$5+M550*Prislapp!$M$5+N550*Prislapp!$N$5</f>
        <v>3400</v>
      </c>
      <c r="R550" s="9">
        <f>VLOOKUP(A550,'Ansvar kurs'!$A$2:$B$847,2,FALSE)</f>
        <v>2193</v>
      </c>
    </row>
    <row r="551" spans="1:26" x14ac:dyDescent="0.25">
      <c r="A551" s="245" t="s">
        <v>1580</v>
      </c>
      <c r="B551" s="31" t="s">
        <v>1542</v>
      </c>
      <c r="K551" s="31">
        <v>1</v>
      </c>
      <c r="O551" s="42">
        <f>C551*Prislapp!$C$2+D551*Prislapp!$D$2+E551*Prislapp!$E$2+F551*Prislapp!$F$2+G551*Prislapp!$G$2+H551*Prislapp!$H$2+I551*Prislapp!$I$2+J551*Prislapp!$J$2+K551*Prislapp!$K$2+L551*Prislapp!$L$2+M551*Prislapp!$M$2+N551*Prislapp!$N$2</f>
        <v>21634</v>
      </c>
      <c r="P551" s="42">
        <f>C551*Prislapp!$C$3+D551*Prislapp!$D$3+E551*Prislapp!$E$3+F551*Prislapp!$F$3+G551*Prislapp!$G$3+H551*Prislapp!$H$3+I551*Prislapp!$I$3+J551*Prislapp!$J$3+K551*Prislapp!$K$3+M551*Prislapp!$M$3+N551*Prislapp!$N$3</f>
        <v>26986</v>
      </c>
      <c r="Q551" s="42">
        <f>C551*Prislapp!$C$5+D551*Prislapp!$D$5+E551*Prislapp!$E$5+F551*Prislapp!$F$5+G551*Prislapp!$G$5+H551*Prislapp!$H$5+I551*Prislapp!$I$5+J551*Prislapp!$J$5+K551*Prislapp!$K$5+L551*Prislapp!$L$5+M551*Prislapp!$M$5+N551*Prislapp!$N$5</f>
        <v>3400</v>
      </c>
      <c r="R551" s="9">
        <f>VLOOKUP(A551,'Ansvar kurs'!$A$2:$B$847,2,FALSE)</f>
        <v>5740</v>
      </c>
      <c r="T551" s="159"/>
      <c r="U551" s="215"/>
      <c r="V551" s="215"/>
      <c r="W551" s="215"/>
      <c r="X551" s="215"/>
      <c r="Y551" s="215"/>
      <c r="Z551" s="197"/>
    </row>
    <row r="552" spans="1:26" x14ac:dyDescent="0.25">
      <c r="A552" s="245" t="s">
        <v>1579</v>
      </c>
      <c r="B552" s="31" t="s">
        <v>1543</v>
      </c>
      <c r="F552" s="31">
        <v>1</v>
      </c>
      <c r="O552" s="42">
        <f>C552*Prislapp!$C$2+D552*Prislapp!$D$2+E552*Prislapp!$E$2+F552*Prislapp!$F$2+G552*Prislapp!$G$2+H552*Prislapp!$H$2+I552*Prislapp!$I$2+J552*Prislapp!$J$2+K552*Prislapp!$K$2+L552*Prislapp!$L$2+M552*Prislapp!$M$2+N552*Prislapp!$N$2</f>
        <v>23641</v>
      </c>
      <c r="P552" s="42">
        <f>C552*Prislapp!$C$3+D552*Prislapp!$D$3+E552*Prislapp!$E$3+F552*Prislapp!$F$3+G552*Prislapp!$G$3+H552*Prislapp!$H$3+I552*Prislapp!$I$3+J552*Prislapp!$J$3+K552*Prislapp!$K$3+M552*Prislapp!$M$3+N552*Prislapp!$N$3</f>
        <v>28786</v>
      </c>
      <c r="Q552" s="42">
        <f>C552*Prislapp!$C$5+D552*Prislapp!$D$5+E552*Prislapp!$E$5+F552*Prislapp!$F$5+G552*Prislapp!$G$5+H552*Prislapp!$H$5+I552*Prislapp!$I$5+J552*Prislapp!$J$5+K552*Prislapp!$K$5+L552*Prislapp!$L$5+M552*Prislapp!$M$5+N552*Prislapp!$N$5</f>
        <v>5800</v>
      </c>
      <c r="R552" s="9">
        <f>VLOOKUP(A552,'Ansvar kurs'!$A$2:$B$847,2,FALSE)</f>
        <v>5740</v>
      </c>
      <c r="T552" s="159"/>
      <c r="U552" s="215"/>
      <c r="V552" s="215"/>
      <c r="W552" s="215"/>
      <c r="X552" s="215"/>
      <c r="Y552" s="215"/>
      <c r="Z552" s="197"/>
    </row>
    <row r="553" spans="1:26" x14ac:dyDescent="0.25">
      <c r="A553" s="62" t="s">
        <v>1569</v>
      </c>
      <c r="B553" s="31" t="s">
        <v>1602</v>
      </c>
      <c r="F553" s="31">
        <v>1</v>
      </c>
      <c r="O553" s="42">
        <f>C553*Prislapp!$C$2+D553*Prislapp!$D$2+E553*Prislapp!$E$2+F553*Prislapp!$F$2+G553*Prislapp!$G$2+H553*Prislapp!$H$2+I553*Prislapp!$I$2+J553*Prislapp!$J$2+K553*Prislapp!$K$2+L553*Prislapp!$L$2+M553*Prislapp!$M$2+N553*Prislapp!$N$2</f>
        <v>23641</v>
      </c>
      <c r="P553" s="42">
        <f>C553*Prislapp!$C$3+D553*Prislapp!$D$3+E553*Prislapp!$E$3+F553*Prislapp!$F$3+G553*Prislapp!$G$3+H553*Prislapp!$H$3+I553*Prislapp!$I$3+J553*Prislapp!$J$3+K553*Prislapp!$K$3+M553*Prislapp!$M$3+N553*Prislapp!$N$3</f>
        <v>28786</v>
      </c>
      <c r="Q553" s="42">
        <f>C553*Prislapp!$C$5+D553*Prislapp!$D$5+E553*Prislapp!$E$5+F553*Prislapp!$F$5+G553*Prislapp!$G$5+H553*Prislapp!$H$5+I553*Prislapp!$I$5+J553*Prislapp!$J$5+K553*Prislapp!$K$5+L553*Prislapp!$L$5+M553*Prislapp!$M$5+N553*Prislapp!$N$5</f>
        <v>5800</v>
      </c>
      <c r="R553" s="9">
        <f>VLOOKUP(A553,'Ansvar kurs'!$A$2:$B$847,2,FALSE)</f>
        <v>5740</v>
      </c>
    </row>
    <row r="554" spans="1:26" x14ac:dyDescent="0.25">
      <c r="A554" s="62" t="s">
        <v>1560</v>
      </c>
      <c r="B554" s="31" t="s">
        <v>1603</v>
      </c>
      <c r="F554" s="31">
        <v>1</v>
      </c>
      <c r="O554" s="42">
        <f>C554*Prislapp!$C$2+D554*Prislapp!$D$2+E554*Prislapp!$E$2+F554*Prislapp!$F$2+G554*Prislapp!$G$2+H554*Prislapp!$H$2+I554*Prislapp!$I$2+J554*Prislapp!$J$2+K554*Prislapp!$K$2+L554*Prislapp!$L$2+M554*Prislapp!$M$2+N554*Prislapp!$N$2</f>
        <v>23641</v>
      </c>
      <c r="P554" s="42">
        <f>C554*Prislapp!$C$3+D554*Prislapp!$D$3+E554*Prislapp!$E$3+F554*Prislapp!$F$3+G554*Prislapp!$G$3+H554*Prislapp!$H$3+I554*Prislapp!$I$3+J554*Prislapp!$J$3+K554*Prislapp!$K$3+M554*Prislapp!$M$3+N554*Prislapp!$N$3</f>
        <v>28786</v>
      </c>
      <c r="Q554" s="42">
        <f>C554*Prislapp!$C$5+D554*Prislapp!$D$5+E554*Prislapp!$E$5+F554*Prislapp!$F$5+G554*Prislapp!$G$5+H554*Prislapp!$H$5+I554*Prislapp!$I$5+J554*Prislapp!$J$5+K554*Prislapp!$K$5+L554*Prislapp!$L$5+M554*Prislapp!$M$5+N554*Prislapp!$N$5</f>
        <v>5800</v>
      </c>
      <c r="R554" s="9">
        <f>VLOOKUP(A554,'Ansvar kurs'!$A$2:$B$847,2,FALSE)</f>
        <v>5740</v>
      </c>
    </row>
    <row r="555" spans="1:26" x14ac:dyDescent="0.25">
      <c r="A555" s="62" t="s">
        <v>1686</v>
      </c>
      <c r="B555" s="31" t="s">
        <v>1687</v>
      </c>
      <c r="F555" s="31">
        <v>1</v>
      </c>
      <c r="O555" s="42">
        <f>C555*Prislapp!$C$2+D555*Prislapp!$D$2+E555*Prislapp!$E$2+F555*Prislapp!$F$2+G555*Prislapp!$G$2+H555*Prislapp!$H$2+I555*Prislapp!$I$2+J555*Prislapp!$J$2+K555*Prislapp!$K$2+L555*Prislapp!$L$2+M555*Prislapp!$M$2+N555*Prislapp!$N$2</f>
        <v>23641</v>
      </c>
      <c r="P555" s="42">
        <f>C555*Prislapp!$C$3+D555*Prislapp!$D$3+E555*Prislapp!$E$3+F555*Prislapp!$F$3+G555*Prislapp!$G$3+H555*Prislapp!$H$3+I555*Prislapp!$I$3+J555*Prislapp!$J$3+K555*Prislapp!$K$3+M555*Prislapp!$M$3+N555*Prislapp!$N$3</f>
        <v>28786</v>
      </c>
      <c r="Q555" s="42">
        <f>C555*Prislapp!$C$5+D555*Prislapp!$D$5+E555*Prislapp!$E$5+F555*Prislapp!$F$5+G555*Prislapp!$G$5+H555*Prislapp!$H$5+I555*Prislapp!$I$5+J555*Prislapp!$J$5+K555*Prislapp!$K$5+L555*Prislapp!$L$5+M555*Prislapp!$M$5+N555*Prislapp!$N$5</f>
        <v>5800</v>
      </c>
      <c r="R555" s="9">
        <f>VLOOKUP(A555,'Ansvar kurs'!$A$2:$B$847,2,FALSE)</f>
        <v>5740</v>
      </c>
    </row>
    <row r="556" spans="1:26" x14ac:dyDescent="0.25">
      <c r="A556" s="245" t="s">
        <v>1690</v>
      </c>
      <c r="B556" t="s">
        <v>1903</v>
      </c>
      <c r="I556" s="31">
        <v>1</v>
      </c>
      <c r="O556" s="42">
        <f>C556*Prislapp!$C$2+D556*Prislapp!$D$2+E556*Prislapp!$E$2+F556*Prislapp!$F$2+G556*Prislapp!$G$2+H556*Prislapp!$H$2+I556*Prislapp!$I$2+J556*Prislapp!$J$2+K556*Prislapp!$K$2+L556*Prislapp!$L$2+M556*Prislapp!$M$2+N556*Prislapp!$N$2</f>
        <v>18405</v>
      </c>
      <c r="P556" s="42">
        <f>C556*Prislapp!$C$3+D556*Prislapp!$D$3+E556*Prislapp!$E$3+F556*Prislapp!$F$3+G556*Prislapp!$G$3+H556*Prislapp!$H$3+I556*Prislapp!$I$3+J556*Prislapp!$J$3+K556*Prislapp!$K$3+M556*Prislapp!$M$3+N556*Prislapp!$N$3</f>
        <v>15773</v>
      </c>
      <c r="Q556" s="42">
        <f>C556*Prislapp!$C$5+D556*Prislapp!$D$5+E556*Prislapp!$E$5+F556*Prislapp!$F$5+G556*Prislapp!$G$5+H556*Prislapp!$H$5+I556*Prislapp!$I$5+J556*Prislapp!$J$5+K556*Prislapp!$K$5+L556*Prislapp!$L$5+M556*Prislapp!$M$5+N556*Prislapp!$N$5</f>
        <v>5800</v>
      </c>
      <c r="R556" s="9">
        <f>VLOOKUP(A556,'Ansvar kurs'!$A$2:$B$847,2,FALSE)</f>
        <v>2193</v>
      </c>
      <c r="S556" s="159"/>
      <c r="T556" s="159"/>
      <c r="U556" s="159"/>
      <c r="V556" s="159"/>
      <c r="W556" s="159"/>
      <c r="X556" s="159"/>
      <c r="Y556" s="159"/>
      <c r="Z556" s="159"/>
    </row>
    <row r="557" spans="1:26" x14ac:dyDescent="0.25">
      <c r="A557" s="274" t="s">
        <v>1719</v>
      </c>
      <c r="B557" t="s">
        <v>1636</v>
      </c>
      <c r="H557" s="31">
        <v>1</v>
      </c>
      <c r="O557" s="42">
        <f>C557*Prislapp!$C$2+D557*Prislapp!$D$2+E557*Prislapp!$E$2+F557*Prislapp!$F$2+G557*Prislapp!$G$2+H557*Prislapp!$H$2+I557*Prislapp!$I$2+J557*Prislapp!$J$2+K557*Prislapp!$K$2+L557*Prislapp!$L$2+M557*Prislapp!$M$2+N557*Prislapp!$N$2</f>
        <v>19473</v>
      </c>
      <c r="P557" s="42">
        <f>C557*Prislapp!$C$3+D557*Prislapp!$D$3+E557*Prislapp!$E$3+F557*Prislapp!$F$3+G557*Prislapp!$G$3+H557*Prislapp!$H$3+I557*Prislapp!$I$3+J557*Prislapp!$J$3+K557*Prislapp!$K$3+M557*Prislapp!$M$3+N557*Prislapp!$N$3</f>
        <v>34806</v>
      </c>
      <c r="Q557" s="42">
        <f>C557*Prislapp!$C$5+D557*Prislapp!$D$5+E557*Prislapp!$E$5+F557*Prislapp!$F$5+G557*Prislapp!$G$5+H557*Prislapp!$H$5+I557*Prislapp!$I$5+J557*Prislapp!$J$5+K557*Prislapp!$K$5+L557*Prislapp!$L$5+M557*Prislapp!$M$5+N557*Prislapp!$N$5</f>
        <v>21800</v>
      </c>
      <c r="R557" s="9">
        <f>VLOOKUP(A557,'Ansvar kurs'!$A$2:$B$847,2,FALSE)</f>
        <v>5740</v>
      </c>
      <c r="S557" s="159"/>
      <c r="T557" s="159"/>
      <c r="U557" s="159"/>
      <c r="V557" s="159"/>
      <c r="W557" s="159"/>
      <c r="X557" s="159"/>
      <c r="Y557" s="159"/>
      <c r="Z557" s="159"/>
    </row>
    <row r="558" spans="1:26" x14ac:dyDescent="0.25">
      <c r="A558" s="245" t="s">
        <v>1692</v>
      </c>
      <c r="B558" s="31" t="s">
        <v>1197</v>
      </c>
      <c r="I558" s="31">
        <v>1</v>
      </c>
      <c r="O558" s="42">
        <f>C558*Prislapp!$C$2+D558*Prislapp!$D$2+E558*Prislapp!$E$2+F558*Prislapp!$F$2+G558*Prislapp!$G$2+H558*Prislapp!$H$2+I558*Prislapp!$I$2+J558*Prislapp!$J$2+K558*Prislapp!$K$2+L558*Prislapp!$L$2+M558*Prislapp!$M$2+N558*Prislapp!$N$2</f>
        <v>18405</v>
      </c>
      <c r="P558" s="42">
        <f>C558*Prislapp!$C$3+D558*Prislapp!$D$3+E558*Prislapp!$E$3+F558*Prislapp!$F$3+G558*Prislapp!$G$3+H558*Prislapp!$H$3+I558*Prislapp!$I$3+J558*Prislapp!$J$3+K558*Prislapp!$K$3+M558*Prislapp!$M$3+N558*Prislapp!$N$3</f>
        <v>15773</v>
      </c>
      <c r="Q558" s="42">
        <f>C558*Prislapp!$C$5+D558*Prislapp!$D$5+E558*Prislapp!$E$5+F558*Prislapp!$F$5+G558*Prislapp!$G$5+H558*Prislapp!$H$5+I558*Prislapp!$I$5+J558*Prislapp!$J$5+K558*Prislapp!$K$5+L558*Prislapp!$L$5+M558*Prislapp!$M$5+N558*Prislapp!$N$5</f>
        <v>5800</v>
      </c>
      <c r="R558" s="9">
        <f>VLOOKUP(A558,'Ansvar kurs'!$A$2:$B$847,2,FALSE)</f>
        <v>2193</v>
      </c>
      <c r="S558" s="159"/>
      <c r="T558" s="159"/>
      <c r="U558" s="159"/>
      <c r="V558" s="159"/>
      <c r="W558" s="159"/>
      <c r="X558" s="159"/>
      <c r="Y558" s="159"/>
      <c r="Z558" s="159"/>
    </row>
    <row r="559" spans="1:26" x14ac:dyDescent="0.25">
      <c r="A559" s="245" t="s">
        <v>1693</v>
      </c>
      <c r="B559" s="31" t="s">
        <v>1197</v>
      </c>
      <c r="I559" s="31">
        <v>1</v>
      </c>
      <c r="O559" s="42">
        <f>C559*Prislapp!$C$2+D559*Prislapp!$D$2+E559*Prislapp!$E$2+F559*Prislapp!$F$2+G559*Prislapp!$G$2+H559*Prislapp!$H$2+I559*Prislapp!$I$2+J559*Prislapp!$J$2+K559*Prislapp!$K$2+L559*Prislapp!$L$2+M559*Prislapp!$M$2+N559*Prislapp!$N$2</f>
        <v>18405</v>
      </c>
      <c r="P559" s="42">
        <f>C559*Prislapp!$C$3+D559*Prislapp!$D$3+E559*Prislapp!$E$3+F559*Prislapp!$F$3+G559*Prislapp!$G$3+H559*Prislapp!$H$3+I559*Prislapp!$I$3+J559*Prislapp!$J$3+K559*Prislapp!$K$3+M559*Prislapp!$M$3+N559*Prislapp!$N$3</f>
        <v>15773</v>
      </c>
      <c r="Q559" s="42">
        <f>C559*Prislapp!$C$5+D559*Prislapp!$D$5+E559*Prislapp!$E$5+F559*Prislapp!$F$5+G559*Prislapp!$G$5+H559*Prislapp!$H$5+I559*Prislapp!$I$5+J559*Prislapp!$J$5+K559*Prislapp!$K$5+L559*Prislapp!$L$5+M559*Prislapp!$M$5+N559*Prislapp!$N$5</f>
        <v>5800</v>
      </c>
      <c r="R559" s="9">
        <f>VLOOKUP(A559,'Ansvar kurs'!$A$2:$B$847,2,FALSE)</f>
        <v>2193</v>
      </c>
      <c r="S559" s="159"/>
      <c r="T559" s="159"/>
      <c r="U559" s="159"/>
      <c r="V559" s="159"/>
      <c r="W559" s="159"/>
      <c r="X559" s="159"/>
      <c r="Y559" s="159"/>
      <c r="Z559" s="159"/>
    </row>
    <row r="560" spans="1:26" x14ac:dyDescent="0.25">
      <c r="A560" s="245" t="s">
        <v>1696</v>
      </c>
      <c r="B560" t="s">
        <v>1649</v>
      </c>
      <c r="I560" s="31">
        <v>1</v>
      </c>
      <c r="O560" s="42">
        <f>C560*Prislapp!$C$2+D560*Prislapp!$D$2+E560*Prislapp!$E$2+F560*Prislapp!$F$2+G560*Prislapp!$G$2+H560*Prislapp!$H$2+I560*Prislapp!$I$2+J560*Prislapp!$J$2+K560*Prislapp!$K$2+L560*Prislapp!$L$2+M560*Prislapp!$M$2+N560*Prislapp!$N$2</f>
        <v>18405</v>
      </c>
      <c r="P560" s="42">
        <f>C560*Prislapp!$C$3+D560*Prislapp!$D$3+E560*Prislapp!$E$3+F560*Prislapp!$F$3+G560*Prislapp!$G$3+H560*Prislapp!$H$3+I560*Prislapp!$I$3+J560*Prislapp!$J$3+K560*Prislapp!$K$3+M560*Prislapp!$M$3+N560*Prislapp!$N$3</f>
        <v>15773</v>
      </c>
      <c r="Q560" s="42">
        <f>C560*Prislapp!$C$5+D560*Prislapp!$D$5+E560*Prislapp!$E$5+F560*Prislapp!$F$5+G560*Prislapp!$G$5+H560*Prislapp!$H$5+I560*Prislapp!$I$5+J560*Prislapp!$J$5+K560*Prislapp!$K$5+L560*Prislapp!$L$5+M560*Prislapp!$M$5+N560*Prislapp!$N$5</f>
        <v>5800</v>
      </c>
      <c r="R560" s="9">
        <f>VLOOKUP(A560,'Ansvar kurs'!$A$2:$B$847,2,FALSE)</f>
        <v>2193</v>
      </c>
      <c r="S560" s="159"/>
      <c r="T560" s="159"/>
      <c r="U560" s="159"/>
      <c r="V560" s="159"/>
      <c r="W560" s="159"/>
      <c r="X560" s="159"/>
      <c r="Y560" s="159"/>
      <c r="Z560" s="159"/>
    </row>
    <row r="561" spans="1:26" x14ac:dyDescent="0.25">
      <c r="A561" s="274" t="s">
        <v>1720</v>
      </c>
      <c r="B561" t="s">
        <v>1648</v>
      </c>
      <c r="I561" s="31">
        <v>1</v>
      </c>
      <c r="O561" s="42">
        <f>C561*Prislapp!$C$2+D561*Prislapp!$D$2+E561*Prislapp!$E$2+F561*Prislapp!$F$2+G561*Prislapp!$G$2+H561*Prislapp!$H$2+I561*Prislapp!$I$2+J561*Prislapp!$J$2+K561*Prislapp!$K$2+L561*Prislapp!$L$2+M561*Prislapp!$M$2+N561*Prislapp!$N$2</f>
        <v>18405</v>
      </c>
      <c r="P561" s="42">
        <f>C561*Prislapp!$C$3+D561*Prislapp!$D$3+E561*Prislapp!$E$3+F561*Prislapp!$F$3+G561*Prislapp!$G$3+H561*Prislapp!$H$3+I561*Prislapp!$I$3+J561*Prislapp!$J$3+K561*Prislapp!$K$3+M561*Prislapp!$M$3+N561*Prislapp!$N$3</f>
        <v>15773</v>
      </c>
      <c r="Q561" s="42">
        <f>C561*Prislapp!$C$5+D561*Prislapp!$D$5+E561*Prislapp!$E$5+F561*Prislapp!$F$5+G561*Prislapp!$G$5+H561*Prislapp!$H$5+I561*Prislapp!$I$5+J561*Prislapp!$J$5+K561*Prislapp!$K$5+L561*Prislapp!$L$5+M561*Prislapp!$M$5+N561*Prislapp!$N$5</f>
        <v>5800</v>
      </c>
      <c r="R561" s="9">
        <f>VLOOKUP(A561,'Ansvar kurs'!$A$2:$B$847,2,FALSE)</f>
        <v>2193</v>
      </c>
      <c r="S561" s="159"/>
      <c r="T561" s="159"/>
      <c r="U561" s="159"/>
      <c r="V561" s="159"/>
      <c r="W561" s="159"/>
      <c r="X561" s="159"/>
      <c r="Y561" s="159"/>
      <c r="Z561" s="159"/>
    </row>
    <row r="562" spans="1:26" x14ac:dyDescent="0.25">
      <c r="A562" s="18" t="s">
        <v>2125</v>
      </c>
      <c r="B562" t="s">
        <v>1644</v>
      </c>
      <c r="I562" s="31">
        <v>1</v>
      </c>
      <c r="O562" s="42">
        <f>C562*Prislapp!$C$2+D562*Prislapp!$D$2+E562*Prislapp!$E$2+F562*Prislapp!$F$2+G562*Prislapp!$G$2+H562*Prislapp!$H$2+I562*Prislapp!$I$2+J562*Prislapp!$J$2+K562*Prislapp!$K$2+L562*Prislapp!$L$2+M562*Prislapp!$M$2+N562*Prislapp!$N$2</f>
        <v>18405</v>
      </c>
      <c r="P562" s="42">
        <f>C562*Prislapp!$C$3+D562*Prislapp!$D$3+E562*Prislapp!$E$3+F562*Prislapp!$F$3+G562*Prislapp!$G$3+H562*Prislapp!$H$3+I562*Prislapp!$I$3+J562*Prislapp!$J$3+K562*Prislapp!$K$3+M562*Prislapp!$M$3+N562*Prislapp!$N$3</f>
        <v>15773</v>
      </c>
      <c r="Q562" s="42">
        <f>C562*Prislapp!$C$5+D562*Prislapp!$D$5+E562*Prislapp!$E$5+F562*Prislapp!$F$5+G562*Prislapp!$G$5+H562*Prislapp!$H$5+I562*Prislapp!$I$5+J562*Prislapp!$J$5+K562*Prislapp!$K$5+L562*Prislapp!$L$5+M562*Prislapp!$M$5+N562*Prislapp!$N$5</f>
        <v>5800</v>
      </c>
      <c r="R562" s="9">
        <f>VLOOKUP(A562,'Ansvar kurs'!$A$2:$B$847,2,FALSE)</f>
        <v>2193</v>
      </c>
      <c r="S562" s="159"/>
      <c r="T562" s="159"/>
      <c r="U562" s="159"/>
      <c r="V562" s="159"/>
      <c r="W562" s="159"/>
      <c r="X562" s="159"/>
      <c r="Y562" s="159"/>
      <c r="Z562" s="159"/>
    </row>
    <row r="563" spans="1:26" x14ac:dyDescent="0.25">
      <c r="A563" s="18" t="s">
        <v>2126</v>
      </c>
      <c r="B563" t="s">
        <v>1645</v>
      </c>
      <c r="I563" s="31">
        <v>1</v>
      </c>
      <c r="O563" s="42">
        <f>C563*Prislapp!$C$2+D563*Prislapp!$D$2+E563*Prislapp!$E$2+F563*Prislapp!$F$2+G563*Prislapp!$G$2+H563*Prislapp!$H$2+I563*Prislapp!$I$2+J563*Prislapp!$J$2+K563*Prislapp!$K$2+L563*Prislapp!$L$2+M563*Prislapp!$M$2+N563*Prislapp!$N$2</f>
        <v>18405</v>
      </c>
      <c r="P563" s="42">
        <f>C563*Prislapp!$C$3+D563*Prislapp!$D$3+E563*Prislapp!$E$3+F563*Prislapp!$F$3+G563*Prislapp!$G$3+H563*Prislapp!$H$3+I563*Prislapp!$I$3+J563*Prislapp!$J$3+K563*Prislapp!$K$3+M563*Prislapp!$M$3+N563*Prislapp!$N$3</f>
        <v>15773</v>
      </c>
      <c r="Q563" s="42">
        <f>C563*Prislapp!$C$5+D563*Prislapp!$D$5+E563*Prislapp!$E$5+F563*Prislapp!$F$5+G563*Prislapp!$G$5+H563*Prislapp!$H$5+I563*Prislapp!$I$5+J563*Prislapp!$J$5+K563*Prislapp!$K$5+L563*Prislapp!$L$5+M563*Prislapp!$M$5+N563*Prislapp!$N$5</f>
        <v>5800</v>
      </c>
      <c r="R563" s="9">
        <f>VLOOKUP(A563,'Ansvar kurs'!$A$2:$B$847,2,FALSE)</f>
        <v>2193</v>
      </c>
      <c r="S563" s="159"/>
      <c r="T563" s="159"/>
      <c r="U563" s="159"/>
      <c r="V563" s="159"/>
      <c r="W563" s="159"/>
      <c r="X563" s="159"/>
      <c r="Y563" s="159"/>
      <c r="Z563" s="159"/>
    </row>
    <row r="564" spans="1:26" x14ac:dyDescent="0.25">
      <c r="A564" s="245" t="s">
        <v>1710</v>
      </c>
      <c r="B564" t="s">
        <v>1711</v>
      </c>
      <c r="K564" s="31">
        <v>1</v>
      </c>
      <c r="O564" s="42">
        <f>C564*Prislapp!$C$2+D564*Prislapp!$D$2+E564*Prislapp!$E$2+F564*Prislapp!$F$2+G564*Prislapp!$G$2+H564*Prislapp!$H$2+I564*Prislapp!$I$2+J564*Prislapp!$J$2+K564*Prislapp!$K$2+L564*Prislapp!$L$2+M564*Prislapp!$M$2+N564*Prislapp!$N$2</f>
        <v>21634</v>
      </c>
      <c r="P564" s="42">
        <f>C564*Prislapp!$C$3+D564*Prislapp!$D$3+E564*Prislapp!$E$3+F564*Prislapp!$F$3+G564*Prislapp!$G$3+H564*Prislapp!$H$3+I564*Prislapp!$I$3+J564*Prislapp!$J$3+K564*Prislapp!$K$3+M564*Prislapp!$M$3+N564*Prislapp!$N$3</f>
        <v>26986</v>
      </c>
      <c r="Q564" s="42">
        <f>C564*Prislapp!$C$5+D564*Prislapp!$D$5+E564*Prislapp!$E$5+F564*Prislapp!$F$5+G564*Prislapp!$G$5+H564*Prislapp!$H$5+I564*Prislapp!$I$5+J564*Prislapp!$J$5+K564*Prislapp!$K$5+L564*Prislapp!$L$5+M564*Prislapp!$M$5+N564*Prislapp!$N$5</f>
        <v>3400</v>
      </c>
      <c r="R564" s="9">
        <f>VLOOKUP(A564,'Ansvar kurs'!$A$2:$B$847,2,FALSE)</f>
        <v>2180</v>
      </c>
      <c r="S564" s="159"/>
      <c r="T564" s="159"/>
      <c r="U564" s="159"/>
      <c r="V564" s="159"/>
      <c r="W564" s="159"/>
      <c r="X564" s="159"/>
      <c r="Y564" s="159"/>
      <c r="Z564" s="159"/>
    </row>
    <row r="565" spans="1:26" x14ac:dyDescent="0.25">
      <c r="A565" s="62" t="s">
        <v>1712</v>
      </c>
      <c r="B565" s="31" t="s">
        <v>1713</v>
      </c>
      <c r="I565" s="31">
        <v>1</v>
      </c>
      <c r="O565" s="42">
        <f>C565*Prislapp!$C$2+D565*Prislapp!$D$2+E565*Prislapp!$E$2+F565*Prislapp!$F$2+G565*Prislapp!$G$2+H565*Prislapp!$H$2+I565*Prislapp!$I$2+J565*Prislapp!$J$2+K565*Prislapp!$K$2+L565*Prislapp!$L$2+M565*Prislapp!$M$2+N565*Prislapp!$N$2</f>
        <v>18405</v>
      </c>
      <c r="P565" s="42">
        <f>C565*Prislapp!$C$3+D565*Prislapp!$D$3+E565*Prislapp!$E$3+F565*Prislapp!$F$3+G565*Prislapp!$G$3+H565*Prislapp!$H$3+I565*Prislapp!$I$3+J565*Prislapp!$J$3+K565*Prislapp!$K$3+M565*Prislapp!$M$3+N565*Prislapp!$N$3</f>
        <v>15773</v>
      </c>
      <c r="Q565" s="42">
        <f>C565*Prislapp!$C$5+D565*Prislapp!$D$5+E565*Prislapp!$E$5+F565*Prislapp!$F$5+G565*Prislapp!$G$5+H565*Prislapp!$H$5+I565*Prislapp!$I$5+J565*Prislapp!$J$5+K565*Prislapp!$K$5+L565*Prislapp!$L$5+M565*Prislapp!$M$5+N565*Prislapp!$N$5</f>
        <v>5800</v>
      </c>
      <c r="R565" s="9">
        <f>VLOOKUP(A565,'Ansvar kurs'!$A$2:$B$847,2,FALSE)</f>
        <v>2193</v>
      </c>
    </row>
    <row r="566" spans="1:26" x14ac:dyDescent="0.25">
      <c r="A566" s="245" t="s">
        <v>1735</v>
      </c>
      <c r="B566" s="31" t="s">
        <v>1744</v>
      </c>
      <c r="K566" s="31">
        <v>1</v>
      </c>
      <c r="O566" s="42">
        <f>C566*Prislapp!$C$2+D566*Prislapp!$D$2+E566*Prislapp!$E$2+F566*Prislapp!$F$2+G566*Prislapp!$G$2+H566*Prislapp!$H$2+I566*Prislapp!$I$2+J566*Prislapp!$J$2+K566*Prislapp!$K$2+L566*Prislapp!$L$2+M566*Prislapp!$M$2+N566*Prislapp!$N$2</f>
        <v>21634</v>
      </c>
      <c r="P566" s="42">
        <f>C566*Prislapp!$C$3+D566*Prislapp!$D$3+E566*Prislapp!$E$3+F566*Prislapp!$F$3+G566*Prislapp!$G$3+H566*Prislapp!$H$3+I566*Prislapp!$I$3+J566*Prislapp!$J$3+K566*Prislapp!$K$3+M566*Prislapp!$M$3+N566*Prislapp!$N$3</f>
        <v>26986</v>
      </c>
      <c r="Q566" s="42">
        <f>C566*Prislapp!$C$5+D566*Prislapp!$D$5+E566*Prislapp!$E$5+F566*Prislapp!$F$5+G566*Prislapp!$G$5+H566*Prislapp!$H$5+I566*Prislapp!$I$5+J566*Prislapp!$J$5+K566*Prislapp!$K$5+L566*Prislapp!$L$5+M566*Prislapp!$M$5+N566*Prislapp!$N$5</f>
        <v>3400</v>
      </c>
      <c r="R566" s="9">
        <f>VLOOKUP(A566,'Ansvar kurs'!$A$2:$B$847,2,FALSE)</f>
        <v>2193</v>
      </c>
    </row>
    <row r="567" spans="1:26" x14ac:dyDescent="0.25">
      <c r="A567" s="62" t="s">
        <v>1714</v>
      </c>
      <c r="B567" s="31" t="s">
        <v>1418</v>
      </c>
      <c r="I567" s="31">
        <v>1</v>
      </c>
      <c r="O567" s="42">
        <f>C567*Prislapp!$C$2+D567*Prislapp!$D$2+E567*Prislapp!$E$2+F567*Prislapp!$F$2+G567*Prislapp!$G$2+H567*Prislapp!$H$2+I567*Prislapp!$I$2+J567*Prislapp!$J$2+K567*Prislapp!$K$2+L567*Prislapp!$L$2+M567*Prislapp!$M$2+N567*Prislapp!$N$2</f>
        <v>18405</v>
      </c>
      <c r="P567" s="42">
        <f>C567*Prislapp!$C$3+D567*Prislapp!$D$3+E567*Prislapp!$E$3+F567*Prislapp!$F$3+G567*Prislapp!$G$3+H567*Prislapp!$H$3+I567*Prislapp!$I$3+J567*Prislapp!$J$3+K567*Prislapp!$K$3+M567*Prislapp!$M$3+N567*Prislapp!$N$3</f>
        <v>15773</v>
      </c>
      <c r="Q567" s="42">
        <f>C567*Prislapp!$C$5+D567*Prislapp!$D$5+E567*Prislapp!$E$5+F567*Prislapp!$F$5+G567*Prislapp!$G$5+H567*Prislapp!$H$5+I567*Prislapp!$I$5+J567*Prislapp!$J$5+K567*Prislapp!$K$5+L567*Prislapp!$L$5+M567*Prislapp!$M$5+N567*Prislapp!$N$5</f>
        <v>5800</v>
      </c>
      <c r="R567" s="9">
        <f>VLOOKUP(A567,'Ansvar kurs'!$A$2:$B$847,2,FALSE)</f>
        <v>2193</v>
      </c>
    </row>
    <row r="568" spans="1:26" x14ac:dyDescent="0.25">
      <c r="A568" s="245" t="s">
        <v>1705</v>
      </c>
      <c r="B568" s="59" t="s">
        <v>1706</v>
      </c>
      <c r="K568" s="31">
        <v>1</v>
      </c>
      <c r="O568" s="42">
        <f>C568*Prislapp!$C$2+D568*Prislapp!$D$2+E568*Prislapp!$E$2+F568*Prislapp!$F$2+G568*Prislapp!$G$2+H568*Prislapp!$H$2+I568*Prislapp!$I$2+J568*Prislapp!$J$2+K568*Prislapp!$K$2+L568*Prislapp!$L$2+M568*Prislapp!$M$2+N568*Prislapp!$N$2</f>
        <v>21634</v>
      </c>
      <c r="P568" s="42">
        <f>C568*Prislapp!$C$3+D568*Prislapp!$D$3+E568*Prislapp!$E$3+F568*Prislapp!$F$3+G568*Prislapp!$G$3+H568*Prislapp!$H$3+I568*Prislapp!$I$3+J568*Prislapp!$J$3+K568*Prislapp!$K$3+M568*Prislapp!$M$3+N568*Prislapp!$N$3</f>
        <v>26986</v>
      </c>
      <c r="Q568" s="42">
        <f>C568*Prislapp!$C$5+D568*Prislapp!$D$5+E568*Prislapp!$E$5+F568*Prislapp!$F$5+G568*Prislapp!$G$5+H568*Prislapp!$H$5+I568*Prislapp!$I$5+J568*Prislapp!$J$5+K568*Prislapp!$K$5+L568*Prislapp!$L$5+M568*Prislapp!$M$5+N568*Prislapp!$N$5</f>
        <v>3400</v>
      </c>
      <c r="R568" s="9">
        <f>VLOOKUP(A568,'Ansvar kurs'!$A$2:$B$847,2,FALSE)</f>
        <v>2193</v>
      </c>
      <c r="S568" s="159"/>
      <c r="T568" s="159"/>
      <c r="U568" s="159"/>
      <c r="V568" s="159"/>
      <c r="W568" s="159"/>
      <c r="X568" s="159"/>
      <c r="Y568" s="159"/>
      <c r="Z568" s="159"/>
    </row>
    <row r="569" spans="1:26" x14ac:dyDescent="0.25">
      <c r="A569" s="245" t="s">
        <v>1707</v>
      </c>
      <c r="B569" s="59" t="s">
        <v>1708</v>
      </c>
      <c r="K569" s="31">
        <v>1</v>
      </c>
      <c r="O569" s="42">
        <f>C569*Prislapp!$C$2+D569*Prislapp!$D$2+E569*Prislapp!$E$2+F569*Prislapp!$F$2+G569*Prislapp!$G$2+H569*Prislapp!$H$2+I569*Prislapp!$I$2+J569*Prislapp!$J$2+K569*Prislapp!$K$2+L569*Prislapp!$L$2+M569*Prislapp!$M$2+N569*Prislapp!$N$2</f>
        <v>21634</v>
      </c>
      <c r="P569" s="42">
        <f>C569*Prislapp!$C$3+D569*Prislapp!$D$3+E569*Prislapp!$E$3+F569*Prislapp!$F$3+G569*Prislapp!$G$3+H569*Prislapp!$H$3+I569*Prislapp!$I$3+J569*Prislapp!$J$3+K569*Prislapp!$K$3+M569*Prislapp!$M$3+N569*Prislapp!$N$3</f>
        <v>26986</v>
      </c>
      <c r="Q569" s="42">
        <f>C569*Prislapp!$C$5+D569*Prislapp!$D$5+E569*Prislapp!$E$5+F569*Prislapp!$F$5+G569*Prislapp!$G$5+H569*Prislapp!$H$5+I569*Prislapp!$I$5+J569*Prislapp!$J$5+K569*Prislapp!$K$5+L569*Prislapp!$L$5+M569*Prislapp!$M$5+N569*Prislapp!$N$5</f>
        <v>3400</v>
      </c>
      <c r="R569" s="9">
        <f>VLOOKUP(A569,'Ansvar kurs'!$A$2:$B$847,2,FALSE)</f>
        <v>2193</v>
      </c>
      <c r="S569" s="159"/>
      <c r="T569" s="159"/>
      <c r="U569" s="159"/>
      <c r="V569" s="159"/>
      <c r="W569" s="159"/>
      <c r="X569" s="159"/>
      <c r="Y569" s="159"/>
      <c r="Z569" s="159"/>
    </row>
    <row r="570" spans="1:26" x14ac:dyDescent="0.25">
      <c r="A570" s="245" t="s">
        <v>1791</v>
      </c>
      <c r="B570" s="59" t="s">
        <v>1792</v>
      </c>
      <c r="I570" s="31">
        <v>1</v>
      </c>
      <c r="O570" s="42">
        <f>C570*Prislapp!$C$2+D570*Prislapp!$D$2+E570*Prislapp!$E$2+F570*Prislapp!$F$2+G570*Prislapp!$G$2+H570*Prislapp!$H$2+I570*Prislapp!$I$2+J570*Prislapp!$J$2+K570*Prislapp!$K$2+L570*Prislapp!$L$2+M570*Prislapp!$M$2+N570*Prislapp!$N$2</f>
        <v>18405</v>
      </c>
      <c r="P570" s="42">
        <f>C570*Prislapp!$C$3+D570*Prislapp!$D$3+E570*Prislapp!$E$3+F570*Prislapp!$F$3+G570*Prislapp!$G$3+H570*Prislapp!$H$3+I570*Prislapp!$I$3+J570*Prislapp!$J$3+K570*Prislapp!$K$3+M570*Prislapp!$M$3+N570*Prislapp!$N$3</f>
        <v>15773</v>
      </c>
      <c r="Q570" s="42">
        <f>C570*Prislapp!$C$5+D570*Prislapp!$D$5+E570*Prislapp!$E$5+F570*Prislapp!$F$5+G570*Prislapp!$G$5+H570*Prislapp!$H$5+I570*Prislapp!$I$5+J570*Prislapp!$J$5+K570*Prislapp!$K$5+L570*Prislapp!$L$5+M570*Prislapp!$M$5+N570*Prislapp!$N$5</f>
        <v>5800</v>
      </c>
      <c r="R570" s="9">
        <f>VLOOKUP(A570,'Ansvar kurs'!$A$2:$B$847,2,FALSE)</f>
        <v>2193</v>
      </c>
      <c r="S570" s="159"/>
      <c r="T570" s="159"/>
      <c r="U570" s="159"/>
      <c r="V570" s="159"/>
      <c r="W570" s="159"/>
      <c r="X570" s="159"/>
      <c r="Y570" s="159"/>
      <c r="Z570" s="159"/>
    </row>
    <row r="571" spans="1:26" x14ac:dyDescent="0.25">
      <c r="A571" s="245" t="s">
        <v>1745</v>
      </c>
      <c r="B571" s="292" t="s">
        <v>1746</v>
      </c>
      <c r="F571" s="31">
        <v>1</v>
      </c>
      <c r="O571" s="42">
        <f>C571*Prislapp!$C$2+D571*Prislapp!$D$2+E571*Prislapp!$E$2+F571*Prislapp!$F$2+G571*Prislapp!$G$2+H571*Prislapp!$H$2+I571*Prislapp!$I$2+J571*Prislapp!$J$2+K571*Prislapp!$K$2+L571*Prislapp!$L$2+M571*Prislapp!$M$2+N571*Prislapp!$N$2</f>
        <v>23641</v>
      </c>
      <c r="P571" s="42">
        <f>C571*Prislapp!$C$3+D571*Prislapp!$D$3+E571*Prislapp!$E$3+F571*Prislapp!$F$3+G571*Prislapp!$G$3+H571*Prislapp!$H$3+I571*Prislapp!$I$3+J571*Prislapp!$J$3+K571*Prislapp!$K$3+M571*Prislapp!$M$3+N571*Prislapp!$N$3</f>
        <v>28786</v>
      </c>
      <c r="Q571" s="42">
        <f>C571*Prislapp!$C$5+D571*Prislapp!$D$5+E571*Prislapp!$E$5+F571*Prislapp!$F$5+G571*Prislapp!$G$5+H571*Prislapp!$H$5+I571*Prislapp!$I$5+J571*Prislapp!$J$5+K571*Prislapp!$K$5+L571*Prislapp!$L$5+M571*Prislapp!$M$5+N571*Prislapp!$N$5</f>
        <v>5800</v>
      </c>
      <c r="R571" s="9">
        <f>VLOOKUP(A571,'Ansvar kurs'!$A$2:$B$847,2,FALSE)</f>
        <v>5740</v>
      </c>
      <c r="S571" s="159"/>
      <c r="T571" s="159"/>
      <c r="U571" s="159"/>
      <c r="V571" s="159"/>
      <c r="W571" s="159"/>
      <c r="X571" s="159"/>
      <c r="Y571" s="159"/>
      <c r="Z571" s="159"/>
    </row>
    <row r="572" spans="1:26" x14ac:dyDescent="0.25">
      <c r="A572" s="245" t="s">
        <v>1733</v>
      </c>
      <c r="B572" s="59" t="s">
        <v>1741</v>
      </c>
      <c r="K572" s="31">
        <v>1</v>
      </c>
      <c r="O572" s="42">
        <f>C572*Prislapp!$C$2+D572*Prislapp!$D$2+E572*Prislapp!$E$2+F572*Prislapp!$F$2+G572*Prislapp!$G$2+H572*Prislapp!$H$2+I572*Prislapp!$I$2+J572*Prislapp!$J$2+K572*Prislapp!$K$2+L572*Prislapp!$L$2+M572*Prislapp!$M$2+N572*Prislapp!$N$2</f>
        <v>21634</v>
      </c>
      <c r="P572" s="42">
        <f>C572*Prislapp!$C$3+D572*Prislapp!$D$3+E572*Prislapp!$E$3+F572*Prislapp!$F$3+G572*Prislapp!$G$3+H572*Prislapp!$H$3+I572*Prislapp!$I$3+J572*Prislapp!$J$3+K572*Prislapp!$K$3+M572*Prislapp!$M$3+N572*Prislapp!$N$3</f>
        <v>26986</v>
      </c>
      <c r="Q572" s="42">
        <f>C572*Prislapp!$C$5+D572*Prislapp!$D$5+E572*Prislapp!$E$5+F572*Prislapp!$F$5+G572*Prislapp!$G$5+H572*Prislapp!$H$5+I572*Prislapp!$I$5+J572*Prislapp!$J$5+K572*Prislapp!$K$5+L572*Prislapp!$L$5+M572*Prislapp!$M$5+N572*Prislapp!$N$5</f>
        <v>3400</v>
      </c>
      <c r="R572" s="9">
        <f>VLOOKUP(A572,'Ansvar kurs'!$A$2:$B$847,2,FALSE)</f>
        <v>5740</v>
      </c>
      <c r="S572" s="159"/>
      <c r="T572" s="159"/>
      <c r="U572" s="159"/>
      <c r="V572" s="159"/>
      <c r="W572" s="159"/>
      <c r="X572" s="159"/>
      <c r="Y572" s="159"/>
      <c r="Z572" s="159"/>
    </row>
    <row r="573" spans="1:26" x14ac:dyDescent="0.25">
      <c r="A573" s="245" t="s">
        <v>1732</v>
      </c>
      <c r="B573" s="59" t="s">
        <v>1740</v>
      </c>
      <c r="K573" s="31">
        <v>1</v>
      </c>
      <c r="O573" s="42">
        <f>C573*Prislapp!$C$2+D573*Prislapp!$D$2+E573*Prislapp!$E$2+F573*Prislapp!$F$2+G573*Prislapp!$G$2+H573*Prislapp!$H$2+I573*Prislapp!$I$2+J573*Prislapp!$J$2+K573*Prislapp!$K$2+L573*Prislapp!$L$2+M573*Prislapp!$M$2+N573*Prislapp!$N$2</f>
        <v>21634</v>
      </c>
      <c r="P573" s="42">
        <f>C573*Prislapp!$C$3+D573*Prislapp!$D$3+E573*Prislapp!$E$3+F573*Prislapp!$F$3+G573*Prislapp!$G$3+H573*Prislapp!$H$3+I573*Prislapp!$I$3+J573*Prislapp!$J$3+K573*Prislapp!$K$3+M573*Prislapp!$M$3+N573*Prislapp!$N$3</f>
        <v>26986</v>
      </c>
      <c r="Q573" s="42">
        <f>C573*Prislapp!$C$5+D573*Prislapp!$D$5+E573*Prislapp!$E$5+F573*Prislapp!$F$5+G573*Prislapp!$G$5+H573*Prislapp!$H$5+I573*Prislapp!$I$5+J573*Prislapp!$J$5+K573*Prislapp!$K$5+L573*Prislapp!$L$5+M573*Prislapp!$M$5+N573*Prislapp!$N$5</f>
        <v>3400</v>
      </c>
      <c r="R573" s="9">
        <f>VLOOKUP(A573,'Ansvar kurs'!$A$2:$B$847,2,FALSE)</f>
        <v>5740</v>
      </c>
      <c r="S573" s="159"/>
      <c r="T573" s="159"/>
      <c r="U573" s="159"/>
      <c r="V573" s="159"/>
      <c r="W573" s="159"/>
      <c r="X573" s="159"/>
      <c r="Y573" s="159"/>
      <c r="Z573" s="159"/>
    </row>
    <row r="574" spans="1:26" x14ac:dyDescent="0.25">
      <c r="A574" s="245" t="s">
        <v>1788</v>
      </c>
      <c r="B574" s="59" t="s">
        <v>1789</v>
      </c>
      <c r="K574" s="31">
        <v>1</v>
      </c>
      <c r="O574" s="42">
        <f>C574*Prislapp!$C$2+D574*Prislapp!$D$2+E574*Prislapp!$E$2+F574*Prislapp!$F$2+G574*Prislapp!$G$2+H574*Prislapp!$H$2+I574*Prislapp!$I$2+J574*Prislapp!$J$2+K574*Prislapp!$K$2+L574*Prislapp!$L$2+M574*Prislapp!$M$2+N574*Prislapp!$N$2</f>
        <v>21634</v>
      </c>
      <c r="P574" s="42">
        <f>C574*Prislapp!$C$3+D574*Prislapp!$D$3+E574*Prislapp!$E$3+F574*Prislapp!$F$3+G574*Prislapp!$G$3+H574*Prislapp!$H$3+I574*Prislapp!$I$3+J574*Prislapp!$J$3+K574*Prislapp!$K$3+M574*Prislapp!$M$3+N574*Prislapp!$N$3</f>
        <v>26986</v>
      </c>
      <c r="Q574" s="42">
        <f>C574*Prislapp!$C$5+D574*Prislapp!$D$5+E574*Prislapp!$E$5+F574*Prislapp!$F$5+G574*Prislapp!$G$5+H574*Prislapp!$H$5+I574*Prislapp!$I$5+J574*Prislapp!$J$5+K574*Prislapp!$K$5+L574*Prislapp!$L$5+M574*Prislapp!$M$5+N574*Prislapp!$N$5</f>
        <v>3400</v>
      </c>
      <c r="R574" s="9">
        <f>VLOOKUP(A574,'Ansvar kurs'!$A$2:$B$847,2,FALSE)</f>
        <v>2193</v>
      </c>
      <c r="S574" s="159"/>
      <c r="T574" s="159"/>
      <c r="U574" s="159"/>
      <c r="V574" s="159"/>
      <c r="W574" s="159"/>
      <c r="X574" s="159"/>
      <c r="Y574" s="159"/>
      <c r="Z574" s="159"/>
    </row>
    <row r="575" spans="1:26" x14ac:dyDescent="0.25">
      <c r="A575" s="62" t="s">
        <v>1863</v>
      </c>
      <c r="B575" s="31" t="s">
        <v>1419</v>
      </c>
      <c r="I575" s="31">
        <v>1</v>
      </c>
      <c r="O575" s="42">
        <f>C575*Prislapp!$C$2+D575*Prislapp!$D$2+E575*Prislapp!$E$2+F575*Prislapp!$F$2+G575*Prislapp!$G$2+H575*Prislapp!$H$2+I575*Prislapp!$I$2+J575*Prislapp!$J$2+K575*Prislapp!$K$2+L575*Prislapp!$L$2+M575*Prislapp!$M$2+N575*Prislapp!$N$2</f>
        <v>18405</v>
      </c>
      <c r="P575" s="42">
        <f>C575*Prislapp!$C$3+D575*Prislapp!$D$3+E575*Prislapp!$E$3+F575*Prislapp!$F$3+G575*Prislapp!$G$3+H575*Prislapp!$H$3+I575*Prislapp!$I$3+J575*Prislapp!$J$3+K575*Prislapp!$K$3+M575*Prislapp!$M$3+N575*Prislapp!$N$3</f>
        <v>15773</v>
      </c>
      <c r="Q575" s="42">
        <f>C575*Prislapp!$C$5+D575*Prislapp!$D$5+E575*Prislapp!$E$5+F575*Prislapp!$F$5+G575*Prislapp!$G$5+H575*Prislapp!$H$5+I575*Prislapp!$I$5+J575*Prislapp!$J$5+K575*Prislapp!$K$5+L575*Prislapp!$L$5+M575*Prislapp!$M$5+N575*Prislapp!$N$5</f>
        <v>5800</v>
      </c>
      <c r="R575" s="9">
        <f>VLOOKUP(A575,'Ansvar kurs'!$A$2:$B$847,2,FALSE)</f>
        <v>2193</v>
      </c>
    </row>
    <row r="576" spans="1:26" x14ac:dyDescent="0.25">
      <c r="A576" s="245" t="s">
        <v>1864</v>
      </c>
      <c r="B576" s="31" t="s">
        <v>1487</v>
      </c>
      <c r="F576" s="31">
        <v>1</v>
      </c>
      <c r="O576" s="42">
        <f>C576*Prislapp!$C$2+D576*Prislapp!$D$2+E576*Prislapp!$E$2+F576*Prislapp!$F$2+G576*Prislapp!$G$2+H576*Prislapp!$H$2+I576*Prislapp!$I$2+J576*Prislapp!$J$2+K576*Prislapp!$K$2+L576*Prislapp!$L$2+M576*Prislapp!$M$2+N576*Prislapp!$N$2</f>
        <v>23641</v>
      </c>
      <c r="P576" s="42">
        <f>C576*Prislapp!$C$3+D576*Prislapp!$D$3+E576*Prislapp!$E$3+F576*Prislapp!$F$3+G576*Prislapp!$G$3+H576*Prislapp!$H$3+I576*Prislapp!$I$3+J576*Prislapp!$J$3+K576*Prislapp!$K$3+M576*Prislapp!$M$3+N576*Prislapp!$N$3</f>
        <v>28786</v>
      </c>
      <c r="Q576" s="42">
        <f>C576*Prislapp!$C$5+D576*Prislapp!$D$5+E576*Prislapp!$E$5+F576*Prislapp!$F$5+G576*Prislapp!$G$5+H576*Prislapp!$H$5+I576*Prislapp!$I$5+J576*Prislapp!$J$5+K576*Prislapp!$K$5+L576*Prislapp!$L$5+M576*Prislapp!$M$5+N576*Prislapp!$N$5</f>
        <v>5800</v>
      </c>
      <c r="R576" s="9">
        <f>VLOOKUP(A576,'Ansvar kurs'!$A$2:$B$847,2,FALSE)</f>
        <v>2193</v>
      </c>
    </row>
    <row r="577" spans="1:26" x14ac:dyDescent="0.25">
      <c r="A577" s="245" t="s">
        <v>1865</v>
      </c>
      <c r="B577" s="31" t="s">
        <v>1876</v>
      </c>
      <c r="F577" s="31">
        <v>1</v>
      </c>
      <c r="O577" s="42">
        <f>C577*Prislapp!$C$2+D577*Prislapp!$D$2+E577*Prislapp!$E$2+F577*Prislapp!$F$2+G577*Prislapp!$G$2+H577*Prislapp!$H$2+I577*Prislapp!$I$2+J577*Prislapp!$J$2+K577*Prislapp!$K$2+L577*Prislapp!$L$2+M577*Prislapp!$M$2+N577*Prislapp!$N$2</f>
        <v>23641</v>
      </c>
      <c r="P577" s="42">
        <f>C577*Prislapp!$C$3+D577*Prislapp!$D$3+E577*Prislapp!$E$3+F577*Prislapp!$F$3+G577*Prislapp!$G$3+H577*Prislapp!$H$3+I577*Prislapp!$I$3+J577*Prislapp!$J$3+K577*Prislapp!$K$3+M577*Prislapp!$M$3+N577*Prislapp!$N$3</f>
        <v>28786</v>
      </c>
      <c r="Q577" s="42">
        <f>C577*Prislapp!$C$5+D577*Prislapp!$D$5+E577*Prislapp!$E$5+F577*Prislapp!$F$5+G577*Prislapp!$G$5+H577*Prislapp!$H$5+I577*Prislapp!$I$5+J577*Prislapp!$J$5+K577*Prislapp!$K$5+L577*Prislapp!$L$5+M577*Prislapp!$M$5+N577*Prislapp!$N$5</f>
        <v>5800</v>
      </c>
      <c r="R577" s="9">
        <f>VLOOKUP(A577,'Ansvar kurs'!$A$2:$B$847,2,FALSE)</f>
        <v>2193</v>
      </c>
    </row>
    <row r="578" spans="1:26" x14ac:dyDescent="0.25">
      <c r="A578" s="245" t="s">
        <v>1905</v>
      </c>
      <c r="B578" s="31" t="s">
        <v>1904</v>
      </c>
      <c r="I578" s="31">
        <v>1</v>
      </c>
      <c r="O578" s="42">
        <f>C578*Prislapp!$C$2+D578*Prislapp!$D$2+E578*Prislapp!$E$2+F578*Prislapp!$F$2+G578*Prislapp!$G$2+H578*Prislapp!$H$2+I578*Prislapp!$I$2+J578*Prislapp!$J$2+K578*Prislapp!$K$2+L578*Prislapp!$L$2+M578*Prislapp!$M$2+N578*Prislapp!$N$2</f>
        <v>18405</v>
      </c>
      <c r="P578" s="42">
        <f>C578*Prislapp!$C$3+D578*Prislapp!$D$3+E578*Prislapp!$E$3+F578*Prislapp!$F$3+G578*Prislapp!$G$3+H578*Prislapp!$H$3+I578*Prislapp!$I$3+J578*Prislapp!$J$3+K578*Prislapp!$K$3+M578*Prislapp!$M$3+N578*Prislapp!$N$3</f>
        <v>15773</v>
      </c>
      <c r="Q578" s="42">
        <f>C578*Prislapp!$C$5+D578*Prislapp!$D$5+E578*Prislapp!$E$5+F578*Prislapp!$F$5+G578*Prislapp!$G$5+H578*Prislapp!$H$5+I578*Prislapp!$I$5+J578*Prislapp!$J$5+K578*Prislapp!$K$5+L578*Prislapp!$L$5+M578*Prislapp!$M$5+N578*Prislapp!$N$5</f>
        <v>5800</v>
      </c>
      <c r="R578" s="9">
        <f>VLOOKUP(A578,'Ansvar kurs'!$A$2:$B$847,2,FALSE)</f>
        <v>2193</v>
      </c>
      <c r="S578" s="159"/>
      <c r="T578" s="159"/>
      <c r="U578" s="159"/>
      <c r="V578" s="159"/>
      <c r="W578" s="159"/>
      <c r="X578" s="159"/>
      <c r="Y578" s="159"/>
      <c r="Z578" s="159"/>
    </row>
    <row r="579" spans="1:26" x14ac:dyDescent="0.25">
      <c r="A579" s="59" t="s">
        <v>1887</v>
      </c>
      <c r="B579" s="31" t="s">
        <v>1888</v>
      </c>
      <c r="F579" s="31">
        <v>1</v>
      </c>
      <c r="O579" s="42">
        <f>C579*Prislapp!$C$2+D579*Prislapp!$D$2+E579*Prislapp!$E$2+F579*Prislapp!$F$2+G579*Prislapp!$G$2+H579*Prislapp!$H$2+I579*Prislapp!$I$2+J579*Prislapp!$J$2+K579*Prislapp!$K$2+L579*Prislapp!$L$2+M579*Prislapp!$M$2+N579*Prislapp!$N$2</f>
        <v>23641</v>
      </c>
      <c r="P579" s="42">
        <f>C579*Prislapp!$C$3+D579*Prislapp!$D$3+E579*Prislapp!$E$3+F579*Prislapp!$F$3+G579*Prislapp!$G$3+H579*Prislapp!$H$3+I579*Prislapp!$I$3+J579*Prislapp!$J$3+K579*Prislapp!$K$3+M579*Prislapp!$M$3+N579*Prislapp!$N$3</f>
        <v>28786</v>
      </c>
      <c r="Q579" s="42">
        <f>C579*Prislapp!$C$5+D579*Prislapp!$D$5+E579*Prislapp!$E$5+F579*Prislapp!$F$5+G579*Prislapp!$G$5+H579*Prislapp!$H$5+I579*Prislapp!$I$5+J579*Prislapp!$J$5+K579*Prislapp!$K$5+L579*Prislapp!$L$5+M579*Prislapp!$M$5+N579*Prislapp!$N$5</f>
        <v>5800</v>
      </c>
      <c r="R579" s="9">
        <f>VLOOKUP(A579,'Ansvar kurs'!$A$2:$B$847,2,FALSE)</f>
        <v>5740</v>
      </c>
      <c r="S579" s="159"/>
      <c r="T579" s="31" t="s">
        <v>1293</v>
      </c>
    </row>
    <row r="580" spans="1:26" ht="15.75" x14ac:dyDescent="0.25">
      <c r="A580" s="505" t="s">
        <v>1885</v>
      </c>
      <c r="B580" s="31" t="s">
        <v>1212</v>
      </c>
      <c r="F580" s="31">
        <v>1</v>
      </c>
      <c r="O580" s="42">
        <f>C580*Prislapp!$C$2+D580*Prislapp!$D$2+E580*Prislapp!$E$2+F580*Prislapp!$F$2+G580*Prislapp!$G$2+H580*Prislapp!$H$2+I580*Prislapp!$I$2+J580*Prislapp!$J$2+K580*Prislapp!$K$2+L580*Prislapp!$L$2+M580*Prislapp!$M$2+N580*Prislapp!$N$2</f>
        <v>23641</v>
      </c>
      <c r="P580" s="42">
        <f>C580*Prislapp!$C$3+D580*Prislapp!$D$3+E580*Prislapp!$E$3+F580*Prislapp!$F$3+G580*Prislapp!$G$3+H580*Prislapp!$H$3+I580*Prislapp!$I$3+J580*Prislapp!$J$3+K580*Prislapp!$K$3+M580*Prislapp!$M$3+N580*Prislapp!$N$3</f>
        <v>28786</v>
      </c>
      <c r="Q580" s="42">
        <f>C580*Prislapp!$C$5+D580*Prislapp!$D$5+E580*Prislapp!$E$5+F580*Prislapp!$F$5+G580*Prislapp!$G$5+H580*Prislapp!$H$5+I580*Prislapp!$I$5+J580*Prislapp!$J$5+K580*Prislapp!$K$5+L580*Prislapp!$L$5+M580*Prislapp!$M$5+N580*Prislapp!$N$5</f>
        <v>5800</v>
      </c>
      <c r="R580" s="9">
        <f>VLOOKUP(A580,'Ansvar kurs'!$A$2:$B$847,2,FALSE)</f>
        <v>5740</v>
      </c>
      <c r="S580" s="159"/>
    </row>
    <row r="581" spans="1:26" ht="15.75" x14ac:dyDescent="0.25">
      <c r="A581" s="505" t="s">
        <v>1886</v>
      </c>
      <c r="B581" s="31" t="s">
        <v>1213</v>
      </c>
      <c r="F581" s="31">
        <v>1</v>
      </c>
      <c r="O581" s="42">
        <f>C581*Prislapp!$C$2+D581*Prislapp!$D$2+E581*Prislapp!$E$2+F581*Prislapp!$F$2+G581*Prislapp!$G$2+H581*Prislapp!$H$2+I581*Prislapp!$I$2+J581*Prislapp!$J$2+K581*Prislapp!$K$2+L581*Prislapp!$L$2+M581*Prislapp!$M$2+N581*Prislapp!$N$2</f>
        <v>23641</v>
      </c>
      <c r="P581" s="42">
        <f>C581*Prislapp!$C$3+D581*Prislapp!$D$3+E581*Prislapp!$E$3+F581*Prislapp!$F$3+G581*Prislapp!$G$3+H581*Prislapp!$H$3+I581*Prislapp!$I$3+J581*Prislapp!$J$3+K581*Prislapp!$K$3+M581*Prislapp!$M$3+N581*Prislapp!$N$3</f>
        <v>28786</v>
      </c>
      <c r="Q581" s="42">
        <f>C581*Prislapp!$C$5+D581*Prislapp!$D$5+E581*Prislapp!$E$5+F581*Prislapp!$F$5+G581*Prislapp!$G$5+H581*Prislapp!$H$5+I581*Prislapp!$I$5+J581*Prislapp!$J$5+K581*Prislapp!$K$5+L581*Prislapp!$L$5+M581*Prislapp!$M$5+N581*Prislapp!$N$5</f>
        <v>5800</v>
      </c>
      <c r="R581" s="9">
        <f>VLOOKUP(A581,'Ansvar kurs'!$A$2:$B$847,2,FALSE)</f>
        <v>5740</v>
      </c>
      <c r="S581" s="159"/>
    </row>
    <row r="582" spans="1:26" ht="15.75" x14ac:dyDescent="0.25">
      <c r="A582" s="505" t="s">
        <v>1909</v>
      </c>
      <c r="B582" s="159" t="s">
        <v>1910</v>
      </c>
      <c r="F582" s="31">
        <v>1</v>
      </c>
      <c r="O582" s="42">
        <f>C582*Prislapp!$C$2+D582*Prislapp!$D$2+E582*Prislapp!$E$2+F582*Prislapp!$F$2+G582*Prislapp!$G$2+H582*Prislapp!$H$2+I582*Prislapp!$I$2+J582*Prislapp!$J$2+K582*Prislapp!$K$2+L582*Prislapp!$L$2+M582*Prislapp!$M$2+N582*Prislapp!$N$2</f>
        <v>23641</v>
      </c>
      <c r="P582" s="42">
        <f>C582*Prislapp!$C$3+D582*Prislapp!$D$3+E582*Prislapp!$E$3+F582*Prislapp!$F$3+G582*Prislapp!$G$3+H582*Prislapp!$H$3+I582*Prislapp!$I$3+J582*Prislapp!$J$3+K582*Prislapp!$K$3+M582*Prislapp!$M$3+N582*Prislapp!$N$3</f>
        <v>28786</v>
      </c>
      <c r="Q582" s="42">
        <f>C582*Prislapp!$C$5+D582*Prislapp!$D$5+E582*Prislapp!$E$5+F582*Prislapp!$F$5+G582*Prislapp!$G$5+H582*Prislapp!$H$5+I582*Prislapp!$I$5+J582*Prislapp!$J$5+K582*Prislapp!$K$5+L582*Prislapp!$L$5+M582*Prislapp!$M$5+N582*Prislapp!$N$5</f>
        <v>5800</v>
      </c>
      <c r="R582" s="9">
        <f>VLOOKUP(A582,'Ansvar kurs'!$A$2:$B$847,2,FALSE)</f>
        <v>5740</v>
      </c>
      <c r="S582" s="159"/>
    </row>
    <row r="583" spans="1:26" x14ac:dyDescent="0.25">
      <c r="A583" s="59" t="s">
        <v>1889</v>
      </c>
      <c r="B583" s="31" t="s">
        <v>1286</v>
      </c>
      <c r="K583" s="31">
        <v>1</v>
      </c>
      <c r="O583" s="42">
        <f>C583*Prislapp!$C$2+D583*Prislapp!$D$2+E583*Prislapp!$E$2+F583*Prislapp!$F$2+G583*Prislapp!$G$2+H583*Prislapp!$H$2+I583*Prislapp!$I$2+J583*Prislapp!$J$2+K583*Prislapp!$K$2+L583*Prislapp!$L$2+M583*Prislapp!$M$2+N583*Prislapp!$N$2</f>
        <v>21634</v>
      </c>
      <c r="P583" s="42">
        <f>C583*Prislapp!$C$3+D583*Prislapp!$D$3+E583*Prislapp!$E$3+F583*Prislapp!$F$3+G583*Prislapp!$G$3+H583*Prislapp!$H$3+I583*Prislapp!$I$3+J583*Prislapp!$J$3+K583*Prislapp!$K$3+M583*Prislapp!$M$3+N583*Prislapp!$N$3</f>
        <v>26986</v>
      </c>
      <c r="Q583" s="42">
        <f>C583*Prislapp!$C$5+D583*Prislapp!$D$5+E583*Prislapp!$E$5+F583*Prislapp!$F$5+G583*Prislapp!$G$5+H583*Prislapp!$H$5+I583*Prislapp!$I$5+J583*Prislapp!$J$5+K583*Prislapp!$K$5+L583*Prislapp!$L$5+M583*Prislapp!$M$5+N583*Prislapp!$N$5</f>
        <v>3400</v>
      </c>
      <c r="R583" s="9">
        <f>VLOOKUP(A583,'Ansvar kurs'!$A$2:$B$847,2,FALSE)</f>
        <v>5740</v>
      </c>
      <c r="S583" s="159"/>
      <c r="T583" s="31" t="s">
        <v>1381</v>
      </c>
    </row>
    <row r="584" spans="1:26" x14ac:dyDescent="0.25">
      <c r="A584" s="62" t="s">
        <v>2068</v>
      </c>
      <c r="B584" s="62" t="s">
        <v>1808</v>
      </c>
      <c r="K584" s="31">
        <v>1</v>
      </c>
      <c r="O584" s="42">
        <f>C584*Prislapp!$C$2+D584*Prislapp!$D$2+E584*Prislapp!$E$2+F584*Prislapp!$F$2+G584*Prislapp!$G$2+H584*Prislapp!$H$2+I584*Prislapp!$I$2+J584*Prislapp!$J$2+K584*Prislapp!$K$2+L584*Prislapp!$L$2+M584*Prislapp!$M$2+N584*Prislapp!$N$2</f>
        <v>21634</v>
      </c>
      <c r="P584" s="42">
        <f>C584*Prislapp!$C$3+D584*Prislapp!$D$3+E584*Prislapp!$E$3+F584*Prislapp!$F$3+G584*Prislapp!$G$3+H584*Prislapp!$H$3+I584*Prislapp!$I$3+J584*Prislapp!$J$3+K584*Prislapp!$K$3+M584*Prislapp!$M$3+N584*Prislapp!$N$3</f>
        <v>26986</v>
      </c>
      <c r="Q584" s="42">
        <f>C584*Prislapp!$C$5+D584*Prislapp!$D$5+E584*Prislapp!$E$5+F584*Prislapp!$F$5+G584*Prislapp!$G$5+H584*Prislapp!$H$5+I584*Prislapp!$I$5+J584*Prislapp!$J$5+K584*Prislapp!$K$5+L584*Prislapp!$L$5+M584*Prislapp!$M$5+N584*Prislapp!$N$5</f>
        <v>3400</v>
      </c>
      <c r="R584" s="9">
        <f>VLOOKUP(A584,'Ansvar kurs'!$A$2:$B$847,2,FALSE)</f>
        <v>5740</v>
      </c>
      <c r="S584" s="159"/>
      <c r="T584" s="159"/>
      <c r="U584" s="159"/>
      <c r="V584" s="159"/>
      <c r="W584" s="159"/>
      <c r="X584" s="159"/>
      <c r="Y584" s="159"/>
      <c r="Z584" s="159"/>
    </row>
    <row r="585" spans="1:26" x14ac:dyDescent="0.25">
      <c r="A585" s="59" t="s">
        <v>1963</v>
      </c>
      <c r="B585" s="31" t="s">
        <v>1973</v>
      </c>
      <c r="K585" s="31">
        <v>1</v>
      </c>
      <c r="O585" s="42">
        <f>C585*Prislapp!$C$2+D585*Prislapp!$D$2+E585*Prislapp!$E$2+F585*Prislapp!$F$2+G585*Prislapp!$G$2+H585*Prislapp!$H$2+I585*Prislapp!$I$2+J585*Prislapp!$J$2+K585*Prislapp!$K$2+L585*Prislapp!$L$2+M585*Prislapp!$M$2+N585*Prislapp!$N$2</f>
        <v>21634</v>
      </c>
      <c r="P585" s="42">
        <f>C585*Prislapp!$C$3+D585*Prislapp!$D$3+E585*Prislapp!$E$3+F585*Prislapp!$F$3+G585*Prislapp!$G$3+H585*Prislapp!$H$3+I585*Prislapp!$I$3+J585*Prislapp!$J$3+K585*Prislapp!$K$3+M585*Prislapp!$M$3+N585*Prislapp!$N$3</f>
        <v>26986</v>
      </c>
      <c r="Q585" s="42">
        <f>C585*Prislapp!$C$5+D585*Prislapp!$D$5+E585*Prislapp!$E$5+F585*Prislapp!$F$5+G585*Prislapp!$G$5+H585*Prislapp!$H$5+I585*Prislapp!$I$5+J585*Prislapp!$J$5+K585*Prislapp!$K$5+L585*Prislapp!$L$5+M585*Prislapp!$M$5+N585*Prislapp!$N$5</f>
        <v>3400</v>
      </c>
      <c r="R585" s="9">
        <f>VLOOKUP(A585,'Ansvar kurs'!$A$2:$B$847,2,FALSE)</f>
        <v>2180</v>
      </c>
      <c r="S585" s="159"/>
    </row>
    <row r="586" spans="1:26" x14ac:dyDescent="0.25">
      <c r="A586" s="59" t="s">
        <v>1964</v>
      </c>
      <c r="B586" s="31" t="s">
        <v>1974</v>
      </c>
      <c r="K586" s="31">
        <v>1</v>
      </c>
      <c r="O586" s="42">
        <f>C586*Prislapp!$C$2+D586*Prislapp!$D$2+E586*Prislapp!$E$2+F586*Prislapp!$F$2+G586*Prislapp!$G$2+H586*Prislapp!$H$2+I586*Prislapp!$I$2+J586*Prislapp!$J$2+K586*Prislapp!$K$2+L586*Prislapp!$L$2+M586*Prislapp!$M$2+N586*Prislapp!$N$2</f>
        <v>21634</v>
      </c>
      <c r="P586" s="42">
        <f>C586*Prislapp!$C$3+D586*Prislapp!$D$3+E586*Prislapp!$E$3+F586*Prislapp!$F$3+G586*Prislapp!$G$3+H586*Prislapp!$H$3+I586*Prislapp!$I$3+J586*Prislapp!$J$3+K586*Prislapp!$K$3+M586*Prislapp!$M$3+N586*Prislapp!$N$3</f>
        <v>26986</v>
      </c>
      <c r="Q586" s="42">
        <f>C586*Prislapp!$C$5+D586*Prislapp!$D$5+E586*Prislapp!$E$5+F586*Prislapp!$F$5+G586*Prislapp!$G$5+H586*Prislapp!$H$5+I586*Prislapp!$I$5+J586*Prislapp!$J$5+K586*Prislapp!$K$5+L586*Prislapp!$L$5+M586*Prislapp!$M$5+N586*Prislapp!$N$5</f>
        <v>3400</v>
      </c>
      <c r="R586" s="9">
        <f>VLOOKUP(A586,'Ansvar kurs'!$A$2:$B$847,2,FALSE)</f>
        <v>2180</v>
      </c>
      <c r="S586" s="159"/>
    </row>
    <row r="587" spans="1:26" x14ac:dyDescent="0.25">
      <c r="A587" s="9" t="s">
        <v>2110</v>
      </c>
      <c r="B587" s="39" t="s">
        <v>2009</v>
      </c>
      <c r="I587" s="59">
        <v>1</v>
      </c>
      <c r="O587" s="42">
        <f>C587*Prislapp!$C$2+D587*Prislapp!$D$2+E587*Prislapp!$E$2+F587*Prislapp!$F$2+G587*Prislapp!$G$2+H587*Prislapp!$H$2+I587*Prislapp!$I$2+J587*Prislapp!$J$2+K587*Prislapp!$K$2+L587*Prislapp!$L$2+M587*Prislapp!$M$2+N587*Prislapp!$N$2</f>
        <v>18405</v>
      </c>
      <c r="P587" s="42">
        <f>C587*Prislapp!$C$3+D587*Prislapp!$D$3+E587*Prislapp!$E$3+F587*Prislapp!$F$3+G587*Prislapp!$G$3+H587*Prislapp!$H$3+I587*Prislapp!$I$3+J587*Prislapp!$J$3+K587*Prislapp!$K$3+M587*Prislapp!$M$3+N587*Prislapp!$N$3</f>
        <v>15773</v>
      </c>
      <c r="Q587" s="42">
        <f>C587*Prislapp!$C$5+D587*Prislapp!$D$5+E587*Prislapp!$E$5+F587*Prislapp!$F$5+G587*Prislapp!$G$5+H587*Prislapp!$H$5+I587*Prislapp!$I$5+J587*Prislapp!$J$5+K587*Prislapp!$K$5+L587*Prislapp!$L$5+M587*Prislapp!$M$5+N587*Prislapp!$N$5</f>
        <v>5800</v>
      </c>
      <c r="R587" s="9">
        <f>VLOOKUP(A587,'Ansvar kurs'!$A$2:$B$847,2,FALSE)</f>
        <v>2180</v>
      </c>
      <c r="S587" s="182"/>
      <c r="T587" s="182"/>
      <c r="U587" s="159"/>
      <c r="V587" s="159"/>
      <c r="W587" s="159"/>
      <c r="X587" s="159"/>
      <c r="Y587" s="159"/>
      <c r="Z587" s="159"/>
    </row>
    <row r="588" spans="1:26" x14ac:dyDescent="0.25">
      <c r="A588" s="182" t="s">
        <v>2104</v>
      </c>
      <c r="B588" s="31" t="s">
        <v>2029</v>
      </c>
      <c r="I588" s="59">
        <v>1</v>
      </c>
      <c r="O588" s="42">
        <f>C588*Prislapp!$C$2+D588*Prislapp!$D$2+E588*Prislapp!$E$2+F588*Prislapp!$F$2+G588*Prislapp!$G$2+H588*Prislapp!$H$2+I588*Prislapp!$I$2+J588*Prislapp!$J$2+K588*Prislapp!$K$2+L588*Prislapp!$L$2+M588*Prislapp!$M$2+N588*Prislapp!$N$2</f>
        <v>18405</v>
      </c>
      <c r="P588" s="42">
        <f>C588*Prislapp!$C$3+D588*Prislapp!$D$3+E588*Prislapp!$E$3+F588*Prislapp!$F$3+G588*Prislapp!$G$3+H588*Prislapp!$H$3+I588*Prislapp!$I$3+J588*Prislapp!$J$3+K588*Prislapp!$K$3+M588*Prislapp!$M$3+N588*Prislapp!$N$3</f>
        <v>15773</v>
      </c>
      <c r="Q588" s="42">
        <f>C588*Prislapp!$C$5+D588*Prislapp!$D$5+E588*Prislapp!$E$5+F588*Prislapp!$F$5+G588*Prislapp!$G$5+H588*Prislapp!$H$5+I588*Prislapp!$I$5+J588*Prislapp!$J$5+K588*Prislapp!$K$5+L588*Prislapp!$L$5+M588*Prislapp!$M$5+N588*Prislapp!$N$5</f>
        <v>5800</v>
      </c>
      <c r="R588" s="9">
        <f>VLOOKUP(A588,'Ansvar kurs'!$A$2:$B$847,2,FALSE)</f>
        <v>2180</v>
      </c>
      <c r="S588" s="182"/>
      <c r="T588" s="159"/>
      <c r="U588" s="159"/>
      <c r="V588" s="159"/>
      <c r="W588" s="159"/>
      <c r="X588" s="159"/>
      <c r="Y588" s="159"/>
      <c r="Z588" s="159"/>
    </row>
    <row r="589" spans="1:26" x14ac:dyDescent="0.25">
      <c r="A589" s="18" t="s">
        <v>2121</v>
      </c>
      <c r="B589" t="s">
        <v>2122</v>
      </c>
      <c r="I589" s="31">
        <v>1</v>
      </c>
      <c r="O589" s="42">
        <f>C589*Prislapp!$C$2+D589*Prislapp!$D$2+E589*Prislapp!$E$2+F589*Prislapp!$F$2+G589*Prislapp!$G$2+H589*Prislapp!$H$2+I589*Prislapp!$I$2+J589*Prislapp!$J$2+K589*Prislapp!$K$2+L589*Prislapp!$L$2+M589*Prislapp!$M$2+N589*Prislapp!$N$2</f>
        <v>18405</v>
      </c>
      <c r="P589" s="42">
        <f>C589*Prislapp!$C$3+D589*Prislapp!$D$3+E589*Prislapp!$E$3+F589*Prislapp!$F$3+G589*Prislapp!$G$3+H589*Prislapp!$H$3+I589*Prislapp!$I$3+J589*Prislapp!$J$3+K589*Prislapp!$K$3+M589*Prislapp!$M$3+N589*Prislapp!$N$3</f>
        <v>15773</v>
      </c>
      <c r="Q589" s="42">
        <f>C589*Prislapp!$C$5+D589*Prislapp!$D$5+E589*Prislapp!$E$5+F589*Prislapp!$F$5+G589*Prislapp!$G$5+H589*Prislapp!$H$5+I589*Prislapp!$I$5+J589*Prislapp!$J$5+K589*Prislapp!$K$5+L589*Prislapp!$L$5+M589*Prislapp!$M$5+N589*Prislapp!$N$5</f>
        <v>5800</v>
      </c>
      <c r="R589" s="9">
        <f>VLOOKUP(A589,'Ansvar kurs'!$A$2:$B$847,2,FALSE)</f>
        <v>2193</v>
      </c>
      <c r="S589" s="159"/>
      <c r="T589" s="159"/>
      <c r="U589" s="159"/>
      <c r="V589" s="159"/>
      <c r="W589" s="159"/>
      <c r="X589" s="159"/>
      <c r="Y589" s="159"/>
      <c r="Z589" s="159"/>
    </row>
    <row r="590" spans="1:26" x14ac:dyDescent="0.25">
      <c r="A590" s="18" t="s">
        <v>2123</v>
      </c>
      <c r="B590" t="s">
        <v>2124</v>
      </c>
      <c r="I590" s="31">
        <v>1</v>
      </c>
      <c r="O590" s="42">
        <f>C590*Prislapp!$C$2+D590*Prislapp!$D$2+E590*Prislapp!$E$2+F590*Prislapp!$F$2+G590*Prislapp!$G$2+H590*Prislapp!$H$2+I590*Prislapp!$I$2+J590*Prislapp!$J$2+K590*Prislapp!$K$2+L590*Prislapp!$L$2+M590*Prislapp!$M$2+N590*Prislapp!$N$2</f>
        <v>18405</v>
      </c>
      <c r="P590" s="42">
        <f>C590*Prislapp!$C$3+D590*Prislapp!$D$3+E590*Prislapp!$E$3+F590*Prislapp!$F$3+G590*Prislapp!$G$3+H590*Prislapp!$H$3+I590*Prislapp!$I$3+J590*Prislapp!$J$3+K590*Prislapp!$K$3+M590*Prislapp!$M$3+N590*Prislapp!$N$3</f>
        <v>15773</v>
      </c>
      <c r="Q590" s="42">
        <f>C590*Prislapp!$C$5+D590*Prislapp!$D$5+E590*Prislapp!$E$5+F590*Prislapp!$F$5+G590*Prislapp!$G$5+H590*Prislapp!$H$5+I590*Prislapp!$I$5+J590*Prislapp!$J$5+K590*Prislapp!$K$5+L590*Prislapp!$L$5+M590*Prislapp!$M$5+N590*Prislapp!$N$5</f>
        <v>5800</v>
      </c>
      <c r="R590" s="9">
        <f>VLOOKUP(A590,'Ansvar kurs'!$A$2:$B$847,2,FALSE)</f>
        <v>2193</v>
      </c>
      <c r="S590" s="159"/>
      <c r="T590" s="159"/>
      <c r="U590" s="159"/>
      <c r="V590" s="159"/>
      <c r="W590" s="159"/>
      <c r="X590" s="159"/>
      <c r="Y590" s="159"/>
      <c r="Z590" s="159"/>
    </row>
    <row r="591" spans="1:26" x14ac:dyDescent="0.25">
      <c r="A591" s="9" t="s">
        <v>2087</v>
      </c>
      <c r="B591" s="31" t="s">
        <v>1930</v>
      </c>
      <c r="H591" s="59">
        <v>1</v>
      </c>
      <c r="O591" s="42">
        <f>C591*Prislapp!$C$2+D591*Prislapp!$D$2+E591*Prislapp!$E$2+F591*Prislapp!$F$2+G591*Prislapp!$G$2+H591*Prislapp!$H$2+I591*Prislapp!$I$2+J591*Prislapp!$J$2+K591*Prislapp!$K$2+L591*Prislapp!$L$2+M591*Prislapp!$M$2+N591*Prislapp!$N$2</f>
        <v>19473</v>
      </c>
      <c r="P591" s="42">
        <f>C591*Prislapp!$C$3+D591*Prislapp!$D$3+E591*Prislapp!$E$3+F591*Prislapp!$F$3+G591*Prislapp!$G$3+H591*Prislapp!$H$3+I591*Prislapp!$I$3+J591*Prislapp!$J$3+K591*Prislapp!$K$3+M591*Prislapp!$M$3+N591*Prislapp!$N$3</f>
        <v>34806</v>
      </c>
      <c r="Q591" s="42">
        <f>C591*Prislapp!$C$5+D591*Prislapp!$D$5+E591*Prislapp!$E$5+F591*Prislapp!$F$5+G591*Prislapp!$G$5+H591*Prislapp!$H$5+I591*Prislapp!$I$5+J591*Prislapp!$J$5+K591*Prislapp!$K$5+L591*Prislapp!$L$5+M591*Prislapp!$M$5+N591*Prislapp!$N$5</f>
        <v>21800</v>
      </c>
      <c r="R591" s="9">
        <f>VLOOKUP(A591,'Ansvar kurs'!$A$2:$B$847,2,FALSE)</f>
        <v>5740</v>
      </c>
    </row>
    <row r="592" spans="1:26" ht="30" x14ac:dyDescent="0.25">
      <c r="A592" s="182" t="s">
        <v>2105</v>
      </c>
      <c r="B592" s="455" t="s">
        <v>2083</v>
      </c>
      <c r="I592" s="59">
        <v>1</v>
      </c>
      <c r="O592" s="42">
        <f>C592*Prislapp!$C$2+D592*Prislapp!$D$2+E592*Prislapp!$E$2+F592*Prislapp!$F$2+G592*Prislapp!$G$2+H592*Prislapp!$H$2+I592*Prislapp!$I$2+J592*Prislapp!$J$2+K592*Prislapp!$K$2+L592*Prislapp!$L$2+M592*Prislapp!$M$2+N592*Prislapp!$N$2</f>
        <v>18405</v>
      </c>
      <c r="P592" s="42">
        <f>C592*Prislapp!$C$3+D592*Prislapp!$D$3+E592*Prislapp!$E$3+F592*Prislapp!$F$3+G592*Prislapp!$G$3+H592*Prislapp!$H$3+I592*Prislapp!$I$3+J592*Prislapp!$J$3+K592*Prislapp!$K$3+M592*Prislapp!$M$3+N592*Prislapp!$N$3</f>
        <v>15773</v>
      </c>
      <c r="Q592" s="42">
        <f>C592*Prislapp!$C$5+D592*Prislapp!$D$5+E592*Prislapp!$E$5+F592*Prislapp!$F$5+G592*Prislapp!$G$5+H592*Prislapp!$H$5+I592*Prislapp!$I$5+J592*Prislapp!$J$5+K592*Prislapp!$K$5+L592*Prislapp!$L$5+M592*Prislapp!$M$5+N592*Prislapp!$N$5</f>
        <v>5800</v>
      </c>
      <c r="R592" s="9">
        <f>VLOOKUP(A592,'Ansvar kurs'!$A$2:$B$847,2,FALSE)</f>
        <v>2193</v>
      </c>
      <c r="S592" s="182"/>
      <c r="T592" s="159"/>
      <c r="U592" s="159"/>
      <c r="V592" s="159"/>
      <c r="W592" s="159"/>
      <c r="X592" s="159"/>
      <c r="Y592" s="159"/>
      <c r="Z592" s="159"/>
    </row>
    <row r="593" spans="1:28" x14ac:dyDescent="0.25">
      <c r="A593" s="59" t="s">
        <v>2085</v>
      </c>
      <c r="B593" s="31" t="s">
        <v>2086</v>
      </c>
      <c r="H593" s="59">
        <v>1</v>
      </c>
      <c r="O593" s="42">
        <f>C593*Prislapp!$C$2+D593*Prislapp!$D$2+E593*Prislapp!$E$2+F593*Prislapp!$F$2+G593*Prislapp!$G$2+H593*Prislapp!$H$2+I593*Prislapp!$I$2+J593*Prislapp!$J$2+K593*Prislapp!$K$2+L593*Prislapp!$L$2+M593*Prislapp!$M$2+N593*Prislapp!$N$2</f>
        <v>19473</v>
      </c>
      <c r="P593" s="42">
        <f>C593*Prislapp!$C$3+D593*Prislapp!$D$3+E593*Prislapp!$E$3+F593*Prislapp!$F$3+G593*Prislapp!$G$3+H593*Prislapp!$H$3+I593*Prislapp!$I$3+J593*Prislapp!$J$3+K593*Prislapp!$K$3+M593*Prislapp!$M$3+N593*Prislapp!$N$3</f>
        <v>34806</v>
      </c>
      <c r="Q593" s="42">
        <f>C593*Prislapp!$C$5+D593*Prislapp!$D$5+E593*Prislapp!$E$5+F593*Prislapp!$F$5+G593*Prislapp!$G$5+H593*Prislapp!$H$5+I593*Prislapp!$I$5+J593*Prislapp!$J$5+K593*Prislapp!$K$5+L593*Prislapp!$L$5+M593*Prislapp!$M$5+N593*Prislapp!$N$5</f>
        <v>21800</v>
      </c>
      <c r="R593" s="9">
        <f>VLOOKUP(A593,'Ansvar kurs'!$A$2:$B$847,2,FALSE)</f>
        <v>5740</v>
      </c>
    </row>
    <row r="594" spans="1:28" x14ac:dyDescent="0.25">
      <c r="A594" s="59" t="s">
        <v>2088</v>
      </c>
      <c r="B594" s="62" t="s">
        <v>2089</v>
      </c>
      <c r="H594" s="59">
        <v>1</v>
      </c>
      <c r="O594" s="42">
        <f>C594*Prislapp!$C$2+D594*Prislapp!$D$2+E594*Prislapp!$E$2+F594*Prislapp!$F$2+G594*Prislapp!$G$2+H594*Prislapp!$H$2+I594*Prislapp!$I$2+J594*Prislapp!$J$2+K594*Prislapp!$K$2+L594*Prislapp!$L$2+M594*Prislapp!$M$2+N594*Prislapp!$N$2</f>
        <v>19473</v>
      </c>
      <c r="P594" s="42">
        <f>C594*Prislapp!$C$3+D594*Prislapp!$D$3+E594*Prislapp!$E$3+F594*Prislapp!$F$3+G594*Prislapp!$G$3+H594*Prislapp!$H$3+I594*Prislapp!$I$3+J594*Prislapp!$J$3+K594*Prislapp!$K$3+M594*Prislapp!$M$3+N594*Prislapp!$N$3</f>
        <v>34806</v>
      </c>
      <c r="Q594" s="42">
        <f>C594*Prislapp!$C$5+D594*Prislapp!$D$5+E594*Prislapp!$E$5+F594*Prislapp!$F$5+G594*Prislapp!$G$5+H594*Prislapp!$H$5+I594*Prislapp!$I$5+J594*Prislapp!$J$5+K594*Prislapp!$K$5+L594*Prislapp!$L$5+M594*Prislapp!$M$5+N594*Prislapp!$N$5</f>
        <v>21800</v>
      </c>
      <c r="R594" s="9">
        <f>VLOOKUP(A594,'Ansvar kurs'!$A$2:$B$847,2,FALSE)</f>
        <v>5740</v>
      </c>
    </row>
    <row r="595" spans="1:28" x14ac:dyDescent="0.25">
      <c r="A595" s="31" t="s">
        <v>472</v>
      </c>
      <c r="B595" s="31" t="s">
        <v>725</v>
      </c>
      <c r="F595" s="31">
        <v>1</v>
      </c>
      <c r="O595" s="42">
        <f>C595*Prislapp!$C$2+D595*Prislapp!$D$2+E595*Prislapp!$E$2+F595*Prislapp!$F$2+G595*Prislapp!$G$2+H595*Prislapp!$H$2+I595*Prislapp!$I$2+J595*Prislapp!$J$2+K595*Prislapp!$K$2+L595*Prislapp!$L$2+M595*Prislapp!$M$2+N595*Prislapp!$N$2</f>
        <v>23641</v>
      </c>
      <c r="P595" s="42">
        <f>C595*Prislapp!$C$3+D595*Prislapp!$D$3+E595*Prislapp!$E$3+F595*Prislapp!$F$3+G595*Prislapp!$G$3+H595*Prislapp!$H$3+I595*Prislapp!$I$3+J595*Prislapp!$J$3+K595*Prislapp!$K$3+M595*Prislapp!$M$3+N595*Prislapp!$N$3</f>
        <v>28786</v>
      </c>
      <c r="Q595" s="42">
        <f>C595*Prislapp!$C$5+D595*Prislapp!$D$5+E595*Prislapp!$E$5+F595*Prislapp!$F$5+G595*Prislapp!$G$5+H595*Prislapp!$H$5+I595*Prislapp!$I$5+J595*Prislapp!$J$5+K595*Prislapp!$K$5+L595*Prislapp!$L$5+M595*Prislapp!$M$5+N595*Prislapp!$N$5</f>
        <v>5800</v>
      </c>
      <c r="R595" s="9">
        <f>VLOOKUP(A595,'Ansvar kurs'!$A$2:$B$847,2,FALSE)</f>
        <v>2180</v>
      </c>
      <c r="S595" s="159"/>
      <c r="T595" s="159"/>
      <c r="U595" s="159"/>
      <c r="V595" s="159"/>
      <c r="W595" s="159"/>
      <c r="X595" s="159"/>
      <c r="Y595" s="159"/>
      <c r="Z595" s="159"/>
    </row>
    <row r="596" spans="1:28" x14ac:dyDescent="0.25">
      <c r="A596" s="244" t="s">
        <v>600</v>
      </c>
      <c r="B596" s="31" t="s">
        <v>725</v>
      </c>
      <c r="F596" s="31">
        <v>1</v>
      </c>
      <c r="O596" s="42">
        <f>C596*Prislapp!$C$2+D596*Prislapp!$D$2+E596*Prislapp!$E$2+F596*Prislapp!$F$2+G596*Prislapp!$G$2+H596*Prislapp!$H$2+I596*Prislapp!$I$2+J596*Prislapp!$J$2+K596*Prislapp!$K$2+L596*Prislapp!$L$2+M596*Prislapp!$M$2+N596*Prislapp!$N$2</f>
        <v>23641</v>
      </c>
      <c r="P596" s="42">
        <f>C596*Prislapp!$C$3+D596*Prislapp!$D$3+E596*Prislapp!$E$3+F596*Prislapp!$F$3+G596*Prislapp!$G$3+H596*Prislapp!$H$3+I596*Prislapp!$I$3+J596*Prislapp!$J$3+K596*Prislapp!$K$3+M596*Prislapp!$M$3+N596*Prislapp!$N$3</f>
        <v>28786</v>
      </c>
      <c r="Q596" s="42">
        <f>C596*Prislapp!$C$5+D596*Prislapp!$D$5+E596*Prislapp!$E$5+F596*Prislapp!$F$5+G596*Prislapp!$G$5+H596*Prislapp!$H$5+I596*Prislapp!$I$5+J596*Prislapp!$J$5+K596*Prislapp!$K$5+L596*Prislapp!$L$5+M596*Prislapp!$M$5+N596*Prislapp!$N$5</f>
        <v>5800</v>
      </c>
      <c r="R596" s="9">
        <f>VLOOKUP(A596,'Ansvar kurs'!$A$2:$B$847,2,FALSE)</f>
        <v>2180</v>
      </c>
      <c r="S596" s="159"/>
      <c r="T596" s="159"/>
      <c r="U596" s="159"/>
      <c r="V596" s="159"/>
      <c r="W596" s="159"/>
      <c r="X596" s="159"/>
      <c r="Y596" s="159"/>
      <c r="Z596" s="159"/>
    </row>
    <row r="597" spans="1:28" x14ac:dyDescent="0.25">
      <c r="A597" s="245" t="s">
        <v>823</v>
      </c>
      <c r="B597" s="31" t="s">
        <v>1221</v>
      </c>
      <c r="F597" s="31">
        <v>1</v>
      </c>
      <c r="O597" s="42">
        <f>C597*Prislapp!$C$2+D597*Prislapp!$D$2+E597*Prislapp!$E$2+F597*Prislapp!$F$2+G597*Prislapp!$G$2+H597*Prislapp!$H$2+I597*Prislapp!$I$2+J597*Prislapp!$J$2+K597*Prislapp!$K$2+L597*Prislapp!$L$2+M597*Prislapp!$M$2+N597*Prislapp!$N$2</f>
        <v>23641</v>
      </c>
      <c r="P597" s="42">
        <f>C597*Prislapp!$C$3+D597*Prislapp!$D$3+E597*Prislapp!$E$3+F597*Prislapp!$F$3+G597*Prislapp!$G$3+H597*Prislapp!$H$3+I597*Prislapp!$I$3+J597*Prislapp!$J$3+K597*Prislapp!$K$3+M597*Prislapp!$M$3+N597*Prislapp!$N$3</f>
        <v>28786</v>
      </c>
      <c r="Q597" s="42">
        <f>C597*Prislapp!$C$5+D597*Prislapp!$D$5+E597*Prislapp!$E$5+F597*Prislapp!$F$5+G597*Prislapp!$G$5+H597*Prislapp!$H$5+I597*Prislapp!$I$5+J597*Prislapp!$J$5+K597*Prislapp!$K$5+L597*Prislapp!$L$5+M597*Prislapp!$M$5+N597*Prislapp!$N$5</f>
        <v>5800</v>
      </c>
      <c r="R597" s="9">
        <f>VLOOKUP(A597,'Ansvar kurs'!$A$2:$B$847,2,FALSE)</f>
        <v>2180</v>
      </c>
      <c r="S597" s="159"/>
      <c r="T597" s="159"/>
      <c r="U597" s="159"/>
      <c r="V597" s="159"/>
      <c r="W597" s="159"/>
      <c r="X597" s="159"/>
      <c r="Y597" s="159"/>
      <c r="Z597" s="159"/>
    </row>
    <row r="598" spans="1:28" x14ac:dyDescent="0.25">
      <c r="A598" s="245" t="s">
        <v>835</v>
      </c>
      <c r="B598" s="31" t="s">
        <v>841</v>
      </c>
      <c r="F598" s="31">
        <v>1</v>
      </c>
      <c r="O598" s="42">
        <f>C598*Prislapp!$C$2+D598*Prislapp!$D$2+E598*Prislapp!$E$2+F598*Prislapp!$F$2+G598*Prislapp!$G$2+H598*Prislapp!$H$2+I598*Prislapp!$I$2+J598*Prislapp!$J$2+K598*Prislapp!$K$2+L598*Prislapp!$L$2+M598*Prislapp!$M$2+N598*Prislapp!$N$2</f>
        <v>23641</v>
      </c>
      <c r="P598" s="42">
        <f>C598*Prislapp!$C$3+D598*Prislapp!$D$3+E598*Prislapp!$E$3+F598*Prislapp!$F$3+G598*Prislapp!$G$3+H598*Prislapp!$H$3+I598*Prislapp!$I$3+J598*Prislapp!$J$3+K598*Prislapp!$K$3+M598*Prislapp!$M$3+N598*Prislapp!$N$3</f>
        <v>28786</v>
      </c>
      <c r="Q598" s="42">
        <f>C598*Prislapp!$C$5+D598*Prislapp!$D$5+E598*Prislapp!$E$5+F598*Prislapp!$F$5+G598*Prislapp!$G$5+H598*Prislapp!$H$5+I598*Prislapp!$I$5+J598*Prislapp!$J$5+K598*Prislapp!$K$5+L598*Prislapp!$L$5+M598*Prislapp!$M$5+N598*Prislapp!$N$5</f>
        <v>5800</v>
      </c>
      <c r="R598" s="9">
        <f>VLOOKUP(A598,'Ansvar kurs'!$A$2:$B$847,2,FALSE)</f>
        <v>2180</v>
      </c>
      <c r="S598" s="159"/>
      <c r="T598" s="159"/>
      <c r="U598" s="159"/>
      <c r="V598" s="159"/>
      <c r="W598" s="159"/>
      <c r="X598" s="159"/>
      <c r="Y598" s="159"/>
      <c r="Z598" s="159"/>
    </row>
    <row r="599" spans="1:28" x14ac:dyDescent="0.25">
      <c r="A599" s="245" t="s">
        <v>836</v>
      </c>
      <c r="B599" s="31" t="s">
        <v>842</v>
      </c>
      <c r="F599" s="31">
        <v>1</v>
      </c>
      <c r="O599" s="42">
        <f>C599*Prislapp!$C$2+D599*Prislapp!$D$2+E599*Prislapp!$E$2+F599*Prislapp!$F$2+G599*Prislapp!$G$2+H599*Prislapp!$H$2+I599*Prislapp!$I$2+J599*Prislapp!$J$2+K599*Prislapp!$K$2+L599*Prislapp!$L$2+M599*Prislapp!$M$2+N599*Prislapp!$N$2</f>
        <v>23641</v>
      </c>
      <c r="P599" s="42">
        <f>C599*Prislapp!$C$3+D599*Prislapp!$D$3+E599*Prislapp!$E$3+F599*Prislapp!$F$3+G599*Prislapp!$G$3+H599*Prislapp!$H$3+I599*Prislapp!$I$3+J599*Prislapp!$J$3+K599*Prislapp!$K$3+M599*Prislapp!$M$3+N599*Prislapp!$N$3</f>
        <v>28786</v>
      </c>
      <c r="Q599" s="42">
        <f>C599*Prislapp!$C$5+D599*Prislapp!$D$5+E599*Prislapp!$E$5+F599*Prislapp!$F$5+G599*Prislapp!$G$5+H599*Prislapp!$H$5+I599*Prislapp!$I$5+J599*Prislapp!$J$5+K599*Prislapp!$K$5+L599*Prislapp!$L$5+M599*Prislapp!$M$5+N599*Prislapp!$N$5</f>
        <v>5800</v>
      </c>
      <c r="R599" s="9">
        <f>VLOOKUP(A599,'Ansvar kurs'!$A$2:$B$847,2,FALSE)</f>
        <v>2180</v>
      </c>
      <c r="S599" s="159"/>
      <c r="T599" s="159"/>
      <c r="U599" s="159"/>
      <c r="V599" s="159"/>
      <c r="W599" s="159"/>
      <c r="X599" s="159"/>
      <c r="Y599" s="159"/>
      <c r="Z599" s="159"/>
    </row>
    <row r="600" spans="1:28" x14ac:dyDescent="0.25">
      <c r="A600" s="245" t="s">
        <v>837</v>
      </c>
      <c r="B600" s="31" t="s">
        <v>843</v>
      </c>
      <c r="F600" s="31">
        <v>1</v>
      </c>
      <c r="O600" s="42">
        <f>C600*Prislapp!$C$2+D600*Prislapp!$D$2+E600*Prislapp!$E$2+F600*Prislapp!$F$2+G600*Prislapp!$G$2+H600*Prislapp!$H$2+I600*Prislapp!$I$2+J600*Prislapp!$J$2+K600*Prislapp!$K$2+L600*Prislapp!$L$2+M600*Prislapp!$M$2+N600*Prislapp!$N$2</f>
        <v>23641</v>
      </c>
      <c r="P600" s="42">
        <f>C600*Prislapp!$C$3+D600*Prislapp!$D$3+E600*Prislapp!$E$3+F600*Prislapp!$F$3+G600*Prislapp!$G$3+H600*Prislapp!$H$3+I600*Prislapp!$I$3+J600*Prislapp!$J$3+K600*Prislapp!$K$3+M600*Prislapp!$M$3+N600*Prislapp!$N$3</f>
        <v>28786</v>
      </c>
      <c r="Q600" s="42">
        <f>C600*Prislapp!$C$5+D600*Prislapp!$D$5+E600*Prislapp!$E$5+F600*Prislapp!$F$5+G600*Prislapp!$G$5+H600*Prislapp!$H$5+I600*Prislapp!$I$5+J600*Prislapp!$J$5+K600*Prislapp!$K$5+L600*Prislapp!$L$5+M600*Prislapp!$M$5+N600*Prislapp!$N$5</f>
        <v>5800</v>
      </c>
      <c r="R600" s="9">
        <f>VLOOKUP(A600,'Ansvar kurs'!$A$2:$B$847,2,FALSE)</f>
        <v>2180</v>
      </c>
      <c r="S600" s="159"/>
      <c r="T600" s="159"/>
      <c r="U600" s="215"/>
      <c r="V600" s="215"/>
      <c r="W600" s="215"/>
      <c r="X600" s="215"/>
      <c r="Y600" s="215"/>
      <c r="Z600" s="159"/>
    </row>
    <row r="601" spans="1:28" x14ac:dyDescent="0.25">
      <c r="A601" s="245" t="s">
        <v>838</v>
      </c>
      <c r="B601" s="31" t="s">
        <v>1296</v>
      </c>
      <c r="F601" s="31">
        <v>1</v>
      </c>
      <c r="O601" s="42">
        <f>C601*Prislapp!$C$2+D601*Prislapp!$D$2+E601*Prislapp!$E$2+F601*Prislapp!$F$2+G601*Prislapp!$G$2+H601*Prislapp!$H$2+I601*Prislapp!$I$2+J601*Prislapp!$J$2+K601*Prislapp!$K$2+L601*Prislapp!$L$2+M601*Prislapp!$M$2+N601*Prislapp!$N$2</f>
        <v>23641</v>
      </c>
      <c r="P601" s="42">
        <f>C601*Prislapp!$C$3+D601*Prislapp!$D$3+E601*Prislapp!$E$3+F601*Prislapp!$F$3+G601*Prislapp!$G$3+H601*Prislapp!$H$3+I601*Prislapp!$I$3+J601*Prislapp!$J$3+K601*Prislapp!$K$3+M601*Prislapp!$M$3+N601*Prislapp!$N$3</f>
        <v>28786</v>
      </c>
      <c r="Q601" s="42">
        <f>C601*Prislapp!$C$5+D601*Prislapp!$D$5+E601*Prislapp!$E$5+F601*Prislapp!$F$5+G601*Prislapp!$G$5+H601*Prislapp!$H$5+I601*Prislapp!$I$5+J601*Prislapp!$J$5+K601*Prislapp!$K$5+L601*Prislapp!$L$5+M601*Prislapp!$M$5+N601*Prislapp!$N$5</f>
        <v>5800</v>
      </c>
      <c r="R601" s="9">
        <f>VLOOKUP(A601,'Ansvar kurs'!$A$2:$B$847,2,FALSE)</f>
        <v>2180</v>
      </c>
      <c r="S601" s="159"/>
      <c r="T601" s="159"/>
      <c r="U601" s="159"/>
      <c r="V601" s="159"/>
      <c r="W601" s="159"/>
      <c r="X601" s="159"/>
      <c r="Y601" s="159"/>
      <c r="Z601" s="197"/>
    </row>
    <row r="602" spans="1:28" x14ac:dyDescent="0.25">
      <c r="A602" s="245" t="s">
        <v>839</v>
      </c>
      <c r="B602" s="31" t="s">
        <v>844</v>
      </c>
      <c r="F602" s="31">
        <v>1</v>
      </c>
      <c r="O602" s="42">
        <f>C602*Prislapp!$C$2+D602*Prislapp!$D$2+E602*Prislapp!$E$2+F602*Prislapp!$F$2+G602*Prislapp!$G$2+H602*Prislapp!$H$2+I602*Prislapp!$I$2+J602*Prislapp!$J$2+K602*Prislapp!$K$2+L602*Prislapp!$L$2+M602*Prislapp!$M$2+N602*Prislapp!$N$2</f>
        <v>23641</v>
      </c>
      <c r="P602" s="42">
        <f>C602*Prislapp!$C$3+D602*Prislapp!$D$3+E602*Prislapp!$E$3+F602*Prislapp!$F$3+G602*Prislapp!$G$3+H602*Prislapp!$H$3+I602*Prislapp!$I$3+J602*Prislapp!$J$3+K602*Prislapp!$K$3+M602*Prislapp!$M$3+N602*Prislapp!$N$3</f>
        <v>28786</v>
      </c>
      <c r="Q602" s="42">
        <f>C602*Prislapp!$C$5+D602*Prislapp!$D$5+E602*Prislapp!$E$5+F602*Prislapp!$F$5+G602*Prislapp!$G$5+H602*Prislapp!$H$5+I602*Prislapp!$I$5+J602*Prislapp!$J$5+K602*Prislapp!$K$5+L602*Prislapp!$L$5+M602*Prislapp!$M$5+N602*Prislapp!$N$5</f>
        <v>5800</v>
      </c>
      <c r="R602" s="9">
        <f>VLOOKUP(A602,'Ansvar kurs'!$A$2:$B$847,2,FALSE)</f>
        <v>2180</v>
      </c>
      <c r="S602" s="159"/>
      <c r="T602" s="159"/>
      <c r="U602" s="182"/>
      <c r="V602" s="182"/>
      <c r="W602" s="182"/>
      <c r="X602" s="182"/>
      <c r="Y602" s="182"/>
      <c r="Z602" s="197"/>
    </row>
    <row r="603" spans="1:28" x14ac:dyDescent="0.25">
      <c r="A603" s="245" t="s">
        <v>840</v>
      </c>
      <c r="B603" s="31" t="s">
        <v>845</v>
      </c>
      <c r="F603" s="31">
        <v>1</v>
      </c>
      <c r="O603" s="42">
        <f>C603*Prislapp!$C$2+D603*Prislapp!$D$2+E603*Prislapp!$E$2+F603*Prislapp!$F$2+G603*Prislapp!$G$2+H603*Prislapp!$H$2+I603*Prislapp!$I$2+J603*Prislapp!$J$2+K603*Prislapp!$K$2+L603*Prislapp!$L$2+M603*Prislapp!$M$2+N603*Prislapp!$N$2</f>
        <v>23641</v>
      </c>
      <c r="P603" s="42">
        <f>C603*Prislapp!$C$3+D603*Prislapp!$D$3+E603*Prislapp!$E$3+F603*Prislapp!$F$3+G603*Prislapp!$G$3+H603*Prislapp!$H$3+I603*Prislapp!$I$3+J603*Prislapp!$J$3+K603*Prislapp!$K$3+M603*Prislapp!$M$3+N603*Prislapp!$N$3</f>
        <v>28786</v>
      </c>
      <c r="Q603" s="42">
        <f>C603*Prislapp!$C$5+D603*Prislapp!$D$5+E603*Prislapp!$E$5+F603*Prislapp!$F$5+G603*Prislapp!$G$5+H603*Prislapp!$H$5+I603*Prislapp!$I$5+J603*Prislapp!$J$5+K603*Prislapp!$K$5+L603*Prislapp!$L$5+M603*Prislapp!$M$5+N603*Prislapp!$N$5</f>
        <v>5800</v>
      </c>
      <c r="R603" s="9">
        <f>VLOOKUP(A603,'Ansvar kurs'!$A$2:$B$847,2,FALSE)</f>
        <v>2180</v>
      </c>
      <c r="T603" s="159"/>
      <c r="U603" s="215"/>
      <c r="V603" s="215"/>
      <c r="W603" s="215"/>
      <c r="X603" s="215"/>
      <c r="Y603" s="215"/>
      <c r="Z603" s="197"/>
    </row>
    <row r="604" spans="1:28" x14ac:dyDescent="0.25">
      <c r="A604" s="244" t="s">
        <v>394</v>
      </c>
      <c r="B604" s="31" t="s">
        <v>401</v>
      </c>
      <c r="L604" s="31">
        <v>1</v>
      </c>
      <c r="O604" s="42">
        <f>C604*Prislapp!$C$2+D604*Prislapp!$D$2+E604*Prislapp!$E$2+F604*Prislapp!$F$2+G604*Prislapp!$G$2+H604*Prislapp!$H$2+I604*Prislapp!$I$2+J604*Prislapp!$J$2+K604*Prislapp!$K$2+L604*Prislapp!$L$2+M604*Prislapp!$M$2+N604*Prislapp!$N$2</f>
        <v>18505</v>
      </c>
      <c r="P604" s="42">
        <f>C604*Prislapp!$C$3+D604*Prislapp!$D$3+E604*Prislapp!$E$3+F604*Prislapp!$F$3+G604*Prislapp!$G$3+H604*Prislapp!$H$3+I604*Prislapp!$I$3+J604*Prislapp!$J$3+K604*Prislapp!$K$3+M604*Prislapp!$M$3+N604*Prislapp!$N$3</f>
        <v>0</v>
      </c>
      <c r="Q604" s="42">
        <f>C604*Prislapp!$C$5+D604*Prislapp!$D$5+E604*Prislapp!$E$5+F604*Prislapp!$F$5+G604*Prislapp!$G$5+H604*Prislapp!$H$5+I604*Prislapp!$I$5+J604*Prislapp!$J$5+K604*Prislapp!$K$5+L604*Prislapp!$L$5+M604*Prislapp!$M$5+N604*Prislapp!$N$5</f>
        <v>5700</v>
      </c>
      <c r="R604" s="9">
        <f>VLOOKUP(A604,'Ansvar kurs'!$A$2:$B$847,2,FALSE)</f>
        <v>2200</v>
      </c>
      <c r="S604" s="159"/>
      <c r="T604" s="159"/>
      <c r="Z604" s="195"/>
    </row>
    <row r="605" spans="1:28" x14ac:dyDescent="0.25">
      <c r="A605" s="244" t="s">
        <v>395</v>
      </c>
      <c r="B605" s="31" t="s">
        <v>402</v>
      </c>
      <c r="L605" s="31">
        <v>1</v>
      </c>
      <c r="O605" s="42">
        <f>C605*Prislapp!$C$2+D605*Prislapp!$D$2+E605*Prislapp!$E$2+F605*Prislapp!$F$2+G605*Prislapp!$G$2+H605*Prislapp!$H$2+I605*Prislapp!$I$2+J605*Prislapp!$J$2+K605*Prislapp!$K$2+L605*Prislapp!$L$2+M605*Prislapp!$M$2+N605*Prislapp!$N$2</f>
        <v>18505</v>
      </c>
      <c r="P605" s="42">
        <f>C605*Prislapp!$C$3+D605*Prislapp!$D$3+E605*Prislapp!$E$3+F605*Prislapp!$F$3+G605*Prislapp!$G$3+H605*Prislapp!$H$3+I605*Prislapp!$I$3+J605*Prislapp!$J$3+K605*Prislapp!$K$3+M605*Prislapp!$M$3+N605*Prislapp!$N$3</f>
        <v>0</v>
      </c>
      <c r="Q605" s="42">
        <f>C605*Prislapp!$C$5+D605*Prislapp!$D$5+E605*Prislapp!$E$5+F605*Prislapp!$F$5+G605*Prislapp!$G$5+H605*Prislapp!$H$5+I605*Prislapp!$I$5+J605*Prislapp!$J$5+K605*Prislapp!$K$5+L605*Prislapp!$L$5+M605*Prislapp!$M$5+N605*Prislapp!$N$5</f>
        <v>5700</v>
      </c>
      <c r="R605" s="9">
        <f>VLOOKUP(A605,'Ansvar kurs'!$A$2:$B$847,2,FALSE)</f>
        <v>2200</v>
      </c>
      <c r="S605" s="159"/>
      <c r="T605" s="159"/>
      <c r="X605" s="159"/>
      <c r="Y605" s="159"/>
      <c r="Z605" s="159"/>
      <c r="AA605" s="159"/>
      <c r="AB605" s="159"/>
    </row>
    <row r="606" spans="1:28" x14ac:dyDescent="0.25">
      <c r="A606" s="31" t="s">
        <v>142</v>
      </c>
      <c r="B606" s="31" t="s">
        <v>726</v>
      </c>
      <c r="D606" s="31">
        <v>0.75</v>
      </c>
      <c r="K606" s="31">
        <v>0.25</v>
      </c>
      <c r="O606" s="42">
        <f>C606*Prislapp!$C$2+D606*Prislapp!$D$2+E606*Prislapp!$E$2+F606*Prislapp!$F$2+G606*Prislapp!$G$2+H606*Prislapp!$H$2+I606*Prislapp!$I$2+J606*Prislapp!$J$2+K606*Prislapp!$K$2+L606*Prislapp!$L$2+M606*Prislapp!$M$2+N606*Prislapp!$N$2</f>
        <v>19212.25</v>
      </c>
      <c r="P606" s="42">
        <f>C606*Prislapp!$C$3+D606*Prislapp!$D$3+E606*Prislapp!$E$3+F606*Prislapp!$F$3+G606*Prislapp!$G$3+H606*Prislapp!$H$3+I606*Prislapp!$I$3+J606*Prislapp!$J$3+K606*Prislapp!$K$3+M606*Prislapp!$M$3+N606*Prislapp!$N$3</f>
        <v>18576.25</v>
      </c>
      <c r="Q606" s="42">
        <f>C606*Prislapp!$C$5+D606*Prislapp!$D$5+E606*Prislapp!$E$5+F606*Prislapp!$F$5+G606*Prislapp!$G$5+H606*Prislapp!$H$5+I606*Prislapp!$I$5+J606*Prislapp!$J$5+K606*Prislapp!$K$5+L606*Prislapp!$L$5+M606*Prislapp!$M$5+N606*Prislapp!$N$5</f>
        <v>5200</v>
      </c>
      <c r="R606" s="9">
        <f>VLOOKUP(A606,'Ansvar kurs'!$A$2:$B$847,2,FALSE)</f>
        <v>1630</v>
      </c>
      <c r="S606" s="215"/>
      <c r="T606" s="215"/>
      <c r="X606" s="159"/>
      <c r="Y606" s="216"/>
      <c r="Z606" s="215"/>
      <c r="AA606" s="215"/>
      <c r="AB606" s="159"/>
    </row>
    <row r="607" spans="1:28" x14ac:dyDescent="0.25">
      <c r="A607" s="31" t="s">
        <v>141</v>
      </c>
      <c r="B607" s="31" t="s">
        <v>727</v>
      </c>
      <c r="D607" s="31">
        <v>1</v>
      </c>
      <c r="O607" s="42">
        <f>C607*Prislapp!$C$2+D607*Prislapp!$D$2+E607*Prislapp!$E$2+F607*Prislapp!$F$2+G607*Prislapp!$G$2+H607*Prislapp!$H$2+I607*Prislapp!$I$2+J607*Prislapp!$J$2+K607*Prislapp!$K$2+L607*Prislapp!$L$2+M607*Prislapp!$M$2+N607*Prislapp!$N$2</f>
        <v>18405</v>
      </c>
      <c r="P607" s="42">
        <f>C607*Prislapp!$C$3+D607*Prislapp!$D$3+E607*Prislapp!$E$3+F607*Prislapp!$F$3+G607*Prislapp!$G$3+H607*Prislapp!$H$3+I607*Prislapp!$I$3+J607*Prislapp!$J$3+K607*Prislapp!$K$3+M607*Prislapp!$M$3+N607*Prislapp!$N$3</f>
        <v>15773</v>
      </c>
      <c r="Q607" s="42">
        <f>C607*Prislapp!$C$5+D607*Prislapp!$D$5+E607*Prislapp!$E$5+F607*Prislapp!$F$5+G607*Prislapp!$G$5+H607*Prislapp!$H$5+I607*Prislapp!$I$5+J607*Prislapp!$J$5+K607*Prislapp!$K$5+L607*Prislapp!$L$5+M607*Prislapp!$M$5+N607*Prislapp!$N$5</f>
        <v>5800</v>
      </c>
      <c r="R607" s="9">
        <f>VLOOKUP(A607,'Ansvar kurs'!$A$2:$B$847,2,FALSE)</f>
        <v>1630</v>
      </c>
      <c r="S607" s="159"/>
      <c r="T607" s="159"/>
      <c r="X607" s="159"/>
      <c r="Y607" s="215"/>
      <c r="Z607" s="215"/>
      <c r="AA607" s="215"/>
      <c r="AB607" s="159"/>
    </row>
    <row r="608" spans="1:28" x14ac:dyDescent="0.25">
      <c r="A608" s="31" t="s">
        <v>96</v>
      </c>
      <c r="B608" s="31" t="s">
        <v>728</v>
      </c>
      <c r="D608" s="31">
        <v>0.75</v>
      </c>
      <c r="K608" s="31">
        <v>0.25</v>
      </c>
      <c r="O608" s="42">
        <f>C608*Prislapp!$C$2+D608*Prislapp!$D$2+E608*Prislapp!$E$2+F608*Prislapp!$F$2+G608*Prislapp!$G$2+H608*Prislapp!$H$2+I608*Prislapp!$I$2+J608*Prislapp!$J$2+K608*Prislapp!$K$2+L608*Prislapp!$L$2+M608*Prislapp!$M$2+N608*Prislapp!$N$2</f>
        <v>19212.25</v>
      </c>
      <c r="P608" s="42">
        <f>C608*Prislapp!$C$3+D608*Prislapp!$D$3+E608*Prislapp!$E$3+F608*Prislapp!$F$3+G608*Prislapp!$G$3+H608*Prislapp!$H$3+I608*Prislapp!$I$3+J608*Prislapp!$J$3+K608*Prislapp!$K$3+M608*Prislapp!$M$3+N608*Prislapp!$N$3</f>
        <v>18576.25</v>
      </c>
      <c r="Q608" s="42">
        <f>C608*Prislapp!$C$5+D608*Prislapp!$D$5+E608*Prislapp!$E$5+F608*Prislapp!$F$5+G608*Prislapp!$G$5+H608*Prislapp!$H$5+I608*Prislapp!$I$5+J608*Prislapp!$J$5+K608*Prislapp!$K$5+L608*Prislapp!$L$5+M608*Prislapp!$M$5+N608*Prislapp!$N$5</f>
        <v>5200</v>
      </c>
      <c r="R608" s="9">
        <f>VLOOKUP(A608,'Ansvar kurs'!$A$2:$B$847,2,FALSE)</f>
        <v>1630</v>
      </c>
      <c r="S608" s="182"/>
      <c r="T608" s="182"/>
      <c r="X608" s="159"/>
      <c r="Y608" s="216"/>
      <c r="Z608" s="215"/>
      <c r="AA608" s="215"/>
      <c r="AB608" s="159"/>
    </row>
    <row r="609" spans="1:28" x14ac:dyDescent="0.25">
      <c r="A609" s="31" t="s">
        <v>435</v>
      </c>
      <c r="B609" s="31" t="s">
        <v>359</v>
      </c>
      <c r="F609" s="31">
        <v>1</v>
      </c>
      <c r="O609" s="42">
        <f>C609*Prislapp!$C$2+D609*Prislapp!$D$2+E609*Prislapp!$E$2+F609*Prislapp!$F$2+G609*Prislapp!$G$2+H609*Prislapp!$H$2+I609*Prislapp!$I$2+J609*Prislapp!$J$2+K609*Prislapp!$K$2+L609*Prislapp!$L$2+M609*Prislapp!$M$2+N609*Prislapp!$N$2</f>
        <v>23641</v>
      </c>
      <c r="P609" s="42">
        <f>C609*Prislapp!$C$3+D609*Prislapp!$D$3+E609*Prislapp!$E$3+F609*Prislapp!$F$3+G609*Prislapp!$G$3+H609*Prislapp!$H$3+I609*Prislapp!$I$3+J609*Prislapp!$J$3+K609*Prislapp!$K$3+M609*Prislapp!$M$3+N609*Prislapp!$N$3</f>
        <v>28786</v>
      </c>
      <c r="Q609" s="42">
        <f>C609*Prislapp!$C$5+D609*Prislapp!$D$5+E609*Prislapp!$E$5+F609*Prislapp!$F$5+G609*Prislapp!$G$5+H609*Prislapp!$H$5+I609*Prislapp!$I$5+J609*Prislapp!$J$5+K609*Prislapp!$K$5+L609*Prislapp!$L$5+M609*Prislapp!$M$5+N609*Prislapp!$N$5</f>
        <v>5800</v>
      </c>
      <c r="R609" s="9">
        <f>VLOOKUP(A609,'Ansvar kurs'!$A$2:$B$847,2,FALSE)</f>
        <v>1630</v>
      </c>
      <c r="S609" s="159"/>
      <c r="T609" s="159"/>
      <c r="U609" s="159"/>
      <c r="V609" s="159"/>
      <c r="W609" s="159"/>
      <c r="X609" s="159"/>
      <c r="Y609" s="159"/>
      <c r="Z609" s="197"/>
    </row>
    <row r="610" spans="1:28" x14ac:dyDescent="0.25">
      <c r="A610" s="31" t="s">
        <v>510</v>
      </c>
      <c r="B610" s="31" t="s">
        <v>729</v>
      </c>
      <c r="D610" s="31">
        <v>1</v>
      </c>
      <c r="O610" s="42">
        <f>C610*Prislapp!$C$2+D610*Prislapp!$D$2+E610*Prislapp!$E$2+F610*Prislapp!$F$2+G610*Prislapp!$G$2+H610*Prislapp!$H$2+I610*Prislapp!$I$2+J610*Prislapp!$J$2+K610*Prislapp!$K$2+L610*Prislapp!$L$2+M610*Prislapp!$M$2+N610*Prislapp!$N$2</f>
        <v>18405</v>
      </c>
      <c r="P610" s="42">
        <f>C610*Prislapp!$C$3+D610*Prislapp!$D$3+E610*Prislapp!$E$3+F610*Prislapp!$F$3+G610*Prislapp!$G$3+H610*Prislapp!$H$3+I610*Prislapp!$I$3+J610*Prislapp!$J$3+K610*Prislapp!$K$3+M610*Prislapp!$M$3+N610*Prislapp!$N$3</f>
        <v>15773</v>
      </c>
      <c r="Q610" s="42">
        <f>C610*Prislapp!$C$5+D610*Prislapp!$D$5+E610*Prislapp!$E$5+F610*Prislapp!$F$5+G610*Prislapp!$G$5+H610*Prislapp!$H$5+I610*Prislapp!$I$5+J610*Prislapp!$J$5+K610*Prislapp!$K$5+L610*Prislapp!$L$5+M610*Prislapp!$M$5+N610*Prislapp!$N$5</f>
        <v>5800</v>
      </c>
      <c r="R610" s="9">
        <f>VLOOKUP(A610,'Ansvar kurs'!$A$2:$B$847,2,FALSE)</f>
        <v>1630</v>
      </c>
      <c r="X610" s="159"/>
      <c r="Y610" s="216"/>
      <c r="Z610" s="215"/>
      <c r="AA610" s="215"/>
      <c r="AB610" s="159"/>
    </row>
    <row r="611" spans="1:28" x14ac:dyDescent="0.25">
      <c r="A611" s="31" t="s">
        <v>511</v>
      </c>
      <c r="B611" s="31" t="s">
        <v>730</v>
      </c>
      <c r="D611" s="31">
        <v>1</v>
      </c>
      <c r="O611" s="42">
        <f>C611*Prislapp!$C$2+D611*Prislapp!$D$2+E611*Prislapp!$E$2+F611*Prislapp!$F$2+G611*Prislapp!$G$2+H611*Prislapp!$H$2+I611*Prislapp!$I$2+J611*Prislapp!$J$2+K611*Prislapp!$K$2+L611*Prislapp!$L$2+M611*Prislapp!$M$2+N611*Prislapp!$N$2</f>
        <v>18405</v>
      </c>
      <c r="P611" s="42">
        <f>C611*Prislapp!$C$3+D611*Prislapp!$D$3+E611*Prislapp!$E$3+F611*Prislapp!$F$3+G611*Prislapp!$G$3+H611*Prislapp!$H$3+I611*Prislapp!$I$3+J611*Prislapp!$J$3+K611*Prislapp!$K$3+M611*Prislapp!$M$3+N611*Prislapp!$N$3</f>
        <v>15773</v>
      </c>
      <c r="Q611" s="42">
        <f>C611*Prislapp!$C$5+D611*Prislapp!$D$5+E611*Prislapp!$E$5+F611*Prislapp!$F$5+G611*Prislapp!$G$5+H611*Prislapp!$H$5+I611*Prislapp!$I$5+J611*Prislapp!$J$5+K611*Prislapp!$K$5+L611*Prislapp!$L$5+M611*Prislapp!$M$5+N611*Prislapp!$N$5</f>
        <v>5800</v>
      </c>
      <c r="R611" s="9">
        <f>VLOOKUP(A611,'Ansvar kurs'!$A$2:$B$847,2,FALSE)</f>
        <v>1630</v>
      </c>
      <c r="X611" s="159"/>
      <c r="Y611" s="215"/>
      <c r="Z611" s="215"/>
      <c r="AA611" s="215"/>
      <c r="AB611" s="159"/>
    </row>
    <row r="612" spans="1:28" x14ac:dyDescent="0.25">
      <c r="A612" s="244" t="s">
        <v>601</v>
      </c>
      <c r="B612" s="31" t="s">
        <v>1222</v>
      </c>
      <c r="D612" s="31">
        <v>1</v>
      </c>
      <c r="O612" s="42">
        <f>C612*Prislapp!$C$2+D612*Prislapp!$D$2+E612*Prislapp!$E$2+F612*Prislapp!$F$2+G612*Prislapp!$G$2+H612*Prislapp!$H$2+I612*Prislapp!$I$2+J612*Prislapp!$J$2+K612*Prislapp!$K$2+L612*Prislapp!$L$2+M612*Prislapp!$M$2+N612*Prislapp!$N$2</f>
        <v>18405</v>
      </c>
      <c r="P612" s="42">
        <f>C612*Prislapp!$C$3+D612*Prislapp!$D$3+E612*Prislapp!$E$3+F612*Prislapp!$F$3+G612*Prislapp!$G$3+H612*Prislapp!$H$3+I612*Prislapp!$I$3+J612*Prislapp!$J$3+K612*Prislapp!$K$3+M612*Prislapp!$M$3+N612*Prislapp!$N$3</f>
        <v>15773</v>
      </c>
      <c r="Q612" s="42">
        <f>C612*Prislapp!$C$5+D612*Prislapp!$D$5+E612*Prislapp!$E$5+F612*Prislapp!$F$5+G612*Prislapp!$G$5+H612*Prislapp!$H$5+I612*Prislapp!$I$5+J612*Prislapp!$J$5+K612*Prislapp!$K$5+L612*Prislapp!$L$5+M612*Prislapp!$M$5+N612*Prislapp!$N$5</f>
        <v>5800</v>
      </c>
      <c r="R612" s="9">
        <f>VLOOKUP(A612,'Ansvar kurs'!$A$2:$B$847,2,FALSE)</f>
        <v>1630</v>
      </c>
      <c r="X612" s="159"/>
      <c r="Y612" s="216"/>
      <c r="Z612" s="215"/>
      <c r="AA612" s="215"/>
      <c r="AB612" s="159"/>
    </row>
    <row r="613" spans="1:28" x14ac:dyDescent="0.25">
      <c r="A613" s="244" t="s">
        <v>602</v>
      </c>
      <c r="B613" s="31" t="s">
        <v>1223</v>
      </c>
      <c r="F613" s="31">
        <v>1</v>
      </c>
      <c r="K613" s="31">
        <v>0</v>
      </c>
      <c r="O613" s="42">
        <f>C613*Prislapp!$C$2+D613*Prislapp!$D$2+E613*Prislapp!$E$2+F613*Prislapp!$F$2+G613*Prislapp!$G$2+H613*Prislapp!$H$2+I613*Prislapp!$I$2+J613*Prislapp!$J$2+K613*Prislapp!$K$2+L613*Prislapp!$L$2+M613*Prislapp!$M$2+N613*Prislapp!$N$2</f>
        <v>23641</v>
      </c>
      <c r="P613" s="42">
        <f>C613*Prislapp!$C$3+D613*Prislapp!$D$3+E613*Prislapp!$E$3+F613*Prislapp!$F$3+G613*Prislapp!$G$3+H613*Prislapp!$H$3+I613*Prislapp!$I$3+J613*Prislapp!$J$3+K613*Prislapp!$K$3+M613*Prislapp!$M$3+N613*Prislapp!$N$3</f>
        <v>28786</v>
      </c>
      <c r="Q613" s="42">
        <f>C613*Prislapp!$C$5+D613*Prislapp!$D$5+E613*Prislapp!$E$5+F613*Prislapp!$F$5+G613*Prislapp!$G$5+H613*Prislapp!$H$5+I613*Prislapp!$I$5+J613*Prislapp!$J$5+K613*Prislapp!$K$5+L613*Prislapp!$L$5+M613*Prislapp!$M$5+N613*Prislapp!$N$5</f>
        <v>5800</v>
      </c>
      <c r="R613" s="9">
        <f>VLOOKUP(A613,'Ansvar kurs'!$A$2:$B$847,2,FALSE)</f>
        <v>1630</v>
      </c>
      <c r="X613" s="159"/>
      <c r="Y613" s="216"/>
      <c r="Z613" s="215"/>
      <c r="AA613" s="215"/>
      <c r="AB613" s="159"/>
    </row>
    <row r="614" spans="1:28" x14ac:dyDescent="0.25">
      <c r="A614" s="244" t="s">
        <v>1041</v>
      </c>
      <c r="B614" s="31" t="s">
        <v>1224</v>
      </c>
      <c r="F614" s="31">
        <v>1</v>
      </c>
      <c r="O614" s="42">
        <f>C614*Prislapp!$C$2+D614*Prislapp!$D$2+E614*Prislapp!$E$2+F614*Prislapp!$F$2+G614*Prislapp!$G$2+H614*Prislapp!$H$2+I614*Prislapp!$I$2+J614*Prislapp!$J$2+K614*Prislapp!$K$2+L614*Prislapp!$L$2+M614*Prislapp!$M$2+N614*Prislapp!$N$2</f>
        <v>23641</v>
      </c>
      <c r="P614" s="42">
        <f>C614*Prislapp!$C$3+D614*Prislapp!$D$3+E614*Prislapp!$E$3+F614*Prislapp!$F$3+G614*Prislapp!$G$3+H614*Prislapp!$H$3+I614*Prislapp!$I$3+J614*Prislapp!$J$3+K614*Prislapp!$K$3+M614*Prislapp!$M$3+N614*Prislapp!$N$3</f>
        <v>28786</v>
      </c>
      <c r="Q614" s="42">
        <f>C614*Prislapp!$C$5+D614*Prislapp!$D$5+E614*Prislapp!$E$5+F614*Prislapp!$F$5+G614*Prislapp!$G$5+H614*Prislapp!$H$5+I614*Prislapp!$I$5+J614*Prislapp!$J$5+K614*Prislapp!$K$5+L614*Prislapp!$L$5+M614*Prislapp!$M$5+N614*Prislapp!$N$5</f>
        <v>5800</v>
      </c>
      <c r="R614" s="9">
        <f>VLOOKUP(A614,'Ansvar kurs'!$A$2:$B$847,2,FALSE)</f>
        <v>1630</v>
      </c>
      <c r="X614" s="159"/>
      <c r="Y614" s="216"/>
      <c r="Z614" s="215"/>
      <c r="AA614" s="215"/>
      <c r="AB614" s="159"/>
    </row>
    <row r="615" spans="1:28" x14ac:dyDescent="0.25">
      <c r="A615" s="245" t="s">
        <v>1264</v>
      </c>
      <c r="B615" s="62" t="s">
        <v>1273</v>
      </c>
      <c r="F615" s="31">
        <v>1</v>
      </c>
      <c r="O615" s="42">
        <f>C615*Prislapp!$C$2+D615*Prislapp!$D$2+E615*Prislapp!$E$2+F615*Prislapp!$F$2+G615*Prislapp!$G$2+H615*Prislapp!$H$2+I615*Prislapp!$I$2+J615*Prislapp!$J$2+K615*Prislapp!$K$2+L615*Prislapp!$L$2+M615*Prislapp!$M$2+N615*Prislapp!$N$2</f>
        <v>23641</v>
      </c>
      <c r="P615" s="42">
        <f>C615*Prislapp!$C$3+D615*Prislapp!$D$3+E615*Prislapp!$E$3+F615*Prislapp!$F$3+G615*Prislapp!$G$3+H615*Prislapp!$H$3+I615*Prislapp!$I$3+J615*Prislapp!$J$3+K615*Prislapp!$K$3+M615*Prislapp!$M$3+N615*Prislapp!$N$3</f>
        <v>28786</v>
      </c>
      <c r="Q615" s="42">
        <f>C615*Prislapp!$C$5+D615*Prislapp!$D$5+E615*Prislapp!$E$5+F615*Prislapp!$F$5+G615*Prislapp!$G$5+H615*Prislapp!$H$5+I615*Prislapp!$I$5+J615*Prislapp!$J$5+K615*Prislapp!$K$5+L615*Prislapp!$L$5+M615*Prislapp!$M$5+N615*Prislapp!$N$5</f>
        <v>5800</v>
      </c>
      <c r="R615" s="9">
        <f>VLOOKUP(A615,'Ansvar kurs'!$A$2:$B$847,2,FALSE)</f>
        <v>1630</v>
      </c>
      <c r="X615" s="159"/>
      <c r="Y615" s="216"/>
      <c r="Z615" s="215"/>
      <c r="AA615" s="215"/>
      <c r="AB615" s="159"/>
    </row>
    <row r="616" spans="1:28" x14ac:dyDescent="0.25">
      <c r="A616" s="245" t="s">
        <v>1265</v>
      </c>
      <c r="B616" s="62" t="s">
        <v>1274</v>
      </c>
      <c r="F616" s="31">
        <v>1</v>
      </c>
      <c r="O616" s="42">
        <f>C616*Prislapp!$C$2+D616*Prislapp!$D$2+E616*Prislapp!$E$2+F616*Prislapp!$F$2+G616*Prislapp!$G$2+H616*Prislapp!$H$2+I616*Prislapp!$I$2+J616*Prislapp!$J$2+K616*Prislapp!$K$2+L616*Prislapp!$L$2+M616*Prislapp!$M$2+N616*Prislapp!$N$2</f>
        <v>23641</v>
      </c>
      <c r="P616" s="42">
        <f>C616*Prislapp!$C$3+D616*Prislapp!$D$3+E616*Prislapp!$E$3+F616*Prislapp!$F$3+G616*Prislapp!$G$3+H616*Prislapp!$H$3+I616*Prislapp!$I$3+J616*Prislapp!$J$3+K616*Prislapp!$K$3+M616*Prislapp!$M$3+N616*Prislapp!$N$3</f>
        <v>28786</v>
      </c>
      <c r="Q616" s="42">
        <f>C616*Prislapp!$C$5+D616*Prislapp!$D$5+E616*Prislapp!$E$5+F616*Prislapp!$F$5+G616*Prislapp!$G$5+H616*Prislapp!$H$5+I616*Prislapp!$I$5+J616*Prislapp!$J$5+K616*Prislapp!$K$5+L616*Prislapp!$L$5+M616*Prislapp!$M$5+N616*Prislapp!$N$5</f>
        <v>5800</v>
      </c>
      <c r="R616" s="9">
        <f>VLOOKUP(A616,'Ansvar kurs'!$A$2:$B$847,2,FALSE)</f>
        <v>1630</v>
      </c>
      <c r="X616" s="159"/>
      <c r="Y616" s="216"/>
      <c r="Z616" s="215"/>
      <c r="AA616" s="215"/>
      <c r="AB616" s="159"/>
    </row>
    <row r="617" spans="1:28" x14ac:dyDescent="0.25">
      <c r="A617" s="62" t="s">
        <v>964</v>
      </c>
      <c r="B617" s="31" t="s">
        <v>1225</v>
      </c>
      <c r="D617" s="31">
        <v>1</v>
      </c>
      <c r="O617" s="42">
        <f>C617*Prislapp!$C$2+D617*Prislapp!$D$2+E617*Prislapp!$E$2+F617*Prislapp!$F$2+G617*Prislapp!$G$2+H617*Prislapp!$H$2+I617*Prislapp!$I$2+J617*Prislapp!$J$2+K617*Prislapp!$K$2+L617*Prislapp!$L$2+M617*Prislapp!$M$2+N617*Prislapp!$N$2</f>
        <v>18405</v>
      </c>
      <c r="P617" s="42">
        <f>C617*Prislapp!$C$3+D617*Prislapp!$D$3+E617*Prislapp!$E$3+F617*Prislapp!$F$3+G617*Prislapp!$G$3+H617*Prislapp!$H$3+I617*Prislapp!$I$3+J617*Prislapp!$J$3+K617*Prislapp!$K$3+M617*Prislapp!$M$3+N617*Prislapp!$N$3</f>
        <v>15773</v>
      </c>
      <c r="Q617" s="42">
        <f>C617*Prislapp!$C$5+D617*Prislapp!$D$5+E617*Prislapp!$E$5+F617*Prislapp!$F$5+G617*Prislapp!$G$5+H617*Prislapp!$H$5+I617*Prislapp!$I$5+J617*Prislapp!$J$5+K617*Prislapp!$K$5+L617*Prislapp!$L$5+M617*Prislapp!$M$5+N617*Prislapp!$N$5</f>
        <v>5800</v>
      </c>
      <c r="R617" s="9">
        <f>VLOOKUP(A617,'Ansvar kurs'!$A$2:$B$847,2,FALSE)</f>
        <v>1630</v>
      </c>
      <c r="S617" s="159" t="s">
        <v>965</v>
      </c>
      <c r="T617" s="159"/>
      <c r="X617" s="159"/>
      <c r="Y617" s="216"/>
      <c r="Z617" s="215"/>
      <c r="AA617" s="215"/>
      <c r="AB617" s="159"/>
    </row>
    <row r="618" spans="1:28" x14ac:dyDescent="0.25">
      <c r="A618" s="62" t="s">
        <v>977</v>
      </c>
      <c r="B618" s="31" t="s">
        <v>1226</v>
      </c>
      <c r="K618" s="31">
        <v>1</v>
      </c>
      <c r="O618" s="42">
        <f>C618*Prislapp!$C$2+D618*Prislapp!$D$2+E618*Prislapp!$E$2+F618*Prislapp!$F$2+G618*Prislapp!$G$2+H618*Prislapp!$H$2+I618*Prislapp!$I$2+J618*Prislapp!$J$2+K618*Prislapp!$K$2+L618*Prislapp!$L$2+M618*Prislapp!$M$2+N618*Prislapp!$N$2</f>
        <v>21634</v>
      </c>
      <c r="P618" s="42">
        <f>C618*Prislapp!$C$3+D618*Prislapp!$D$3+E618*Prislapp!$E$3+F618*Prislapp!$F$3+G618*Prislapp!$G$3+H618*Prislapp!$H$3+I618*Prislapp!$I$3+J618*Prislapp!$J$3+K618*Prislapp!$K$3+M618*Prislapp!$M$3+N618*Prislapp!$N$3</f>
        <v>26986</v>
      </c>
      <c r="Q618" s="42">
        <f>C618*Prislapp!$C$5+D618*Prislapp!$D$5+E618*Prislapp!$E$5+F618*Prislapp!$F$5+G618*Prislapp!$G$5+H618*Prislapp!$H$5+I618*Prislapp!$I$5+J618*Prislapp!$J$5+K618*Prislapp!$K$5+L618*Prislapp!$L$5+M618*Prislapp!$M$5+N618*Prislapp!$N$5</f>
        <v>3400</v>
      </c>
      <c r="R618" s="9">
        <f>VLOOKUP(A618,'Ansvar kurs'!$A$2:$B$847,2,FALSE)</f>
        <v>1630</v>
      </c>
      <c r="S618" s="159"/>
      <c r="T618" s="159"/>
      <c r="X618" s="159"/>
      <c r="Y618" s="216"/>
      <c r="Z618" s="215"/>
      <c r="AA618" s="215"/>
      <c r="AB618" s="159"/>
    </row>
    <row r="619" spans="1:28" x14ac:dyDescent="0.25">
      <c r="A619" s="245" t="s">
        <v>1555</v>
      </c>
      <c r="B619" s="62" t="s">
        <v>1584</v>
      </c>
      <c r="D619" s="31">
        <v>1</v>
      </c>
      <c r="O619" s="42">
        <f>C619*Prislapp!$C$2+D619*Prislapp!$D$2+E619*Prislapp!$E$2+F619*Prislapp!$F$2+G619*Prislapp!$G$2+H619*Prislapp!$H$2+I619*Prislapp!$I$2+J619*Prislapp!$J$2+K619*Prislapp!$K$2+L619*Prislapp!$L$2+M619*Prislapp!$M$2+N619*Prislapp!$N$2</f>
        <v>18405</v>
      </c>
      <c r="P619" s="42">
        <f>C619*Prislapp!$C$3+D619*Prislapp!$D$3+E619*Prislapp!$E$3+F619*Prislapp!$F$3+G619*Prislapp!$G$3+H619*Prislapp!$H$3+I619*Prislapp!$I$3+J619*Prislapp!$J$3+K619*Prislapp!$K$3+M619*Prislapp!$M$3+N619*Prislapp!$N$3</f>
        <v>15773</v>
      </c>
      <c r="Q619" s="42">
        <f>C619*Prislapp!$C$5+D619*Prislapp!$D$5+E619*Prislapp!$E$5+F619*Prislapp!$F$5+G619*Prislapp!$G$5+H619*Prislapp!$H$5+I619*Prislapp!$I$5+J619*Prislapp!$J$5+K619*Prislapp!$K$5+L619*Prislapp!$L$5+M619*Prislapp!$M$5+N619*Prislapp!$N$5</f>
        <v>5800</v>
      </c>
      <c r="R619" s="9">
        <f>VLOOKUP(A619,'Ansvar kurs'!$A$2:$B$847,2,FALSE)</f>
        <v>1630</v>
      </c>
      <c r="S619" s="159"/>
      <c r="T619" s="159"/>
      <c r="X619" s="159"/>
      <c r="Y619" s="216"/>
      <c r="Z619" s="215"/>
      <c r="AA619" s="215"/>
      <c r="AB619" s="159"/>
    </row>
    <row r="620" spans="1:28" x14ac:dyDescent="0.25">
      <c r="A620" s="245" t="s">
        <v>1440</v>
      </c>
      <c r="B620" s="31" t="s">
        <v>1441</v>
      </c>
      <c r="K620" s="31">
        <v>1</v>
      </c>
      <c r="O620" s="42">
        <f>C620*Prislapp!$C$2+D620*Prislapp!$D$2+E620*Prislapp!$E$2+F620*Prislapp!$F$2+G620*Prislapp!$G$2+H620*Prislapp!$H$2+I620*Prislapp!$I$2+J620*Prislapp!$J$2+K620*Prislapp!$K$2+L620*Prislapp!$L$2+M620*Prislapp!$M$2+N620*Prislapp!$N$2</f>
        <v>21634</v>
      </c>
      <c r="P620" s="42">
        <f>C620*Prislapp!$C$3+D620*Prislapp!$D$3+E620*Prislapp!$E$3+F620*Prislapp!$F$3+G620*Prislapp!$G$3+H620*Prislapp!$H$3+I620*Prislapp!$I$3+J620*Prislapp!$J$3+K620*Prislapp!$K$3+M620*Prislapp!$M$3+N620*Prislapp!$N$3</f>
        <v>26986</v>
      </c>
      <c r="Q620" s="42">
        <f>C620*Prislapp!$C$5+D620*Prislapp!$D$5+E620*Prislapp!$E$5+F620*Prislapp!$F$5+G620*Prislapp!$G$5+H620*Prislapp!$H$5+I620*Prislapp!$I$5+J620*Prislapp!$J$5+K620*Prislapp!$K$5+L620*Prislapp!$L$5+M620*Prislapp!$M$5+N620*Prislapp!$N$5</f>
        <v>3400</v>
      </c>
      <c r="R620" s="9">
        <f>VLOOKUP(A620,'Ansvar kurs'!$A$2:$B$847,2,FALSE)</f>
        <v>1630</v>
      </c>
      <c r="S620" s="182" t="s">
        <v>1433</v>
      </c>
      <c r="T620" s="159" t="s">
        <v>1442</v>
      </c>
      <c r="X620" s="159"/>
      <c r="Y620" s="216"/>
      <c r="Z620" s="215"/>
      <c r="AA620" s="215"/>
      <c r="AB620" s="159"/>
    </row>
    <row r="621" spans="1:28" x14ac:dyDescent="0.25">
      <c r="A621" s="245" t="s">
        <v>1663</v>
      </c>
      <c r="B621" t="s">
        <v>1627</v>
      </c>
      <c r="D621" s="31">
        <v>1</v>
      </c>
      <c r="O621" s="42">
        <f>C621*Prislapp!$C$2+D621*Prislapp!$D$2+E621*Prislapp!$E$2+F621*Prislapp!$F$2+G621*Prislapp!$G$2+H621*Prislapp!$H$2+I621*Prislapp!$I$2+J621*Prislapp!$J$2+K621*Prislapp!$K$2+L621*Prislapp!$L$2+M621*Prislapp!$M$2+N621*Prislapp!$N$2</f>
        <v>18405</v>
      </c>
      <c r="P621" s="42">
        <f>C621*Prislapp!$C$3+D621*Prislapp!$D$3+E621*Prislapp!$E$3+F621*Prislapp!$F$3+G621*Prislapp!$G$3+H621*Prislapp!$H$3+I621*Prislapp!$I$3+J621*Prislapp!$J$3+K621*Prislapp!$K$3+M621*Prislapp!$M$3+N621*Prislapp!$N$3</f>
        <v>15773</v>
      </c>
      <c r="Q621" s="42">
        <f>C621*Prislapp!$C$5+D621*Prislapp!$D$5+E621*Prislapp!$E$5+F621*Prislapp!$F$5+G621*Prislapp!$G$5+H621*Prislapp!$H$5+I621*Prislapp!$I$5+J621*Prislapp!$J$5+K621*Prislapp!$K$5+L621*Prislapp!$L$5+M621*Prislapp!$M$5+N621*Prislapp!$N$5</f>
        <v>5800</v>
      </c>
      <c r="R621" s="9">
        <f>VLOOKUP(A621,'Ansvar kurs'!$A$2:$B$847,2,FALSE)</f>
        <v>1630</v>
      </c>
      <c r="S621" s="159"/>
      <c r="T621" s="159"/>
      <c r="U621" s="159"/>
      <c r="V621" s="159"/>
      <c r="W621" s="159"/>
      <c r="X621" s="159"/>
      <c r="Y621" s="159"/>
      <c r="Z621" s="159"/>
    </row>
    <row r="622" spans="1:28" x14ac:dyDescent="0.25">
      <c r="A622" s="245" t="s">
        <v>1664</v>
      </c>
      <c r="B622" t="s">
        <v>1628</v>
      </c>
      <c r="D622" s="31">
        <v>1</v>
      </c>
      <c r="O622" s="42">
        <f>C622*Prislapp!$C$2+D622*Prislapp!$D$2+E622*Prislapp!$E$2+F622*Prislapp!$F$2+G622*Prislapp!$G$2+H622*Prislapp!$H$2+I622*Prislapp!$I$2+J622*Prislapp!$J$2+K622*Prislapp!$K$2+L622*Prislapp!$L$2+M622*Prislapp!$M$2+N622*Prislapp!$N$2</f>
        <v>18405</v>
      </c>
      <c r="P622" s="42">
        <f>C622*Prislapp!$C$3+D622*Prislapp!$D$3+E622*Prislapp!$E$3+F622*Prislapp!$F$3+G622*Prislapp!$G$3+H622*Prislapp!$H$3+I622*Prislapp!$I$3+J622*Prislapp!$J$3+K622*Prislapp!$K$3+M622*Prislapp!$M$3+N622*Prislapp!$N$3</f>
        <v>15773</v>
      </c>
      <c r="Q622" s="42">
        <f>C622*Prislapp!$C$5+D622*Prislapp!$D$5+E622*Prislapp!$E$5+F622*Prislapp!$F$5+G622*Prislapp!$G$5+H622*Prislapp!$H$5+I622*Prislapp!$I$5+J622*Prislapp!$J$5+K622*Prislapp!$K$5+L622*Prislapp!$L$5+M622*Prislapp!$M$5+N622*Prislapp!$N$5</f>
        <v>5800</v>
      </c>
      <c r="R622" s="9">
        <f>VLOOKUP(A622,'Ansvar kurs'!$A$2:$B$847,2,FALSE)</f>
        <v>1630</v>
      </c>
      <c r="S622" s="159"/>
      <c r="T622" s="159"/>
      <c r="U622" s="159"/>
      <c r="V622" s="159"/>
      <c r="W622" s="159"/>
      <c r="X622" s="159"/>
      <c r="Y622" s="159"/>
      <c r="Z622" s="159"/>
    </row>
    <row r="623" spans="1:28" x14ac:dyDescent="0.25">
      <c r="A623" s="245" t="s">
        <v>1665</v>
      </c>
      <c r="B623" t="s">
        <v>1629</v>
      </c>
      <c r="D623" s="31">
        <v>1</v>
      </c>
      <c r="O623" s="42">
        <f>C623*Prislapp!$C$2+D623*Prislapp!$D$2+E623*Prislapp!$E$2+F623*Prislapp!$F$2+G623*Prislapp!$G$2+H623*Prislapp!$H$2+I623*Prislapp!$I$2+J623*Prislapp!$J$2+K623*Prislapp!$K$2+L623*Prislapp!$L$2+M623*Prislapp!$M$2+N623*Prislapp!$N$2</f>
        <v>18405</v>
      </c>
      <c r="P623" s="42">
        <f>C623*Prislapp!$C$3+D623*Prislapp!$D$3+E623*Prislapp!$E$3+F623*Prislapp!$F$3+G623*Prislapp!$G$3+H623*Prislapp!$H$3+I623*Prislapp!$I$3+J623*Prislapp!$J$3+K623*Prislapp!$K$3+M623*Prislapp!$M$3+N623*Prislapp!$N$3</f>
        <v>15773</v>
      </c>
      <c r="Q623" s="42">
        <f>C623*Prislapp!$C$5+D623*Prislapp!$D$5+E623*Prislapp!$E$5+F623*Prislapp!$F$5+G623*Prislapp!$G$5+H623*Prislapp!$H$5+I623*Prislapp!$I$5+J623*Prislapp!$J$5+K623*Prislapp!$K$5+L623*Prislapp!$L$5+M623*Prislapp!$M$5+N623*Prislapp!$N$5</f>
        <v>5800</v>
      </c>
      <c r="R623" s="9">
        <f>VLOOKUP(A623,'Ansvar kurs'!$A$2:$B$847,2,FALSE)</f>
        <v>1630</v>
      </c>
      <c r="S623" s="159"/>
      <c r="T623" s="159"/>
      <c r="U623" s="159"/>
      <c r="V623" s="159"/>
      <c r="W623" s="159"/>
      <c r="X623" s="159"/>
      <c r="Y623" s="159"/>
      <c r="Z623" s="159"/>
    </row>
    <row r="624" spans="1:28" x14ac:dyDescent="0.25">
      <c r="A624" s="245" t="s">
        <v>1666</v>
      </c>
      <c r="B624" t="s">
        <v>1630</v>
      </c>
      <c r="D624" s="31">
        <v>1</v>
      </c>
      <c r="O624" s="42">
        <f>C624*Prislapp!$C$2+D624*Prislapp!$D$2+E624*Prislapp!$E$2+F624*Prislapp!$F$2+G624*Prislapp!$G$2+H624*Prislapp!$H$2+I624*Prislapp!$I$2+J624*Prislapp!$J$2+K624*Prislapp!$K$2+L624*Prislapp!$L$2+M624*Prislapp!$M$2+N624*Prislapp!$N$2</f>
        <v>18405</v>
      </c>
      <c r="P624" s="42">
        <f>C624*Prislapp!$C$3+D624*Prislapp!$D$3+E624*Prislapp!$E$3+F624*Prislapp!$F$3+G624*Prislapp!$G$3+H624*Prislapp!$H$3+I624*Prislapp!$I$3+J624*Prislapp!$J$3+K624*Prislapp!$K$3+M624*Prislapp!$M$3+N624*Prislapp!$N$3</f>
        <v>15773</v>
      </c>
      <c r="Q624" s="42">
        <f>C624*Prislapp!$C$5+D624*Prislapp!$D$5+E624*Prislapp!$E$5+F624*Prislapp!$F$5+G624*Prislapp!$G$5+H624*Prislapp!$H$5+I624*Prislapp!$I$5+J624*Prislapp!$J$5+K624*Prislapp!$K$5+L624*Prislapp!$L$5+M624*Prislapp!$M$5+N624*Prislapp!$N$5</f>
        <v>5800</v>
      </c>
      <c r="R624" s="9">
        <f>VLOOKUP(A624,'Ansvar kurs'!$A$2:$B$847,2,FALSE)</f>
        <v>1630</v>
      </c>
      <c r="S624" s="159"/>
      <c r="T624" s="159"/>
      <c r="U624" s="159"/>
      <c r="V624" s="159"/>
      <c r="W624" s="159"/>
      <c r="X624" s="159"/>
      <c r="Y624" s="159"/>
      <c r="Z624" s="159"/>
    </row>
    <row r="625" spans="1:26" x14ac:dyDescent="0.25">
      <c r="A625" s="245" t="s">
        <v>1667</v>
      </c>
      <c r="B625" t="s">
        <v>1626</v>
      </c>
      <c r="D625" s="31">
        <v>1</v>
      </c>
      <c r="O625" s="42">
        <f>C625*Prislapp!$C$2+D625*Prislapp!$D$2+E625*Prislapp!$E$2+F625*Prislapp!$F$2+G625*Prislapp!$G$2+H625*Prislapp!$H$2+I625*Prislapp!$I$2+J625*Prislapp!$J$2+K625*Prislapp!$K$2+L625*Prislapp!$L$2+M625*Prislapp!$M$2+N625*Prislapp!$N$2</f>
        <v>18405</v>
      </c>
      <c r="P625" s="42">
        <f>C625*Prislapp!$C$3+D625*Prislapp!$D$3+E625*Prislapp!$E$3+F625*Prislapp!$F$3+G625*Prislapp!$G$3+H625*Prislapp!$H$3+I625*Prislapp!$I$3+J625*Prislapp!$J$3+K625*Prislapp!$K$3+M625*Prislapp!$M$3+N625*Prislapp!$N$3</f>
        <v>15773</v>
      </c>
      <c r="Q625" s="42">
        <f>C625*Prislapp!$C$5+D625*Prislapp!$D$5+E625*Prislapp!$E$5+F625*Prislapp!$F$5+G625*Prislapp!$G$5+H625*Prislapp!$H$5+I625*Prislapp!$I$5+J625*Prislapp!$J$5+K625*Prislapp!$K$5+L625*Prislapp!$L$5+M625*Prislapp!$M$5+N625*Prislapp!$N$5</f>
        <v>5800</v>
      </c>
      <c r="R625" s="9">
        <f>VLOOKUP(A625,'Ansvar kurs'!$A$2:$B$847,2,FALSE)</f>
        <v>1630</v>
      </c>
      <c r="S625" s="159"/>
      <c r="T625" s="159"/>
      <c r="U625" s="159"/>
      <c r="V625" s="159"/>
      <c r="W625" s="159"/>
      <c r="X625" s="159"/>
      <c r="Y625" s="159"/>
      <c r="Z625" s="159"/>
    </row>
    <row r="626" spans="1:26" x14ac:dyDescent="0.25">
      <c r="A626" s="245" t="s">
        <v>1805</v>
      </c>
      <c r="B626" t="s">
        <v>1813</v>
      </c>
      <c r="K626" s="31">
        <v>1</v>
      </c>
      <c r="O626" s="42">
        <f>C626*Prislapp!$C$2+D626*Prislapp!$D$2+E626*Prislapp!$E$2+F626*Prislapp!$F$2+G626*Prislapp!$G$2+H626*Prislapp!$H$2+I626*Prislapp!$I$2+J626*Prislapp!$J$2+K626*Prislapp!$K$2+L626*Prislapp!$L$2+M626*Prislapp!$M$2+N626*Prislapp!$N$2</f>
        <v>21634</v>
      </c>
      <c r="P626" s="42">
        <f>C626*Prislapp!$C$3+D626*Prislapp!$D$3+E626*Prislapp!$E$3+F626*Prislapp!$F$3+G626*Prislapp!$G$3+H626*Prislapp!$H$3+I626*Prislapp!$I$3+J626*Prislapp!$J$3+K626*Prislapp!$K$3+M626*Prislapp!$M$3+N626*Prislapp!$N$3</f>
        <v>26986</v>
      </c>
      <c r="Q626" s="42">
        <f>C626*Prislapp!$C$5+D626*Prislapp!$D$5+E626*Prislapp!$E$5+F626*Prislapp!$F$5+G626*Prislapp!$G$5+H626*Prislapp!$H$5+I626*Prislapp!$I$5+J626*Prislapp!$J$5+K626*Prislapp!$K$5+L626*Prislapp!$L$5+M626*Prislapp!$M$5+N626*Prislapp!$N$5</f>
        <v>3400</v>
      </c>
      <c r="R626" s="9">
        <f>VLOOKUP(A626,'Ansvar kurs'!$A$2:$B$847,2,FALSE)</f>
        <v>1630</v>
      </c>
      <c r="S626" s="159"/>
      <c r="T626" s="159"/>
      <c r="U626" s="159"/>
      <c r="V626" s="159"/>
      <c r="W626" s="159"/>
      <c r="X626" s="159"/>
      <c r="Y626" s="159"/>
      <c r="Z626" s="159"/>
    </row>
    <row r="627" spans="1:26" x14ac:dyDescent="0.25">
      <c r="A627" s="245" t="s">
        <v>1965</v>
      </c>
      <c r="B627" s="31" t="s">
        <v>1975</v>
      </c>
      <c r="K627" s="31">
        <v>1</v>
      </c>
      <c r="O627" s="42">
        <f>C627*Prislapp!$C$2+D627*Prislapp!$D$2+E627*Prislapp!$E$2+F627*Prislapp!$F$2+G627*Prislapp!$G$2+H627*Prislapp!$H$2+I627*Prislapp!$I$2+J627*Prislapp!$J$2+K627*Prislapp!$K$2+L627*Prislapp!$L$2+M627*Prislapp!$M$2+N627*Prislapp!$N$2</f>
        <v>21634</v>
      </c>
      <c r="P627" s="42">
        <f>C627*Prislapp!$C$3+D627*Prislapp!$D$3+E627*Prislapp!$E$3+F627*Prislapp!$F$3+G627*Prislapp!$G$3+H627*Prislapp!$H$3+I627*Prislapp!$I$3+J627*Prislapp!$J$3+K627*Prislapp!$K$3+M627*Prislapp!$M$3+N627*Prislapp!$N$3</f>
        <v>26986</v>
      </c>
      <c r="Q627" s="42">
        <f>C627*Prislapp!$C$5+D627*Prislapp!$D$5+E627*Prislapp!$E$5+F627*Prislapp!$F$5+G627*Prislapp!$G$5+H627*Prislapp!$H$5+I627*Prislapp!$I$5+J627*Prislapp!$J$5+K627*Prislapp!$K$5+L627*Prislapp!$L$5+M627*Prislapp!$M$5+N627*Prislapp!$N$5</f>
        <v>3400</v>
      </c>
      <c r="R627" s="9">
        <f>VLOOKUP(A627,'Ansvar kurs'!$A$2:$B$847,2,FALSE)</f>
        <v>1630</v>
      </c>
      <c r="S627" s="159"/>
      <c r="T627" s="159"/>
      <c r="U627" s="159"/>
      <c r="V627" s="159"/>
      <c r="W627" s="159"/>
      <c r="X627" s="159"/>
      <c r="Y627" s="159"/>
      <c r="Z627" s="159"/>
    </row>
    <row r="628" spans="1:26" x14ac:dyDescent="0.25">
      <c r="A628" s="245" t="s">
        <v>1943</v>
      </c>
      <c r="B628" t="s">
        <v>1949</v>
      </c>
      <c r="D628" s="31">
        <v>1</v>
      </c>
      <c r="O628" s="42">
        <f>C628*Prislapp!$C$2+D628*Prislapp!$D$2+E628*Prislapp!$E$2+F628*Prislapp!$F$2+G628*Prislapp!$G$2+H628*Prislapp!$H$2+I628*Prislapp!$I$2+J628*Prislapp!$J$2+K628*Prislapp!$K$2+L628*Prislapp!$L$2+M628*Prislapp!$M$2+N628*Prislapp!$N$2</f>
        <v>18405</v>
      </c>
      <c r="P628" s="42">
        <f>C628*Prislapp!$C$3+D628*Prislapp!$D$3+E628*Prislapp!$E$3+F628*Prislapp!$F$3+G628*Prislapp!$G$3+H628*Prislapp!$H$3+I628*Prislapp!$I$3+J628*Prislapp!$J$3+K628*Prislapp!$K$3+M628*Prislapp!$M$3+N628*Prislapp!$N$3</f>
        <v>15773</v>
      </c>
      <c r="Q628" s="42">
        <f>C628*Prislapp!$C$5+D628*Prislapp!$D$5+E628*Prislapp!$E$5+F628*Prislapp!$F$5+G628*Prislapp!$G$5+H628*Prislapp!$H$5+I628*Prislapp!$I$5+J628*Prislapp!$J$5+K628*Prislapp!$K$5+L628*Prislapp!$L$5+M628*Prislapp!$M$5+N628*Prislapp!$N$5</f>
        <v>5800</v>
      </c>
      <c r="R628" s="9">
        <f>VLOOKUP(A628,'Ansvar kurs'!$A$2:$B$847,2,FALSE)</f>
        <v>1630</v>
      </c>
      <c r="S628" s="159"/>
      <c r="T628" s="159"/>
      <c r="U628" s="159"/>
      <c r="V628" s="159"/>
      <c r="W628" s="159"/>
      <c r="X628" s="159"/>
      <c r="Y628" s="159"/>
      <c r="Z628" s="159"/>
    </row>
    <row r="629" spans="1:26" x14ac:dyDescent="0.25">
      <c r="A629" s="245" t="s">
        <v>2061</v>
      </c>
      <c r="B629" t="s">
        <v>2074</v>
      </c>
      <c r="D629" s="31">
        <v>1</v>
      </c>
      <c r="O629" s="42">
        <f>C629*Prislapp!$C$2+D629*Prislapp!$D$2+E629*Prislapp!$E$2+F629*Prislapp!$F$2+G629*Prislapp!$G$2+H629*Prislapp!$H$2+I629*Prislapp!$I$2+J629*Prislapp!$J$2+K629*Prislapp!$K$2+L629*Prislapp!$L$2+M629*Prislapp!$M$2+N629*Prislapp!$N$2</f>
        <v>18405</v>
      </c>
      <c r="P629" s="42">
        <f>C629*Prislapp!$C$3+D629*Prislapp!$D$3+E629*Prislapp!$E$3+F629*Prislapp!$F$3+G629*Prislapp!$G$3+H629*Prislapp!$H$3+I629*Prislapp!$I$3+J629*Prislapp!$J$3+K629*Prislapp!$K$3+M629*Prislapp!$M$3+N629*Prislapp!$N$3</f>
        <v>15773</v>
      </c>
      <c r="Q629" s="42">
        <f>C629*Prislapp!$C$5+D629*Prislapp!$D$5+E629*Prislapp!$E$5+F629*Prislapp!$F$5+G629*Prislapp!$G$5+H629*Prislapp!$H$5+I629*Prislapp!$I$5+J629*Prislapp!$J$5+K629*Prislapp!$K$5+L629*Prislapp!$L$5+M629*Prislapp!$M$5+N629*Prislapp!$N$5</f>
        <v>5800</v>
      </c>
      <c r="R629" s="9">
        <f>VLOOKUP(A629,'Ansvar kurs'!$A$2:$B$847,2,FALSE)</f>
        <v>1630</v>
      </c>
      <c r="S629" s="159"/>
      <c r="T629" s="159"/>
      <c r="U629" s="159"/>
      <c r="V629" s="159"/>
      <c r="W629" s="159"/>
      <c r="X629" s="159"/>
      <c r="Y629" s="159"/>
      <c r="Z629" s="159"/>
    </row>
    <row r="630" spans="1:26" x14ac:dyDescent="0.25">
      <c r="A630" s="245" t="s">
        <v>2062</v>
      </c>
      <c r="B630" t="s">
        <v>2075</v>
      </c>
      <c r="D630" s="31">
        <v>1</v>
      </c>
      <c r="O630" s="42">
        <f>C630*Prislapp!$C$2+D630*Prislapp!$D$2+E630*Prislapp!$E$2+F630*Prislapp!$F$2+G630*Prislapp!$G$2+H630*Prislapp!$H$2+I630*Prislapp!$I$2+J630*Prislapp!$J$2+K630*Prislapp!$K$2+L630*Prislapp!$L$2+M630*Prislapp!$M$2+N630*Prislapp!$N$2</f>
        <v>18405</v>
      </c>
      <c r="P630" s="42">
        <f>C630*Prislapp!$C$3+D630*Prislapp!$D$3+E630*Prislapp!$E$3+F630*Prislapp!$F$3+G630*Prislapp!$G$3+H630*Prislapp!$H$3+I630*Prislapp!$I$3+J630*Prislapp!$J$3+K630*Prislapp!$K$3+M630*Prislapp!$M$3+N630*Prislapp!$N$3</f>
        <v>15773</v>
      </c>
      <c r="Q630" s="42">
        <f>C630*Prislapp!$C$5+D630*Prislapp!$D$5+E630*Prislapp!$E$5+F630*Prislapp!$F$5+G630*Prislapp!$G$5+H630*Prislapp!$H$5+I630*Prislapp!$I$5+J630*Prislapp!$J$5+K630*Prislapp!$K$5+L630*Prislapp!$L$5+M630*Prislapp!$M$5+N630*Prislapp!$N$5</f>
        <v>5800</v>
      </c>
      <c r="R630" s="9">
        <f>VLOOKUP(A630,'Ansvar kurs'!$A$2:$B$847,2,FALSE)</f>
        <v>1630</v>
      </c>
      <c r="S630" s="159"/>
      <c r="T630" s="159"/>
      <c r="U630" s="159"/>
      <c r="V630" s="159"/>
      <c r="W630" s="159"/>
      <c r="X630" s="159"/>
      <c r="Y630" s="159"/>
      <c r="Z630" s="159"/>
    </row>
    <row r="631" spans="1:26" x14ac:dyDescent="0.25">
      <c r="A631" s="245" t="s">
        <v>2094</v>
      </c>
      <c r="B631" s="39" t="s">
        <v>2095</v>
      </c>
      <c r="D631" s="31">
        <v>1</v>
      </c>
      <c r="O631" s="42">
        <f>C631*Prislapp!$C$2+D631*Prislapp!$D$2+E631*Prislapp!$E$2+F631*Prislapp!$F$2+G631*Prislapp!$G$2+H631*Prislapp!$H$2+I631*Prislapp!$I$2+J631*Prislapp!$J$2+K631*Prislapp!$K$2+L631*Prislapp!$L$2+M631*Prislapp!$M$2+N631*Prislapp!$N$2</f>
        <v>18405</v>
      </c>
      <c r="P631" s="42">
        <f>C631*Prislapp!$C$3+D631*Prislapp!$D$3+E631*Prislapp!$E$3+F631*Prislapp!$F$3+G631*Prislapp!$G$3+H631*Prislapp!$H$3+I631*Prislapp!$I$3+J631*Prislapp!$J$3+K631*Prislapp!$K$3+M631*Prislapp!$M$3+N631*Prislapp!$N$3</f>
        <v>15773</v>
      </c>
      <c r="Q631" s="42">
        <f>C631*Prislapp!$C$5+D631*Prislapp!$D$5+E631*Prislapp!$E$5+F631*Prislapp!$F$5+G631*Prislapp!$G$5+H631*Prislapp!$H$5+I631*Prislapp!$I$5+J631*Prislapp!$J$5+K631*Prislapp!$K$5+L631*Prislapp!$L$5+M631*Prislapp!$M$5+N631*Prislapp!$N$5</f>
        <v>5800</v>
      </c>
      <c r="R631" s="9">
        <f>VLOOKUP(A631,'Ansvar kurs'!$A$2:$B$847,2,FALSE)</f>
        <v>1630</v>
      </c>
      <c r="S631" s="159"/>
      <c r="T631" s="159"/>
      <c r="U631" s="159"/>
      <c r="V631" s="159"/>
      <c r="W631" s="159"/>
      <c r="X631" s="159"/>
      <c r="Y631" s="159"/>
      <c r="Z631" s="159"/>
    </row>
    <row r="632" spans="1:26" x14ac:dyDescent="0.25">
      <c r="A632" s="62" t="s">
        <v>877</v>
      </c>
      <c r="B632" s="31" t="s">
        <v>1227</v>
      </c>
      <c r="D632" s="31">
        <v>1</v>
      </c>
      <c r="O632" s="42">
        <f>C632*Prislapp!$C$2+D632*Prislapp!$D$2+E632*Prislapp!$E$2+F632*Prislapp!$F$2+G632*Prislapp!$G$2+H632*Prislapp!$H$2+I632*Prislapp!$I$2+J632*Prislapp!$J$2+K632*Prislapp!$K$2+L632*Prislapp!$L$2+M632*Prislapp!$M$2+N632*Prislapp!$N$2</f>
        <v>18405</v>
      </c>
      <c r="P632" s="42">
        <f>C632*Prislapp!$C$3+D632*Prislapp!$D$3+E632*Prislapp!$E$3+F632*Prislapp!$F$3+G632*Prislapp!$G$3+H632*Prislapp!$H$3+I632*Prislapp!$I$3+J632*Prislapp!$J$3+K632*Prislapp!$K$3+M632*Prislapp!$M$3+N632*Prislapp!$N$3</f>
        <v>15773</v>
      </c>
      <c r="Q632" s="42">
        <f>C632*Prislapp!$C$5+D632*Prislapp!$D$5+E632*Prislapp!$E$5+F632*Prislapp!$F$5+G632*Prislapp!$G$5+H632*Prislapp!$H$5+I632*Prislapp!$I$5+J632*Prislapp!$J$5+K632*Prislapp!$K$5+L632*Prislapp!$L$5+M632*Prislapp!$M$5+N632*Prislapp!$N$5</f>
        <v>5800</v>
      </c>
      <c r="R632" s="9">
        <f>VLOOKUP(A632,'Ansvar kurs'!$A$2:$B$847,2,FALSE)</f>
        <v>1620</v>
      </c>
    </row>
    <row r="633" spans="1:26" x14ac:dyDescent="0.25">
      <c r="A633" s="62" t="s">
        <v>878</v>
      </c>
      <c r="B633" s="31" t="s">
        <v>1228</v>
      </c>
      <c r="D633" s="31">
        <v>1</v>
      </c>
      <c r="O633" s="42">
        <f>C633*Prislapp!$C$2+D633*Prislapp!$D$2+E633*Prislapp!$E$2+F633*Prislapp!$F$2+G633*Prislapp!$G$2+H633*Prislapp!$H$2+I633*Prislapp!$I$2+J633*Prislapp!$J$2+K633*Prislapp!$K$2+L633*Prislapp!$L$2+M633*Prislapp!$M$2+N633*Prislapp!$N$2</f>
        <v>18405</v>
      </c>
      <c r="P633" s="42">
        <f>C633*Prislapp!$C$3+D633*Prislapp!$D$3+E633*Prislapp!$E$3+F633*Prislapp!$F$3+G633*Prislapp!$G$3+H633*Prislapp!$H$3+I633*Prislapp!$I$3+J633*Prislapp!$J$3+K633*Prislapp!$K$3+M633*Prislapp!$M$3+N633*Prislapp!$N$3</f>
        <v>15773</v>
      </c>
      <c r="Q633" s="42">
        <f>C633*Prislapp!$C$5+D633*Prislapp!$D$5+E633*Prislapp!$E$5+F633*Prislapp!$F$5+G633*Prislapp!$G$5+H633*Prislapp!$H$5+I633*Prislapp!$I$5+J633*Prislapp!$J$5+K633*Prislapp!$K$5+L633*Prislapp!$L$5+M633*Prislapp!$M$5+N633*Prislapp!$N$5</f>
        <v>5800</v>
      </c>
      <c r="R633" s="9">
        <f>VLOOKUP(A633,'Ansvar kurs'!$A$2:$B$847,2,FALSE)</f>
        <v>1620</v>
      </c>
    </row>
    <row r="634" spans="1:26" x14ac:dyDescent="0.25">
      <c r="A634" s="62" t="s">
        <v>1042</v>
      </c>
      <c r="B634" s="31" t="s">
        <v>1066</v>
      </c>
      <c r="D634" s="31">
        <v>1</v>
      </c>
      <c r="O634" s="42">
        <f>C634*Prislapp!$C$2+D634*Prislapp!$D$2+E634*Prislapp!$E$2+F634*Prislapp!$F$2+G634*Prislapp!$G$2+H634*Prislapp!$H$2+I634*Prislapp!$I$2+J634*Prislapp!$J$2+K634*Prislapp!$K$2+L634*Prislapp!$L$2+M634*Prislapp!$M$2+N634*Prislapp!$N$2</f>
        <v>18405</v>
      </c>
      <c r="P634" s="42">
        <f>C634*Prislapp!$C$3+D634*Prislapp!$D$3+E634*Prislapp!$E$3+F634*Prislapp!$F$3+G634*Prislapp!$G$3+H634*Prislapp!$H$3+I634*Prislapp!$I$3+J634*Prislapp!$J$3+K634*Prislapp!$K$3+M634*Prislapp!$M$3+N634*Prislapp!$N$3</f>
        <v>15773</v>
      </c>
      <c r="Q634" s="42">
        <f>C634*Prislapp!$C$5+D634*Prislapp!$D$5+E634*Prislapp!$E$5+F634*Prislapp!$F$5+G634*Prislapp!$G$5+H634*Prislapp!$H$5+I634*Prislapp!$I$5+J634*Prislapp!$J$5+K634*Prislapp!$K$5+L634*Prislapp!$L$5+M634*Prislapp!$M$5+N634*Prislapp!$N$5</f>
        <v>5800</v>
      </c>
      <c r="R634" s="9">
        <f>VLOOKUP(A634,'Ansvar kurs'!$A$2:$B$847,2,FALSE)</f>
        <v>1620</v>
      </c>
    </row>
    <row r="635" spans="1:26" x14ac:dyDescent="0.25">
      <c r="A635" s="62" t="s">
        <v>1730</v>
      </c>
      <c r="B635" s="31" t="s">
        <v>1738</v>
      </c>
      <c r="D635" s="31">
        <v>1</v>
      </c>
      <c r="O635" s="42">
        <f>C635*Prislapp!$C$2+D635*Prislapp!$D$2+E635*Prislapp!$E$2+F635*Prislapp!$F$2+G635*Prislapp!$G$2+H635*Prislapp!$H$2+I635*Prislapp!$I$2+J635*Prislapp!$J$2+K635*Prislapp!$K$2+L635*Prislapp!$L$2+M635*Prislapp!$M$2+N635*Prislapp!$N$2</f>
        <v>18405</v>
      </c>
      <c r="P635" s="42">
        <f>C635*Prislapp!$C$3+D635*Prislapp!$D$3+E635*Prislapp!$E$3+F635*Prislapp!$F$3+G635*Prislapp!$G$3+H635*Prislapp!$H$3+I635*Prislapp!$I$3+J635*Prislapp!$J$3+K635*Prislapp!$K$3+M635*Prislapp!$M$3+N635*Prislapp!$N$3</f>
        <v>15773</v>
      </c>
      <c r="Q635" s="42">
        <f>C635*Prislapp!$C$5+D635*Prislapp!$D$5+E635*Prislapp!$E$5+F635*Prislapp!$F$5+G635*Prislapp!$G$5+H635*Prislapp!$H$5+I635*Prislapp!$I$5+J635*Prislapp!$J$5+K635*Prislapp!$K$5+L635*Prislapp!$L$5+M635*Prislapp!$M$5+N635*Prislapp!$N$5</f>
        <v>5800</v>
      </c>
      <c r="R635" s="9">
        <f>VLOOKUP(A635,'Ansvar kurs'!$A$2:$B$847,2,FALSE)</f>
        <v>1620</v>
      </c>
    </row>
    <row r="636" spans="1:26" x14ac:dyDescent="0.25">
      <c r="A636" s="62" t="s">
        <v>1731</v>
      </c>
      <c r="B636" s="31" t="s">
        <v>1739</v>
      </c>
      <c r="D636" s="31">
        <v>1</v>
      </c>
      <c r="O636" s="42">
        <f>C636*Prislapp!$C$2+D636*Prislapp!$D$2+E636*Prislapp!$E$2+F636*Prislapp!$F$2+G636*Prislapp!$G$2+H636*Prislapp!$H$2+I636*Prislapp!$I$2+J636*Prislapp!$J$2+K636*Prislapp!$K$2+L636*Prislapp!$L$2+M636*Prislapp!$M$2+N636*Prislapp!$N$2</f>
        <v>18405</v>
      </c>
      <c r="P636" s="42">
        <f>C636*Prislapp!$C$3+D636*Prislapp!$D$3+E636*Prislapp!$E$3+F636*Prislapp!$F$3+G636*Prislapp!$G$3+H636*Prislapp!$H$3+I636*Prislapp!$I$3+J636*Prislapp!$J$3+K636*Prislapp!$K$3+M636*Prislapp!$M$3+N636*Prislapp!$N$3</f>
        <v>15773</v>
      </c>
      <c r="Q636" s="42">
        <f>C636*Prislapp!$C$5+D636*Prislapp!$D$5+E636*Prislapp!$E$5+F636*Prislapp!$F$5+G636*Prislapp!$G$5+H636*Prislapp!$H$5+I636*Prislapp!$I$5+J636*Prislapp!$J$5+K636*Prislapp!$K$5+L636*Prislapp!$L$5+M636*Prislapp!$M$5+N636*Prislapp!$N$5</f>
        <v>5800</v>
      </c>
      <c r="R636" s="9">
        <f>VLOOKUP(A636,'Ansvar kurs'!$A$2:$B$847,2,FALSE)</f>
        <v>1620</v>
      </c>
    </row>
    <row r="637" spans="1:26" x14ac:dyDescent="0.25">
      <c r="A637" s="62" t="s">
        <v>1896</v>
      </c>
      <c r="B637" s="31" t="s">
        <v>1891</v>
      </c>
      <c r="K637" s="31">
        <v>1</v>
      </c>
      <c r="O637" s="42">
        <f>C637*Prislapp!$C$2+D637*Prislapp!$D$2+E637*Prislapp!$E$2+F637*Prislapp!$F$2+G637*Prislapp!$G$2+H637*Prislapp!$H$2+I637*Prislapp!$I$2+J637*Prislapp!$J$2+K637*Prislapp!$K$2+L637*Prislapp!$L$2+M637*Prislapp!$M$2+N637*Prislapp!$N$2</f>
        <v>21634</v>
      </c>
      <c r="P637" s="42">
        <f>C637*Prislapp!$C$3+D637*Prislapp!$D$3+E637*Prislapp!$E$3+F637*Prislapp!$F$3+G637*Prislapp!$G$3+H637*Prislapp!$H$3+I637*Prislapp!$I$3+J637*Prislapp!$J$3+K637*Prislapp!$K$3+M637*Prislapp!$M$3+N637*Prislapp!$N$3</f>
        <v>26986</v>
      </c>
      <c r="Q637" s="42">
        <f>C637*Prislapp!$C$5+D637*Prislapp!$D$5+E637*Prislapp!$E$5+F637*Prislapp!$F$5+G637*Prislapp!$G$5+H637*Prislapp!$H$5+I637*Prislapp!$I$5+J637*Prislapp!$J$5+K637*Prislapp!$K$5+L637*Prislapp!$L$5+M637*Prislapp!$M$5+N637*Prislapp!$N$5</f>
        <v>3400</v>
      </c>
      <c r="R637" s="9">
        <f>VLOOKUP(A637,'Ansvar kurs'!$A$2:$B$847,2,FALSE)</f>
        <v>1620</v>
      </c>
    </row>
    <row r="638" spans="1:26" x14ac:dyDescent="0.25">
      <c r="A638" s="62" t="s">
        <v>2146</v>
      </c>
      <c r="B638" s="31" t="s">
        <v>2149</v>
      </c>
      <c r="D638" s="59">
        <v>1</v>
      </c>
      <c r="O638" s="42">
        <f>C638*Prislapp!$C$2+D638*Prislapp!$D$2+E638*Prislapp!$E$2+F638*Prislapp!$F$2+G638*Prislapp!$G$2+H638*Prislapp!$H$2+I638*Prislapp!$I$2+J638*Prislapp!$J$2+K638*Prislapp!$K$2+L638*Prislapp!$L$2+M638*Prislapp!$M$2+N638*Prislapp!$N$2</f>
        <v>18405</v>
      </c>
      <c r="P638" s="42">
        <f>C638*Prislapp!$C$3+D638*Prislapp!$D$3+E638*Prislapp!$E$3+F638*Prislapp!$F$3+G638*Prislapp!$G$3+H638*Prislapp!$H$3+I638*Prislapp!$I$3+J638*Prislapp!$J$3+K638*Prislapp!$K$3+M638*Prislapp!$M$3+N638*Prislapp!$N$3</f>
        <v>15773</v>
      </c>
      <c r="Q638" s="42">
        <f>C638*Prislapp!$C$5+D638*Prislapp!$D$5+E638*Prislapp!$E$5+F638*Prislapp!$F$5+G638*Prislapp!$G$5+H638*Prislapp!$H$5+I638*Prislapp!$I$5+J638*Prislapp!$J$5+K638*Prislapp!$K$5+L638*Prislapp!$L$5+M638*Prislapp!$M$5+N638*Prislapp!$N$5</f>
        <v>5800</v>
      </c>
      <c r="R638" s="9">
        <f>VLOOKUP(A638,'Ansvar kurs'!$A$2:$B$847,2,FALSE)</f>
        <v>1620</v>
      </c>
    </row>
    <row r="639" spans="1:26" x14ac:dyDescent="0.25">
      <c r="A639" s="31" t="s">
        <v>642</v>
      </c>
      <c r="B639" s="31" t="s">
        <v>731</v>
      </c>
      <c r="F639" s="31">
        <v>1</v>
      </c>
      <c r="O639" s="42">
        <f>C639*Prislapp!$C$2+D639*Prislapp!$D$2+E639*Prislapp!$E$2+F639*Prislapp!$F$2+G639*Prislapp!$G$2+H639*Prislapp!$H$2+I639*Prislapp!$I$2+J639*Prislapp!$J$2+K639*Prislapp!$K$2+L639*Prislapp!$L$2+M639*Prislapp!$M$2+N639*Prislapp!$N$2</f>
        <v>23641</v>
      </c>
      <c r="P639" s="42">
        <f>C639*Prislapp!$C$3+D639*Prislapp!$D$3+E639*Prislapp!$E$3+F639*Prislapp!$F$3+G639*Prislapp!$G$3+H639*Prislapp!$H$3+I639*Prislapp!$I$3+J639*Prislapp!$J$3+K639*Prislapp!$K$3+M639*Prislapp!$M$3+N639*Prislapp!$N$3</f>
        <v>28786</v>
      </c>
      <c r="Q639" s="42">
        <f>C639*Prislapp!$C$5+D639*Prislapp!$D$5+E639*Prislapp!$E$5+F639*Prislapp!$F$5+G639*Prislapp!$G$5+H639*Prislapp!$H$5+I639*Prislapp!$I$5+J639*Prislapp!$J$5+K639*Prislapp!$K$5+L639*Prislapp!$L$5+M639*Prislapp!$M$5+N639*Prislapp!$N$5</f>
        <v>5800</v>
      </c>
      <c r="R639" s="9">
        <f>VLOOKUP(A639,'Ansvar kurs'!$A$2:$B$847,2,FALSE)</f>
        <v>1620</v>
      </c>
    </row>
    <row r="640" spans="1:26" x14ac:dyDescent="0.25">
      <c r="A640" s="31" t="s">
        <v>641</v>
      </c>
      <c r="B640" s="31" t="s">
        <v>731</v>
      </c>
      <c r="F640" s="31">
        <v>1</v>
      </c>
      <c r="O640" s="42">
        <f>C640*Prislapp!$C$2+D640*Prislapp!$D$2+E640*Prislapp!$E$2+F640*Prislapp!$F$2+G640*Prislapp!$G$2+H640*Prislapp!$H$2+I640*Prislapp!$I$2+J640*Prislapp!$J$2+K640*Prislapp!$K$2+L640*Prislapp!$L$2+M640*Prislapp!$M$2+N640*Prislapp!$N$2</f>
        <v>23641</v>
      </c>
      <c r="P640" s="42">
        <f>C640*Prislapp!$C$3+D640*Prislapp!$D$3+E640*Prislapp!$E$3+F640*Prislapp!$F$3+G640*Prislapp!$G$3+H640*Prislapp!$H$3+I640*Prislapp!$I$3+J640*Prislapp!$J$3+K640*Prislapp!$K$3+M640*Prislapp!$M$3+N640*Prislapp!$N$3</f>
        <v>28786</v>
      </c>
      <c r="Q640" s="42">
        <f>C640*Prislapp!$C$5+D640*Prislapp!$D$5+E640*Prislapp!$E$5+F640*Prislapp!$F$5+G640*Prislapp!$G$5+H640*Prislapp!$H$5+I640*Prislapp!$I$5+J640*Prislapp!$J$5+K640*Prislapp!$K$5+L640*Prislapp!$L$5+M640*Prislapp!$M$5+N640*Prislapp!$N$5</f>
        <v>5800</v>
      </c>
      <c r="R640" s="9">
        <f>VLOOKUP(A640,'Ansvar kurs'!$A$2:$B$847,2,FALSE)</f>
        <v>1620</v>
      </c>
    </row>
    <row r="641" spans="1:26" x14ac:dyDescent="0.25">
      <c r="A641" s="62" t="s">
        <v>1266</v>
      </c>
      <c r="B641" s="62" t="s">
        <v>1275</v>
      </c>
      <c r="D641" s="31">
        <v>1</v>
      </c>
      <c r="O641" s="42">
        <f>C641*Prislapp!$C$2+D641*Prislapp!$D$2+E641*Prislapp!$E$2+F641*Prislapp!$F$2+G641*Prislapp!$G$2+H641*Prislapp!$H$2+I641*Prislapp!$I$2+J641*Prislapp!$J$2+K641*Prislapp!$K$2+L641*Prislapp!$L$2+M641*Prislapp!$M$2+N641*Prislapp!$N$2</f>
        <v>18405</v>
      </c>
      <c r="P641" s="42">
        <f>C641*Prislapp!$C$3+D641*Prislapp!$D$3+E641*Prislapp!$E$3+F641*Prislapp!$F$3+G641*Prislapp!$G$3+H641*Prislapp!$H$3+I641*Prislapp!$I$3+J641*Prislapp!$J$3+K641*Prislapp!$K$3+M641*Prislapp!$M$3+N641*Prislapp!$N$3</f>
        <v>15773</v>
      </c>
      <c r="Q641" s="42">
        <f>C641*Prislapp!$C$5+D641*Prislapp!$D$5+E641*Prislapp!$E$5+F641*Prislapp!$F$5+G641*Prislapp!$G$5+H641*Prislapp!$H$5+I641*Prislapp!$I$5+J641*Prislapp!$J$5+K641*Prislapp!$K$5+L641*Prislapp!$L$5+M641*Prislapp!$M$5+N641*Prislapp!$N$5</f>
        <v>5800</v>
      </c>
      <c r="R641" s="9">
        <f>VLOOKUP(A641,'Ansvar kurs'!$A$2:$B$847,2,FALSE)</f>
        <v>1620</v>
      </c>
      <c r="S641" s="159" t="s">
        <v>1287</v>
      </c>
    </row>
    <row r="642" spans="1:26" x14ac:dyDescent="0.25">
      <c r="A642" s="62" t="s">
        <v>1294</v>
      </c>
      <c r="B642" s="62" t="s">
        <v>1295</v>
      </c>
      <c r="D642" s="31">
        <v>1</v>
      </c>
      <c r="O642" s="42">
        <f>C642*Prislapp!$C$2+D642*Prislapp!$D$2+E642*Prislapp!$E$2+F642*Prislapp!$F$2+G642*Prislapp!$G$2+H642*Prislapp!$H$2+I642*Prislapp!$I$2+J642*Prislapp!$J$2+K642*Prislapp!$K$2+L642*Prislapp!$L$2+M642*Prislapp!$M$2+N642*Prislapp!$N$2</f>
        <v>18405</v>
      </c>
      <c r="P642" s="42">
        <f>C642*Prislapp!$C$3+D642*Prislapp!$D$3+E642*Prislapp!$E$3+F642*Prislapp!$F$3+G642*Prislapp!$G$3+H642*Prislapp!$H$3+I642*Prislapp!$I$3+J642*Prislapp!$J$3+K642*Prislapp!$K$3+M642*Prislapp!$M$3+N642*Prislapp!$N$3</f>
        <v>15773</v>
      </c>
      <c r="Q642" s="42">
        <f>C642*Prislapp!$C$5+D642*Prislapp!$D$5+E642*Prislapp!$E$5+F642*Prislapp!$F$5+G642*Prislapp!$G$5+H642*Prislapp!$H$5+I642*Prislapp!$I$5+J642*Prislapp!$J$5+K642*Prislapp!$K$5+L642*Prislapp!$L$5+M642*Prislapp!$M$5+N642*Prislapp!$N$5</f>
        <v>5800</v>
      </c>
      <c r="R642" s="9">
        <f>VLOOKUP(A642,'Ansvar kurs'!$A$2:$B$847,2,FALSE)</f>
        <v>1620</v>
      </c>
      <c r="S642" s="159" t="s">
        <v>1287</v>
      </c>
    </row>
    <row r="643" spans="1:26" x14ac:dyDescent="0.25">
      <c r="A643" s="245" t="s">
        <v>1373</v>
      </c>
      <c r="B643" s="62" t="s">
        <v>1374</v>
      </c>
      <c r="D643" s="31">
        <v>1</v>
      </c>
      <c r="O643" s="42">
        <f>C643*Prislapp!$C$2+D643*Prislapp!$D$2+E643*Prislapp!$E$2+F643*Prislapp!$F$2+G643*Prislapp!$G$2+H643*Prislapp!$H$2+I643*Prislapp!$I$2+J643*Prislapp!$J$2+K643*Prislapp!$K$2+L643*Prislapp!$L$2+M643*Prislapp!$M$2+N643*Prislapp!$N$2</f>
        <v>18405</v>
      </c>
      <c r="P643" s="42">
        <f>C643*Prislapp!$C$3+D643*Prislapp!$D$3+E643*Prislapp!$E$3+F643*Prislapp!$F$3+G643*Prislapp!$G$3+H643*Prislapp!$H$3+I643*Prislapp!$I$3+J643*Prislapp!$J$3+K643*Prislapp!$K$3+M643*Prislapp!$M$3+N643*Prislapp!$N$3</f>
        <v>15773</v>
      </c>
      <c r="Q643" s="42">
        <f>C643*Prislapp!$C$5+D643*Prislapp!$D$5+E643*Prislapp!$E$5+F643*Prislapp!$F$5+G643*Prislapp!$G$5+H643*Prislapp!$H$5+I643*Prislapp!$I$5+J643*Prislapp!$J$5+K643*Prislapp!$K$5+L643*Prislapp!$L$5+M643*Prislapp!$M$5+N643*Prislapp!$N$5</f>
        <v>5800</v>
      </c>
      <c r="R643" s="9">
        <f>VLOOKUP(A643,'Ansvar kurs'!$A$2:$B$847,2,FALSE)</f>
        <v>1620</v>
      </c>
      <c r="S643" s="182" t="s">
        <v>1369</v>
      </c>
      <c r="T643" s="159"/>
      <c r="U643" s="159"/>
      <c r="V643" s="159"/>
      <c r="W643" s="159"/>
      <c r="X643" s="159"/>
      <c r="Y643" s="159"/>
      <c r="Z643" s="159"/>
    </row>
    <row r="644" spans="1:26" x14ac:dyDescent="0.25">
      <c r="A644" s="245" t="s">
        <v>1822</v>
      </c>
      <c r="B644" s="62" t="s">
        <v>1832</v>
      </c>
      <c r="D644" s="31">
        <v>1</v>
      </c>
      <c r="O644" s="42">
        <f>C644*Prislapp!$C$2+D644*Prislapp!$D$2+E644*Prislapp!$E$2+F644*Prislapp!$F$2+G644*Prislapp!$G$2+H644*Prislapp!$H$2+I644*Prislapp!$I$2+J644*Prislapp!$J$2+K644*Prislapp!$K$2+L644*Prislapp!$L$2+M644*Prislapp!$M$2+N644*Prislapp!$N$2</f>
        <v>18405</v>
      </c>
      <c r="P644" s="42">
        <f>C644*Prislapp!$C$3+D644*Prislapp!$D$3+E644*Prislapp!$E$3+F644*Prislapp!$F$3+G644*Prislapp!$G$3+H644*Prislapp!$H$3+I644*Prislapp!$I$3+J644*Prislapp!$J$3+K644*Prislapp!$K$3+M644*Prislapp!$M$3+N644*Prislapp!$N$3</f>
        <v>15773</v>
      </c>
      <c r="Q644" s="42">
        <f>C644*Prislapp!$C$5+D644*Prislapp!$D$5+E644*Prislapp!$E$5+F644*Prislapp!$F$5+G644*Prislapp!$G$5+H644*Prislapp!$H$5+I644*Prislapp!$I$5+J644*Prislapp!$J$5+K644*Prislapp!$K$5+L644*Prislapp!$L$5+M644*Prislapp!$M$5+N644*Prislapp!$N$5</f>
        <v>5800</v>
      </c>
      <c r="R644" s="9">
        <f>VLOOKUP(A644,'Ansvar kurs'!$A$2:$B$847,2,FALSE)</f>
        <v>1620</v>
      </c>
      <c r="S644" s="182"/>
      <c r="T644" s="159"/>
      <c r="U644" s="159"/>
      <c r="V644" s="159"/>
      <c r="W644" s="159"/>
      <c r="X644" s="159"/>
      <c r="Y644" s="159"/>
      <c r="Z644" s="159"/>
    </row>
    <row r="645" spans="1:26" x14ac:dyDescent="0.25">
      <c r="A645" s="245" t="s">
        <v>1640</v>
      </c>
      <c r="B645" s="62" t="s">
        <v>1334</v>
      </c>
      <c r="D645" s="31">
        <v>1</v>
      </c>
      <c r="O645" s="42">
        <f>C645*Prislapp!$C$2+D645*Prislapp!$D$2+E645*Prislapp!$E$2+F645*Prislapp!$F$2+G645*Prislapp!$G$2+H645*Prislapp!$H$2+I645*Prislapp!$I$2+J645*Prislapp!$J$2+K645*Prislapp!$K$2+L645*Prislapp!$L$2+M645*Prislapp!$M$2+N645*Prislapp!$N$2</f>
        <v>18405</v>
      </c>
      <c r="P645" s="42">
        <f>C645*Prislapp!$C$3+D645*Prislapp!$D$3+E645*Prislapp!$E$3+F645*Prislapp!$F$3+G645*Prislapp!$G$3+H645*Prislapp!$H$3+I645*Prislapp!$I$3+J645*Prislapp!$J$3+K645*Prislapp!$K$3+M645*Prislapp!$M$3+N645*Prislapp!$N$3</f>
        <v>15773</v>
      </c>
      <c r="Q645" s="42">
        <f>C645*Prislapp!$C$5+D645*Prislapp!$D$5+E645*Prislapp!$E$5+F645*Prislapp!$F$5+G645*Prislapp!$G$5+H645*Prislapp!$H$5+I645*Prislapp!$I$5+J645*Prislapp!$J$5+K645*Prislapp!$K$5+L645*Prislapp!$L$5+M645*Prislapp!$M$5+N645*Prislapp!$N$5</f>
        <v>5800</v>
      </c>
      <c r="R645" s="9">
        <f>VLOOKUP(A645,'Ansvar kurs'!$A$2:$B$847,2,FALSE)</f>
        <v>1620</v>
      </c>
      <c r="S645" s="182"/>
      <c r="T645" s="159"/>
      <c r="U645" s="159"/>
      <c r="V645" s="159"/>
      <c r="W645" s="159"/>
      <c r="X645" s="159"/>
      <c r="Y645" s="159"/>
      <c r="Z645" s="159"/>
    </row>
    <row r="646" spans="1:26" x14ac:dyDescent="0.25">
      <c r="A646" s="245" t="s">
        <v>2002</v>
      </c>
      <c r="B646" s="62" t="s">
        <v>2024</v>
      </c>
      <c r="D646" s="31">
        <v>1</v>
      </c>
      <c r="O646" s="42">
        <f>C646*Prislapp!$C$2+D646*Prislapp!$D$2+E646*Prislapp!$E$2+F646*Prislapp!$F$2+G646*Prislapp!$G$2+H646*Prislapp!$H$2+I646*Prislapp!$I$2+J646*Prislapp!$J$2+K646*Prislapp!$K$2+L646*Prislapp!$L$2+M646*Prislapp!$M$2+N646*Prislapp!$N$2</f>
        <v>18405</v>
      </c>
      <c r="P646" s="42">
        <f>C646*Prislapp!$C$3+D646*Prislapp!$D$3+E646*Prislapp!$E$3+F646*Prislapp!$F$3+G646*Prislapp!$G$3+H646*Prislapp!$H$3+I646*Prislapp!$I$3+J646*Prislapp!$J$3+K646*Prislapp!$K$3+M646*Prislapp!$M$3+N646*Prislapp!$N$3</f>
        <v>15773</v>
      </c>
      <c r="Q646" s="42">
        <f>C646*Prislapp!$C$5+D646*Prislapp!$D$5+E646*Prislapp!$E$5+F646*Prislapp!$F$5+G646*Prislapp!$G$5+H646*Prislapp!$H$5+I646*Prislapp!$I$5+J646*Prislapp!$J$5+K646*Prislapp!$K$5+L646*Prislapp!$L$5+M646*Prislapp!$M$5+N646*Prislapp!$N$5</f>
        <v>5800</v>
      </c>
      <c r="R646" s="9">
        <f>VLOOKUP(A646,'Ansvar kurs'!$A$2:$B$847,2,FALSE)</f>
        <v>1620</v>
      </c>
      <c r="S646" s="182"/>
      <c r="T646" s="159"/>
      <c r="U646" s="159"/>
      <c r="V646" s="159"/>
      <c r="W646" s="159"/>
      <c r="X646" s="159"/>
      <c r="Y646" s="159"/>
      <c r="Z646" s="159"/>
    </row>
    <row r="647" spans="1:26" x14ac:dyDescent="0.25">
      <c r="A647" s="245" t="s">
        <v>2003</v>
      </c>
      <c r="B647" s="62" t="s">
        <v>2025</v>
      </c>
      <c r="D647" s="31">
        <v>1</v>
      </c>
      <c r="O647" s="42">
        <f>C647*Prislapp!$C$2+D647*Prislapp!$D$2+E647*Prislapp!$E$2+F647*Prislapp!$F$2+G647*Prislapp!$G$2+H647*Prislapp!$H$2+I647*Prislapp!$I$2+J647*Prislapp!$J$2+K647*Prislapp!$K$2+L647*Prislapp!$L$2+M647*Prislapp!$M$2+N647*Prislapp!$N$2</f>
        <v>18405</v>
      </c>
      <c r="P647" s="42">
        <f>C647*Prislapp!$C$3+D647*Prislapp!$D$3+E647*Prislapp!$E$3+F647*Prislapp!$F$3+G647*Prislapp!$G$3+H647*Prislapp!$H$3+I647*Prislapp!$I$3+J647*Prislapp!$J$3+K647*Prislapp!$K$3+M647*Prislapp!$M$3+N647*Prislapp!$N$3</f>
        <v>15773</v>
      </c>
      <c r="Q647" s="42">
        <f>C647*Prislapp!$C$5+D647*Prislapp!$D$5+E647*Prislapp!$E$5+F647*Prislapp!$F$5+G647*Prislapp!$G$5+H647*Prislapp!$H$5+I647*Prislapp!$I$5+J647*Prislapp!$J$5+K647*Prislapp!$K$5+L647*Prislapp!$L$5+M647*Prislapp!$M$5+N647*Prislapp!$N$5</f>
        <v>5800</v>
      </c>
      <c r="R647" s="9">
        <f>VLOOKUP(A647,'Ansvar kurs'!$A$2:$B$847,2,FALSE)</f>
        <v>1620</v>
      </c>
      <c r="S647" s="182"/>
      <c r="T647" s="159"/>
      <c r="U647" s="159"/>
      <c r="V647" s="159"/>
      <c r="W647" s="159"/>
      <c r="X647" s="159"/>
      <c r="Y647" s="159"/>
      <c r="Z647" s="159"/>
    </row>
    <row r="648" spans="1:26" x14ac:dyDescent="0.25">
      <c r="A648" s="31" t="s">
        <v>2051</v>
      </c>
      <c r="B648" s="31" t="s">
        <v>683</v>
      </c>
      <c r="D648" s="31">
        <v>1</v>
      </c>
      <c r="O648" s="42">
        <f>C648*Prislapp!$C$2+D648*Prislapp!$D$2+E648*Prislapp!$E$2+F648*Prislapp!$F$2+G648*Prislapp!$G$2+H648*Prislapp!$H$2+I648*Prislapp!$I$2+J648*Prislapp!$J$2+K648*Prislapp!$K$2+L648*Prislapp!$L$2+M648*Prislapp!$M$2+N648*Prislapp!$N$2</f>
        <v>18405</v>
      </c>
      <c r="P648" s="42">
        <f>C648*Prislapp!$C$3+D648*Prislapp!$D$3+E648*Prislapp!$E$3+F648*Prislapp!$F$3+G648*Prislapp!$G$3+H648*Prislapp!$H$3+I648*Prislapp!$I$3+J648*Prislapp!$J$3+K648*Prislapp!$K$3+M648*Prislapp!$M$3+N648*Prislapp!$N$3</f>
        <v>15773</v>
      </c>
      <c r="Q648" s="42">
        <f>C648*Prislapp!$C$5+D648*Prislapp!$D$5+E648*Prislapp!$E$5+F648*Prislapp!$F$5+G648*Prislapp!$G$5+H648*Prislapp!$H$5+I648*Prislapp!$I$5+J648*Prislapp!$J$5+K648*Prislapp!$K$5+L648*Prislapp!$L$5+M648*Prislapp!$M$5+N648*Prislapp!$N$5</f>
        <v>5800</v>
      </c>
      <c r="R648" s="9">
        <f>VLOOKUP(A648,'Ansvar kurs'!$A$2:$B$847,2,FALSE)</f>
        <v>1620</v>
      </c>
      <c r="S648" s="159"/>
      <c r="T648" s="159"/>
      <c r="U648" s="159"/>
      <c r="W648" s="159"/>
      <c r="X648" s="159"/>
      <c r="Y648" s="159"/>
      <c r="Z648" s="159"/>
    </row>
    <row r="649" spans="1:26" ht="30" x14ac:dyDescent="0.25">
      <c r="A649" s="9" t="s">
        <v>2090</v>
      </c>
      <c r="B649" s="503" t="s">
        <v>1470</v>
      </c>
      <c r="I649" s="59">
        <v>1</v>
      </c>
      <c r="O649" s="42">
        <f>C649*Prislapp!$C$2+D649*Prislapp!$D$2+E649*Prislapp!$E$2+F649*Prislapp!$F$2+G649*Prislapp!$G$2+H649*Prislapp!$H$2+I649*Prislapp!$I$2+J649*Prislapp!$J$2+K649*Prislapp!$K$2+L649*Prislapp!$L$2+M649*Prislapp!$M$2+N649*Prislapp!$N$2</f>
        <v>18405</v>
      </c>
      <c r="P649" s="42">
        <f>C649*Prislapp!$C$3+D649*Prislapp!$D$3+E649*Prislapp!$E$3+F649*Prislapp!$F$3+G649*Prislapp!$G$3+H649*Prislapp!$H$3+I649*Prislapp!$I$3+J649*Prislapp!$J$3+K649*Prislapp!$K$3+M649*Prislapp!$M$3+N649*Prislapp!$N$3</f>
        <v>15773</v>
      </c>
      <c r="Q649" s="42">
        <f>C649*Prislapp!$C$5+D649*Prislapp!$D$5+E649*Prislapp!$E$5+F649*Prislapp!$F$5+G649*Prislapp!$G$5+H649*Prislapp!$H$5+I649*Prislapp!$I$5+J649*Prislapp!$J$5+K649*Prislapp!$K$5+L649*Prislapp!$L$5+M649*Prislapp!$M$5+N649*Prislapp!$N$5</f>
        <v>5800</v>
      </c>
      <c r="R649" s="9">
        <f>VLOOKUP(A649,'Ansvar kurs'!$A$2:$B$847,2,FALSE)</f>
        <v>1620</v>
      </c>
    </row>
    <row r="650" spans="1:26" x14ac:dyDescent="0.25">
      <c r="A650" s="59" t="s">
        <v>2091</v>
      </c>
      <c r="B650" s="59" t="s">
        <v>2092</v>
      </c>
      <c r="D650" s="59">
        <v>1</v>
      </c>
      <c r="O650" s="42">
        <f>C650*Prislapp!$C$2+D650*Prislapp!$D$2+E650*Prislapp!$E$2+F650*Prislapp!$F$2+G650*Prislapp!$G$2+H650*Prislapp!$H$2+I650*Prislapp!$I$2+J650*Prislapp!$J$2+K650*Prislapp!$K$2+L650*Prislapp!$L$2+M650*Prislapp!$M$2+N650*Prislapp!$N$2</f>
        <v>18405</v>
      </c>
      <c r="P650" s="42">
        <f>C650*Prislapp!$C$3+D650*Prislapp!$D$3+E650*Prislapp!$E$3+F650*Prislapp!$F$3+G650*Prislapp!$G$3+H650*Prislapp!$H$3+I650*Prislapp!$I$3+J650*Prislapp!$J$3+K650*Prislapp!$K$3+M650*Prislapp!$M$3+N650*Prislapp!$N$3</f>
        <v>15773</v>
      </c>
      <c r="Q650" s="42">
        <f>C650*Prislapp!$C$5+D650*Prislapp!$D$5+E650*Prislapp!$E$5+F650*Prislapp!$F$5+G650*Prislapp!$G$5+H650*Prislapp!$H$5+I650*Prislapp!$I$5+J650*Prislapp!$J$5+K650*Prislapp!$K$5+L650*Prislapp!$L$5+M650*Prislapp!$M$5+N650*Prislapp!$N$5</f>
        <v>5800</v>
      </c>
      <c r="R650" s="9">
        <f>VLOOKUP(A650,'Ansvar kurs'!$A$2:$B$847,2,FALSE)</f>
        <v>1620</v>
      </c>
    </row>
    <row r="651" spans="1:26" x14ac:dyDescent="0.25">
      <c r="A651" s="31" t="s">
        <v>138</v>
      </c>
      <c r="B651" s="31" t="s">
        <v>732</v>
      </c>
      <c r="I651" s="31">
        <v>0.75</v>
      </c>
      <c r="K651" s="31">
        <v>0.25</v>
      </c>
      <c r="O651" s="42">
        <f>C651*Prislapp!$C$2+D651*Prislapp!$D$2+E651*Prislapp!$E$2+F651*Prislapp!$F$2+G651*Prislapp!$G$2+H651*Prislapp!$H$2+I651*Prislapp!$I$2+J651*Prislapp!$J$2+K651*Prislapp!$K$2+L651*Prislapp!$L$2+M651*Prislapp!$M$2+N651*Prislapp!$N$2</f>
        <v>19212.25</v>
      </c>
      <c r="P651" s="42">
        <f>C651*Prislapp!$C$3+D651*Prislapp!$D$3+E651*Prislapp!$E$3+F651*Prislapp!$F$3+G651*Prislapp!$G$3+H651*Prislapp!$H$3+I651*Prislapp!$I$3+J651*Prislapp!$J$3+K651*Prislapp!$K$3+M651*Prislapp!$M$3+N651*Prislapp!$N$3</f>
        <v>18576.25</v>
      </c>
      <c r="Q651" s="42">
        <f>C651*Prislapp!$C$5+D651*Prislapp!$D$5+E651*Prislapp!$E$5+F651*Prislapp!$F$5+G651*Prislapp!$G$5+H651*Prislapp!$H$5+I651*Prislapp!$I$5+J651*Prislapp!$J$5+K651*Prislapp!$K$5+L651*Prislapp!$L$5+M651*Prislapp!$M$5+N651*Prislapp!$N$5</f>
        <v>5200</v>
      </c>
      <c r="R651" s="9">
        <f>VLOOKUP(A651,'Ansvar kurs'!$A$2:$B$847,2,FALSE)</f>
        <v>2340</v>
      </c>
    </row>
    <row r="652" spans="1:26" x14ac:dyDescent="0.25">
      <c r="A652" s="31" t="s">
        <v>98</v>
      </c>
      <c r="B652" s="31" t="s">
        <v>733</v>
      </c>
      <c r="I652" s="31">
        <v>1</v>
      </c>
      <c r="O652" s="42">
        <f>C652*Prislapp!$C$2+D652*Prislapp!$D$2+E652*Prislapp!$E$2+F652*Prislapp!$F$2+G652*Prislapp!$G$2+H652*Prislapp!$H$2+I652*Prislapp!$I$2+J652*Prislapp!$J$2+K652*Prislapp!$K$2+L652*Prislapp!$L$2+M652*Prislapp!$M$2+N652*Prislapp!$N$2</f>
        <v>18405</v>
      </c>
      <c r="P652" s="42">
        <f>C652*Prislapp!$C$3+D652*Prislapp!$D$3+E652*Prislapp!$E$3+F652*Prislapp!$F$3+G652*Prislapp!$G$3+H652*Prislapp!$H$3+I652*Prislapp!$I$3+J652*Prislapp!$J$3+K652*Prislapp!$K$3+M652*Prislapp!$M$3+N652*Prislapp!$N$3</f>
        <v>15773</v>
      </c>
      <c r="Q652" s="42">
        <f>C652*Prislapp!$C$5+D652*Prislapp!$D$5+E652*Prislapp!$E$5+F652*Prislapp!$F$5+G652*Prislapp!$G$5+H652*Prislapp!$H$5+I652*Prislapp!$I$5+J652*Prislapp!$J$5+K652*Prislapp!$K$5+L652*Prislapp!$L$5+M652*Prislapp!$M$5+N652*Prislapp!$N$5</f>
        <v>5800</v>
      </c>
      <c r="R652" s="9">
        <f>VLOOKUP(A652,'Ansvar kurs'!$A$2:$B$847,2,FALSE)</f>
        <v>2340</v>
      </c>
    </row>
    <row r="653" spans="1:26" x14ac:dyDescent="0.25">
      <c r="A653" s="31" t="s">
        <v>97</v>
      </c>
      <c r="B653" s="31" t="s">
        <v>734</v>
      </c>
      <c r="I653" s="31">
        <v>1</v>
      </c>
      <c r="O653" s="42">
        <f>C653*Prislapp!$C$2+D653*Prislapp!$D$2+E653*Prislapp!$E$2+F653*Prislapp!$F$2+G653*Prislapp!$G$2+H653*Prislapp!$H$2+I653*Prislapp!$I$2+J653*Prislapp!$J$2+K653*Prislapp!$K$2+L653*Prislapp!$L$2+M653*Prislapp!$M$2+N653*Prislapp!$N$2</f>
        <v>18405</v>
      </c>
      <c r="P653" s="42">
        <f>C653*Prislapp!$C$3+D653*Prislapp!$D$3+E653*Prislapp!$E$3+F653*Prislapp!$F$3+G653*Prislapp!$G$3+H653*Prislapp!$H$3+I653*Prislapp!$I$3+J653*Prislapp!$J$3+K653*Prislapp!$K$3+M653*Prislapp!$M$3+N653*Prislapp!$N$3</f>
        <v>15773</v>
      </c>
      <c r="Q653" s="42">
        <f>C653*Prislapp!$C$5+D653*Prislapp!$D$5+E653*Prislapp!$E$5+F653*Prislapp!$F$5+G653*Prislapp!$G$5+H653*Prislapp!$H$5+I653*Prislapp!$I$5+J653*Prislapp!$J$5+K653*Prislapp!$K$5+L653*Prislapp!$L$5+M653*Prislapp!$M$5+N653*Prislapp!$N$5</f>
        <v>5800</v>
      </c>
      <c r="R653" s="9">
        <f>VLOOKUP(A653,'Ansvar kurs'!$A$2:$B$847,2,FALSE)</f>
        <v>2340</v>
      </c>
    </row>
    <row r="654" spans="1:26" x14ac:dyDescent="0.25">
      <c r="A654" s="31" t="s">
        <v>512</v>
      </c>
      <c r="B654" s="31" t="s">
        <v>558</v>
      </c>
      <c r="D654" s="31">
        <v>1</v>
      </c>
      <c r="O654" s="42">
        <f>C654*Prislapp!$C$2+D654*Prislapp!$D$2+E654*Prislapp!$E$2+F654*Prislapp!$F$2+G654*Prislapp!$G$2+H654*Prislapp!$H$2+I654*Prislapp!$I$2+J654*Prislapp!$J$2+K654*Prislapp!$K$2+L654*Prislapp!$L$2+M654*Prislapp!$M$2+N654*Prislapp!$N$2</f>
        <v>18405</v>
      </c>
      <c r="P654" s="42">
        <f>C654*Prislapp!$C$3+D654*Prislapp!$D$3+E654*Prislapp!$E$3+F654*Prislapp!$F$3+G654*Prislapp!$G$3+H654*Prislapp!$H$3+I654*Prislapp!$I$3+J654*Prislapp!$J$3+K654*Prislapp!$K$3+M654*Prislapp!$M$3+N654*Prislapp!$N$3</f>
        <v>15773</v>
      </c>
      <c r="Q654" s="42">
        <f>C654*Prislapp!$C$5+D654*Prislapp!$D$5+E654*Prislapp!$E$5+F654*Prislapp!$F$5+G654*Prislapp!$G$5+H654*Prislapp!$H$5+I654*Prislapp!$I$5+J654*Prislapp!$J$5+K654*Prislapp!$K$5+L654*Prislapp!$L$5+M654*Prislapp!$M$5+N654*Prislapp!$N$5</f>
        <v>5800</v>
      </c>
      <c r="R654" s="9">
        <f>VLOOKUP(A654,'Ansvar kurs'!$A$2:$B$847,2,FALSE)</f>
        <v>2340</v>
      </c>
    </row>
    <row r="655" spans="1:26" x14ac:dyDescent="0.25">
      <c r="A655" s="31" t="s">
        <v>513</v>
      </c>
      <c r="B655" s="31" t="s">
        <v>559</v>
      </c>
      <c r="I655" s="31">
        <v>1</v>
      </c>
      <c r="O655" s="42">
        <f>C655*Prislapp!$C$2+D655*Prislapp!$D$2+E655*Prislapp!$E$2+F655*Prislapp!$F$2+G655*Prislapp!$G$2+H655*Prislapp!$H$2+I655*Prislapp!$I$2+J655*Prislapp!$J$2+K655*Prislapp!$K$2+L655*Prislapp!$L$2+M655*Prislapp!$M$2+N655*Prislapp!$N$2</f>
        <v>18405</v>
      </c>
      <c r="P655" s="42">
        <f>C655*Prislapp!$C$3+D655*Prislapp!$D$3+E655*Prislapp!$E$3+F655*Prislapp!$F$3+G655*Prislapp!$G$3+H655*Prislapp!$H$3+I655*Prislapp!$I$3+J655*Prislapp!$J$3+K655*Prislapp!$K$3+M655*Prislapp!$M$3+N655*Prislapp!$N$3</f>
        <v>15773</v>
      </c>
      <c r="Q655" s="42">
        <f>C655*Prislapp!$C$5+D655*Prislapp!$D$5+E655*Prislapp!$E$5+F655*Prislapp!$F$5+G655*Prislapp!$G$5+H655*Prislapp!$H$5+I655*Prislapp!$I$5+J655*Prislapp!$J$5+K655*Prislapp!$K$5+L655*Prislapp!$L$5+M655*Prislapp!$M$5+N655*Prislapp!$N$5</f>
        <v>5800</v>
      </c>
      <c r="R655" s="9">
        <f>VLOOKUP(A655,'Ansvar kurs'!$A$2:$B$847,2,FALSE)</f>
        <v>2340</v>
      </c>
      <c r="S655" s="31" t="s">
        <v>1304</v>
      </c>
    </row>
    <row r="656" spans="1:26" x14ac:dyDescent="0.25">
      <c r="A656" s="244" t="s">
        <v>603</v>
      </c>
      <c r="B656" s="31" t="s">
        <v>618</v>
      </c>
      <c r="D656" s="31">
        <v>1</v>
      </c>
      <c r="O656" s="42">
        <f>C656*Prislapp!$C$2+D656*Prislapp!$D$2+E656*Prislapp!$E$2+F656*Prislapp!$F$2+G656*Prislapp!$G$2+H656*Prislapp!$H$2+I656*Prislapp!$I$2+J656*Prislapp!$J$2+K656*Prislapp!$K$2+L656*Prislapp!$L$2+M656*Prislapp!$M$2+N656*Prislapp!$N$2</f>
        <v>18405</v>
      </c>
      <c r="P656" s="42">
        <f>C656*Prislapp!$C$3+D656*Prislapp!$D$3+E656*Prislapp!$E$3+F656*Prislapp!$F$3+G656*Prislapp!$G$3+H656*Prislapp!$H$3+I656*Prislapp!$I$3+J656*Prislapp!$J$3+K656*Prislapp!$K$3+M656*Prislapp!$M$3+N656*Prislapp!$N$3</f>
        <v>15773</v>
      </c>
      <c r="Q656" s="42">
        <f>C656*Prislapp!$C$5+D656*Prislapp!$D$5+E656*Prislapp!$E$5+F656*Prislapp!$F$5+G656*Prislapp!$G$5+H656*Prislapp!$H$5+I656*Prislapp!$I$5+J656*Prislapp!$J$5+K656*Prislapp!$K$5+L656*Prislapp!$L$5+M656*Prislapp!$M$5+N656*Prislapp!$N$5</f>
        <v>5800</v>
      </c>
      <c r="R656" s="9">
        <f>VLOOKUP(A656,'Ansvar kurs'!$A$2:$B$847,2,FALSE)</f>
        <v>2340</v>
      </c>
    </row>
    <row r="657" spans="1:26" x14ac:dyDescent="0.25">
      <c r="A657" s="244" t="s">
        <v>1043</v>
      </c>
      <c r="B657" s="31" t="s">
        <v>761</v>
      </c>
      <c r="I657" s="31">
        <v>1</v>
      </c>
      <c r="O657" s="42">
        <f>C657*Prislapp!$C$2+D657*Prislapp!$D$2+E657*Prislapp!$E$2+F657*Prislapp!$F$2+G657*Prislapp!$G$2+H657*Prislapp!$H$2+I657*Prislapp!$I$2+J657*Prislapp!$J$2+K657*Prislapp!$K$2+L657*Prislapp!$L$2+M657*Prislapp!$M$2+N657*Prislapp!$N$2</f>
        <v>18405</v>
      </c>
      <c r="P657" s="42">
        <f>C657*Prislapp!$C$3+D657*Prislapp!$D$3+E657*Prislapp!$E$3+F657*Prislapp!$F$3+G657*Prislapp!$G$3+H657*Prislapp!$H$3+I657*Prislapp!$I$3+J657*Prislapp!$J$3+K657*Prislapp!$K$3+M657*Prislapp!$M$3+N657*Prislapp!$N$3</f>
        <v>15773</v>
      </c>
      <c r="Q657" s="42">
        <f>C657*Prislapp!$C$5+D657*Prislapp!$D$5+E657*Prislapp!$E$5+F657*Prislapp!$F$5+G657*Prislapp!$G$5+H657*Prislapp!$H$5+I657*Prislapp!$I$5+J657*Prislapp!$J$5+K657*Prislapp!$K$5+L657*Prislapp!$L$5+M657*Prislapp!$M$5+N657*Prislapp!$N$5</f>
        <v>5800</v>
      </c>
      <c r="R657" s="9">
        <f>VLOOKUP(A657,'Ansvar kurs'!$A$2:$B$847,2,FALSE)</f>
        <v>2340</v>
      </c>
      <c r="S657" s="31" t="s">
        <v>1304</v>
      </c>
    </row>
    <row r="658" spans="1:26" x14ac:dyDescent="0.25">
      <c r="A658" s="244" t="s">
        <v>1044</v>
      </c>
      <c r="B658" s="31" t="s">
        <v>1211</v>
      </c>
      <c r="F658" s="31">
        <v>1</v>
      </c>
      <c r="O658" s="42">
        <f>C658*Prislapp!$C$2+D658*Prislapp!$D$2+E658*Prislapp!$E$2+F658*Prislapp!$F$2+G658*Prislapp!$G$2+H658*Prislapp!$H$2+I658*Prislapp!$I$2+J658*Prislapp!$J$2+K658*Prislapp!$K$2+L658*Prislapp!$L$2+M658*Prislapp!$M$2+N658*Prislapp!$N$2</f>
        <v>23641</v>
      </c>
      <c r="P658" s="42">
        <f>C658*Prislapp!$C$3+D658*Prislapp!$D$3+E658*Prislapp!$E$3+F658*Prislapp!$F$3+G658*Prislapp!$G$3+H658*Prislapp!$H$3+I658*Prislapp!$I$3+J658*Prislapp!$J$3+K658*Prislapp!$K$3+M658*Prislapp!$M$3+N658*Prislapp!$N$3</f>
        <v>28786</v>
      </c>
      <c r="Q658" s="42">
        <f>C658*Prislapp!$C$5+D658*Prislapp!$D$5+E658*Prislapp!$E$5+F658*Prislapp!$F$5+G658*Prislapp!$G$5+H658*Prislapp!$H$5+I658*Prislapp!$I$5+J658*Prislapp!$J$5+K658*Prislapp!$K$5+L658*Prislapp!$L$5+M658*Prislapp!$M$5+N658*Prislapp!$N$5</f>
        <v>5800</v>
      </c>
      <c r="R658" s="9">
        <f>VLOOKUP(A658,'Ansvar kurs'!$A$2:$B$847,2,FALSE)</f>
        <v>2340</v>
      </c>
    </row>
    <row r="659" spans="1:26" x14ac:dyDescent="0.25">
      <c r="A659" s="244" t="s">
        <v>1045</v>
      </c>
      <c r="B659" s="31" t="s">
        <v>1084</v>
      </c>
      <c r="L659" s="31">
        <v>1</v>
      </c>
      <c r="O659" s="42">
        <f>C659*Prislapp!$C$2+D659*Prislapp!$D$2+E659*Prislapp!$E$2+F659*Prislapp!$F$2+G659*Prislapp!$G$2+H659*Prislapp!$H$2+I659*Prislapp!$I$2+J659*Prislapp!$J$2+K659*Prislapp!$K$2+L659*Prislapp!$L$2+M659*Prislapp!$M$2+N659*Prislapp!$N$2</f>
        <v>18505</v>
      </c>
      <c r="P659" s="42">
        <f>C659*Prislapp!$C$3+D659*Prislapp!$D$3+E659*Prislapp!$E$3+F659*Prislapp!$F$3+G659*Prislapp!$G$3+H659*Prislapp!$H$3+I659*Prislapp!$I$3+J659*Prislapp!$J$3+K659*Prislapp!$K$3+M659*Prislapp!$M$3+N659*Prislapp!$N$3</f>
        <v>0</v>
      </c>
      <c r="Q659" s="42">
        <f>C659*Prislapp!$C$5+D659*Prislapp!$D$5+E659*Prislapp!$E$5+F659*Prislapp!$F$5+G659*Prislapp!$G$5+H659*Prislapp!$H$5+I659*Prislapp!$I$5+J659*Prislapp!$J$5+K659*Prislapp!$K$5+L659*Prislapp!$L$5+M659*Prislapp!$M$5+N659*Prislapp!$N$5</f>
        <v>5700</v>
      </c>
      <c r="R659" s="9">
        <f>VLOOKUP(A659,'Ansvar kurs'!$A$2:$B$847,2,FALSE)</f>
        <v>2340</v>
      </c>
      <c r="S659" s="159"/>
    </row>
    <row r="660" spans="1:26" x14ac:dyDescent="0.25">
      <c r="A660" s="31" t="s">
        <v>80</v>
      </c>
      <c r="B660" s="31" t="s">
        <v>735</v>
      </c>
      <c r="J660" s="31">
        <v>0.85</v>
      </c>
      <c r="M660" s="31">
        <v>0.15</v>
      </c>
      <c r="O660" s="42">
        <f>C660*Prislapp!$C$2+D660*Prislapp!$D$2+E660*Prislapp!$E$2+F660*Prislapp!$F$2+G660*Prislapp!$G$2+H660*Prislapp!$H$2+I660*Prislapp!$I$2+J660*Prislapp!$J$2+K660*Prislapp!$K$2+L660*Prislapp!$L$2+M660*Prislapp!$M$2+N660*Prislapp!$N$2</f>
        <v>18928.95</v>
      </c>
      <c r="P660" s="42">
        <f>C660*Prislapp!$C$3+D660*Prislapp!$D$3+E660*Prislapp!$E$3+F660*Prislapp!$F$3+G660*Prislapp!$G$3+H660*Prislapp!$H$3+I660*Prislapp!$I$3+J660*Prislapp!$J$3+K660*Prislapp!$K$3+M660*Prislapp!$M$3+N660*Prislapp!$N$3</f>
        <v>33624</v>
      </c>
      <c r="Q660" s="42">
        <f>C660*Prislapp!$C$5+D660*Prislapp!$D$5+E660*Prislapp!$E$5+F660*Prislapp!$F$5+G660*Prislapp!$G$5+H660*Prislapp!$H$5+I660*Prislapp!$I$5+J660*Prislapp!$J$5+K660*Prislapp!$K$5+L660*Prislapp!$L$5+M660*Prislapp!$M$5+N660*Prislapp!$N$5</f>
        <v>21125</v>
      </c>
      <c r="R660" s="9">
        <f>VLOOKUP(A660,'Ansvar kurs'!$A$2:$B$847,2,FALSE)</f>
        <v>1650</v>
      </c>
    </row>
    <row r="661" spans="1:26" x14ac:dyDescent="0.25">
      <c r="A661" s="31" t="s">
        <v>68</v>
      </c>
      <c r="B661" s="31" t="s">
        <v>736</v>
      </c>
      <c r="J661" s="31">
        <v>0.65</v>
      </c>
      <c r="M661" s="31">
        <v>0.35</v>
      </c>
      <c r="O661" s="42">
        <f>C661*Prislapp!$C$2+D661*Prislapp!$D$2+E661*Prislapp!$E$2+F661*Prislapp!$F$2+G661*Prislapp!$G$2+H661*Prislapp!$H$2+I661*Prislapp!$I$2+J661*Prislapp!$J$2+K661*Prislapp!$K$2+L661*Prislapp!$L$2+M661*Prislapp!$M$2+N661*Prislapp!$N$2</f>
        <v>18203.55</v>
      </c>
      <c r="P661" s="42">
        <f>C661*Prislapp!$C$3+D661*Prislapp!$D$3+E661*Prislapp!$E$3+F661*Prislapp!$F$3+G661*Prislapp!$G$3+H661*Prislapp!$H$3+I661*Prislapp!$I$3+J661*Prislapp!$J$3+K661*Prislapp!$K$3+M661*Prislapp!$M$3+N661*Prislapp!$N$3</f>
        <v>32048</v>
      </c>
      <c r="Q661" s="42">
        <f>C661*Prislapp!$C$5+D661*Prislapp!$D$5+E661*Prislapp!$E$5+F661*Prislapp!$F$5+G661*Prislapp!$G$5+H661*Prislapp!$H$5+I661*Prislapp!$I$5+J661*Prislapp!$J$5+K661*Prislapp!$K$5+L661*Prislapp!$L$5+M661*Prislapp!$M$5+N661*Prislapp!$N$5</f>
        <v>20225</v>
      </c>
      <c r="R661" s="9">
        <f>VLOOKUP(A661,'Ansvar kurs'!$A$2:$B$847,2,FALSE)</f>
        <v>1650</v>
      </c>
    </row>
    <row r="662" spans="1:26" x14ac:dyDescent="0.25">
      <c r="A662" s="31" t="s">
        <v>333</v>
      </c>
      <c r="B662" s="31" t="s">
        <v>737</v>
      </c>
      <c r="J662" s="31">
        <v>1</v>
      </c>
      <c r="O662" s="42">
        <f>C662*Prislapp!$C$2+D662*Prislapp!$D$2+E662*Prislapp!$E$2+F662*Prislapp!$F$2+G662*Prislapp!$G$2+H662*Prislapp!$H$2+I662*Prislapp!$I$2+J662*Prislapp!$J$2+K662*Prislapp!$K$2+L662*Prislapp!$L$2+M662*Prislapp!$M$2+N662*Prislapp!$N$2</f>
        <v>19473</v>
      </c>
      <c r="P662" s="42">
        <f>C662*Prislapp!$C$3+D662*Prislapp!$D$3+E662*Prislapp!$E$3+F662*Prislapp!$F$3+G662*Prislapp!$G$3+H662*Prislapp!$H$3+I662*Prislapp!$I$3+J662*Prislapp!$J$3+K662*Prislapp!$K$3+M662*Prislapp!$M$3+N662*Prislapp!$N$3</f>
        <v>34806</v>
      </c>
      <c r="Q662" s="42">
        <f>C662*Prislapp!$C$5+D662*Prislapp!$D$5+E662*Prislapp!$E$5+F662*Prislapp!$F$5+G662*Prislapp!$G$5+H662*Prislapp!$H$5+I662*Prislapp!$I$5+J662*Prislapp!$J$5+K662*Prislapp!$K$5+L662*Prislapp!$L$5+M662*Prislapp!$M$5+N662*Prislapp!$N$5</f>
        <v>21800</v>
      </c>
      <c r="R662" s="9">
        <f>VLOOKUP(A662,'Ansvar kurs'!$A$2:$B$847,2,FALSE)</f>
        <v>1650</v>
      </c>
    </row>
    <row r="663" spans="1:26" x14ac:dyDescent="0.25">
      <c r="A663" s="31" t="s">
        <v>152</v>
      </c>
      <c r="B663" s="31" t="s">
        <v>123</v>
      </c>
      <c r="J663" s="31">
        <v>1</v>
      </c>
      <c r="M663" s="31">
        <v>0</v>
      </c>
      <c r="O663" s="42">
        <f>C663*Prislapp!$C$2+D663*Prislapp!$D$2+E663*Prislapp!$E$2+F663*Prislapp!$F$2+G663*Prislapp!$G$2+H663*Prislapp!$H$2+I663*Prislapp!$I$2+J663*Prislapp!$J$2+K663*Prislapp!$K$2+L663*Prislapp!$L$2+M663*Prislapp!$M$2+N663*Prislapp!$N$2</f>
        <v>19473</v>
      </c>
      <c r="P663" s="42">
        <f>C663*Prislapp!$C$3+D663*Prislapp!$D$3+E663*Prislapp!$E$3+F663*Prislapp!$F$3+G663*Prislapp!$G$3+H663*Prislapp!$H$3+I663*Prislapp!$I$3+J663*Prislapp!$J$3+K663*Prislapp!$K$3+M663*Prislapp!$M$3+N663*Prislapp!$N$3</f>
        <v>34806</v>
      </c>
      <c r="Q663" s="42">
        <f>C663*Prislapp!$C$5+D663*Prislapp!$D$5+E663*Prislapp!$E$5+F663*Prislapp!$F$5+G663*Prislapp!$G$5+H663*Prislapp!$H$5+I663*Prislapp!$I$5+J663*Prislapp!$J$5+K663*Prislapp!$K$5+L663*Prislapp!$L$5+M663*Prislapp!$M$5+N663*Prislapp!$N$5</f>
        <v>21800</v>
      </c>
      <c r="R663" s="9">
        <f>VLOOKUP(A663,'Ansvar kurs'!$A$2:$B$847,2,FALSE)</f>
        <v>1650</v>
      </c>
      <c r="S663" s="182" t="s">
        <v>1517</v>
      </c>
      <c r="T663" s="182"/>
    </row>
    <row r="664" spans="1:26" x14ac:dyDescent="0.25">
      <c r="A664" s="31" t="s">
        <v>82</v>
      </c>
      <c r="B664" s="31" t="s">
        <v>328</v>
      </c>
      <c r="J664" s="31">
        <v>1</v>
      </c>
      <c r="M664" s="31">
        <v>0</v>
      </c>
      <c r="O664" s="42">
        <f>C664*Prislapp!$C$2+D664*Prislapp!$D$2+E664*Prislapp!$E$2+F664*Prislapp!$F$2+G664*Prislapp!$G$2+H664*Prislapp!$H$2+I664*Prislapp!$I$2+J664*Prislapp!$J$2+K664*Prislapp!$K$2+L664*Prislapp!$L$2+M664*Prislapp!$M$2+N664*Prislapp!$N$2</f>
        <v>19473</v>
      </c>
      <c r="P664" s="42">
        <f>C664*Prislapp!$C$3+D664*Prislapp!$D$3+E664*Prislapp!$E$3+F664*Prislapp!$F$3+G664*Prislapp!$G$3+H664*Prislapp!$H$3+I664*Prislapp!$I$3+J664*Prislapp!$J$3+K664*Prislapp!$K$3+M664*Prislapp!$M$3+N664*Prislapp!$N$3</f>
        <v>34806</v>
      </c>
      <c r="Q664" s="42">
        <f>C664*Prislapp!$C$5+D664*Prislapp!$D$5+E664*Prislapp!$E$5+F664*Prislapp!$F$5+G664*Prislapp!$G$5+H664*Prislapp!$H$5+I664*Prislapp!$I$5+J664*Prislapp!$J$5+K664*Prislapp!$K$5+L664*Prislapp!$L$5+M664*Prislapp!$M$5+N664*Prislapp!$N$5</f>
        <v>21800</v>
      </c>
      <c r="R664" s="9">
        <f>VLOOKUP(A664,'Ansvar kurs'!$A$2:$B$847,2,FALSE)</f>
        <v>1650</v>
      </c>
      <c r="S664" s="182" t="s">
        <v>1517</v>
      </c>
      <c r="T664" s="182"/>
    </row>
    <row r="665" spans="1:26" x14ac:dyDescent="0.25">
      <c r="A665" s="31" t="s">
        <v>479</v>
      </c>
      <c r="B665" s="31" t="s">
        <v>738</v>
      </c>
      <c r="J665" s="31">
        <v>1</v>
      </c>
      <c r="O665" s="42">
        <f>C665*Prislapp!$C$2+D665*Prislapp!$D$2+E665*Prislapp!$E$2+F665*Prislapp!$F$2+G665*Prislapp!$G$2+H665*Prislapp!$H$2+I665*Prislapp!$I$2+J665*Prislapp!$J$2+K665*Prislapp!$K$2+L665*Prislapp!$L$2+M665*Prislapp!$M$2+N665*Prislapp!$N$2</f>
        <v>19473</v>
      </c>
      <c r="P665" s="42">
        <f>C665*Prislapp!$C$3+D665*Prislapp!$D$3+E665*Prislapp!$E$3+F665*Prislapp!$F$3+G665*Prislapp!$G$3+H665*Prislapp!$H$3+I665*Prislapp!$I$3+J665*Prislapp!$J$3+K665*Prislapp!$K$3+M665*Prislapp!$M$3+N665*Prislapp!$N$3</f>
        <v>34806</v>
      </c>
      <c r="Q665" s="42">
        <f>C665*Prislapp!$C$5+D665*Prislapp!$D$5+E665*Prislapp!$E$5+F665*Prislapp!$F$5+G665*Prislapp!$G$5+H665*Prislapp!$H$5+I665*Prislapp!$I$5+J665*Prislapp!$J$5+K665*Prislapp!$K$5+L665*Prislapp!$L$5+M665*Prislapp!$M$5+N665*Prislapp!$N$5</f>
        <v>21800</v>
      </c>
      <c r="R665" s="9">
        <f>VLOOKUP(A665,'Ansvar kurs'!$A$2:$B$847,2,FALSE)</f>
        <v>1650</v>
      </c>
    </row>
    <row r="666" spans="1:26" x14ac:dyDescent="0.25">
      <c r="A666" s="31" t="s">
        <v>527</v>
      </c>
      <c r="B666" s="31" t="s">
        <v>542</v>
      </c>
      <c r="J666" s="31">
        <v>1</v>
      </c>
      <c r="O666" s="42">
        <f>C666*Prislapp!$C$2+D666*Prislapp!$D$2+E666*Prislapp!$E$2+F666*Prislapp!$F$2+G666*Prislapp!$G$2+H666*Prislapp!$H$2+I666*Prislapp!$I$2+J666*Prislapp!$J$2+K666*Prislapp!$K$2+L666*Prislapp!$L$2+M666*Prislapp!$M$2+N666*Prislapp!$N$2</f>
        <v>19473</v>
      </c>
      <c r="P666" s="42">
        <f>C666*Prislapp!$C$3+D666*Prislapp!$D$3+E666*Prislapp!$E$3+F666*Prislapp!$F$3+G666*Prislapp!$G$3+H666*Prislapp!$H$3+I666*Prislapp!$I$3+J666*Prislapp!$J$3+K666*Prislapp!$K$3+M666*Prislapp!$M$3+N666*Prislapp!$N$3</f>
        <v>34806</v>
      </c>
      <c r="Q666" s="42">
        <f>C666*Prislapp!$C$5+D666*Prislapp!$D$5+E666*Prislapp!$E$5+F666*Prislapp!$F$5+G666*Prislapp!$G$5+H666*Prislapp!$H$5+I666*Prislapp!$I$5+J666*Prislapp!$J$5+K666*Prislapp!$K$5+L666*Prislapp!$L$5+M666*Prislapp!$M$5+N666*Prislapp!$N$5</f>
        <v>21800</v>
      </c>
      <c r="R666" s="9">
        <f>VLOOKUP(A666,'Ansvar kurs'!$A$2:$B$847,2,FALSE)</f>
        <v>1650</v>
      </c>
    </row>
    <row r="667" spans="1:26" x14ac:dyDescent="0.25">
      <c r="A667" s="31" t="s">
        <v>648</v>
      </c>
      <c r="B667" s="31" t="s">
        <v>1229</v>
      </c>
      <c r="J667" s="31">
        <v>1</v>
      </c>
      <c r="O667" s="42">
        <f>C667*Prislapp!$C$2+D667*Prislapp!$D$2+E667*Prislapp!$E$2+F667*Prislapp!$F$2+G667*Prislapp!$G$2+H667*Prislapp!$H$2+I667*Prislapp!$I$2+J667*Prislapp!$J$2+K667*Prislapp!$K$2+L667*Prislapp!$L$2+M667*Prislapp!$M$2+N667*Prislapp!$N$2</f>
        <v>19473</v>
      </c>
      <c r="P667" s="42">
        <f>C667*Prislapp!$C$3+D667*Prislapp!$D$3+E667*Prislapp!$E$3+F667*Prislapp!$F$3+G667*Prislapp!$G$3+H667*Prislapp!$H$3+I667*Prislapp!$I$3+J667*Prislapp!$J$3+K667*Prislapp!$K$3+M667*Prislapp!$M$3+N667*Prislapp!$N$3</f>
        <v>34806</v>
      </c>
      <c r="Q667" s="42">
        <f>C667*Prislapp!$C$5+D667*Prislapp!$D$5+E667*Prislapp!$E$5+F667*Prislapp!$F$5+G667*Prislapp!$G$5+H667*Prislapp!$H$5+I667*Prislapp!$I$5+J667*Prislapp!$J$5+K667*Prislapp!$K$5+L667*Prislapp!$L$5+M667*Prislapp!$M$5+N667*Prislapp!$N$5</f>
        <v>21800</v>
      </c>
      <c r="R667" s="9">
        <f>VLOOKUP(A667,'Ansvar kurs'!$A$2:$B$847,2,FALSE)</f>
        <v>1650</v>
      </c>
    </row>
    <row r="668" spans="1:26" x14ac:dyDescent="0.25">
      <c r="A668" s="31" t="s">
        <v>769</v>
      </c>
      <c r="B668" s="31" t="s">
        <v>1230</v>
      </c>
      <c r="J668" s="31">
        <v>1</v>
      </c>
      <c r="O668" s="42">
        <f>C668*Prislapp!$C$2+D668*Prislapp!$D$2+E668*Prislapp!$E$2+F668*Prislapp!$F$2+G668*Prislapp!$G$2+H668*Prislapp!$H$2+I668*Prislapp!$I$2+J668*Prislapp!$J$2+K668*Prislapp!$K$2+L668*Prislapp!$L$2+M668*Prislapp!$M$2+N668*Prislapp!$N$2</f>
        <v>19473</v>
      </c>
      <c r="P668" s="42">
        <f>C668*Prislapp!$C$3+D668*Prislapp!$D$3+E668*Prislapp!$E$3+F668*Prislapp!$F$3+G668*Prislapp!$G$3+H668*Prislapp!$H$3+I668*Prislapp!$I$3+J668*Prislapp!$J$3+K668*Prislapp!$K$3+M668*Prislapp!$M$3+N668*Prislapp!$N$3</f>
        <v>34806</v>
      </c>
      <c r="Q668" s="42">
        <f>C668*Prislapp!$C$5+D668*Prislapp!$D$5+E668*Prislapp!$E$5+F668*Prislapp!$F$5+G668*Prislapp!$G$5+H668*Prislapp!$H$5+I668*Prislapp!$I$5+J668*Prislapp!$J$5+K668*Prislapp!$K$5+L668*Prislapp!$L$5+M668*Prislapp!$M$5+N668*Prislapp!$N$5</f>
        <v>21800</v>
      </c>
      <c r="R668" s="9">
        <f>VLOOKUP(A668,'Ansvar kurs'!$A$2:$B$847,2,FALSE)</f>
        <v>1650</v>
      </c>
      <c r="S668" s="159"/>
    </row>
    <row r="669" spans="1:26" x14ac:dyDescent="0.25">
      <c r="A669" s="31" t="s">
        <v>569</v>
      </c>
      <c r="B669" s="31" t="s">
        <v>739</v>
      </c>
      <c r="J669" s="31">
        <v>1</v>
      </c>
      <c r="M669" s="31">
        <v>0</v>
      </c>
      <c r="O669" s="42">
        <f>C669*Prislapp!$C$2+D669*Prislapp!$D$2+E669*Prislapp!$E$2+F669*Prislapp!$F$2+G669*Prislapp!$G$2+H669*Prislapp!$H$2+I669*Prislapp!$I$2+J669*Prislapp!$J$2+K669*Prislapp!$K$2+L669*Prislapp!$L$2+M669*Prislapp!$M$2+N669*Prislapp!$N$2</f>
        <v>19473</v>
      </c>
      <c r="P669" s="42">
        <f>C669*Prislapp!$C$3+D669*Prislapp!$D$3+E669*Prislapp!$E$3+F669*Prislapp!$F$3+G669*Prislapp!$G$3+H669*Prislapp!$H$3+I669*Prislapp!$I$3+J669*Prislapp!$J$3+K669*Prislapp!$K$3+M669*Prislapp!$M$3+N669*Prislapp!$N$3</f>
        <v>34806</v>
      </c>
      <c r="Q669" s="42">
        <f>C669*Prislapp!$C$5+D669*Prislapp!$D$5+E669*Prislapp!$E$5+F669*Prislapp!$F$5+G669*Prislapp!$G$5+H669*Prislapp!$H$5+I669*Prislapp!$I$5+J669*Prislapp!$J$5+K669*Prislapp!$K$5+L669*Prislapp!$L$5+M669*Prislapp!$M$5+N669*Prislapp!$N$5</f>
        <v>21800</v>
      </c>
      <c r="R669" s="9">
        <f>VLOOKUP(A669,'Ansvar kurs'!$A$2:$B$847,2,FALSE)</f>
        <v>1650</v>
      </c>
      <c r="S669" s="182" t="s">
        <v>1517</v>
      </c>
      <c r="T669" s="182"/>
    </row>
    <row r="670" spans="1:26" x14ac:dyDescent="0.25">
      <c r="A670" s="31" t="s">
        <v>647</v>
      </c>
      <c r="B670" s="31" t="s">
        <v>767</v>
      </c>
      <c r="J670" s="31">
        <v>1</v>
      </c>
      <c r="M670" s="31">
        <v>0</v>
      </c>
      <c r="O670" s="42">
        <f>C670*Prislapp!$C$2+D670*Prislapp!$D$2+E670*Prislapp!$E$2+F670*Prislapp!$F$2+G670*Prislapp!$G$2+H670*Prislapp!$H$2+I670*Prislapp!$I$2+J670*Prislapp!$J$2+K670*Prislapp!$K$2+L670*Prislapp!$L$2+M670*Prislapp!$M$2+N670*Prislapp!$N$2</f>
        <v>19473</v>
      </c>
      <c r="P670" s="42">
        <f>C670*Prislapp!$C$3+D670*Prislapp!$D$3+E670*Prislapp!$E$3+F670*Prislapp!$F$3+G670*Prislapp!$G$3+H670*Prislapp!$H$3+I670*Prislapp!$I$3+J670*Prislapp!$J$3+K670*Prislapp!$K$3+M670*Prislapp!$M$3+N670*Prislapp!$N$3</f>
        <v>34806</v>
      </c>
      <c r="Q670" s="42">
        <f>C670*Prislapp!$C$5+D670*Prislapp!$D$5+E670*Prislapp!$E$5+F670*Prislapp!$F$5+G670*Prislapp!$G$5+H670*Prislapp!$H$5+I670*Prislapp!$I$5+J670*Prislapp!$J$5+K670*Prislapp!$K$5+L670*Prislapp!$L$5+M670*Prislapp!$M$5+N670*Prislapp!$N$5</f>
        <v>21800</v>
      </c>
      <c r="R670" s="9">
        <f>VLOOKUP(A670,'Ansvar kurs'!$A$2:$B$847,2,FALSE)</f>
        <v>1650</v>
      </c>
      <c r="S670" s="182" t="s">
        <v>1517</v>
      </c>
      <c r="T670" s="182"/>
    </row>
    <row r="671" spans="1:26" x14ac:dyDescent="0.25">
      <c r="A671" s="31" t="s">
        <v>1124</v>
      </c>
      <c r="B671" s="31" t="s">
        <v>1231</v>
      </c>
      <c r="D671" s="31">
        <v>0</v>
      </c>
      <c r="J671" s="31">
        <v>1</v>
      </c>
      <c r="L671" s="31">
        <v>0</v>
      </c>
      <c r="O671" s="42">
        <f>C671*Prislapp!$C$2+D671*Prislapp!$D$2+E671*Prislapp!$E$2+F671*Prislapp!$F$2+G671*Prislapp!$G$2+H671*Prislapp!$H$2+I671*Prislapp!$I$2+J671*Prislapp!$J$2+K671*Prislapp!$K$2+L671*Prislapp!$L$2+M671*Prislapp!$M$2+N671*Prislapp!$N$2</f>
        <v>19473</v>
      </c>
      <c r="P671" s="42">
        <f>C671*Prislapp!$C$3+D671*Prislapp!$D$3+E671*Prislapp!$E$3+F671*Prislapp!$F$3+G671*Prislapp!$G$3+H671*Prislapp!$H$3+I671*Prislapp!$I$3+J671*Prislapp!$J$3+K671*Prislapp!$K$3+M671*Prislapp!$M$3+N671*Prislapp!$N$3</f>
        <v>34806</v>
      </c>
      <c r="Q671" s="42">
        <f>C671*Prislapp!$C$5+D671*Prislapp!$D$5+E671*Prislapp!$E$5+F671*Prislapp!$F$5+G671*Prislapp!$G$5+H671*Prislapp!$H$5+I671*Prislapp!$I$5+J671*Prislapp!$J$5+K671*Prislapp!$K$5+L671*Prislapp!$L$5+M671*Prislapp!$M$5+N671*Prislapp!$N$5</f>
        <v>21800</v>
      </c>
      <c r="R671" s="9">
        <f>VLOOKUP(A671,'Ansvar kurs'!$A$2:$B$847,2,FALSE)</f>
        <v>1650</v>
      </c>
      <c r="S671" s="182" t="s">
        <v>1517</v>
      </c>
      <c r="T671" s="182"/>
      <c r="U671" s="159"/>
      <c r="V671" s="159"/>
      <c r="W671" s="159"/>
      <c r="X671" s="159"/>
      <c r="Y671" s="159"/>
      <c r="Z671" s="159"/>
    </row>
    <row r="672" spans="1:26" x14ac:dyDescent="0.25">
      <c r="A672" s="245" t="s">
        <v>1751</v>
      </c>
      <c r="B672" t="s">
        <v>1625</v>
      </c>
      <c r="D672" s="31">
        <v>0</v>
      </c>
      <c r="J672" s="31">
        <v>1</v>
      </c>
      <c r="O672" s="42">
        <f>C672*Prislapp!$C$2+D672*Prislapp!$D$2+E672*Prislapp!$E$2+F672*Prislapp!$F$2+G672*Prislapp!$G$2+H672*Prislapp!$H$2+I672*Prislapp!$I$2+J672*Prislapp!$J$2+K672*Prislapp!$K$2+L672*Prislapp!$L$2+M672*Prislapp!$M$2+N672*Prislapp!$N$2</f>
        <v>19473</v>
      </c>
      <c r="P672" s="42">
        <f>C672*Prislapp!$C$3+D672*Prislapp!$D$3+E672*Prislapp!$E$3+F672*Prislapp!$F$3+G672*Prislapp!$G$3+H672*Prislapp!$H$3+I672*Prislapp!$I$3+J672*Prislapp!$J$3+K672*Prislapp!$K$3+M672*Prislapp!$M$3+N672*Prislapp!$N$3</f>
        <v>34806</v>
      </c>
      <c r="Q672" s="42">
        <f>C672*Prislapp!$C$5+D672*Prislapp!$D$5+E672*Prislapp!$E$5+F672*Prislapp!$F$5+G672*Prislapp!$G$5+H672*Prislapp!$H$5+I672*Prislapp!$I$5+J672*Prislapp!$J$5+K672*Prislapp!$K$5+L672*Prislapp!$L$5+M672*Prislapp!$M$5+N672*Prislapp!$N$5</f>
        <v>21800</v>
      </c>
      <c r="R672" s="9">
        <f>VLOOKUP(A672,'Ansvar kurs'!$A$2:$B$847,2,FALSE)</f>
        <v>1650</v>
      </c>
      <c r="S672" s="182" t="s">
        <v>1902</v>
      </c>
      <c r="T672" s="159"/>
      <c r="U672" s="159"/>
      <c r="V672" s="159"/>
      <c r="W672" s="159"/>
      <c r="X672" s="159"/>
      <c r="Y672" s="159"/>
      <c r="Z672" s="159"/>
    </row>
    <row r="673" spans="1:26" x14ac:dyDescent="0.25">
      <c r="A673" s="31" t="s">
        <v>1619</v>
      </c>
      <c r="B673" s="31" t="s">
        <v>1653</v>
      </c>
      <c r="J673" s="31">
        <v>1</v>
      </c>
      <c r="O673" s="42">
        <f>C673*Prislapp!$C$2+D673*Prislapp!$D$2+E673*Prislapp!$E$2+F673*Prislapp!$F$2+G673*Prislapp!$G$2+H673*Prislapp!$H$2+I673*Prislapp!$I$2+J673*Prislapp!$J$2+K673*Prislapp!$K$2+L673*Prislapp!$L$2+M673*Prislapp!$M$2+N673*Prislapp!$N$2</f>
        <v>19473</v>
      </c>
      <c r="P673" s="42">
        <f>C673*Prislapp!$C$3+D673*Prislapp!$D$3+E673*Prislapp!$E$3+F673*Prislapp!$F$3+G673*Prislapp!$G$3+H673*Prislapp!$H$3+I673*Prislapp!$I$3+J673*Prislapp!$J$3+K673*Prislapp!$K$3+M673*Prislapp!$M$3+N673*Prislapp!$N$3</f>
        <v>34806</v>
      </c>
      <c r="Q673" s="42">
        <f>C673*Prislapp!$C$5+D673*Prislapp!$D$5+E673*Prislapp!$E$5+F673*Prislapp!$F$5+G673*Prislapp!$G$5+H673*Prislapp!$H$5+I673*Prislapp!$I$5+J673*Prislapp!$J$5+K673*Prislapp!$K$5+L673*Prislapp!$L$5+M673*Prislapp!$M$5+N673*Prislapp!$N$5</f>
        <v>21800</v>
      </c>
      <c r="R673" s="9">
        <f>VLOOKUP(A673,'Ansvar kurs'!$A$2:$B$847,2,FALSE)</f>
        <v>1650</v>
      </c>
      <c r="S673" s="182"/>
      <c r="T673" s="182"/>
      <c r="U673" s="159"/>
      <c r="V673" s="159"/>
      <c r="W673" s="159"/>
      <c r="X673" s="159"/>
      <c r="Y673" s="159"/>
      <c r="Z673" s="159"/>
    </row>
    <row r="674" spans="1:26" x14ac:dyDescent="0.25">
      <c r="A674" s="31" t="s">
        <v>1620</v>
      </c>
      <c r="B674" s="31" t="s">
        <v>1654</v>
      </c>
      <c r="D674" s="31">
        <v>0</v>
      </c>
      <c r="J674" s="31">
        <v>1</v>
      </c>
      <c r="O674" s="42">
        <f>C674*Prislapp!$C$2+D674*Prislapp!$D$2+E674*Prislapp!$E$2+F674*Prislapp!$F$2+G674*Prislapp!$G$2+H674*Prislapp!$H$2+I674*Prislapp!$I$2+J674*Prislapp!$J$2+K674*Prislapp!$K$2+L674*Prislapp!$L$2+M674*Prislapp!$M$2+N674*Prislapp!$N$2</f>
        <v>19473</v>
      </c>
      <c r="P674" s="42">
        <f>C674*Prislapp!$C$3+D674*Prislapp!$D$3+E674*Prislapp!$E$3+F674*Prislapp!$F$3+G674*Prislapp!$G$3+H674*Prislapp!$H$3+I674*Prislapp!$I$3+J674*Prislapp!$J$3+K674*Prislapp!$K$3+M674*Prislapp!$M$3+N674*Prislapp!$N$3</f>
        <v>34806</v>
      </c>
      <c r="Q674" s="42">
        <f>C674*Prislapp!$C$5+D674*Prislapp!$D$5+E674*Prislapp!$E$5+F674*Prislapp!$F$5+G674*Prislapp!$G$5+H674*Prislapp!$H$5+I674*Prislapp!$I$5+J674*Prislapp!$J$5+K674*Prislapp!$K$5+L674*Prislapp!$L$5+M674*Prislapp!$M$5+N674*Prislapp!$N$5</f>
        <v>21800</v>
      </c>
      <c r="R674" s="9">
        <f>VLOOKUP(A674,'Ansvar kurs'!$A$2:$B$847,2,FALSE)</f>
        <v>1650</v>
      </c>
      <c r="S674" s="182" t="s">
        <v>1902</v>
      </c>
      <c r="T674" s="182"/>
      <c r="U674" s="159"/>
      <c r="V674" s="159"/>
      <c r="W674" s="159"/>
      <c r="X674" s="159"/>
      <c r="Y674" s="159"/>
      <c r="Z674" s="159"/>
    </row>
    <row r="675" spans="1:26" x14ac:dyDescent="0.25">
      <c r="A675" s="31" t="s">
        <v>1616</v>
      </c>
      <c r="B675" s="31" t="s">
        <v>1621</v>
      </c>
      <c r="D675" s="31">
        <v>0</v>
      </c>
      <c r="J675" s="31">
        <v>1</v>
      </c>
      <c r="O675" s="42">
        <f>C675*Prislapp!$C$2+D675*Prislapp!$D$2+E675*Prislapp!$E$2+F675*Prislapp!$F$2+G675*Prislapp!$G$2+H675*Prislapp!$H$2+I675*Prislapp!$I$2+J675*Prislapp!$J$2+K675*Prislapp!$K$2+L675*Prislapp!$L$2+M675*Prislapp!$M$2+N675*Prislapp!$N$2</f>
        <v>19473</v>
      </c>
      <c r="P675" s="42">
        <f>C675*Prislapp!$C$3+D675*Prislapp!$D$3+E675*Prislapp!$E$3+F675*Prislapp!$F$3+G675*Prislapp!$G$3+H675*Prislapp!$H$3+I675*Prislapp!$I$3+J675*Prislapp!$J$3+K675*Prislapp!$K$3+M675*Prislapp!$M$3+N675*Prislapp!$N$3</f>
        <v>34806</v>
      </c>
      <c r="Q675" s="42">
        <f>C675*Prislapp!$C$5+D675*Prislapp!$D$5+E675*Prislapp!$E$5+F675*Prislapp!$F$5+G675*Prislapp!$G$5+H675*Prislapp!$H$5+I675*Prislapp!$I$5+J675*Prislapp!$J$5+K675*Prislapp!$K$5+L675*Prislapp!$L$5+M675*Prislapp!$M$5+N675*Prislapp!$N$5</f>
        <v>21800</v>
      </c>
      <c r="R675" s="9">
        <f>VLOOKUP(A675,'Ansvar kurs'!$A$2:$B$847,2,FALSE)</f>
        <v>1650</v>
      </c>
      <c r="S675" s="182" t="s">
        <v>1702</v>
      </c>
      <c r="T675" s="182"/>
      <c r="U675" s="159"/>
      <c r="V675" s="159"/>
      <c r="W675" s="159"/>
      <c r="X675" s="159"/>
      <c r="Y675" s="159"/>
      <c r="Z675" s="159"/>
    </row>
    <row r="676" spans="1:26" x14ac:dyDescent="0.25">
      <c r="A676" s="31" t="s">
        <v>1866</v>
      </c>
      <c r="B676" s="31" t="s">
        <v>1795</v>
      </c>
      <c r="J676" s="31">
        <v>1</v>
      </c>
      <c r="O676" s="42">
        <f>C676*Prislapp!$C$2+D676*Prislapp!$D$2+E676*Prislapp!$E$2+F676*Prislapp!$F$2+G676*Prislapp!$G$2+H676*Prislapp!$H$2+I676*Prislapp!$I$2+J676*Prislapp!$J$2+K676*Prislapp!$K$2+L676*Prislapp!$L$2+M676*Prislapp!$M$2+N676*Prislapp!$N$2</f>
        <v>19473</v>
      </c>
      <c r="P676" s="42">
        <f>C676*Prislapp!$C$3+D676*Prislapp!$D$3+E676*Prislapp!$E$3+F676*Prislapp!$F$3+G676*Prislapp!$G$3+H676*Prislapp!$H$3+I676*Prislapp!$I$3+J676*Prislapp!$J$3+K676*Prislapp!$K$3+M676*Prislapp!$M$3+N676*Prislapp!$N$3</f>
        <v>34806</v>
      </c>
      <c r="Q676" s="42">
        <f>C676*Prislapp!$C$5+D676*Prislapp!$D$5+E676*Prislapp!$E$5+F676*Prislapp!$F$5+G676*Prislapp!$G$5+H676*Prislapp!$H$5+I676*Prislapp!$I$5+J676*Prislapp!$J$5+K676*Prislapp!$K$5+L676*Prislapp!$L$5+M676*Prislapp!$M$5+N676*Prislapp!$N$5</f>
        <v>21800</v>
      </c>
      <c r="R676" s="9">
        <f>VLOOKUP(A676,'Ansvar kurs'!$A$2:$B$847,2,FALSE)</f>
        <v>1650</v>
      </c>
      <c r="S676" s="159" t="s">
        <v>1946</v>
      </c>
      <c r="T676" s="182"/>
      <c r="U676" s="159"/>
      <c r="V676" s="159"/>
      <c r="W676" s="159"/>
      <c r="X676" s="159"/>
      <c r="Y676" s="159"/>
      <c r="Z676" s="159"/>
    </row>
    <row r="677" spans="1:26" x14ac:dyDescent="0.25">
      <c r="A677" s="159" t="s">
        <v>1877</v>
      </c>
      <c r="B677" s="31" t="s">
        <v>1838</v>
      </c>
      <c r="J677" s="31">
        <v>1</v>
      </c>
      <c r="O677" s="42">
        <f>C677*Prislapp!$C$2+D677*Prislapp!$D$2+E677*Prislapp!$E$2+F677*Prislapp!$F$2+G677*Prislapp!$G$2+H677*Prislapp!$H$2+I677*Prislapp!$I$2+J677*Prislapp!$J$2+K677*Prislapp!$K$2+L677*Prislapp!$L$2+M677*Prislapp!$M$2+N677*Prislapp!$N$2</f>
        <v>19473</v>
      </c>
      <c r="P677" s="42">
        <f>C677*Prislapp!$C$3+D677*Prislapp!$D$3+E677*Prislapp!$E$3+F677*Prislapp!$F$3+G677*Prislapp!$G$3+H677*Prislapp!$H$3+I677*Prislapp!$I$3+J677*Prislapp!$J$3+K677*Prislapp!$K$3+M677*Prislapp!$M$3+N677*Prislapp!$N$3</f>
        <v>34806</v>
      </c>
      <c r="Q677" s="42">
        <f>C677*Prislapp!$C$5+D677*Prislapp!$D$5+E677*Prislapp!$E$5+F677*Prislapp!$F$5+G677*Prislapp!$G$5+H677*Prislapp!$H$5+I677*Prislapp!$I$5+J677*Prislapp!$J$5+K677*Prislapp!$K$5+L677*Prislapp!$L$5+M677*Prislapp!$M$5+N677*Prislapp!$N$5</f>
        <v>21800</v>
      </c>
      <c r="R677" s="9">
        <f>VLOOKUP(A677,'Ansvar kurs'!$A$2:$B$847,2,FALSE)</f>
        <v>1650</v>
      </c>
      <c r="S677" s="159" t="s">
        <v>1946</v>
      </c>
      <c r="T677" s="159"/>
      <c r="U677" s="159"/>
      <c r="V677" s="159"/>
      <c r="W677" s="159"/>
      <c r="X677" s="159"/>
      <c r="Y677" s="159"/>
      <c r="Z677" s="159"/>
    </row>
    <row r="678" spans="1:26" x14ac:dyDescent="0.25">
      <c r="A678" s="31" t="s">
        <v>1524</v>
      </c>
      <c r="B678" s="31" t="s">
        <v>1528</v>
      </c>
      <c r="D678" s="31">
        <v>0</v>
      </c>
      <c r="M678" s="31">
        <v>1</v>
      </c>
      <c r="O678" s="42">
        <f>C678*Prislapp!$C$2+D678*Prislapp!$D$2+E678*Prislapp!$E$2+F678*Prislapp!$F$2+G678*Prislapp!$G$2+H678*Prislapp!$H$2+I678*Prislapp!$I$2+J678*Prislapp!$J$2+K678*Prislapp!$K$2+L678*Prislapp!$L$2+M678*Prislapp!$M$2+N678*Prislapp!$N$2</f>
        <v>15846</v>
      </c>
      <c r="P678" s="42">
        <f>C678*Prislapp!$C$3+D678*Prislapp!$D$3+E678*Prislapp!$E$3+F678*Prislapp!$F$3+G678*Prislapp!$G$3+H678*Prislapp!$H$3+I678*Prislapp!$I$3+J678*Prislapp!$J$3+K678*Prislapp!$K$3+M678*Prislapp!$M$3+N678*Prislapp!$N$3</f>
        <v>26926</v>
      </c>
      <c r="Q678" s="42">
        <f>C678*Prislapp!$C$5+D678*Prislapp!$D$5+E678*Prislapp!$E$5+F678*Prislapp!$F$5+G678*Prislapp!$G$5+H678*Prislapp!$H$5+I678*Prislapp!$I$5+J678*Prislapp!$J$5+K678*Prislapp!$K$5+L678*Prislapp!$L$5+M678*Prislapp!$M$5+N678*Prislapp!$N$5</f>
        <v>17300</v>
      </c>
      <c r="R678" s="9">
        <f>VLOOKUP(A678,'Ansvar kurs'!$A$2:$B$847,2,FALSE)</f>
        <v>1620</v>
      </c>
      <c r="S678" s="182" t="s">
        <v>1781</v>
      </c>
      <c r="T678" s="182"/>
      <c r="U678" s="159"/>
      <c r="V678" s="159"/>
      <c r="W678" s="159"/>
      <c r="X678" s="159"/>
      <c r="Y678" s="159"/>
      <c r="Z678" s="159"/>
    </row>
    <row r="679" spans="1:26" x14ac:dyDescent="0.25">
      <c r="A679" s="31" t="s">
        <v>1525</v>
      </c>
      <c r="B679" s="31" t="s">
        <v>1536</v>
      </c>
      <c r="D679" s="31">
        <v>0</v>
      </c>
      <c r="M679" s="31">
        <v>1</v>
      </c>
      <c r="O679" s="42">
        <f>C679*Prislapp!$C$2+D679*Prislapp!$D$2+E679*Prislapp!$E$2+F679*Prislapp!$F$2+G679*Prislapp!$G$2+H679*Prislapp!$H$2+I679*Prislapp!$I$2+J679*Prislapp!$J$2+K679*Prislapp!$K$2+L679*Prislapp!$L$2+M679*Prislapp!$M$2+N679*Prislapp!$N$2</f>
        <v>15846</v>
      </c>
      <c r="P679" s="42">
        <f>C679*Prislapp!$C$3+D679*Prislapp!$D$3+E679*Prislapp!$E$3+F679*Prislapp!$F$3+G679*Prislapp!$G$3+H679*Prislapp!$H$3+I679*Prislapp!$I$3+J679*Prislapp!$J$3+K679*Prislapp!$K$3+M679*Prislapp!$M$3+N679*Prislapp!$N$3</f>
        <v>26926</v>
      </c>
      <c r="Q679" s="42">
        <f>C679*Prislapp!$C$5+D679*Prislapp!$D$5+E679*Prislapp!$E$5+F679*Prislapp!$F$5+G679*Prislapp!$G$5+H679*Prislapp!$H$5+I679*Prislapp!$I$5+J679*Prislapp!$J$5+K679*Prislapp!$K$5+L679*Prislapp!$L$5+M679*Prislapp!$M$5+N679*Prislapp!$N$5</f>
        <v>17300</v>
      </c>
      <c r="R679" s="9">
        <f>VLOOKUP(A679,'Ansvar kurs'!$A$2:$B$847,2,FALSE)</f>
        <v>1620</v>
      </c>
      <c r="S679" s="182" t="s">
        <v>1781</v>
      </c>
      <c r="T679" s="182"/>
      <c r="U679" s="159"/>
      <c r="V679" s="159"/>
      <c r="W679" s="159"/>
      <c r="X679" s="159"/>
      <c r="Y679" s="159"/>
      <c r="Z679" s="159"/>
    </row>
    <row r="680" spans="1:26" x14ac:dyDescent="0.25">
      <c r="A680" s="31" t="s">
        <v>1782</v>
      </c>
      <c r="B680" s="31" t="s">
        <v>1785</v>
      </c>
      <c r="D680" s="31">
        <v>0</v>
      </c>
      <c r="M680" s="31">
        <v>1</v>
      </c>
      <c r="O680" s="42">
        <f>C680*Prislapp!$C$2+D680*Prislapp!$D$2+E680*Prislapp!$E$2+F680*Prislapp!$F$2+G680*Prislapp!$G$2+H680*Prislapp!$H$2+I680*Prislapp!$I$2+J680*Prislapp!$J$2+K680*Prislapp!$K$2+L680*Prislapp!$L$2+M680*Prislapp!$M$2+N680*Prislapp!$N$2</f>
        <v>15846</v>
      </c>
      <c r="P680" s="42">
        <f>C680*Prislapp!$C$3+D680*Prislapp!$D$3+E680*Prislapp!$E$3+F680*Prislapp!$F$3+G680*Prislapp!$G$3+H680*Prislapp!$H$3+I680*Prislapp!$I$3+J680*Prislapp!$J$3+K680*Prislapp!$K$3+M680*Prislapp!$M$3+N680*Prislapp!$N$3</f>
        <v>26926</v>
      </c>
      <c r="Q680" s="42">
        <f>C680*Prislapp!$C$5+D680*Prislapp!$D$5+E680*Prislapp!$E$5+F680*Prislapp!$F$5+G680*Prislapp!$G$5+H680*Prislapp!$H$5+I680*Prislapp!$I$5+J680*Prislapp!$J$5+K680*Prislapp!$K$5+L680*Prislapp!$L$5+M680*Prislapp!$M$5+N680*Prislapp!$N$5</f>
        <v>17300</v>
      </c>
      <c r="R680" s="9">
        <f>VLOOKUP(A680,'Ansvar kurs'!$A$2:$B$847,2,FALSE)</f>
        <v>1620</v>
      </c>
      <c r="S680" s="182" t="s">
        <v>1781</v>
      </c>
      <c r="T680" s="182" t="s">
        <v>1919</v>
      </c>
      <c r="U680" s="159"/>
      <c r="V680" s="159"/>
      <c r="W680" s="159"/>
      <c r="X680" s="159"/>
      <c r="Y680" s="159"/>
      <c r="Z680" s="159"/>
    </row>
    <row r="681" spans="1:26" x14ac:dyDescent="0.25">
      <c r="A681" s="31" t="s">
        <v>1783</v>
      </c>
      <c r="B681" s="31" t="s">
        <v>1786</v>
      </c>
      <c r="D681" s="31">
        <v>0</v>
      </c>
      <c r="M681" s="31">
        <v>1</v>
      </c>
      <c r="O681" s="42">
        <f>C681*Prislapp!$C$2+D681*Prislapp!$D$2+E681*Prislapp!$E$2+F681*Prislapp!$F$2+G681*Prislapp!$G$2+H681*Prislapp!$H$2+I681*Prislapp!$I$2+J681*Prislapp!$J$2+K681*Prislapp!$K$2+L681*Prislapp!$L$2+M681*Prislapp!$M$2+N681*Prislapp!$N$2</f>
        <v>15846</v>
      </c>
      <c r="P681" s="42">
        <f>C681*Prislapp!$C$3+D681*Prislapp!$D$3+E681*Prislapp!$E$3+F681*Prislapp!$F$3+G681*Prislapp!$G$3+H681*Prislapp!$H$3+I681*Prislapp!$I$3+J681*Prislapp!$J$3+K681*Prislapp!$K$3+M681*Prislapp!$M$3+N681*Prislapp!$N$3</f>
        <v>26926</v>
      </c>
      <c r="Q681" s="42">
        <f>C681*Prislapp!$C$5+D681*Prislapp!$D$5+E681*Prislapp!$E$5+F681*Prislapp!$F$5+G681*Prislapp!$G$5+H681*Prislapp!$H$5+I681*Prislapp!$I$5+J681*Prislapp!$J$5+K681*Prislapp!$K$5+L681*Prislapp!$L$5+M681*Prislapp!$M$5+N681*Prislapp!$N$5</f>
        <v>17300</v>
      </c>
      <c r="R681" s="9">
        <f>VLOOKUP(A681,'Ansvar kurs'!$A$2:$B$847,2,FALSE)</f>
        <v>1620</v>
      </c>
      <c r="S681" s="182" t="s">
        <v>1781</v>
      </c>
      <c r="T681" s="182" t="s">
        <v>1919</v>
      </c>
      <c r="U681" s="159"/>
      <c r="V681" s="159"/>
      <c r="W681" s="159"/>
      <c r="X681" s="159"/>
      <c r="Y681" s="159"/>
      <c r="Z681" s="159"/>
    </row>
    <row r="682" spans="1:26" x14ac:dyDescent="0.25">
      <c r="A682" s="31" t="s">
        <v>1784</v>
      </c>
      <c r="B682" s="31" t="s">
        <v>1787</v>
      </c>
      <c r="D682" s="31">
        <v>0</v>
      </c>
      <c r="M682" s="31">
        <v>1</v>
      </c>
      <c r="O682" s="42">
        <f>C682*Prislapp!$C$2+D682*Prislapp!$D$2+E682*Prislapp!$E$2+F682*Prislapp!$F$2+G682*Prislapp!$G$2+H682*Prislapp!$H$2+I682*Prislapp!$I$2+J682*Prislapp!$J$2+K682*Prislapp!$K$2+L682*Prislapp!$L$2+M682*Prislapp!$M$2+N682*Prislapp!$N$2</f>
        <v>15846</v>
      </c>
      <c r="P682" s="42">
        <f>C682*Prislapp!$C$3+D682*Prislapp!$D$3+E682*Prislapp!$E$3+F682*Prislapp!$F$3+G682*Prislapp!$G$3+H682*Prislapp!$H$3+I682*Prislapp!$I$3+J682*Prislapp!$J$3+K682*Prislapp!$K$3+M682*Prislapp!$M$3+N682*Prislapp!$N$3</f>
        <v>26926</v>
      </c>
      <c r="Q682" s="42">
        <f>C682*Prislapp!$C$5+D682*Prislapp!$D$5+E682*Prislapp!$E$5+F682*Prislapp!$F$5+G682*Prislapp!$G$5+H682*Prislapp!$H$5+I682*Prislapp!$I$5+J682*Prislapp!$J$5+K682*Prislapp!$K$5+L682*Prislapp!$L$5+M682*Prislapp!$M$5+N682*Prislapp!$N$5</f>
        <v>17300</v>
      </c>
      <c r="R682" s="9">
        <f>VLOOKUP(A682,'Ansvar kurs'!$A$2:$B$847,2,FALSE)</f>
        <v>1620</v>
      </c>
      <c r="S682" s="182" t="s">
        <v>1781</v>
      </c>
      <c r="T682" s="182" t="s">
        <v>1919</v>
      </c>
      <c r="U682" s="159"/>
      <c r="V682" s="159"/>
      <c r="W682" s="159"/>
      <c r="X682" s="159"/>
      <c r="Y682" s="159"/>
      <c r="Z682" s="159"/>
    </row>
    <row r="683" spans="1:26" x14ac:dyDescent="0.25">
      <c r="A683" s="245" t="s">
        <v>1780</v>
      </c>
      <c r="B683" t="s">
        <v>1643</v>
      </c>
      <c r="D683" s="31">
        <v>0</v>
      </c>
      <c r="M683" s="31">
        <v>1</v>
      </c>
      <c r="O683" s="42">
        <f>C683*Prislapp!$C$2+D683*Prislapp!$D$2+E683*Prislapp!$E$2+F683*Prislapp!$F$2+G683*Prislapp!$G$2+H683*Prislapp!$H$2+I683*Prislapp!$I$2+J683*Prislapp!$J$2+K683*Prislapp!$K$2+L683*Prislapp!$L$2+M683*Prislapp!$M$2+N683*Prislapp!$N$2</f>
        <v>15846</v>
      </c>
      <c r="P683" s="42">
        <f>C683*Prislapp!$C$3+D683*Prislapp!$D$3+E683*Prislapp!$E$3+F683*Prislapp!$F$3+G683*Prislapp!$G$3+H683*Prislapp!$H$3+I683*Prislapp!$I$3+J683*Prislapp!$J$3+K683*Prislapp!$K$3+M683*Prislapp!$M$3+N683*Prislapp!$N$3</f>
        <v>26926</v>
      </c>
      <c r="Q683" s="42">
        <f>C683*Prislapp!$C$5+D683*Prislapp!$D$5+E683*Prislapp!$E$5+F683*Prislapp!$F$5+G683*Prislapp!$G$5+H683*Prislapp!$H$5+I683*Prislapp!$I$5+J683*Prislapp!$J$5+K683*Prislapp!$K$5+L683*Prislapp!$L$5+M683*Prislapp!$M$5+N683*Prislapp!$N$5</f>
        <v>17300</v>
      </c>
      <c r="R683" s="9">
        <f>VLOOKUP(A683,'Ansvar kurs'!$A$2:$B$847,2,FALSE)</f>
        <v>1620</v>
      </c>
      <c r="S683" s="182" t="s">
        <v>1781</v>
      </c>
      <c r="T683" s="182" t="s">
        <v>1919</v>
      </c>
      <c r="U683" s="159"/>
      <c r="V683" s="159"/>
      <c r="W683" s="159"/>
      <c r="X683" s="159"/>
      <c r="Y683" s="159"/>
      <c r="Z683" s="159"/>
    </row>
    <row r="684" spans="1:26" x14ac:dyDescent="0.25">
      <c r="A684" s="245" t="s">
        <v>2005</v>
      </c>
      <c r="B684" t="s">
        <v>2007</v>
      </c>
      <c r="H684" s="436">
        <v>1</v>
      </c>
      <c r="O684" s="42">
        <f>C684*Prislapp!$C$2+D684*Prislapp!$D$2+E684*Prislapp!$E$2+F684*Prislapp!$F$2+G684*Prislapp!$G$2+H684*Prislapp!$H$2+I684*Prislapp!$I$2+J684*Prislapp!$J$2+K684*Prislapp!$K$2+L684*Prislapp!$L$2+M684*Prislapp!$M$2+N684*Prislapp!$N$2</f>
        <v>19473</v>
      </c>
      <c r="P684" s="42">
        <f>C684*Prislapp!$C$3+D684*Prislapp!$D$3+E684*Prislapp!$E$3+F684*Prislapp!$F$3+G684*Prislapp!$G$3+H684*Prislapp!$H$3+I684*Prislapp!$I$3+J684*Prislapp!$J$3+K684*Prislapp!$K$3+M684*Prislapp!$M$3+N684*Prislapp!$N$3</f>
        <v>34806</v>
      </c>
      <c r="Q684" s="42">
        <f>C684*Prislapp!$C$5+D684*Prislapp!$D$5+E684*Prislapp!$E$5+F684*Prislapp!$F$5+G684*Prislapp!$G$5+H684*Prislapp!$H$5+I684*Prislapp!$I$5+J684*Prislapp!$J$5+K684*Prislapp!$K$5+L684*Prislapp!$L$5+M684*Prislapp!$M$5+N684*Prislapp!$N$5</f>
        <v>21800</v>
      </c>
      <c r="R684" s="9">
        <f>VLOOKUP(A684,'Ansvar kurs'!$A$2:$B$847,2,FALSE)</f>
        <v>2750</v>
      </c>
      <c r="S684" s="182" t="s">
        <v>2008</v>
      </c>
      <c r="T684" s="182"/>
      <c r="U684" s="159"/>
      <c r="V684" s="159"/>
      <c r="W684" s="159"/>
      <c r="X684" s="159"/>
      <c r="Y684" s="159"/>
      <c r="Z684" s="159"/>
    </row>
    <row r="685" spans="1:26" x14ac:dyDescent="0.25">
      <c r="A685" s="244" t="s">
        <v>372</v>
      </c>
      <c r="B685" s="31" t="s">
        <v>373</v>
      </c>
      <c r="F685" s="31">
        <v>0</v>
      </c>
      <c r="I685" s="31">
        <v>1</v>
      </c>
      <c r="O685" s="42">
        <f>C685*Prislapp!$C$2+D685*Prislapp!$D$2+E685*Prislapp!$E$2+F685*Prislapp!$F$2+G685*Prislapp!$G$2+H685*Prislapp!$H$2+I685*Prislapp!$I$2+J685*Prislapp!$J$2+K685*Prislapp!$K$2+L685*Prislapp!$L$2+M685*Prislapp!$M$2+N685*Prislapp!$N$2</f>
        <v>18405</v>
      </c>
      <c r="P685" s="42">
        <f>C685*Prislapp!$C$3+D685*Prislapp!$D$3+E685*Prislapp!$E$3+F685*Prislapp!$F$3+G685*Prislapp!$G$3+H685*Prislapp!$H$3+I685*Prislapp!$I$3+J685*Prislapp!$J$3+K685*Prislapp!$K$3+M685*Prislapp!$M$3+N685*Prislapp!$N$3</f>
        <v>15773</v>
      </c>
      <c r="Q685" s="42">
        <f>C685*Prislapp!$C$5+D685*Prislapp!$D$5+E685*Prislapp!$E$5+F685*Prislapp!$F$5+G685*Prislapp!$G$5+H685*Prislapp!$H$5+I685*Prislapp!$I$5+J685*Prislapp!$J$5+K685*Prislapp!$K$5+L685*Prislapp!$L$5+M685*Prislapp!$M$5+N685*Prislapp!$N$5</f>
        <v>5800</v>
      </c>
      <c r="R685" s="9">
        <f>VLOOKUP(A685,'Ansvar kurs'!$A$2:$B$847,2,FALSE)</f>
        <v>2193</v>
      </c>
      <c r="S685" s="182" t="s">
        <v>1429</v>
      </c>
      <c r="T685" s="159"/>
    </row>
    <row r="686" spans="1:26" x14ac:dyDescent="0.25">
      <c r="A686" s="31" t="s">
        <v>514</v>
      </c>
      <c r="B686" s="31" t="s">
        <v>373</v>
      </c>
      <c r="I686" s="31">
        <v>1</v>
      </c>
      <c r="O686" s="42">
        <f>C686*Prislapp!$C$2+D686*Prislapp!$D$2+E686*Prislapp!$E$2+F686*Prislapp!$F$2+G686*Prislapp!$G$2+H686*Prislapp!$H$2+I686*Prislapp!$I$2+J686*Prislapp!$J$2+K686*Prislapp!$K$2+L686*Prislapp!$L$2+M686*Prislapp!$M$2+N686*Prislapp!$N$2</f>
        <v>18405</v>
      </c>
      <c r="P686" s="42">
        <f>C686*Prislapp!$C$3+D686*Prislapp!$D$3+E686*Prislapp!$E$3+F686*Prislapp!$F$3+G686*Prislapp!$G$3+H686*Prislapp!$H$3+I686*Prislapp!$I$3+J686*Prislapp!$J$3+K686*Prislapp!$K$3+M686*Prislapp!$M$3+N686*Prislapp!$N$3</f>
        <v>15773</v>
      </c>
      <c r="Q686" s="42">
        <f>C686*Prislapp!$C$5+D686*Prislapp!$D$5+E686*Prislapp!$E$5+F686*Prislapp!$F$5+G686*Prislapp!$G$5+H686*Prislapp!$H$5+I686*Prislapp!$I$5+J686*Prislapp!$J$5+K686*Prislapp!$K$5+L686*Prislapp!$L$5+M686*Prislapp!$M$5+N686*Prislapp!$N$5</f>
        <v>5800</v>
      </c>
      <c r="R686" s="9">
        <f>VLOOKUP(A686,'Ansvar kurs'!$A$2:$B$847,2,FALSE)</f>
        <v>2180</v>
      </c>
      <c r="S686" s="31" t="s">
        <v>1304</v>
      </c>
    </row>
    <row r="687" spans="1:26" x14ac:dyDescent="0.25">
      <c r="A687" s="31" t="s">
        <v>1276</v>
      </c>
      <c r="B687" s="31" t="s">
        <v>1446</v>
      </c>
      <c r="I687" s="31">
        <v>1</v>
      </c>
      <c r="O687" s="42">
        <f>C687*Prislapp!$C$2+D687*Prislapp!$D$2+E687*Prislapp!$E$2+F687*Prislapp!$F$2+G687*Prislapp!$G$2+H687*Prislapp!$H$2+I687*Prislapp!$I$2+J687*Prislapp!$J$2+K687*Prislapp!$K$2+L687*Prislapp!$L$2+M687*Prislapp!$M$2+N687*Prislapp!$N$2</f>
        <v>18405</v>
      </c>
      <c r="P687" s="42">
        <f>C687*Prislapp!$C$3+D687*Prislapp!$D$3+E687*Prislapp!$E$3+F687*Prislapp!$F$3+G687*Prislapp!$G$3+H687*Prislapp!$H$3+I687*Prislapp!$I$3+J687*Prislapp!$J$3+K687*Prislapp!$K$3+M687*Prislapp!$M$3+N687*Prislapp!$N$3</f>
        <v>15773</v>
      </c>
      <c r="Q687" s="42">
        <f>C687*Prislapp!$C$5+D687*Prislapp!$D$5+E687*Prislapp!$E$5+F687*Prislapp!$F$5+G687*Prislapp!$G$5+H687*Prislapp!$H$5+I687*Prislapp!$I$5+J687*Prislapp!$J$5+K687*Prislapp!$K$5+L687*Prislapp!$L$5+M687*Prislapp!$M$5+N687*Prislapp!$N$5</f>
        <v>5800</v>
      </c>
      <c r="R687" s="9">
        <f>VLOOKUP(A687,'Ansvar kurs'!$A$2:$B$847,2,FALSE)</f>
        <v>2180</v>
      </c>
    </row>
    <row r="688" spans="1:26" x14ac:dyDescent="0.25">
      <c r="A688" s="31" t="s">
        <v>1923</v>
      </c>
      <c r="B688" s="31" t="s">
        <v>1924</v>
      </c>
      <c r="I688" s="31">
        <v>1</v>
      </c>
      <c r="O688" s="42">
        <f>C688*Prislapp!$C$2+D688*Prislapp!$D$2+E688*Prislapp!$E$2+F688*Prislapp!$F$2+G688*Prislapp!$G$2+H688*Prislapp!$H$2+I688*Prislapp!$I$2+J688*Prislapp!$J$2+K688*Prislapp!$K$2+L688*Prislapp!$L$2+M688*Prislapp!$M$2+N688*Prislapp!$N$2</f>
        <v>18405</v>
      </c>
      <c r="P688" s="42">
        <f>C688*Prislapp!$C$3+D688*Prislapp!$D$3+E688*Prislapp!$E$3+F688*Prislapp!$F$3+G688*Prislapp!$G$3+H688*Prislapp!$H$3+I688*Prislapp!$I$3+J688*Prislapp!$J$3+K688*Prislapp!$K$3+M688*Prislapp!$M$3+N688*Prislapp!$N$3</f>
        <v>15773</v>
      </c>
      <c r="Q688" s="42">
        <f>C688*Prislapp!$C$5+D688*Prislapp!$D$5+E688*Prislapp!$E$5+F688*Prislapp!$F$5+G688*Prislapp!$G$5+H688*Prislapp!$H$5+I688*Prislapp!$I$5+J688*Prislapp!$J$5+K688*Prislapp!$K$5+L688*Prislapp!$L$5+M688*Prislapp!$M$5+N688*Prislapp!$N$5</f>
        <v>5800</v>
      </c>
      <c r="R688" s="9">
        <f>VLOOKUP(A688,'Ansvar kurs'!$A$2:$B$847,2,FALSE)</f>
        <v>2180</v>
      </c>
    </row>
    <row r="689" spans="1:26" x14ac:dyDescent="0.25">
      <c r="A689" s="31" t="s">
        <v>1926</v>
      </c>
      <c r="B689" s="31" t="s">
        <v>1927</v>
      </c>
      <c r="I689" s="31">
        <v>1</v>
      </c>
      <c r="O689" s="42">
        <f>C689*Prislapp!$C$2+D689*Prislapp!$D$2+E689*Prislapp!$E$2+F689*Prislapp!$F$2+G689*Prislapp!$G$2+H689*Prislapp!$H$2+I689*Prislapp!$I$2+J689*Prislapp!$J$2+K689*Prislapp!$K$2+L689*Prislapp!$L$2+M689*Prislapp!$M$2+N689*Prislapp!$N$2</f>
        <v>18405</v>
      </c>
      <c r="P689" s="42">
        <f>C689*Prislapp!$C$3+D689*Prislapp!$D$3+E689*Prislapp!$E$3+F689*Prislapp!$F$3+G689*Prislapp!$G$3+H689*Prislapp!$H$3+I689*Prislapp!$I$3+J689*Prislapp!$J$3+K689*Prislapp!$K$3+M689*Prislapp!$M$3+N689*Prislapp!$N$3</f>
        <v>15773</v>
      </c>
      <c r="Q689" s="42">
        <f>C689*Prislapp!$C$5+D689*Prislapp!$D$5+E689*Prislapp!$E$5+F689*Prislapp!$F$5+G689*Prislapp!$G$5+H689*Prislapp!$H$5+I689*Prislapp!$I$5+J689*Prislapp!$J$5+K689*Prislapp!$K$5+L689*Prislapp!$L$5+M689*Prislapp!$M$5+N689*Prislapp!$N$5</f>
        <v>5800</v>
      </c>
      <c r="R689" s="9">
        <f>VLOOKUP(A689,'Ansvar kurs'!$A$2:$B$847,2,FALSE)</f>
        <v>2180</v>
      </c>
    </row>
    <row r="690" spans="1:26" x14ac:dyDescent="0.25">
      <c r="A690" s="31" t="s">
        <v>1925</v>
      </c>
      <c r="B690" s="31" t="s">
        <v>1928</v>
      </c>
      <c r="I690" s="31">
        <v>0.2</v>
      </c>
      <c r="N690" s="31">
        <v>0.8</v>
      </c>
      <c r="O690" s="42">
        <f>C690*Prislapp!$C$2+D690*Prislapp!$D$2+E690*Prislapp!$E$2+F690*Prislapp!$F$2+G690*Prislapp!$G$2+H690*Prislapp!$H$2+I690*Prislapp!$I$2+J690*Prislapp!$J$2+K690*Prislapp!$K$2+L690*Prislapp!$L$2+M690*Prislapp!$M$2+N690*Prislapp!$N$2</f>
        <v>34144.199999999997</v>
      </c>
      <c r="P690" s="42">
        <f>C690*Prislapp!$C$3+D690*Prislapp!$D$3+E690*Prislapp!$E$3+F690*Prislapp!$F$3+G690*Prislapp!$G$3+H690*Prislapp!$H$3+I690*Prislapp!$I$3+J690*Prislapp!$J$3+K690*Prislapp!$K$3+M690*Prislapp!$M$3+N690*Prislapp!$N$3</f>
        <v>33557.800000000003</v>
      </c>
      <c r="Q690" s="42">
        <f>C690*Prislapp!$C$5+D690*Prislapp!$D$5+E690*Prislapp!$E$5+F690*Prislapp!$F$5+G690*Prislapp!$G$5+H690*Prislapp!$H$5+I690*Prislapp!$I$5+J690*Prislapp!$J$5+K690*Prislapp!$K$5+L690*Prislapp!$L$5+M690*Prislapp!$M$5+N690*Prislapp!$N$5</f>
        <v>5800</v>
      </c>
      <c r="R690" s="9">
        <f>VLOOKUP(A690,'Ansvar kurs'!$A$2:$B$847,2,FALSE)</f>
        <v>2193</v>
      </c>
      <c r="S690" s="31" t="s">
        <v>2035</v>
      </c>
    </row>
    <row r="691" spans="1:26" x14ac:dyDescent="0.25">
      <c r="A691" s="31" t="s">
        <v>2047</v>
      </c>
      <c r="B691" s="31" t="s">
        <v>442</v>
      </c>
      <c r="I691" s="31">
        <v>1</v>
      </c>
      <c r="O691" s="42">
        <f>C691*Prislapp!$C$2+D691*Prislapp!$D$2+E691*Prislapp!$E$2+F691*Prislapp!$F$2+G691*Prislapp!$G$2+H691*Prislapp!$H$2+I691*Prislapp!$I$2+J691*Prislapp!$J$2+K691*Prislapp!$K$2+L691*Prislapp!$L$2+M691*Prislapp!$M$2+N691*Prislapp!$N$2</f>
        <v>18405</v>
      </c>
      <c r="P691" s="42">
        <f>C691*Prislapp!$C$3+D691*Prislapp!$D$3+E691*Prislapp!$E$3+F691*Prislapp!$F$3+G691*Prislapp!$G$3+H691*Prislapp!$H$3+I691*Prislapp!$I$3+J691*Prislapp!$J$3+K691*Prislapp!$K$3+M691*Prislapp!$M$3+N691*Prislapp!$N$3</f>
        <v>15773</v>
      </c>
      <c r="Q691" s="42">
        <f>C691*Prislapp!$C$5+D691*Prislapp!$D$5+E691*Prislapp!$E$5+F691*Prislapp!$F$5+G691*Prislapp!$G$5+H691*Prislapp!$H$5+I691*Prislapp!$I$5+J691*Prislapp!$J$5+K691*Prislapp!$K$5+L691*Prislapp!$L$5+M691*Prislapp!$M$5+N691*Prislapp!$N$5</f>
        <v>5800</v>
      </c>
      <c r="R691" s="9">
        <f>VLOOKUP(A691,'Ansvar kurs'!$A$2:$B$847,2,FALSE)</f>
        <v>2180</v>
      </c>
      <c r="S691" s="31" t="s">
        <v>1304</v>
      </c>
    </row>
    <row r="692" spans="1:26" x14ac:dyDescent="0.25">
      <c r="A692" s="31" t="s">
        <v>2049</v>
      </c>
      <c r="B692" s="31" t="s">
        <v>1281</v>
      </c>
      <c r="I692" s="31">
        <v>1</v>
      </c>
      <c r="O692" s="42">
        <f>C692*Prislapp!$C$2+D692*Prislapp!$D$2+E692*Prislapp!$E$2+F692*Prislapp!$F$2+G692*Prislapp!$G$2+H692*Prislapp!$H$2+I692*Prislapp!$I$2+J692*Prislapp!$J$2+K692*Prislapp!$K$2+L692*Prislapp!$L$2+M692*Prislapp!$M$2+N692*Prislapp!$N$2</f>
        <v>18405</v>
      </c>
      <c r="P692" s="42">
        <f>C692*Prislapp!$C$3+D692*Prislapp!$D$3+E692*Prislapp!$E$3+F692*Prislapp!$F$3+G692*Prislapp!$G$3+H692*Prislapp!$H$3+I692*Prislapp!$I$3+J692*Prislapp!$J$3+K692*Prislapp!$K$3+M692*Prislapp!$M$3+N692*Prislapp!$N$3</f>
        <v>15773</v>
      </c>
      <c r="Q692" s="42">
        <f>C692*Prislapp!$C$5+D692*Prislapp!$D$5+E692*Prislapp!$E$5+F692*Prislapp!$F$5+G692*Prislapp!$G$5+H692*Prislapp!$H$5+I692*Prislapp!$I$5+J692*Prislapp!$J$5+K692*Prislapp!$K$5+L692*Prislapp!$L$5+M692*Prislapp!$M$5+N692*Prislapp!$N$5</f>
        <v>5800</v>
      </c>
      <c r="R692" s="9">
        <f>VLOOKUP(A692,'Ansvar kurs'!$A$2:$B$847,2,FALSE)</f>
        <v>2180</v>
      </c>
    </row>
    <row r="693" spans="1:26" x14ac:dyDescent="0.25">
      <c r="A693" s="31" t="s">
        <v>2048</v>
      </c>
      <c r="B693" s="31" t="s">
        <v>1282</v>
      </c>
      <c r="I693" s="31">
        <v>1</v>
      </c>
      <c r="O693" s="42">
        <f>C693*Prislapp!$C$2+D693*Prislapp!$D$2+E693*Prislapp!$E$2+F693*Prislapp!$F$2+G693*Prislapp!$G$2+H693*Prislapp!$H$2+I693*Prislapp!$I$2+J693*Prislapp!$J$2+K693*Prislapp!$K$2+L693*Prislapp!$L$2+M693*Prislapp!$M$2+N693*Prislapp!$N$2</f>
        <v>18405</v>
      </c>
      <c r="P693" s="42">
        <f>C693*Prislapp!$C$3+D693*Prislapp!$D$3+E693*Prislapp!$E$3+F693*Prislapp!$F$3+G693*Prislapp!$G$3+H693*Prislapp!$H$3+I693*Prislapp!$I$3+J693*Prislapp!$J$3+K693*Prislapp!$K$3+M693*Prislapp!$M$3+N693*Prislapp!$N$3</f>
        <v>15773</v>
      </c>
      <c r="Q693" s="42">
        <f>C693*Prislapp!$C$5+D693*Prislapp!$D$5+E693*Prislapp!$E$5+F693*Prislapp!$F$5+G693*Prislapp!$G$5+H693*Prislapp!$H$5+I693*Prislapp!$I$5+J693*Prislapp!$J$5+K693*Prislapp!$K$5+L693*Prislapp!$L$5+M693*Prislapp!$M$5+N693*Prislapp!$N$5</f>
        <v>5800</v>
      </c>
      <c r="R693" s="9">
        <f>VLOOKUP(A693,'Ansvar kurs'!$A$2:$B$847,2,FALSE)</f>
        <v>2180</v>
      </c>
    </row>
    <row r="694" spans="1:26" ht="30" x14ac:dyDescent="0.25">
      <c r="A694" s="453" t="s">
        <v>2101</v>
      </c>
      <c r="B694" s="455" t="s">
        <v>2026</v>
      </c>
      <c r="I694" s="59">
        <v>1</v>
      </c>
      <c r="O694" s="42">
        <f>C694*Prislapp!$C$2+D694*Prislapp!$D$2+E694*Prislapp!$E$2+F694*Prislapp!$F$2+G694*Prislapp!$G$2+H694*Prislapp!$H$2+I694*Prislapp!$I$2+J694*Prislapp!$J$2+K694*Prislapp!$K$2+L694*Prislapp!$L$2+M694*Prislapp!$M$2+N694*Prislapp!$N$2</f>
        <v>18405</v>
      </c>
      <c r="P694" s="42">
        <f>C694*Prislapp!$C$3+D694*Prislapp!$D$3+E694*Prislapp!$E$3+F694*Prislapp!$F$3+G694*Prislapp!$G$3+H694*Prislapp!$H$3+I694*Prislapp!$I$3+J694*Prislapp!$J$3+K694*Prislapp!$K$3+M694*Prislapp!$M$3+N694*Prislapp!$N$3</f>
        <v>15773</v>
      </c>
      <c r="Q694" s="42">
        <f>C694*Prislapp!$C$5+D694*Prislapp!$D$5+E694*Prislapp!$E$5+F694*Prislapp!$F$5+G694*Prislapp!$G$5+H694*Prislapp!$H$5+I694*Prislapp!$I$5+J694*Prislapp!$J$5+K694*Prislapp!$K$5+L694*Prislapp!$L$5+M694*Prislapp!$M$5+N694*Prislapp!$N$5</f>
        <v>5800</v>
      </c>
      <c r="R694" s="9">
        <f>VLOOKUP(A694,'Ansvar kurs'!$A$2:$B$847,2,FALSE)</f>
        <v>2193</v>
      </c>
      <c r="S694" s="182"/>
      <c r="T694" s="159"/>
      <c r="U694" s="159"/>
      <c r="V694" s="159"/>
      <c r="W694" s="159"/>
      <c r="X694" s="159"/>
      <c r="Y694" s="159"/>
      <c r="Z694" s="159"/>
    </row>
    <row r="695" spans="1:26" x14ac:dyDescent="0.25">
      <c r="A695" s="244" t="s">
        <v>2050</v>
      </c>
      <c r="B695" s="31" t="s">
        <v>1232</v>
      </c>
      <c r="I695" s="31">
        <v>1</v>
      </c>
      <c r="O695" s="42">
        <f>C695*Prislapp!$C$2+D695*Prislapp!$D$2+E695*Prislapp!$E$2+F695*Prislapp!$F$2+G695*Prislapp!$G$2+H695*Prislapp!$H$2+I695*Prislapp!$I$2+J695*Prislapp!$J$2+K695*Prislapp!$K$2+L695*Prislapp!$L$2+M695*Prislapp!$M$2+N695*Prislapp!$N$2</f>
        <v>18405</v>
      </c>
      <c r="P695" s="42">
        <f>C695*Prislapp!$C$3+D695*Prislapp!$D$3+E695*Prislapp!$E$3+F695*Prislapp!$F$3+G695*Prislapp!$G$3+H695*Prislapp!$H$3+I695*Prislapp!$I$3+J695*Prislapp!$J$3+K695*Prislapp!$K$3+M695*Prislapp!$M$3+N695*Prislapp!$N$3</f>
        <v>15773</v>
      </c>
      <c r="Q695" s="42">
        <f>C695*Prislapp!$C$5+D695*Prislapp!$D$5+E695*Prislapp!$E$5+F695*Prislapp!$F$5+G695*Prislapp!$G$5+H695*Prislapp!$H$5+I695*Prislapp!$I$5+J695*Prislapp!$J$5+K695*Prislapp!$K$5+L695*Prislapp!$L$5+M695*Prislapp!$M$5+N695*Prislapp!$N$5</f>
        <v>5800</v>
      </c>
      <c r="R695" s="9">
        <f>VLOOKUP(A695,'Ansvar kurs'!$A$2:$B$847,2,FALSE)</f>
        <v>2193</v>
      </c>
    </row>
    <row r="696" spans="1:26" x14ac:dyDescent="0.25">
      <c r="A696" s="31" t="s">
        <v>2076</v>
      </c>
      <c r="B696" s="31" t="s">
        <v>2077</v>
      </c>
      <c r="I696" s="31">
        <v>1</v>
      </c>
      <c r="O696" s="42">
        <f>C696*Prislapp!$C$2+D696*Prislapp!$D$2+E696*Prislapp!$E$2+F696*Prislapp!$F$2+G696*Prislapp!$G$2+H696*Prislapp!$H$2+I696*Prislapp!$I$2+J696*Prislapp!$J$2+K696*Prislapp!$K$2+L696*Prislapp!$L$2+M696*Prislapp!$M$2+N696*Prislapp!$N$2</f>
        <v>18405</v>
      </c>
      <c r="P696" s="42">
        <f>C696*Prislapp!$C$3+D696*Prislapp!$D$3+E696*Prislapp!$E$3+F696*Prislapp!$F$3+G696*Prislapp!$G$3+H696*Prislapp!$H$3+I696*Prislapp!$I$3+J696*Prislapp!$J$3+K696*Prislapp!$K$3+M696*Prislapp!$M$3+N696*Prislapp!$N$3</f>
        <v>15773</v>
      </c>
      <c r="Q696" s="42">
        <f>C696*Prislapp!$C$5+D696*Prislapp!$D$5+E696*Prislapp!$E$5+F696*Prislapp!$F$5+G696*Prislapp!$G$5+H696*Prislapp!$H$5+I696*Prislapp!$I$5+J696*Prislapp!$J$5+K696*Prislapp!$K$5+L696*Prislapp!$L$5+M696*Prislapp!$M$5+N696*Prislapp!$N$5</f>
        <v>5800</v>
      </c>
      <c r="R696" s="9">
        <f>VLOOKUP(A696,'Ansvar kurs'!$A$2:$B$847,2,FALSE)</f>
        <v>2180</v>
      </c>
    </row>
    <row r="697" spans="1:26" x14ac:dyDescent="0.25">
      <c r="A697" s="31" t="s">
        <v>2080</v>
      </c>
      <c r="B697" s="31" t="s">
        <v>1446</v>
      </c>
      <c r="I697" s="31">
        <v>1</v>
      </c>
      <c r="O697" s="42">
        <f>C697*Prislapp!$C$2+D697*Prislapp!$D$2+E697*Prislapp!$E$2+F697*Prislapp!$F$2+G697*Prislapp!$G$2+H697*Prislapp!$H$2+I697*Prislapp!$I$2+J697*Prislapp!$J$2+K697*Prislapp!$K$2+L697*Prislapp!$L$2+M697*Prislapp!$M$2+N697*Prislapp!$N$2</f>
        <v>18405</v>
      </c>
      <c r="P697" s="42">
        <f>C697*Prislapp!$C$3+D697*Prislapp!$D$3+E697*Prislapp!$E$3+F697*Prislapp!$F$3+G697*Prislapp!$G$3+H697*Prislapp!$H$3+I697*Prislapp!$I$3+J697*Prislapp!$J$3+K697*Prislapp!$K$3+M697*Prislapp!$M$3+N697*Prislapp!$N$3</f>
        <v>15773</v>
      </c>
      <c r="Q697" s="42">
        <f>C697*Prislapp!$C$5+D697*Prislapp!$D$5+E697*Prislapp!$E$5+F697*Prislapp!$F$5+G697*Prislapp!$G$5+H697*Prislapp!$H$5+I697*Prislapp!$I$5+J697*Prislapp!$J$5+K697*Prislapp!$K$5+L697*Prislapp!$L$5+M697*Prislapp!$M$5+N697*Prislapp!$N$5</f>
        <v>5800</v>
      </c>
      <c r="R697" s="9">
        <f>VLOOKUP(A697,'Ansvar kurs'!$A$2:$B$847,2,FALSE)</f>
        <v>2180</v>
      </c>
    </row>
    <row r="698" spans="1:26" x14ac:dyDescent="0.25">
      <c r="A698" s="31" t="s">
        <v>2078</v>
      </c>
      <c r="B698" s="31" t="s">
        <v>2079</v>
      </c>
      <c r="I698" s="31">
        <v>1</v>
      </c>
      <c r="O698" s="42">
        <f>C698*Prislapp!$C$2+D698*Prislapp!$D$2+E698*Prislapp!$E$2+F698*Prislapp!$F$2+G698*Prislapp!$G$2+H698*Prislapp!$H$2+I698*Prislapp!$I$2+J698*Prislapp!$J$2+K698*Prislapp!$K$2+L698*Prislapp!$L$2+M698*Prislapp!$M$2+N698*Prislapp!$N$2</f>
        <v>18405</v>
      </c>
      <c r="P698" s="42">
        <f>C698*Prislapp!$C$3+D698*Prislapp!$D$3+E698*Prislapp!$E$3+F698*Prislapp!$F$3+G698*Prislapp!$G$3+H698*Prislapp!$H$3+I698*Prislapp!$I$3+J698*Prislapp!$J$3+K698*Prislapp!$K$3+M698*Prislapp!$M$3+N698*Prislapp!$N$3</f>
        <v>15773</v>
      </c>
      <c r="Q698" s="42">
        <f>C698*Prislapp!$C$5+D698*Prislapp!$D$5+E698*Prislapp!$E$5+F698*Prislapp!$F$5+G698*Prislapp!$G$5+H698*Prislapp!$H$5+I698*Prislapp!$I$5+J698*Prislapp!$J$5+K698*Prislapp!$K$5+L698*Prislapp!$L$5+M698*Prislapp!$M$5+N698*Prislapp!$N$5</f>
        <v>5800</v>
      </c>
      <c r="R698" s="9">
        <f>VLOOKUP(A698,'Ansvar kurs'!$A$2:$B$847,2,FALSE)</f>
        <v>2180</v>
      </c>
    </row>
    <row r="699" spans="1:26" x14ac:dyDescent="0.25">
      <c r="A699" s="31" t="s">
        <v>101</v>
      </c>
      <c r="B699" s="31" t="s">
        <v>740</v>
      </c>
      <c r="I699" s="31">
        <v>1</v>
      </c>
      <c r="O699" s="42">
        <f>C699*Prislapp!$C$2+D699*Prislapp!$D$2+E699*Prislapp!$E$2+F699*Prislapp!$F$2+G699*Prislapp!$G$2+H699*Prislapp!$H$2+I699*Prislapp!$I$2+J699*Prislapp!$J$2+K699*Prislapp!$K$2+L699*Prislapp!$L$2+M699*Prislapp!$M$2+N699*Prislapp!$N$2</f>
        <v>18405</v>
      </c>
      <c r="P699" s="42">
        <f>C699*Prislapp!$C$3+D699*Prislapp!$D$3+E699*Prislapp!$E$3+F699*Prislapp!$F$3+G699*Prislapp!$G$3+H699*Prislapp!$H$3+I699*Prislapp!$I$3+J699*Prislapp!$J$3+K699*Prislapp!$K$3+M699*Prislapp!$M$3+N699*Prislapp!$N$3</f>
        <v>15773</v>
      </c>
      <c r="Q699" s="42">
        <f>C699*Prislapp!$C$5+D699*Prislapp!$D$5+E699*Prislapp!$E$5+F699*Prislapp!$F$5+G699*Prislapp!$G$5+H699*Prislapp!$H$5+I699*Prislapp!$I$5+J699*Prislapp!$J$5+K699*Prislapp!$K$5+L699*Prislapp!$L$5+M699*Prislapp!$M$5+N699*Prislapp!$N$5</f>
        <v>5800</v>
      </c>
      <c r="R699" s="9">
        <f>VLOOKUP(A699,'Ansvar kurs'!$A$2:$B$847,2,FALSE)</f>
        <v>2340</v>
      </c>
    </row>
    <row r="700" spans="1:26" x14ac:dyDescent="0.25">
      <c r="A700" s="31" t="s">
        <v>102</v>
      </c>
      <c r="B700" s="31" t="s">
        <v>741</v>
      </c>
      <c r="I700" s="31">
        <v>1</v>
      </c>
      <c r="O700" s="42">
        <f>C700*Prislapp!$C$2+D700*Prislapp!$D$2+E700*Prislapp!$E$2+F700*Prislapp!$F$2+G700*Prislapp!$G$2+H700*Prislapp!$H$2+I700*Prislapp!$I$2+J700*Prislapp!$J$2+K700*Prislapp!$K$2+L700*Prislapp!$L$2+M700*Prislapp!$M$2+N700*Prislapp!$N$2</f>
        <v>18405</v>
      </c>
      <c r="P700" s="42">
        <f>C700*Prislapp!$C$3+D700*Prislapp!$D$3+E700*Prislapp!$E$3+F700*Prislapp!$F$3+G700*Prislapp!$G$3+H700*Prislapp!$H$3+I700*Prislapp!$I$3+J700*Prislapp!$J$3+K700*Prislapp!$K$3+M700*Prislapp!$M$3+N700*Prislapp!$N$3</f>
        <v>15773</v>
      </c>
      <c r="Q700" s="42">
        <f>C700*Prislapp!$C$5+D700*Prislapp!$D$5+E700*Prislapp!$E$5+F700*Prislapp!$F$5+G700*Prislapp!$G$5+H700*Prislapp!$H$5+I700*Prislapp!$I$5+J700*Prislapp!$J$5+K700*Prislapp!$K$5+L700*Prislapp!$L$5+M700*Prislapp!$M$5+N700*Prislapp!$N$5</f>
        <v>5800</v>
      </c>
      <c r="R700" s="9">
        <f>VLOOKUP(A700,'Ansvar kurs'!$A$2:$B$847,2,FALSE)</f>
        <v>2340</v>
      </c>
    </row>
    <row r="701" spans="1:26" x14ac:dyDescent="0.25">
      <c r="A701" s="62" t="s">
        <v>879</v>
      </c>
      <c r="B701" s="31" t="s">
        <v>323</v>
      </c>
      <c r="I701" s="31">
        <v>1</v>
      </c>
      <c r="O701" s="42">
        <f>C701*Prislapp!$C$2+D701*Prislapp!$D$2+E701*Prislapp!$E$2+F701*Prislapp!$F$2+G701*Prislapp!$G$2+H701*Prislapp!$H$2+I701*Prislapp!$I$2+J701*Prislapp!$J$2+K701*Prislapp!$K$2+L701*Prislapp!$L$2+M701*Prislapp!$M$2+N701*Prislapp!$N$2</f>
        <v>18405</v>
      </c>
      <c r="P701" s="42">
        <f>C701*Prislapp!$C$3+D701*Prislapp!$D$3+E701*Prislapp!$E$3+F701*Prislapp!$F$3+G701*Prislapp!$G$3+H701*Prislapp!$H$3+I701*Prislapp!$I$3+J701*Prislapp!$J$3+K701*Prislapp!$K$3+M701*Prislapp!$M$3+N701*Prislapp!$N$3</f>
        <v>15773</v>
      </c>
      <c r="Q701" s="42">
        <f>C701*Prislapp!$C$5+D701*Prislapp!$D$5+E701*Prislapp!$E$5+F701*Prislapp!$F$5+G701*Prislapp!$G$5+H701*Prislapp!$H$5+I701*Prislapp!$I$5+J701*Prislapp!$J$5+K701*Prislapp!$K$5+L701*Prislapp!$L$5+M701*Prislapp!$M$5+N701*Prislapp!$N$5</f>
        <v>5800</v>
      </c>
      <c r="R701" s="9">
        <f>VLOOKUP(A701,'Ansvar kurs'!$A$2:$B$847,2,FALSE)</f>
        <v>2340</v>
      </c>
    </row>
    <row r="702" spans="1:26" x14ac:dyDescent="0.25">
      <c r="A702" s="31" t="s">
        <v>515</v>
      </c>
      <c r="B702" s="31" t="s">
        <v>359</v>
      </c>
      <c r="F702" s="31">
        <v>1</v>
      </c>
      <c r="O702" s="42">
        <f>C702*Prislapp!$C$2+D702*Prislapp!$D$2+E702*Prislapp!$E$2+F702*Prislapp!$F$2+G702*Prislapp!$G$2+H702*Prislapp!$H$2+I702*Prislapp!$I$2+J702*Prislapp!$J$2+K702*Prislapp!$K$2+L702*Prislapp!$L$2+M702*Prislapp!$M$2+N702*Prislapp!$N$2</f>
        <v>23641</v>
      </c>
      <c r="P702" s="42">
        <f>C702*Prislapp!$C$3+D702*Prislapp!$D$3+E702*Prislapp!$E$3+F702*Prislapp!$F$3+G702*Prislapp!$G$3+H702*Prislapp!$H$3+I702*Prislapp!$I$3+J702*Prislapp!$J$3+K702*Prislapp!$K$3+M702*Prislapp!$M$3+N702*Prislapp!$N$3</f>
        <v>28786</v>
      </c>
      <c r="Q702" s="42">
        <f>C702*Prislapp!$C$5+D702*Prislapp!$D$5+E702*Prislapp!$E$5+F702*Prislapp!$F$5+G702*Prislapp!$G$5+H702*Prislapp!$H$5+I702*Prislapp!$I$5+J702*Prislapp!$J$5+K702*Prislapp!$K$5+L702*Prislapp!$L$5+M702*Prislapp!$M$5+N702*Prislapp!$N$5</f>
        <v>5800</v>
      </c>
      <c r="R702" s="9">
        <f>VLOOKUP(A702,'Ansvar kurs'!$A$2:$B$847,2,FALSE)</f>
        <v>2340</v>
      </c>
    </row>
    <row r="703" spans="1:26" x14ac:dyDescent="0.25">
      <c r="A703" s="62" t="s">
        <v>2200</v>
      </c>
      <c r="B703" s="62" t="s">
        <v>2213</v>
      </c>
      <c r="I703" s="31">
        <v>1</v>
      </c>
      <c r="O703" s="42">
        <f>C703*Prislapp!$C$2+D703*Prislapp!$D$2+E703*Prislapp!$E$2+F703*Prislapp!$F$2+G703*Prislapp!$G$2+H703*Prislapp!$H$2+I703*Prislapp!$I$2+J703*Prislapp!$J$2+K703*Prislapp!$K$2+L703*Prislapp!$L$2+M703*Prislapp!$M$2+N703*Prislapp!$N$2</f>
        <v>18405</v>
      </c>
      <c r="P703" s="42">
        <f>C703*Prislapp!$C$3+D703*Prislapp!$D$3+E703*Prislapp!$E$3+F703*Prislapp!$F$3+G703*Prislapp!$G$3+H703*Prislapp!$H$3+I703*Prislapp!$I$3+J703*Prislapp!$J$3+K703*Prislapp!$K$3+M703*Prislapp!$M$3+N703*Prislapp!$N$3</f>
        <v>15773</v>
      </c>
      <c r="Q703" s="42">
        <f>C703*Prislapp!$C$5+D703*Prislapp!$D$5+E703*Prislapp!$E$5+F703*Prislapp!$F$5+G703*Prislapp!$G$5+H703*Prislapp!$H$5+I703*Prislapp!$I$5+J703*Prislapp!$J$5+K703*Prislapp!$K$5+L703*Prislapp!$L$5+M703*Prislapp!$M$5+N703*Prislapp!$N$5</f>
        <v>5800</v>
      </c>
      <c r="R703" s="9">
        <f>VLOOKUP(A703,'Ansvar kurs'!$A$2:$B$847,2,FALSE)</f>
        <v>2340</v>
      </c>
    </row>
    <row r="704" spans="1:26" x14ac:dyDescent="0.25">
      <c r="A704" s="62" t="s">
        <v>2201</v>
      </c>
      <c r="B704" s="62" t="s">
        <v>2214</v>
      </c>
      <c r="I704" s="31">
        <v>1</v>
      </c>
      <c r="O704" s="42">
        <f>C704*Prislapp!$C$2+D704*Prislapp!$D$2+E704*Prislapp!$E$2+F704*Prislapp!$F$2+G704*Prislapp!$G$2+H704*Prislapp!$H$2+I704*Prislapp!$I$2+J704*Prislapp!$J$2+K704*Prislapp!$K$2+L704*Prislapp!$L$2+M704*Prislapp!$M$2+N704*Prislapp!$N$2</f>
        <v>18405</v>
      </c>
      <c r="P704" s="42">
        <f>C704*Prislapp!$C$3+D704*Prislapp!$D$3+E704*Prislapp!$E$3+F704*Prislapp!$F$3+G704*Prislapp!$G$3+H704*Prislapp!$H$3+I704*Prislapp!$I$3+J704*Prislapp!$J$3+K704*Prislapp!$K$3+M704*Prislapp!$M$3+N704*Prislapp!$N$3</f>
        <v>15773</v>
      </c>
      <c r="Q704" s="42">
        <f>C704*Prislapp!$C$5+D704*Prislapp!$D$5+E704*Prislapp!$E$5+F704*Prislapp!$F$5+G704*Prislapp!$G$5+H704*Prislapp!$H$5+I704*Prislapp!$I$5+J704*Prislapp!$J$5+K704*Prislapp!$K$5+L704*Prislapp!$L$5+M704*Prislapp!$M$5+N704*Prislapp!$N$5</f>
        <v>5800</v>
      </c>
      <c r="R704" s="9">
        <f>VLOOKUP(A704,'Ansvar kurs'!$A$2:$B$847,2,FALSE)</f>
        <v>2340</v>
      </c>
    </row>
    <row r="705" spans="1:19" x14ac:dyDescent="0.25">
      <c r="A705" s="31" t="s">
        <v>100</v>
      </c>
      <c r="B705" s="31" t="s">
        <v>742</v>
      </c>
      <c r="D705" s="31">
        <v>1</v>
      </c>
      <c r="O705" s="42">
        <f>C705*Prislapp!$C$2+D705*Prislapp!$D$2+E705*Prislapp!$E$2+F705*Prislapp!$F$2+G705*Prislapp!$G$2+H705*Prislapp!$H$2+I705*Prislapp!$I$2+J705*Prislapp!$J$2+K705*Prislapp!$K$2+L705*Prislapp!$L$2+M705*Prislapp!$M$2+N705*Prislapp!$N$2</f>
        <v>18405</v>
      </c>
      <c r="P705" s="42">
        <f>C705*Prislapp!$C$3+D705*Prislapp!$D$3+E705*Prislapp!$E$3+F705*Prislapp!$F$3+G705*Prislapp!$G$3+H705*Prislapp!$H$3+I705*Prislapp!$I$3+J705*Prislapp!$J$3+K705*Prislapp!$K$3+M705*Prislapp!$M$3+N705*Prislapp!$N$3</f>
        <v>15773</v>
      </c>
      <c r="Q705" s="42">
        <f>C705*Prislapp!$C$5+D705*Prislapp!$D$5+E705*Prislapp!$E$5+F705*Prislapp!$F$5+G705*Prislapp!$G$5+H705*Prislapp!$H$5+I705*Prislapp!$I$5+J705*Prislapp!$J$5+K705*Prislapp!$K$5+L705*Prislapp!$L$5+M705*Prislapp!$M$5+N705*Prislapp!$N$5</f>
        <v>5800</v>
      </c>
      <c r="R705" s="9">
        <f>VLOOKUP(A705,'Ansvar kurs'!$A$2:$B$847,2,FALSE)</f>
        <v>1640</v>
      </c>
    </row>
    <row r="706" spans="1:19" x14ac:dyDescent="0.25">
      <c r="A706" s="31" t="s">
        <v>516</v>
      </c>
      <c r="B706" s="31" t="s">
        <v>535</v>
      </c>
      <c r="D706" s="31">
        <v>1</v>
      </c>
      <c r="O706" s="42">
        <f>C706*Prislapp!$C$2+D706*Prislapp!$D$2+E706*Prislapp!$E$2+F706*Prislapp!$F$2+G706*Prislapp!$G$2+H706*Prislapp!$H$2+I706*Prislapp!$I$2+J706*Prislapp!$J$2+K706*Prislapp!$K$2+L706*Prislapp!$L$2+M706*Prislapp!$M$2+N706*Prislapp!$N$2</f>
        <v>18405</v>
      </c>
      <c r="P706" s="42">
        <f>C706*Prislapp!$C$3+D706*Prislapp!$D$3+E706*Prislapp!$E$3+F706*Prislapp!$F$3+G706*Prislapp!$G$3+H706*Prislapp!$H$3+I706*Prislapp!$I$3+J706*Prislapp!$J$3+K706*Prislapp!$K$3+M706*Prislapp!$M$3+N706*Prislapp!$N$3</f>
        <v>15773</v>
      </c>
      <c r="Q706" s="42">
        <f>C706*Prislapp!$C$5+D706*Prislapp!$D$5+E706*Prislapp!$E$5+F706*Prislapp!$F$5+G706*Prislapp!$G$5+H706*Prislapp!$H$5+I706*Prislapp!$I$5+J706*Prislapp!$J$5+K706*Prislapp!$K$5+L706*Prislapp!$L$5+M706*Prislapp!$M$5+N706*Prislapp!$N$5</f>
        <v>5800</v>
      </c>
      <c r="R706" s="9">
        <f>VLOOKUP(A706,'Ansvar kurs'!$A$2:$B$847,2,FALSE)</f>
        <v>1620</v>
      </c>
      <c r="S706" s="31" t="s">
        <v>1304</v>
      </c>
    </row>
    <row r="707" spans="1:19" x14ac:dyDescent="0.25">
      <c r="A707" s="31" t="s">
        <v>517</v>
      </c>
      <c r="B707" s="31" t="s">
        <v>560</v>
      </c>
      <c r="D707" s="31">
        <v>1</v>
      </c>
      <c r="O707" s="42">
        <f>C707*Prislapp!$C$2+D707*Prislapp!$D$2+E707*Prislapp!$E$2+F707*Prislapp!$F$2+G707*Prislapp!$G$2+H707*Prislapp!$H$2+I707*Prislapp!$I$2+J707*Prislapp!$J$2+K707*Prislapp!$K$2+L707*Prislapp!$L$2+M707*Prislapp!$M$2+N707*Prislapp!$N$2</f>
        <v>18405</v>
      </c>
      <c r="P707" s="42">
        <f>C707*Prislapp!$C$3+D707*Prislapp!$D$3+E707*Prislapp!$E$3+F707*Prislapp!$F$3+G707*Prislapp!$G$3+H707*Prislapp!$H$3+I707*Prislapp!$I$3+J707*Prislapp!$J$3+K707*Prislapp!$K$3+M707*Prislapp!$M$3+N707*Prislapp!$N$3</f>
        <v>15773</v>
      </c>
      <c r="Q707" s="42">
        <f>C707*Prislapp!$C$5+D707*Prislapp!$D$5+E707*Prislapp!$E$5+F707*Prislapp!$F$5+G707*Prislapp!$G$5+H707*Prislapp!$H$5+I707*Prislapp!$I$5+J707*Prislapp!$J$5+K707*Prislapp!$K$5+L707*Prislapp!$L$5+M707*Prislapp!$M$5+N707*Prislapp!$N$5</f>
        <v>5800</v>
      </c>
      <c r="R707" s="9">
        <f>VLOOKUP(A707,'Ansvar kurs'!$A$2:$B$847,2,FALSE)</f>
        <v>1620</v>
      </c>
      <c r="S707" s="31" t="s">
        <v>1304</v>
      </c>
    </row>
    <row r="708" spans="1:19" x14ac:dyDescent="0.25">
      <c r="A708" s="244" t="s">
        <v>518</v>
      </c>
      <c r="B708" s="31" t="s">
        <v>561</v>
      </c>
      <c r="D708" s="31">
        <v>1</v>
      </c>
      <c r="O708" s="42">
        <f>C708*Prislapp!$C$2+D708*Prislapp!$D$2+E708*Prislapp!$E$2+F708*Prislapp!$F$2+G708*Prislapp!$G$2+H708*Prislapp!$H$2+I708*Prislapp!$I$2+J708*Prislapp!$J$2+K708*Prislapp!$K$2+L708*Prislapp!$L$2+M708*Prislapp!$M$2+N708*Prislapp!$N$2</f>
        <v>18405</v>
      </c>
      <c r="P708" s="42">
        <f>C708*Prislapp!$C$3+D708*Prislapp!$D$3+E708*Prislapp!$E$3+F708*Prislapp!$F$3+G708*Prislapp!$G$3+H708*Prislapp!$H$3+I708*Prislapp!$I$3+J708*Prislapp!$J$3+K708*Prislapp!$K$3+M708*Prislapp!$M$3+N708*Prislapp!$N$3</f>
        <v>15773</v>
      </c>
      <c r="Q708" s="42">
        <f>C708*Prislapp!$C$5+D708*Prislapp!$D$5+E708*Prislapp!$E$5+F708*Prislapp!$F$5+G708*Prislapp!$G$5+H708*Prislapp!$H$5+I708*Prislapp!$I$5+J708*Prislapp!$J$5+K708*Prislapp!$K$5+L708*Prislapp!$L$5+M708*Prislapp!$M$5+N708*Prislapp!$N$5</f>
        <v>5800</v>
      </c>
      <c r="R708" s="9">
        <f>VLOOKUP(A708,'Ansvar kurs'!$A$2:$B$847,2,FALSE)</f>
        <v>1620</v>
      </c>
      <c r="S708" s="31" t="s">
        <v>1304</v>
      </c>
    </row>
    <row r="709" spans="1:19" x14ac:dyDescent="0.25">
      <c r="A709" s="244" t="s">
        <v>604</v>
      </c>
      <c r="B709" s="31" t="s">
        <v>622</v>
      </c>
      <c r="D709" s="31">
        <v>1</v>
      </c>
      <c r="O709" s="42">
        <f>C709*Prislapp!$C$2+D709*Prislapp!$D$2+E709*Prislapp!$E$2+F709*Prislapp!$F$2+G709*Prislapp!$G$2+H709*Prislapp!$H$2+I709*Prislapp!$I$2+J709*Prislapp!$J$2+K709*Prislapp!$K$2+L709*Prislapp!$L$2+M709*Prislapp!$M$2+N709*Prislapp!$N$2</f>
        <v>18405</v>
      </c>
      <c r="P709" s="42">
        <f>C709*Prislapp!$C$3+D709*Prislapp!$D$3+E709*Prislapp!$E$3+F709*Prislapp!$F$3+G709*Prislapp!$G$3+H709*Prislapp!$H$3+I709*Prislapp!$I$3+J709*Prislapp!$J$3+K709*Prislapp!$K$3+M709*Prislapp!$M$3+N709*Prislapp!$N$3</f>
        <v>15773</v>
      </c>
      <c r="Q709" s="42">
        <f>C709*Prislapp!$C$5+D709*Prislapp!$D$5+E709*Prislapp!$E$5+F709*Prislapp!$F$5+G709*Prislapp!$G$5+H709*Prislapp!$H$5+I709*Prislapp!$I$5+J709*Prislapp!$J$5+K709*Prislapp!$K$5+L709*Prislapp!$L$5+M709*Prislapp!$M$5+N709*Prislapp!$N$5</f>
        <v>5800</v>
      </c>
      <c r="R709" s="9">
        <f>VLOOKUP(A709,'Ansvar kurs'!$A$2:$B$847,2,FALSE)</f>
        <v>1620</v>
      </c>
      <c r="S709" s="31" t="s">
        <v>1304</v>
      </c>
    </row>
    <row r="710" spans="1:19" x14ac:dyDescent="0.25">
      <c r="A710" s="31" t="s">
        <v>519</v>
      </c>
      <c r="B710" s="31" t="s">
        <v>562</v>
      </c>
      <c r="D710" s="31">
        <v>1</v>
      </c>
      <c r="O710" s="42">
        <f>C710*Prislapp!$C$2+D710*Prislapp!$D$2+E710*Prislapp!$E$2+F710*Prislapp!$F$2+G710*Prislapp!$G$2+H710*Prislapp!$H$2+I710*Prislapp!$I$2+J710*Prislapp!$J$2+K710*Prislapp!$K$2+L710*Prislapp!$L$2+M710*Prislapp!$M$2+N710*Prislapp!$N$2</f>
        <v>18405</v>
      </c>
      <c r="P710" s="42">
        <f>C710*Prislapp!$C$3+D710*Prislapp!$D$3+E710*Prislapp!$E$3+F710*Prislapp!$F$3+G710*Prislapp!$G$3+H710*Prislapp!$H$3+I710*Prislapp!$I$3+J710*Prislapp!$J$3+K710*Prislapp!$K$3+M710*Prislapp!$M$3+N710*Prislapp!$N$3</f>
        <v>15773</v>
      </c>
      <c r="Q710" s="42">
        <f>C710*Prislapp!$C$5+D710*Prislapp!$D$5+E710*Prislapp!$E$5+F710*Prislapp!$F$5+G710*Prislapp!$G$5+H710*Prislapp!$H$5+I710*Prislapp!$I$5+J710*Prislapp!$J$5+K710*Prislapp!$K$5+L710*Prislapp!$L$5+M710*Prislapp!$M$5+N710*Prislapp!$N$5</f>
        <v>5800</v>
      </c>
      <c r="R710" s="9">
        <f>VLOOKUP(A710,'Ansvar kurs'!$A$2:$B$847,2,FALSE)</f>
        <v>1620</v>
      </c>
      <c r="S710" s="31" t="s">
        <v>1304</v>
      </c>
    </row>
    <row r="711" spans="1:19" x14ac:dyDescent="0.25">
      <c r="A711" s="244" t="s">
        <v>520</v>
      </c>
      <c r="B711" s="31" t="s">
        <v>563</v>
      </c>
      <c r="D711" s="31">
        <v>1</v>
      </c>
      <c r="O711" s="42">
        <f>C711*Prislapp!$C$2+D711*Prislapp!$D$2+E711*Prislapp!$E$2+F711*Prislapp!$F$2+G711*Prislapp!$G$2+H711*Prislapp!$H$2+I711*Prislapp!$I$2+J711*Prislapp!$J$2+K711*Prislapp!$K$2+L711*Prislapp!$L$2+M711*Prislapp!$M$2+N711*Prislapp!$N$2</f>
        <v>18405</v>
      </c>
      <c r="P711" s="42">
        <f>C711*Prislapp!$C$3+D711*Prislapp!$D$3+E711*Prislapp!$E$3+F711*Prislapp!$F$3+G711*Prislapp!$G$3+H711*Prislapp!$H$3+I711*Prislapp!$I$3+J711*Prislapp!$J$3+K711*Prislapp!$K$3+M711*Prislapp!$M$3+N711*Prislapp!$N$3</f>
        <v>15773</v>
      </c>
      <c r="Q711" s="42">
        <f>C711*Prislapp!$C$5+D711*Prislapp!$D$5+E711*Prislapp!$E$5+F711*Prislapp!$F$5+G711*Prislapp!$G$5+H711*Prislapp!$H$5+I711*Prislapp!$I$5+J711*Prislapp!$J$5+K711*Prislapp!$K$5+L711*Prislapp!$L$5+M711*Prislapp!$M$5+N711*Prislapp!$N$5</f>
        <v>5800</v>
      </c>
      <c r="R711" s="9">
        <f>VLOOKUP(A711,'Ansvar kurs'!$A$2:$B$847,2,FALSE)</f>
        <v>1620</v>
      </c>
      <c r="S711" s="31" t="s">
        <v>1304</v>
      </c>
    </row>
    <row r="712" spans="1:19" x14ac:dyDescent="0.25">
      <c r="A712" s="244" t="s">
        <v>605</v>
      </c>
      <c r="B712" s="31" t="s">
        <v>623</v>
      </c>
      <c r="D712" s="31">
        <v>1</v>
      </c>
      <c r="O712" s="42">
        <f>C712*Prislapp!$C$2+D712*Prislapp!$D$2+E712*Prislapp!$E$2+F712*Prislapp!$F$2+G712*Prislapp!$G$2+H712*Prislapp!$H$2+I712*Prislapp!$I$2+J712*Prislapp!$J$2+K712*Prislapp!$K$2+L712*Prislapp!$L$2+M712*Prislapp!$M$2+N712*Prislapp!$N$2</f>
        <v>18405</v>
      </c>
      <c r="P712" s="42">
        <f>C712*Prislapp!$C$3+D712*Prislapp!$D$3+E712*Prislapp!$E$3+F712*Prislapp!$F$3+G712*Prislapp!$G$3+H712*Prislapp!$H$3+I712*Prislapp!$I$3+J712*Prislapp!$J$3+K712*Prislapp!$K$3+M712*Prislapp!$M$3+N712*Prislapp!$N$3</f>
        <v>15773</v>
      </c>
      <c r="Q712" s="42">
        <f>C712*Prislapp!$C$5+D712*Prislapp!$D$5+E712*Prislapp!$E$5+F712*Prislapp!$F$5+G712*Prislapp!$G$5+H712*Prislapp!$H$5+I712*Prislapp!$I$5+J712*Prislapp!$J$5+K712*Prislapp!$K$5+L712*Prislapp!$L$5+M712*Prislapp!$M$5+N712*Prislapp!$N$5</f>
        <v>5800</v>
      </c>
      <c r="R712" s="9">
        <f>VLOOKUP(A712,'Ansvar kurs'!$A$2:$B$847,2,FALSE)</f>
        <v>1620</v>
      </c>
      <c r="S712" s="31" t="s">
        <v>1304</v>
      </c>
    </row>
    <row r="713" spans="1:19" x14ac:dyDescent="0.25">
      <c r="A713" s="31" t="s">
        <v>521</v>
      </c>
      <c r="B713" s="31" t="s">
        <v>536</v>
      </c>
      <c r="D713" s="31">
        <v>1</v>
      </c>
      <c r="O713" s="42">
        <f>C713*Prislapp!$C$2+D713*Prislapp!$D$2+E713*Prislapp!$E$2+F713*Prislapp!$F$2+G713*Prislapp!$G$2+H713*Prislapp!$H$2+I713*Prislapp!$I$2+J713*Prislapp!$J$2+K713*Prislapp!$K$2+L713*Prislapp!$L$2+M713*Prislapp!$M$2+N713*Prislapp!$N$2</f>
        <v>18405</v>
      </c>
      <c r="P713" s="42">
        <f>C713*Prislapp!$C$3+D713*Prislapp!$D$3+E713*Prislapp!$E$3+F713*Prislapp!$F$3+G713*Prislapp!$G$3+H713*Prislapp!$H$3+I713*Prislapp!$I$3+J713*Prislapp!$J$3+K713*Prislapp!$K$3+M713*Prislapp!$M$3+N713*Prislapp!$N$3</f>
        <v>15773</v>
      </c>
      <c r="Q713" s="42">
        <f>C713*Prislapp!$C$5+D713*Prislapp!$D$5+E713*Prislapp!$E$5+F713*Prislapp!$F$5+G713*Prislapp!$G$5+H713*Prislapp!$H$5+I713*Prislapp!$I$5+J713*Prislapp!$J$5+K713*Prislapp!$K$5+L713*Prislapp!$L$5+M713*Prislapp!$M$5+N713*Prislapp!$N$5</f>
        <v>5800</v>
      </c>
      <c r="R713" s="9">
        <f>VLOOKUP(A713,'Ansvar kurs'!$A$2:$B$847,2,FALSE)</f>
        <v>1620</v>
      </c>
      <c r="S713" s="31" t="s">
        <v>1304</v>
      </c>
    </row>
    <row r="714" spans="1:19" x14ac:dyDescent="0.25">
      <c r="A714" s="31" t="s">
        <v>606</v>
      </c>
      <c r="B714" s="31" t="s">
        <v>624</v>
      </c>
      <c r="D714" s="31">
        <v>1</v>
      </c>
      <c r="O714" s="42">
        <f>C714*Prislapp!$C$2+D714*Prislapp!$D$2+E714*Prislapp!$E$2+F714*Prislapp!$F$2+G714*Prislapp!$G$2+H714*Prislapp!$H$2+I714*Prislapp!$I$2+J714*Prislapp!$J$2+K714*Prislapp!$K$2+L714*Prislapp!$L$2+M714*Prislapp!$M$2+N714*Prislapp!$N$2</f>
        <v>18405</v>
      </c>
      <c r="P714" s="42">
        <f>C714*Prislapp!$C$3+D714*Prislapp!$D$3+E714*Prislapp!$E$3+F714*Prislapp!$F$3+G714*Prislapp!$G$3+H714*Prislapp!$H$3+I714*Prislapp!$I$3+J714*Prislapp!$J$3+K714*Prislapp!$K$3+M714*Prislapp!$M$3+N714*Prislapp!$N$3</f>
        <v>15773</v>
      </c>
      <c r="Q714" s="42">
        <f>C714*Prislapp!$C$5+D714*Prislapp!$D$5+E714*Prislapp!$E$5+F714*Prislapp!$F$5+G714*Prislapp!$G$5+H714*Prislapp!$H$5+I714*Prislapp!$I$5+J714*Prislapp!$J$5+K714*Prislapp!$K$5+L714*Prislapp!$L$5+M714*Prislapp!$M$5+N714*Prislapp!$N$5</f>
        <v>5800</v>
      </c>
      <c r="R714" s="9">
        <f>VLOOKUP(A714,'Ansvar kurs'!$A$2:$B$847,2,FALSE)</f>
        <v>1620</v>
      </c>
      <c r="S714" s="31" t="s">
        <v>1304</v>
      </c>
    </row>
    <row r="715" spans="1:19" x14ac:dyDescent="0.25">
      <c r="A715" s="62" t="s">
        <v>880</v>
      </c>
      <c r="B715" s="31" t="s">
        <v>1233</v>
      </c>
      <c r="D715" s="31">
        <v>1</v>
      </c>
      <c r="O715" s="42">
        <f>C715*Prislapp!$C$2+D715*Prislapp!$D$2+E715*Prislapp!$E$2+F715*Prislapp!$F$2+G715*Prislapp!$G$2+H715*Prislapp!$H$2+I715*Prislapp!$I$2+J715*Prislapp!$J$2+K715*Prislapp!$K$2+L715*Prislapp!$L$2+M715*Prislapp!$M$2+N715*Prislapp!$N$2</f>
        <v>18405</v>
      </c>
      <c r="P715" s="42">
        <f>C715*Prislapp!$C$3+D715*Prislapp!$D$3+E715*Prislapp!$E$3+F715*Prislapp!$F$3+G715*Prislapp!$G$3+H715*Prislapp!$H$3+I715*Prislapp!$I$3+J715*Prislapp!$J$3+K715*Prislapp!$K$3+M715*Prislapp!$M$3+N715*Prislapp!$N$3</f>
        <v>15773</v>
      </c>
      <c r="Q715" s="42">
        <f>C715*Prislapp!$C$5+D715*Prislapp!$D$5+E715*Prislapp!$E$5+F715*Prislapp!$F$5+G715*Prislapp!$G$5+H715*Prislapp!$H$5+I715*Prislapp!$I$5+J715*Prislapp!$J$5+K715*Prislapp!$K$5+L715*Prislapp!$L$5+M715*Prislapp!$M$5+N715*Prislapp!$N$5</f>
        <v>5800</v>
      </c>
      <c r="R715" s="9">
        <f>VLOOKUP(A715,'Ansvar kurs'!$A$2:$B$847,2,FALSE)</f>
        <v>1620</v>
      </c>
    </row>
    <row r="716" spans="1:19" x14ac:dyDescent="0.25">
      <c r="A716" s="59" t="s">
        <v>881</v>
      </c>
      <c r="B716" s="62" t="s">
        <v>888</v>
      </c>
      <c r="D716" s="31">
        <v>1</v>
      </c>
      <c r="O716" s="42">
        <f>C716*Prislapp!$C$2+D716*Prislapp!$D$2+E716*Prislapp!$E$2+F716*Prislapp!$F$2+G716*Prislapp!$G$2+H716*Prislapp!$H$2+I716*Prislapp!$I$2+J716*Prislapp!$J$2+K716*Prislapp!$K$2+L716*Prislapp!$L$2+M716*Prislapp!$M$2+N716*Prislapp!$N$2</f>
        <v>18405</v>
      </c>
      <c r="P716" s="42">
        <f>C716*Prislapp!$C$3+D716*Prislapp!$D$3+E716*Prislapp!$E$3+F716*Prislapp!$F$3+G716*Prislapp!$G$3+H716*Prislapp!$H$3+I716*Prislapp!$I$3+J716*Prislapp!$J$3+K716*Prislapp!$K$3+M716*Prislapp!$M$3+N716*Prislapp!$N$3</f>
        <v>15773</v>
      </c>
      <c r="Q716" s="42">
        <f>C716*Prislapp!$C$5+D716*Prislapp!$D$5+E716*Prislapp!$E$5+F716*Prislapp!$F$5+G716*Prislapp!$G$5+H716*Prislapp!$H$5+I716*Prislapp!$I$5+J716*Prislapp!$J$5+K716*Prislapp!$K$5+L716*Prislapp!$L$5+M716*Prislapp!$M$5+N716*Prislapp!$N$5</f>
        <v>5800</v>
      </c>
      <c r="R716" s="9">
        <f>VLOOKUP(A716,'Ansvar kurs'!$A$2:$B$847,2,FALSE)</f>
        <v>1620</v>
      </c>
    </row>
    <row r="717" spans="1:19" x14ac:dyDescent="0.25">
      <c r="A717" s="62" t="s">
        <v>1046</v>
      </c>
      <c r="B717" s="62" t="s">
        <v>1067</v>
      </c>
      <c r="D717" s="31">
        <v>1</v>
      </c>
      <c r="O717" s="42">
        <f>C717*Prislapp!$C$2+D717*Prislapp!$D$2+E717*Prislapp!$E$2+F717*Prislapp!$F$2+G717*Prislapp!$G$2+H717*Prislapp!$H$2+I717*Prislapp!$I$2+J717*Prislapp!$J$2+K717*Prislapp!$K$2+L717*Prislapp!$L$2+M717*Prislapp!$M$2+N717*Prislapp!$N$2</f>
        <v>18405</v>
      </c>
      <c r="P717" s="42">
        <f>C717*Prislapp!$C$3+D717*Prislapp!$D$3+E717*Prislapp!$E$3+F717*Prislapp!$F$3+G717*Prislapp!$G$3+H717*Prislapp!$H$3+I717*Prislapp!$I$3+J717*Prislapp!$J$3+K717*Prislapp!$K$3+M717*Prislapp!$M$3+N717*Prislapp!$N$3</f>
        <v>15773</v>
      </c>
      <c r="Q717" s="42">
        <f>C717*Prislapp!$C$5+D717*Prislapp!$D$5+E717*Prislapp!$E$5+F717*Prislapp!$F$5+G717*Prislapp!$G$5+H717*Prislapp!$H$5+I717*Prislapp!$I$5+J717*Prislapp!$J$5+K717*Prislapp!$K$5+L717*Prislapp!$L$5+M717*Prislapp!$M$5+N717*Prislapp!$N$5</f>
        <v>5800</v>
      </c>
      <c r="R717" s="9">
        <f>VLOOKUP(A717,'Ansvar kurs'!$A$2:$B$847,2,FALSE)</f>
        <v>1620</v>
      </c>
    </row>
    <row r="718" spans="1:19" x14ac:dyDescent="0.25">
      <c r="A718" s="245" t="s">
        <v>939</v>
      </c>
      <c r="B718" s="31" t="s">
        <v>1234</v>
      </c>
      <c r="D718" s="31">
        <v>1</v>
      </c>
      <c r="O718" s="42">
        <f>C718*Prislapp!$C$2+D718*Prislapp!$D$2+E718*Prislapp!$E$2+F718*Prislapp!$F$2+G718*Prislapp!$G$2+H718*Prislapp!$H$2+I718*Prislapp!$I$2+J718*Prislapp!$J$2+K718*Prislapp!$K$2+L718*Prislapp!$L$2+M718*Prislapp!$M$2+N718*Prislapp!$N$2</f>
        <v>18405</v>
      </c>
      <c r="P718" s="42">
        <f>C718*Prislapp!$C$3+D718*Prislapp!$D$3+E718*Prislapp!$E$3+F718*Prislapp!$F$3+G718*Prislapp!$G$3+H718*Prislapp!$H$3+I718*Prislapp!$I$3+J718*Prislapp!$J$3+K718*Prislapp!$K$3+M718*Prislapp!$M$3+N718*Prislapp!$N$3</f>
        <v>15773</v>
      </c>
      <c r="Q718" s="42">
        <f>C718*Prislapp!$C$5+D718*Prislapp!$D$5+E718*Prislapp!$E$5+F718*Prislapp!$F$5+G718*Prislapp!$G$5+H718*Prislapp!$H$5+I718*Prislapp!$I$5+J718*Prislapp!$J$5+K718*Prislapp!$K$5+L718*Prislapp!$L$5+M718*Prislapp!$M$5+N718*Prislapp!$N$5</f>
        <v>5800</v>
      </c>
      <c r="R718" s="9">
        <f>VLOOKUP(A718,'Ansvar kurs'!$A$2:$B$847,2,FALSE)</f>
        <v>1620</v>
      </c>
      <c r="S718" s="159"/>
    </row>
    <row r="719" spans="1:19" x14ac:dyDescent="0.25">
      <c r="A719" s="245" t="s">
        <v>1086</v>
      </c>
      <c r="B719" s="31" t="s">
        <v>1091</v>
      </c>
      <c r="D719" s="31">
        <v>1</v>
      </c>
      <c r="O719" s="42">
        <f>C719*Prislapp!$C$2+D719*Prislapp!$D$2+E719*Prislapp!$E$2+F719*Prislapp!$F$2+G719*Prislapp!$G$2+H719*Prislapp!$H$2+I719*Prislapp!$I$2+J719*Prislapp!$J$2+K719*Prislapp!$K$2+L719*Prislapp!$L$2+M719*Prislapp!$M$2+N719*Prislapp!$N$2</f>
        <v>18405</v>
      </c>
      <c r="P719" s="42">
        <f>C719*Prislapp!$C$3+D719*Prislapp!$D$3+E719*Prislapp!$E$3+F719*Prislapp!$F$3+G719*Prislapp!$G$3+H719*Prislapp!$H$3+I719*Prislapp!$I$3+J719*Prislapp!$J$3+K719*Prislapp!$K$3+M719*Prislapp!$M$3+N719*Prislapp!$N$3</f>
        <v>15773</v>
      </c>
      <c r="Q719" s="42">
        <f>C719*Prislapp!$C$5+D719*Prislapp!$D$5+E719*Prislapp!$E$5+F719*Prislapp!$F$5+G719*Prislapp!$G$5+H719*Prislapp!$H$5+I719*Prislapp!$I$5+J719*Prislapp!$J$5+K719*Prislapp!$K$5+L719*Prislapp!$L$5+M719*Prislapp!$M$5+N719*Prislapp!$N$5</f>
        <v>5800</v>
      </c>
      <c r="R719" s="9">
        <f>VLOOKUP(A719,'Ansvar kurs'!$A$2:$B$847,2,FALSE)</f>
        <v>1620</v>
      </c>
      <c r="S719" s="159"/>
    </row>
    <row r="720" spans="1:19" x14ac:dyDescent="0.25">
      <c r="A720" s="245" t="s">
        <v>1072</v>
      </c>
      <c r="B720" s="31" t="s">
        <v>1081</v>
      </c>
      <c r="D720" s="31">
        <v>1</v>
      </c>
      <c r="O720" s="42">
        <f>C720*Prislapp!$C$2+D720*Prislapp!$D$2+E720*Prislapp!$E$2+F720*Prislapp!$F$2+G720*Prislapp!$G$2+H720*Prislapp!$H$2+I720*Prislapp!$I$2+J720*Prislapp!$J$2+K720*Prislapp!$K$2+L720*Prislapp!$L$2+M720*Prislapp!$M$2+N720*Prislapp!$N$2</f>
        <v>18405</v>
      </c>
      <c r="P720" s="42">
        <f>C720*Prislapp!$C$3+D720*Prislapp!$D$3+E720*Prislapp!$E$3+F720*Prislapp!$F$3+G720*Prislapp!$G$3+H720*Prislapp!$H$3+I720*Prislapp!$I$3+J720*Prislapp!$J$3+K720*Prislapp!$K$3+M720*Prislapp!$M$3+N720*Prislapp!$N$3</f>
        <v>15773</v>
      </c>
      <c r="Q720" s="42">
        <f>C720*Prislapp!$C$5+D720*Prislapp!$D$5+E720*Prislapp!$E$5+F720*Prislapp!$F$5+G720*Prislapp!$G$5+H720*Prislapp!$H$5+I720*Prislapp!$I$5+J720*Prislapp!$J$5+K720*Prislapp!$K$5+L720*Prislapp!$L$5+M720*Prislapp!$M$5+N720*Prislapp!$N$5</f>
        <v>5800</v>
      </c>
      <c r="R720" s="9">
        <f>VLOOKUP(A720,'Ansvar kurs'!$A$2:$B$847,2,FALSE)</f>
        <v>1620</v>
      </c>
      <c r="S720" s="159"/>
    </row>
    <row r="721" spans="1:26" x14ac:dyDescent="0.25">
      <c r="A721" s="245" t="s">
        <v>1078</v>
      </c>
      <c r="B721" s="31" t="s">
        <v>1154</v>
      </c>
      <c r="K721" s="31">
        <v>1</v>
      </c>
      <c r="O721" s="42">
        <f>C721*Prislapp!$C$2+D721*Prislapp!$D$2+E721*Prislapp!$E$2+F721*Prislapp!$F$2+G721*Prislapp!$G$2+H721*Prislapp!$H$2+I721*Prislapp!$I$2+J721*Prislapp!$J$2+K721*Prislapp!$K$2+L721*Prislapp!$L$2+M721*Prislapp!$M$2+N721*Prislapp!$N$2</f>
        <v>21634</v>
      </c>
      <c r="P721" s="42">
        <f>C721*Prislapp!$C$3+D721*Prislapp!$D$3+E721*Prislapp!$E$3+F721*Prislapp!$F$3+G721*Prislapp!$G$3+H721*Prislapp!$H$3+I721*Prislapp!$I$3+J721*Prislapp!$J$3+K721*Prislapp!$K$3+M721*Prislapp!$M$3+N721*Prislapp!$N$3</f>
        <v>26986</v>
      </c>
      <c r="Q721" s="42">
        <f>C721*Prislapp!$C$5+D721*Prislapp!$D$5+E721*Prislapp!$E$5+F721*Prislapp!$F$5+G721*Prislapp!$G$5+H721*Prislapp!$H$5+I721*Prislapp!$I$5+J721*Prislapp!$J$5+K721*Prislapp!$K$5+L721*Prislapp!$L$5+M721*Prislapp!$M$5+N721*Prislapp!$N$5</f>
        <v>3400</v>
      </c>
      <c r="R721" s="9">
        <f>VLOOKUP(A721,'Ansvar kurs'!$A$2:$B$847,2,FALSE)</f>
        <v>1620</v>
      </c>
      <c r="S721" s="159"/>
    </row>
    <row r="722" spans="1:26" x14ac:dyDescent="0.25">
      <c r="A722" s="245" t="s">
        <v>1823</v>
      </c>
      <c r="B722" s="31" t="s">
        <v>1833</v>
      </c>
      <c r="D722" s="31">
        <v>1</v>
      </c>
      <c r="O722" s="42">
        <f>C722*Prislapp!$C$2+D722*Prislapp!$D$2+E722*Prislapp!$E$2+F722*Prislapp!$F$2+G722*Prislapp!$G$2+H722*Prislapp!$H$2+I722*Prislapp!$I$2+J722*Prislapp!$J$2+K722*Prislapp!$K$2+L722*Prislapp!$L$2+M722*Prislapp!$M$2+N722*Prislapp!$N$2</f>
        <v>18405</v>
      </c>
      <c r="P722" s="42">
        <f>C722*Prislapp!$C$3+D722*Prislapp!$D$3+E722*Prislapp!$E$3+F722*Prislapp!$F$3+G722*Prislapp!$G$3+H722*Prislapp!$H$3+I722*Prislapp!$I$3+J722*Prislapp!$J$3+K722*Prislapp!$K$3+M722*Prislapp!$M$3+N722*Prislapp!$N$3</f>
        <v>15773</v>
      </c>
      <c r="Q722" s="42">
        <f>C722*Prislapp!$C$5+D722*Prislapp!$D$5+E722*Prislapp!$E$5+F722*Prislapp!$F$5+G722*Prislapp!$G$5+H722*Prislapp!$H$5+I722*Prislapp!$I$5+J722*Prislapp!$J$5+K722*Prislapp!$K$5+L722*Prislapp!$L$5+M722*Prislapp!$M$5+N722*Prislapp!$N$5</f>
        <v>5800</v>
      </c>
      <c r="R722" s="9">
        <f>VLOOKUP(A722,'Ansvar kurs'!$A$2:$B$847,2,FALSE)</f>
        <v>1620</v>
      </c>
      <c r="S722" s="159"/>
    </row>
    <row r="723" spans="1:26" x14ac:dyDescent="0.25">
      <c r="A723" s="245" t="s">
        <v>1375</v>
      </c>
      <c r="B723" s="62" t="s">
        <v>1335</v>
      </c>
      <c r="D723" s="31">
        <v>1</v>
      </c>
      <c r="O723" s="42">
        <f>C723*Prislapp!$C$2+D723*Prislapp!$D$2+E723*Prislapp!$E$2+F723*Prislapp!$F$2+G723*Prislapp!$G$2+H723*Prislapp!$H$2+I723*Prislapp!$I$2+J723*Prislapp!$J$2+K723*Prislapp!$K$2+L723*Prislapp!$L$2+M723*Prislapp!$M$2+N723*Prislapp!$N$2</f>
        <v>18405</v>
      </c>
      <c r="P723" s="42">
        <f>C723*Prislapp!$C$3+D723*Prislapp!$D$3+E723*Prislapp!$E$3+F723*Prislapp!$F$3+G723*Prislapp!$G$3+H723*Prislapp!$H$3+I723*Prislapp!$I$3+J723*Prislapp!$J$3+K723*Prislapp!$K$3+M723*Prislapp!$M$3+N723*Prislapp!$N$3</f>
        <v>15773</v>
      </c>
      <c r="Q723" s="42">
        <f>C723*Prislapp!$C$5+D723*Prislapp!$D$5+E723*Prislapp!$E$5+F723*Prislapp!$F$5+G723*Prislapp!$G$5+H723*Prislapp!$H$5+I723*Prislapp!$I$5+J723*Prislapp!$J$5+K723*Prislapp!$K$5+L723*Prislapp!$L$5+M723*Prislapp!$M$5+N723*Prislapp!$N$5</f>
        <v>5800</v>
      </c>
      <c r="R723" s="9">
        <f>VLOOKUP(A723,'Ansvar kurs'!$A$2:$B$847,2,FALSE)</f>
        <v>1620</v>
      </c>
      <c r="S723" s="182" t="s">
        <v>1369</v>
      </c>
      <c r="T723" s="159"/>
      <c r="U723" s="159"/>
      <c r="V723" s="159"/>
      <c r="W723" s="159"/>
      <c r="X723" s="159"/>
      <c r="Y723" s="159"/>
      <c r="Z723" s="159"/>
    </row>
    <row r="724" spans="1:26" x14ac:dyDescent="0.25">
      <c r="A724" s="245" t="s">
        <v>1376</v>
      </c>
      <c r="B724" s="62" t="s">
        <v>1377</v>
      </c>
      <c r="D724" s="31">
        <v>1</v>
      </c>
      <c r="O724" s="42">
        <f>C724*Prislapp!$C$2+D724*Prislapp!$D$2+E724*Prislapp!$E$2+F724*Prislapp!$F$2+G724*Prislapp!$G$2+H724*Prislapp!$H$2+I724*Prislapp!$I$2+J724*Prislapp!$J$2+K724*Prislapp!$K$2+L724*Prislapp!$L$2+M724*Prislapp!$M$2+N724*Prislapp!$N$2</f>
        <v>18405</v>
      </c>
      <c r="P724" s="42">
        <f>C724*Prislapp!$C$3+D724*Prislapp!$D$3+E724*Prislapp!$E$3+F724*Prislapp!$F$3+G724*Prislapp!$G$3+H724*Prislapp!$H$3+I724*Prislapp!$I$3+J724*Prislapp!$J$3+K724*Prislapp!$K$3+M724*Prislapp!$M$3+N724*Prislapp!$N$3</f>
        <v>15773</v>
      </c>
      <c r="Q724" s="42">
        <f>C724*Prislapp!$C$5+D724*Prislapp!$D$5+E724*Prislapp!$E$5+F724*Prislapp!$F$5+G724*Prislapp!$G$5+H724*Prislapp!$H$5+I724*Prislapp!$I$5+J724*Prislapp!$J$5+K724*Prislapp!$K$5+L724*Prislapp!$L$5+M724*Prislapp!$M$5+N724*Prislapp!$N$5</f>
        <v>5800</v>
      </c>
      <c r="R724" s="9">
        <f>VLOOKUP(A724,'Ansvar kurs'!$A$2:$B$847,2,FALSE)</f>
        <v>1620</v>
      </c>
      <c r="S724" s="182" t="s">
        <v>1369</v>
      </c>
      <c r="T724" s="159"/>
      <c r="U724" s="159"/>
      <c r="V724" s="159"/>
      <c r="W724" s="159"/>
      <c r="X724" s="159"/>
      <c r="Y724" s="159"/>
      <c r="Z724" s="159"/>
    </row>
    <row r="725" spans="1:26" x14ac:dyDescent="0.25">
      <c r="A725" s="245" t="s">
        <v>1378</v>
      </c>
      <c r="B725" s="62" t="s">
        <v>1379</v>
      </c>
      <c r="D725" s="31">
        <v>1</v>
      </c>
      <c r="O725" s="42">
        <f>C725*Prislapp!$C$2+D725*Prislapp!$D$2+E725*Prislapp!$E$2+F725*Prislapp!$F$2+G725*Prislapp!$G$2+H725*Prislapp!$H$2+I725*Prislapp!$I$2+J725*Prislapp!$J$2+K725*Prislapp!$K$2+L725*Prislapp!$L$2+M725*Prislapp!$M$2+N725*Prislapp!$N$2</f>
        <v>18405</v>
      </c>
      <c r="P725" s="42">
        <f>C725*Prislapp!$C$3+D725*Prislapp!$D$3+E725*Prislapp!$E$3+F725*Prislapp!$F$3+G725*Prislapp!$G$3+H725*Prislapp!$H$3+I725*Prislapp!$I$3+J725*Prislapp!$J$3+K725*Prislapp!$K$3+M725*Prislapp!$M$3+N725*Prislapp!$N$3</f>
        <v>15773</v>
      </c>
      <c r="Q725" s="42">
        <f>C725*Prislapp!$C$5+D725*Prislapp!$D$5+E725*Prislapp!$E$5+F725*Prislapp!$F$5+G725*Prislapp!$G$5+H725*Prislapp!$H$5+I725*Prislapp!$I$5+J725*Prislapp!$J$5+K725*Prislapp!$K$5+L725*Prislapp!$L$5+M725*Prislapp!$M$5+N725*Prislapp!$N$5</f>
        <v>5800</v>
      </c>
      <c r="R725" s="9">
        <f>VLOOKUP(A725,'Ansvar kurs'!$A$2:$B$847,2,FALSE)</f>
        <v>1620</v>
      </c>
      <c r="S725" s="182" t="s">
        <v>1369</v>
      </c>
      <c r="T725" s="159"/>
      <c r="U725" s="159"/>
      <c r="V725" s="159"/>
      <c r="W725" s="159"/>
      <c r="X725" s="159"/>
      <c r="Y725" s="159"/>
      <c r="Z725" s="159"/>
    </row>
    <row r="726" spans="1:26" x14ac:dyDescent="0.25">
      <c r="A726" s="245" t="s">
        <v>1638</v>
      </c>
      <c r="B726" s="62" t="s">
        <v>1659</v>
      </c>
      <c r="D726" s="31">
        <v>1</v>
      </c>
      <c r="O726" s="42">
        <f>C726*Prislapp!$C$2+D726*Prislapp!$D$2+E726*Prislapp!$E$2+F726*Prislapp!$F$2+G726*Prislapp!$G$2+H726*Prislapp!$H$2+I726*Prislapp!$I$2+J726*Prislapp!$J$2+K726*Prislapp!$K$2+L726*Prislapp!$L$2+M726*Prislapp!$M$2+N726*Prislapp!$N$2</f>
        <v>18405</v>
      </c>
      <c r="P726" s="42">
        <f>C726*Prislapp!$C$3+D726*Prislapp!$D$3+E726*Prislapp!$E$3+F726*Prislapp!$F$3+G726*Prislapp!$G$3+H726*Prislapp!$H$3+I726*Prislapp!$I$3+J726*Prislapp!$J$3+K726*Prislapp!$K$3+M726*Prislapp!$M$3+N726*Prislapp!$N$3</f>
        <v>15773</v>
      </c>
      <c r="Q726" s="42">
        <f>C726*Prislapp!$C$5+D726*Prislapp!$D$5+E726*Prislapp!$E$5+F726*Prislapp!$F$5+G726*Prislapp!$G$5+H726*Prislapp!$H$5+I726*Prislapp!$I$5+J726*Prislapp!$J$5+K726*Prislapp!$K$5+L726*Prislapp!$L$5+M726*Prislapp!$M$5+N726*Prislapp!$N$5</f>
        <v>5800</v>
      </c>
      <c r="R726" s="9">
        <f>VLOOKUP(A726,'Ansvar kurs'!$A$2:$B$847,2,FALSE)</f>
        <v>1620</v>
      </c>
      <c r="S726" s="182"/>
      <c r="T726" s="159"/>
      <c r="U726" s="159"/>
      <c r="V726" s="159"/>
      <c r="W726" s="159"/>
      <c r="X726" s="159"/>
      <c r="Y726" s="159"/>
      <c r="Z726" s="159"/>
    </row>
    <row r="727" spans="1:26" x14ac:dyDescent="0.25">
      <c r="A727" s="245" t="s">
        <v>1824</v>
      </c>
      <c r="B727" s="62" t="s">
        <v>1834</v>
      </c>
      <c r="D727" s="31">
        <v>1</v>
      </c>
      <c r="O727" s="42">
        <f>C727*Prislapp!$C$2+D727*Prislapp!$D$2+E727*Prislapp!$E$2+F727*Prislapp!$F$2+G727*Prislapp!$G$2+H727*Prislapp!$H$2+I727*Prislapp!$I$2+J727*Prislapp!$J$2+K727*Prislapp!$K$2+L727*Prislapp!$L$2+M727*Prislapp!$M$2+N727*Prislapp!$N$2</f>
        <v>18405</v>
      </c>
      <c r="P727" s="42">
        <f>C727*Prislapp!$C$3+D727*Prislapp!$D$3+E727*Prislapp!$E$3+F727*Prislapp!$F$3+G727*Prislapp!$G$3+H727*Prislapp!$H$3+I727*Prislapp!$I$3+J727*Prislapp!$J$3+K727*Prislapp!$K$3+M727*Prislapp!$M$3+N727*Prislapp!$N$3</f>
        <v>15773</v>
      </c>
      <c r="Q727" s="42">
        <f>C727*Prislapp!$C$5+D727*Prislapp!$D$5+E727*Prislapp!$E$5+F727*Prislapp!$F$5+G727*Prislapp!$G$5+H727*Prislapp!$H$5+I727*Prislapp!$I$5+J727*Prislapp!$J$5+K727*Prislapp!$K$5+L727*Prislapp!$L$5+M727*Prislapp!$M$5+N727*Prislapp!$N$5</f>
        <v>5800</v>
      </c>
      <c r="R727" s="9">
        <f>VLOOKUP(A727,'Ansvar kurs'!$A$2:$B$847,2,FALSE)</f>
        <v>1620</v>
      </c>
      <c r="S727" s="182"/>
      <c r="T727" s="159"/>
      <c r="U727" s="159"/>
      <c r="V727" s="159"/>
      <c r="W727" s="159"/>
      <c r="X727" s="159"/>
      <c r="Y727" s="159"/>
      <c r="Z727" s="159"/>
    </row>
    <row r="728" spans="1:26" x14ac:dyDescent="0.25">
      <c r="A728" s="245" t="s">
        <v>1639</v>
      </c>
      <c r="B728" s="62" t="s">
        <v>1660</v>
      </c>
      <c r="D728" s="31">
        <v>1</v>
      </c>
      <c r="O728" s="42">
        <f>C728*Prislapp!$C$2+D728*Prislapp!$D$2+E728*Prislapp!$E$2+F728*Prislapp!$F$2+G728*Prislapp!$G$2+H728*Prislapp!$H$2+I728*Prislapp!$I$2+J728*Prislapp!$J$2+K728*Prislapp!$K$2+L728*Prislapp!$L$2+M728*Prislapp!$M$2+N728*Prislapp!$N$2</f>
        <v>18405</v>
      </c>
      <c r="P728" s="42">
        <f>C728*Prislapp!$C$3+D728*Prislapp!$D$3+E728*Prislapp!$E$3+F728*Prislapp!$F$3+G728*Prislapp!$G$3+H728*Prislapp!$H$3+I728*Prislapp!$I$3+J728*Prislapp!$J$3+K728*Prislapp!$K$3+M728*Prislapp!$M$3+N728*Prislapp!$N$3</f>
        <v>15773</v>
      </c>
      <c r="Q728" s="42">
        <f>C728*Prislapp!$C$5+D728*Prislapp!$D$5+E728*Prislapp!$E$5+F728*Prislapp!$F$5+G728*Prislapp!$G$5+H728*Prislapp!$H$5+I728*Prislapp!$I$5+J728*Prislapp!$J$5+K728*Prislapp!$K$5+L728*Prislapp!$L$5+M728*Prislapp!$M$5+N728*Prislapp!$N$5</f>
        <v>5800</v>
      </c>
      <c r="R728" s="9">
        <f>VLOOKUP(A728,'Ansvar kurs'!$A$2:$B$847,2,FALSE)</f>
        <v>1620</v>
      </c>
      <c r="S728" s="182"/>
      <c r="T728" s="159"/>
      <c r="U728" s="159"/>
      <c r="V728" s="159"/>
      <c r="W728" s="159"/>
      <c r="X728" s="159"/>
      <c r="Y728" s="159"/>
      <c r="Z728" s="159"/>
    </row>
    <row r="729" spans="1:26" x14ac:dyDescent="0.25">
      <c r="A729" s="245" t="s">
        <v>1825</v>
      </c>
      <c r="B729" s="62" t="s">
        <v>1835</v>
      </c>
      <c r="D729" s="31">
        <v>1</v>
      </c>
      <c r="O729" s="42">
        <f>C729*Prislapp!$C$2+D729*Prislapp!$D$2+E729*Prislapp!$E$2+F729*Prislapp!$F$2+G729*Prislapp!$G$2+H729*Prislapp!$H$2+I729*Prislapp!$I$2+J729*Prislapp!$J$2+K729*Prislapp!$K$2+L729*Prislapp!$L$2+M729*Prislapp!$M$2+N729*Prislapp!$N$2</f>
        <v>18405</v>
      </c>
      <c r="P729" s="42">
        <f>C729*Prislapp!$C$3+D729*Prislapp!$D$3+E729*Prislapp!$E$3+F729*Prislapp!$F$3+G729*Prislapp!$G$3+H729*Prislapp!$H$3+I729*Prislapp!$I$3+J729*Prislapp!$J$3+K729*Prislapp!$K$3+M729*Prislapp!$M$3+N729*Prislapp!$N$3</f>
        <v>15773</v>
      </c>
      <c r="Q729" s="42">
        <f>C729*Prislapp!$C$5+D729*Prislapp!$D$5+E729*Prislapp!$E$5+F729*Prislapp!$F$5+G729*Prislapp!$G$5+H729*Prislapp!$H$5+I729*Prislapp!$I$5+J729*Prislapp!$J$5+K729*Prislapp!$K$5+L729*Prislapp!$L$5+M729*Prislapp!$M$5+N729*Prislapp!$N$5</f>
        <v>5800</v>
      </c>
      <c r="R729" s="9">
        <f>VLOOKUP(A729,'Ansvar kurs'!$A$2:$B$847,2,FALSE)</f>
        <v>1620</v>
      </c>
      <c r="S729" s="182"/>
      <c r="T729" s="159"/>
      <c r="U729" s="159"/>
      <c r="V729" s="159"/>
      <c r="W729" s="159"/>
      <c r="X729" s="159"/>
      <c r="Y729" s="159"/>
      <c r="Z729" s="159"/>
    </row>
    <row r="730" spans="1:26" x14ac:dyDescent="0.25">
      <c r="A730" s="245" t="s">
        <v>1898</v>
      </c>
      <c r="B730" s="31" t="s">
        <v>1893</v>
      </c>
      <c r="K730" s="31">
        <v>1</v>
      </c>
      <c r="O730" s="42">
        <f>C730*Prislapp!$C$2+D730*Prislapp!$D$2+E730*Prislapp!$E$2+F730*Prislapp!$F$2+G730*Prislapp!$G$2+H730*Prislapp!$H$2+I730*Prislapp!$I$2+J730*Prislapp!$J$2+K730*Prislapp!$K$2+L730*Prislapp!$L$2+M730*Prislapp!$M$2+N730*Prislapp!$N$2</f>
        <v>21634</v>
      </c>
      <c r="P730" s="42">
        <f>C730*Prislapp!$C$3+D730*Prislapp!$D$3+E730*Prislapp!$E$3+F730*Prislapp!$F$3+G730*Prislapp!$G$3+H730*Prislapp!$H$3+I730*Prislapp!$I$3+J730*Prislapp!$J$3+K730*Prislapp!$K$3+M730*Prislapp!$M$3+N730*Prislapp!$N$3</f>
        <v>26986</v>
      </c>
      <c r="Q730" s="42">
        <f>C730*Prislapp!$C$5+D730*Prislapp!$D$5+E730*Prislapp!$E$5+F730*Prislapp!$F$5+G730*Prislapp!$G$5+H730*Prislapp!$H$5+I730*Prislapp!$I$5+J730*Prislapp!$J$5+K730*Prislapp!$K$5+L730*Prislapp!$L$5+M730*Prislapp!$M$5+N730*Prislapp!$N$5</f>
        <v>3400</v>
      </c>
      <c r="R730" s="9">
        <f>VLOOKUP(A730,'Ansvar kurs'!$A$2:$B$847,2,FALSE)</f>
        <v>1620</v>
      </c>
    </row>
    <row r="731" spans="1:26" x14ac:dyDescent="0.25">
      <c r="A731" s="245" t="s">
        <v>1897</v>
      </c>
      <c r="B731" s="31" t="s">
        <v>1892</v>
      </c>
      <c r="K731" s="31">
        <v>1</v>
      </c>
      <c r="O731" s="42">
        <f>C731*Prislapp!$C$2+D731*Prislapp!$D$2+E731*Prislapp!$E$2+F731*Prislapp!$F$2+G731*Prislapp!$G$2+H731*Prislapp!$H$2+I731*Prislapp!$I$2+J731*Prislapp!$J$2+K731*Prislapp!$K$2+L731*Prislapp!$L$2+M731*Prislapp!$M$2+N731*Prislapp!$N$2</f>
        <v>21634</v>
      </c>
      <c r="P731" s="42">
        <f>C731*Prislapp!$C$3+D731*Prislapp!$D$3+E731*Prislapp!$E$3+F731*Prislapp!$F$3+G731*Prislapp!$G$3+H731*Prislapp!$H$3+I731*Prislapp!$I$3+J731*Prislapp!$J$3+K731*Prislapp!$K$3+M731*Prislapp!$M$3+N731*Prislapp!$N$3</f>
        <v>26986</v>
      </c>
      <c r="Q731" s="42">
        <f>C731*Prislapp!$C$5+D731*Prislapp!$D$5+E731*Prislapp!$E$5+F731*Prislapp!$F$5+G731*Prislapp!$G$5+H731*Prislapp!$H$5+I731*Prislapp!$I$5+J731*Prislapp!$J$5+K731*Prislapp!$K$5+L731*Prislapp!$L$5+M731*Prislapp!$M$5+N731*Prislapp!$N$5</f>
        <v>3400</v>
      </c>
      <c r="R731" s="9">
        <f>VLOOKUP(A731,'Ansvar kurs'!$A$2:$B$847,2,FALSE)</f>
        <v>1620</v>
      </c>
    </row>
    <row r="732" spans="1:26" x14ac:dyDescent="0.25">
      <c r="A732" s="245" t="s">
        <v>1993</v>
      </c>
      <c r="B732" s="62" t="s">
        <v>1335</v>
      </c>
      <c r="D732" s="31">
        <v>1</v>
      </c>
      <c r="O732" s="42">
        <f>C732*Prislapp!$C$2+D732*Prislapp!$D$2+E732*Prislapp!$E$2+F732*Prislapp!$F$2+G732*Prislapp!$G$2+H732*Prislapp!$H$2+I732*Prislapp!$I$2+J732*Prislapp!$J$2+K732*Prislapp!$K$2+L732*Prislapp!$L$2+M732*Prislapp!$M$2+N732*Prislapp!$N$2</f>
        <v>18405</v>
      </c>
      <c r="P732" s="42">
        <f>C732*Prislapp!$C$3+D732*Prislapp!$D$3+E732*Prislapp!$E$3+F732*Prislapp!$F$3+G732*Prislapp!$G$3+H732*Prislapp!$H$3+I732*Prislapp!$I$3+J732*Prislapp!$J$3+K732*Prislapp!$K$3+M732*Prislapp!$M$3+N732*Prislapp!$N$3</f>
        <v>15773</v>
      </c>
      <c r="Q732" s="42">
        <f>C732*Prislapp!$C$5+D732*Prislapp!$D$5+E732*Prislapp!$E$5+F732*Prislapp!$F$5+G732*Prislapp!$G$5+H732*Prislapp!$H$5+I732*Prislapp!$I$5+J732*Prislapp!$J$5+K732*Prislapp!$K$5+L732*Prislapp!$L$5+M732*Prislapp!$M$5+N732*Prislapp!$N$5</f>
        <v>5800</v>
      </c>
      <c r="R732" s="9">
        <f>VLOOKUP(A732,'Ansvar kurs'!$A$2:$B$847,2,FALSE)</f>
        <v>1620</v>
      </c>
    </row>
    <row r="733" spans="1:26" x14ac:dyDescent="0.25">
      <c r="A733" s="245" t="s">
        <v>2202</v>
      </c>
      <c r="B733" s="62" t="s">
        <v>1659</v>
      </c>
      <c r="D733" s="31">
        <v>1</v>
      </c>
      <c r="O733" s="42">
        <f>C733*Prislapp!$C$2+D733*Prislapp!$D$2+E733*Prislapp!$E$2+F733*Prislapp!$F$2+G733*Prislapp!$G$2+H733*Prislapp!$H$2+I733*Prislapp!$I$2+J733*Prislapp!$J$2+K733*Prislapp!$K$2+L733*Prislapp!$L$2+M733*Prislapp!$M$2+N733*Prislapp!$N$2</f>
        <v>18405</v>
      </c>
      <c r="P733" s="42">
        <f>C733*Prislapp!$C$3+D733*Prislapp!$D$3+E733*Prislapp!$E$3+F733*Prislapp!$F$3+G733*Prislapp!$G$3+H733*Prislapp!$H$3+I733*Prislapp!$I$3+J733*Prislapp!$J$3+K733*Prislapp!$K$3+M733*Prislapp!$M$3+N733*Prislapp!$N$3</f>
        <v>15773</v>
      </c>
      <c r="Q733" s="42">
        <f>C733*Prislapp!$C$5+D733*Prislapp!$D$5+E733*Prislapp!$E$5+F733*Prislapp!$F$5+G733*Prislapp!$G$5+H733*Prislapp!$H$5+I733*Prislapp!$I$5+J733*Prislapp!$J$5+K733*Prislapp!$K$5+L733*Prislapp!$L$5+M733*Prislapp!$M$5+N733*Prislapp!$N$5</f>
        <v>5800</v>
      </c>
      <c r="R733" s="9">
        <f>VLOOKUP(A733,'Ansvar kurs'!$A$2:$B$847,2,FALSE)</f>
        <v>1620</v>
      </c>
    </row>
    <row r="734" spans="1:26" x14ac:dyDescent="0.25">
      <c r="A734" s="245" t="s">
        <v>2203</v>
      </c>
      <c r="B734" s="62" t="s">
        <v>1834</v>
      </c>
      <c r="D734" s="31">
        <v>1</v>
      </c>
      <c r="O734" s="42">
        <f>C734*Prislapp!$C$2+D734*Prislapp!$D$2+E734*Prislapp!$E$2+F734*Prislapp!$F$2+G734*Prislapp!$G$2+H734*Prislapp!$H$2+I734*Prislapp!$I$2+J734*Prislapp!$J$2+K734*Prislapp!$K$2+L734*Prislapp!$L$2+M734*Prislapp!$M$2+N734*Prislapp!$N$2</f>
        <v>18405</v>
      </c>
      <c r="P734" s="42">
        <f>C734*Prislapp!$C$3+D734*Prislapp!$D$3+E734*Prislapp!$E$3+F734*Prislapp!$F$3+G734*Prislapp!$G$3+H734*Prislapp!$H$3+I734*Prislapp!$I$3+J734*Prislapp!$J$3+K734*Prislapp!$K$3+M734*Prislapp!$M$3+N734*Prislapp!$N$3</f>
        <v>15773</v>
      </c>
      <c r="Q734" s="42">
        <f>C734*Prislapp!$C$5+D734*Prislapp!$D$5+E734*Prislapp!$E$5+F734*Prislapp!$F$5+G734*Prislapp!$G$5+H734*Prislapp!$H$5+I734*Prislapp!$I$5+J734*Prislapp!$J$5+K734*Prislapp!$K$5+L734*Prislapp!$L$5+M734*Prislapp!$M$5+N734*Prislapp!$N$5</f>
        <v>5800</v>
      </c>
      <c r="R734" s="9">
        <f>VLOOKUP(A734,'Ansvar kurs'!$A$2:$B$847,2,FALSE)</f>
        <v>1620</v>
      </c>
    </row>
    <row r="735" spans="1:26" x14ac:dyDescent="0.25">
      <c r="A735" s="245" t="s">
        <v>1994</v>
      </c>
      <c r="B735" s="59" t="s">
        <v>1336</v>
      </c>
      <c r="D735" s="31">
        <v>1</v>
      </c>
      <c r="O735" s="42">
        <f>C735*Prislapp!$C$2+D735*Prislapp!$D$2+E735*Prislapp!$E$2+F735*Prislapp!$F$2+G735*Prislapp!$G$2+H735*Prislapp!$H$2+I735*Prislapp!$I$2+J735*Prislapp!$J$2+K735*Prislapp!$K$2+L735*Prislapp!$L$2+M735*Prislapp!$M$2+N735*Prislapp!$N$2</f>
        <v>18405</v>
      </c>
      <c r="P735" s="42">
        <f>C735*Prislapp!$C$3+D735*Prislapp!$D$3+E735*Prislapp!$E$3+F735*Prislapp!$F$3+G735*Prislapp!$G$3+H735*Prislapp!$H$3+I735*Prislapp!$I$3+J735*Prislapp!$J$3+K735*Prislapp!$K$3+M735*Prislapp!$M$3+N735*Prislapp!$N$3</f>
        <v>15773</v>
      </c>
      <c r="Q735" s="42">
        <f>C735*Prislapp!$C$5+D735*Prislapp!$D$5+E735*Prislapp!$E$5+F735*Prislapp!$F$5+G735*Prislapp!$G$5+H735*Prislapp!$H$5+I735*Prislapp!$I$5+J735*Prislapp!$J$5+K735*Prislapp!$K$5+L735*Prislapp!$L$5+M735*Prislapp!$M$5+N735*Prislapp!$N$5</f>
        <v>5800</v>
      </c>
      <c r="R735" s="9">
        <f>VLOOKUP(A735,'Ansvar kurs'!$A$2:$B$847,2,FALSE)</f>
        <v>1620</v>
      </c>
    </row>
    <row r="736" spans="1:26" x14ac:dyDescent="0.25">
      <c r="A736" s="245" t="s">
        <v>2204</v>
      </c>
      <c r="B736" s="59" t="s">
        <v>1660</v>
      </c>
      <c r="D736" s="31">
        <v>1</v>
      </c>
      <c r="O736" s="42">
        <f>C736*Prislapp!$C$2+D736*Prislapp!$D$2+E736*Prislapp!$E$2+F736*Prislapp!$F$2+G736*Prislapp!$G$2+H736*Prislapp!$H$2+I736*Prislapp!$I$2+J736*Prislapp!$J$2+K736*Prislapp!$K$2+L736*Prislapp!$L$2+M736*Prislapp!$M$2+N736*Prislapp!$N$2</f>
        <v>18405</v>
      </c>
      <c r="P736" s="42">
        <f>C736*Prislapp!$C$3+D736*Prislapp!$D$3+E736*Prislapp!$E$3+F736*Prislapp!$F$3+G736*Prislapp!$G$3+H736*Prislapp!$H$3+I736*Prislapp!$I$3+J736*Prislapp!$J$3+K736*Prislapp!$K$3+M736*Prislapp!$M$3+N736*Prislapp!$N$3</f>
        <v>15773</v>
      </c>
      <c r="Q736" s="42">
        <f>C736*Prislapp!$C$5+D736*Prislapp!$D$5+E736*Prislapp!$E$5+F736*Prislapp!$F$5+G736*Prislapp!$G$5+H736*Prislapp!$H$5+I736*Prislapp!$I$5+J736*Prislapp!$J$5+K736*Prislapp!$K$5+L736*Prislapp!$L$5+M736*Prislapp!$M$5+N736*Prislapp!$N$5</f>
        <v>5800</v>
      </c>
      <c r="R736" s="9">
        <f>VLOOKUP(A736,'Ansvar kurs'!$A$2:$B$847,2,FALSE)</f>
        <v>1620</v>
      </c>
    </row>
    <row r="737" spans="1:26" x14ac:dyDescent="0.25">
      <c r="A737" s="245" t="s">
        <v>2205</v>
      </c>
      <c r="B737" s="59" t="s">
        <v>1835</v>
      </c>
      <c r="D737" s="31">
        <v>1</v>
      </c>
      <c r="O737" s="42">
        <f>C737*Prislapp!$C$2+D737*Prislapp!$D$2+E737*Prislapp!$E$2+F737*Prislapp!$F$2+G737*Prislapp!$G$2+H737*Prislapp!$H$2+I737*Prislapp!$I$2+J737*Prislapp!$J$2+K737*Prislapp!$K$2+L737*Prislapp!$L$2+M737*Prislapp!$M$2+N737*Prislapp!$N$2</f>
        <v>18405</v>
      </c>
      <c r="P737" s="42">
        <f>C737*Prislapp!$C$3+D737*Prislapp!$D$3+E737*Prislapp!$E$3+F737*Prislapp!$F$3+G737*Prislapp!$G$3+H737*Prislapp!$H$3+I737*Prislapp!$I$3+J737*Prislapp!$J$3+K737*Prislapp!$K$3+M737*Prislapp!$M$3+N737*Prislapp!$N$3</f>
        <v>15773</v>
      </c>
      <c r="Q737" s="42">
        <f>C737*Prislapp!$C$5+D737*Prislapp!$D$5+E737*Prislapp!$E$5+F737*Prislapp!$F$5+G737*Prislapp!$G$5+H737*Prislapp!$H$5+I737*Prislapp!$I$5+J737*Prislapp!$J$5+K737*Prislapp!$K$5+L737*Prislapp!$L$5+M737*Prislapp!$M$5+N737*Prislapp!$N$5</f>
        <v>5800</v>
      </c>
      <c r="R737" s="9">
        <f>VLOOKUP(A737,'Ansvar kurs'!$A$2:$B$847,2,FALSE)</f>
        <v>1620</v>
      </c>
    </row>
    <row r="738" spans="1:26" x14ac:dyDescent="0.25">
      <c r="A738" s="245" t="s">
        <v>1995</v>
      </c>
      <c r="B738" s="31" t="s">
        <v>2016</v>
      </c>
      <c r="D738" s="31">
        <v>1</v>
      </c>
      <c r="O738" s="42">
        <f>C738*Prislapp!$C$2+D738*Prislapp!$D$2+E738*Prislapp!$E$2+F738*Prislapp!$F$2+G738*Prislapp!$G$2+H738*Prislapp!$H$2+I738*Prislapp!$I$2+J738*Prislapp!$J$2+K738*Prislapp!$K$2+L738*Prislapp!$L$2+M738*Prislapp!$M$2+N738*Prislapp!$N$2</f>
        <v>18405</v>
      </c>
      <c r="P738" s="42">
        <f>C738*Prislapp!$C$3+D738*Prislapp!$D$3+E738*Prislapp!$E$3+F738*Prislapp!$F$3+G738*Prislapp!$G$3+H738*Prislapp!$H$3+I738*Prislapp!$I$3+J738*Prislapp!$J$3+K738*Prislapp!$K$3+M738*Prislapp!$M$3+N738*Prislapp!$N$3</f>
        <v>15773</v>
      </c>
      <c r="Q738" s="42">
        <f>C738*Prislapp!$C$5+D738*Prislapp!$D$5+E738*Prislapp!$E$5+F738*Prislapp!$F$5+G738*Prislapp!$G$5+H738*Prislapp!$H$5+I738*Prislapp!$I$5+J738*Prislapp!$J$5+K738*Prislapp!$K$5+L738*Prislapp!$L$5+M738*Prislapp!$M$5+N738*Prislapp!$N$5</f>
        <v>5800</v>
      </c>
      <c r="R738" s="9">
        <f>VLOOKUP(A738,'Ansvar kurs'!$A$2:$B$847,2,FALSE)</f>
        <v>1620</v>
      </c>
    </row>
    <row r="739" spans="1:26" x14ac:dyDescent="0.25">
      <c r="A739" s="245" t="s">
        <v>1996</v>
      </c>
      <c r="B739" s="31" t="s">
        <v>1379</v>
      </c>
      <c r="D739" s="31">
        <v>1</v>
      </c>
      <c r="O739" s="42">
        <f>C739*Prislapp!$C$2+D739*Prislapp!$D$2+E739*Prislapp!$E$2+F739*Prislapp!$F$2+G739*Prislapp!$G$2+H739*Prislapp!$H$2+I739*Prislapp!$I$2+J739*Prislapp!$J$2+K739*Prislapp!$K$2+L739*Prislapp!$L$2+M739*Prislapp!$M$2+N739*Prislapp!$N$2</f>
        <v>18405</v>
      </c>
      <c r="P739" s="42">
        <f>C739*Prislapp!$C$3+D739*Prislapp!$D$3+E739*Prislapp!$E$3+F739*Prislapp!$F$3+G739*Prislapp!$G$3+H739*Prislapp!$H$3+I739*Prislapp!$I$3+J739*Prislapp!$J$3+K739*Prislapp!$K$3+M739*Prislapp!$M$3+N739*Prislapp!$N$3</f>
        <v>15773</v>
      </c>
      <c r="Q739" s="42">
        <f>C739*Prislapp!$C$5+D739*Prislapp!$D$5+E739*Prislapp!$E$5+F739*Prislapp!$F$5+G739*Prislapp!$G$5+H739*Prislapp!$H$5+I739*Prislapp!$I$5+J739*Prislapp!$J$5+K739*Prislapp!$K$5+L739*Prislapp!$L$5+M739*Prislapp!$M$5+N739*Prislapp!$N$5</f>
        <v>5800</v>
      </c>
      <c r="R739" s="9">
        <f>VLOOKUP(A739,'Ansvar kurs'!$A$2:$B$847,2,FALSE)</f>
        <v>1620</v>
      </c>
    </row>
    <row r="740" spans="1:26" x14ac:dyDescent="0.25">
      <c r="A740" s="245" t="s">
        <v>1997</v>
      </c>
      <c r="B740" s="31" t="s">
        <v>2017</v>
      </c>
      <c r="D740" s="31">
        <v>1</v>
      </c>
      <c r="O740" s="42">
        <f>C740*Prislapp!$C$2+D740*Prislapp!$D$2+E740*Prislapp!$E$2+F740*Prislapp!$F$2+G740*Prislapp!$G$2+H740*Prislapp!$H$2+I740*Prislapp!$I$2+J740*Prislapp!$J$2+K740*Prislapp!$K$2+L740*Prislapp!$L$2+M740*Prislapp!$M$2+N740*Prislapp!$N$2</f>
        <v>18405</v>
      </c>
      <c r="P740" s="42">
        <f>C740*Prislapp!$C$3+D740*Prislapp!$D$3+E740*Prislapp!$E$3+F740*Prislapp!$F$3+G740*Prislapp!$G$3+H740*Prislapp!$H$3+I740*Prislapp!$I$3+J740*Prislapp!$J$3+K740*Prislapp!$K$3+M740*Prislapp!$M$3+N740*Prislapp!$N$3</f>
        <v>15773</v>
      </c>
      <c r="Q740" s="42">
        <f>C740*Prislapp!$C$5+D740*Prislapp!$D$5+E740*Prislapp!$E$5+F740*Prislapp!$F$5+G740*Prislapp!$G$5+H740*Prislapp!$H$5+I740*Prislapp!$I$5+J740*Prislapp!$J$5+K740*Prislapp!$K$5+L740*Prislapp!$L$5+M740*Prislapp!$M$5+N740*Prislapp!$N$5</f>
        <v>5800</v>
      </c>
      <c r="R740" s="9">
        <f>VLOOKUP(A740,'Ansvar kurs'!$A$2:$B$847,2,FALSE)</f>
        <v>1620</v>
      </c>
    </row>
    <row r="741" spans="1:26" x14ac:dyDescent="0.25">
      <c r="A741" s="245" t="s">
        <v>1998</v>
      </c>
      <c r="B741" s="31" t="s">
        <v>2018</v>
      </c>
      <c r="D741" s="31">
        <v>1</v>
      </c>
      <c r="O741" s="42">
        <f>C741*Prislapp!$C$2+D741*Prislapp!$D$2+E741*Prislapp!$E$2+F741*Prislapp!$F$2+G741*Prislapp!$G$2+H741*Prislapp!$H$2+I741*Prislapp!$I$2+J741*Prislapp!$J$2+K741*Prislapp!$K$2+L741*Prislapp!$L$2+M741*Prislapp!$M$2+N741*Prislapp!$N$2</f>
        <v>18405</v>
      </c>
      <c r="P741" s="42">
        <f>C741*Prislapp!$C$3+D741*Prislapp!$D$3+E741*Prislapp!$E$3+F741*Prislapp!$F$3+G741*Prislapp!$G$3+H741*Prislapp!$H$3+I741*Prislapp!$I$3+J741*Prislapp!$J$3+K741*Prislapp!$K$3+M741*Prislapp!$M$3+N741*Prislapp!$N$3</f>
        <v>15773</v>
      </c>
      <c r="Q741" s="42">
        <f>C741*Prislapp!$C$5+D741*Prislapp!$D$5+E741*Prislapp!$E$5+F741*Prislapp!$F$5+G741*Prislapp!$G$5+H741*Prislapp!$H$5+I741*Prislapp!$I$5+J741*Prislapp!$J$5+K741*Prislapp!$K$5+L741*Prislapp!$L$5+M741*Prislapp!$M$5+N741*Prislapp!$N$5</f>
        <v>5800</v>
      </c>
      <c r="R741" s="9">
        <f>VLOOKUP(A741,'Ansvar kurs'!$A$2:$B$847,2,FALSE)</f>
        <v>1620</v>
      </c>
    </row>
    <row r="742" spans="1:26" x14ac:dyDescent="0.25">
      <c r="A742" s="245" t="s">
        <v>1999</v>
      </c>
      <c r="B742" s="59" t="s">
        <v>2019</v>
      </c>
      <c r="D742" s="31">
        <v>1</v>
      </c>
      <c r="O742" s="42">
        <f>C742*Prislapp!$C$2+D742*Prislapp!$D$2+E742*Prislapp!$E$2+F742*Prislapp!$F$2+G742*Prislapp!$G$2+H742*Prislapp!$H$2+I742*Prislapp!$I$2+J742*Prislapp!$J$2+K742*Prislapp!$K$2+L742*Prislapp!$L$2+M742*Prislapp!$M$2+N742*Prislapp!$N$2</f>
        <v>18405</v>
      </c>
      <c r="P742" s="42">
        <f>C742*Prislapp!$C$3+D742*Prislapp!$D$3+E742*Prislapp!$E$3+F742*Prislapp!$F$3+G742*Prislapp!$G$3+H742*Prislapp!$H$3+I742*Prislapp!$I$3+J742*Prislapp!$J$3+K742*Prislapp!$K$3+M742*Prislapp!$M$3+N742*Prislapp!$N$3</f>
        <v>15773</v>
      </c>
      <c r="Q742" s="42">
        <f>C742*Prislapp!$C$5+D742*Prislapp!$D$5+E742*Prislapp!$E$5+F742*Prislapp!$F$5+G742*Prislapp!$G$5+H742*Prislapp!$H$5+I742*Prislapp!$I$5+J742*Prislapp!$J$5+K742*Prislapp!$K$5+L742*Prislapp!$L$5+M742*Prislapp!$M$5+N742*Prislapp!$N$5</f>
        <v>5800</v>
      </c>
      <c r="R742" s="9">
        <f>VLOOKUP(A742,'Ansvar kurs'!$A$2:$B$847,2,FALSE)</f>
        <v>1620</v>
      </c>
    </row>
    <row r="743" spans="1:26" x14ac:dyDescent="0.25">
      <c r="A743" s="245" t="s">
        <v>2131</v>
      </c>
      <c r="B743" s="59" t="s">
        <v>2133</v>
      </c>
      <c r="D743" s="31">
        <v>1</v>
      </c>
      <c r="O743" s="42">
        <f>C743*Prislapp!$C$2+D743*Prislapp!$D$2+E743*Prislapp!$E$2+F743*Prislapp!$F$2+G743*Prislapp!$G$2+H743*Prislapp!$H$2+I743*Prislapp!$I$2+J743*Prislapp!$J$2+K743*Prislapp!$K$2+L743*Prislapp!$L$2+M743*Prislapp!$M$2+N743*Prislapp!$N$2</f>
        <v>18405</v>
      </c>
      <c r="P743" s="42">
        <f>C743*Prislapp!$C$3+D743*Prislapp!$D$3+E743*Prislapp!$E$3+F743*Prislapp!$F$3+G743*Prislapp!$G$3+H743*Prislapp!$H$3+I743*Prislapp!$I$3+J743*Prislapp!$J$3+K743*Prislapp!$K$3+M743*Prislapp!$M$3+N743*Prislapp!$N$3</f>
        <v>15773</v>
      </c>
      <c r="Q743" s="42">
        <f>C743*Prislapp!$C$5+D743*Prislapp!$D$5+E743*Prislapp!$E$5+F743*Prislapp!$F$5+G743*Prislapp!$G$5+H743*Prislapp!$H$5+I743*Prislapp!$I$5+J743*Prislapp!$J$5+K743*Prislapp!$K$5+L743*Prislapp!$L$5+M743*Prislapp!$M$5+N743*Prislapp!$N$5</f>
        <v>5800</v>
      </c>
      <c r="R743" s="9">
        <f>VLOOKUP(A743,'Ansvar kurs'!$A$2:$B$847,2,FALSE)</f>
        <v>1620</v>
      </c>
    </row>
    <row r="744" spans="1:26" x14ac:dyDescent="0.25">
      <c r="A744" s="245" t="s">
        <v>2132</v>
      </c>
      <c r="B744" s="59" t="s">
        <v>2134</v>
      </c>
      <c r="D744" s="31">
        <v>1</v>
      </c>
      <c r="O744" s="42">
        <f>C744*Prislapp!$C$2+D744*Prislapp!$D$2+E744*Prislapp!$E$2+F744*Prislapp!$F$2+G744*Prislapp!$G$2+H744*Prislapp!$H$2+I744*Prislapp!$I$2+J744*Prislapp!$J$2+K744*Prislapp!$K$2+L744*Prislapp!$L$2+M744*Prislapp!$M$2+N744*Prislapp!$N$2</f>
        <v>18405</v>
      </c>
      <c r="P744" s="42">
        <f>C744*Prislapp!$C$3+D744*Prislapp!$D$3+E744*Prislapp!$E$3+F744*Prislapp!$F$3+G744*Prislapp!$G$3+H744*Prislapp!$H$3+I744*Prislapp!$I$3+J744*Prislapp!$J$3+K744*Prislapp!$K$3+M744*Prislapp!$M$3+N744*Prislapp!$N$3</f>
        <v>15773</v>
      </c>
      <c r="Q744" s="42">
        <f>C744*Prislapp!$C$5+D744*Prislapp!$D$5+E744*Prislapp!$E$5+F744*Prislapp!$F$5+G744*Prislapp!$G$5+H744*Prislapp!$H$5+I744*Prislapp!$I$5+J744*Prislapp!$J$5+K744*Prislapp!$K$5+L744*Prislapp!$L$5+M744*Prislapp!$M$5+N744*Prislapp!$N$5</f>
        <v>5800</v>
      </c>
      <c r="R744" s="9">
        <f>VLOOKUP(A744,'Ansvar kurs'!$A$2:$B$847,2,FALSE)</f>
        <v>1620</v>
      </c>
    </row>
    <row r="745" spans="1:26" x14ac:dyDescent="0.25">
      <c r="A745" s="9" t="s">
        <v>2154</v>
      </c>
      <c r="B745" s="39" t="s">
        <v>2156</v>
      </c>
      <c r="D745" s="59">
        <v>1</v>
      </c>
      <c r="O745" s="42">
        <f>C745*Prislapp!$C$2+D745*Prislapp!$D$2+E745*Prislapp!$E$2+F745*Prislapp!$F$2+G745*Prislapp!$G$2+H745*Prislapp!$H$2+I745*Prislapp!$I$2+J745*Prislapp!$J$2+K745*Prislapp!$K$2+L745*Prislapp!$L$2+M745*Prislapp!$M$2+N745*Prislapp!$N$2</f>
        <v>18405</v>
      </c>
      <c r="P745" s="42">
        <f>C745*Prislapp!$C$3+D745*Prislapp!$D$3+E745*Prislapp!$E$3+F745*Prislapp!$F$3+G745*Prislapp!$G$3+H745*Prislapp!$H$3+I745*Prislapp!$I$3+J745*Prislapp!$J$3+K745*Prislapp!$K$3+M745*Prislapp!$M$3+N745*Prislapp!$N$3</f>
        <v>15773</v>
      </c>
      <c r="Q745" s="42">
        <f>C745*Prislapp!$C$5+D745*Prislapp!$D$5+E745*Prislapp!$E$5+F745*Prislapp!$F$5+G745*Prislapp!$G$5+H745*Prislapp!$H$5+I745*Prislapp!$I$5+J745*Prislapp!$J$5+K745*Prislapp!$K$5+L745*Prislapp!$L$5+M745*Prislapp!$M$5+N745*Prislapp!$N$5</f>
        <v>5800</v>
      </c>
      <c r="R745" s="9">
        <f>VLOOKUP(A745,'Ansvar kurs'!$A$2:$B$847,2,FALSE)</f>
        <v>1620</v>
      </c>
      <c r="S745" s="182"/>
      <c r="T745" s="182"/>
      <c r="U745" s="159"/>
      <c r="V745" s="159"/>
      <c r="W745" s="159"/>
      <c r="X745" s="159"/>
      <c r="Y745" s="159"/>
      <c r="Z745" s="159"/>
    </row>
    <row r="746" spans="1:26" x14ac:dyDescent="0.25">
      <c r="A746" s="31" t="s">
        <v>148</v>
      </c>
      <c r="B746" s="31" t="s">
        <v>743</v>
      </c>
      <c r="I746" s="31">
        <v>0.8</v>
      </c>
      <c r="N746" s="31">
        <v>0.2</v>
      </c>
      <c r="O746" s="42">
        <f>C746*Prislapp!$C$2+D746*Prislapp!$D$2+E746*Prislapp!$E$2+F746*Prislapp!$F$2+G746*Prislapp!$G$2+H746*Prislapp!$H$2+I746*Prislapp!$I$2+J746*Prislapp!$J$2+K746*Prislapp!$K$2+L746*Prislapp!$L$2+M746*Prislapp!$M$2+N746*Prislapp!$N$2</f>
        <v>22339.8</v>
      </c>
      <c r="P746" s="42">
        <f>C746*Prislapp!$C$3+D746*Prislapp!$D$3+E746*Prislapp!$E$3+F746*Prislapp!$F$3+G746*Prislapp!$G$3+H746*Prislapp!$H$3+I746*Prislapp!$I$3+J746*Prislapp!$J$3+K746*Prislapp!$K$3+M746*Prislapp!$M$3+N746*Prislapp!$N$3</f>
        <v>20219.2</v>
      </c>
      <c r="Q746" s="42">
        <f>C746*Prislapp!$C$5+D746*Prislapp!$D$5+E746*Prislapp!$E$5+F746*Prislapp!$F$5+G746*Prislapp!$G$5+H746*Prislapp!$H$5+I746*Prislapp!$I$5+J746*Prislapp!$J$5+K746*Prislapp!$K$5+L746*Prislapp!$L$5+M746*Prislapp!$M$5+N746*Prislapp!$N$5</f>
        <v>5800</v>
      </c>
      <c r="R746" s="9">
        <f>VLOOKUP(A746,'Ansvar kurs'!$A$2:$B$847,2,FALSE)</f>
        <v>2193</v>
      </c>
      <c r="S746" s="31" t="s">
        <v>1304</v>
      </c>
    </row>
    <row r="747" spans="1:26" x14ac:dyDescent="0.25">
      <c r="A747" s="31" t="s">
        <v>150</v>
      </c>
      <c r="B747" s="31" t="s">
        <v>744</v>
      </c>
      <c r="I747" s="31">
        <v>1</v>
      </c>
      <c r="O747" s="42">
        <f>C747*Prislapp!$C$2+D747*Prislapp!$D$2+E747*Prislapp!$E$2+F747*Prislapp!$F$2+G747*Prislapp!$G$2+H747*Prislapp!$H$2+I747*Prislapp!$I$2+J747*Prislapp!$J$2+K747*Prislapp!$K$2+L747*Prislapp!$L$2+M747*Prislapp!$M$2+N747*Prislapp!$N$2</f>
        <v>18405</v>
      </c>
      <c r="P747" s="42">
        <f>C747*Prislapp!$C$3+D747*Prislapp!$D$3+E747*Prislapp!$E$3+F747*Prislapp!$F$3+G747*Prislapp!$G$3+H747*Prislapp!$H$3+I747*Prislapp!$I$3+J747*Prislapp!$J$3+K747*Prislapp!$K$3+M747*Prislapp!$M$3+N747*Prislapp!$N$3</f>
        <v>15773</v>
      </c>
      <c r="Q747" s="42">
        <f>C747*Prislapp!$C$5+D747*Prislapp!$D$5+E747*Prislapp!$E$5+F747*Prislapp!$F$5+G747*Prislapp!$G$5+H747*Prislapp!$H$5+I747*Prislapp!$I$5+J747*Prislapp!$J$5+K747*Prislapp!$K$5+L747*Prislapp!$L$5+M747*Prislapp!$M$5+N747*Prislapp!$N$5</f>
        <v>5800</v>
      </c>
      <c r="R747" s="9">
        <f>VLOOKUP(A747,'Ansvar kurs'!$A$2:$B$847,2,FALSE)</f>
        <v>2193</v>
      </c>
    </row>
    <row r="748" spans="1:26" x14ac:dyDescent="0.25">
      <c r="A748" s="31" t="s">
        <v>354</v>
      </c>
      <c r="B748" s="31" t="s">
        <v>745</v>
      </c>
      <c r="I748" s="31">
        <v>1</v>
      </c>
      <c r="O748" s="42">
        <f>C748*Prislapp!$C$2+D748*Prislapp!$D$2+E748*Prislapp!$E$2+F748*Prislapp!$F$2+G748*Prislapp!$G$2+H748*Prislapp!$H$2+I748*Prislapp!$I$2+J748*Prislapp!$J$2+K748*Prislapp!$K$2+L748*Prislapp!$L$2+M748*Prislapp!$M$2+N748*Prislapp!$N$2</f>
        <v>18405</v>
      </c>
      <c r="P748" s="42">
        <f>C748*Prislapp!$C$3+D748*Prislapp!$D$3+E748*Prislapp!$E$3+F748*Prislapp!$F$3+G748*Prislapp!$G$3+H748*Prislapp!$H$3+I748*Prislapp!$I$3+J748*Prislapp!$J$3+K748*Prislapp!$K$3+M748*Prislapp!$M$3+N748*Prislapp!$N$3</f>
        <v>15773</v>
      </c>
      <c r="Q748" s="42">
        <f>C748*Prislapp!$C$5+D748*Prislapp!$D$5+E748*Prislapp!$E$5+F748*Prislapp!$F$5+G748*Prislapp!$G$5+H748*Prislapp!$H$5+I748*Prislapp!$I$5+J748*Prislapp!$J$5+K748*Prislapp!$K$5+L748*Prislapp!$L$5+M748*Prislapp!$M$5+N748*Prislapp!$N$5</f>
        <v>5800</v>
      </c>
      <c r="R748" s="9">
        <f>VLOOKUP(A748,'Ansvar kurs'!$A$2:$B$847,2,FALSE)</f>
        <v>2180</v>
      </c>
    </row>
    <row r="749" spans="1:26" x14ac:dyDescent="0.25">
      <c r="A749" s="31" t="s">
        <v>341</v>
      </c>
      <c r="B749" s="31" t="s">
        <v>746</v>
      </c>
      <c r="I749" s="31">
        <v>0.55000000000000004</v>
      </c>
      <c r="N749" s="31">
        <v>0.45</v>
      </c>
      <c r="O749" s="42">
        <f>C749*Prislapp!$C$2+D749*Prislapp!$D$2+E749*Prislapp!$E$2+F749*Prislapp!$F$2+G749*Prislapp!$G$2+H749*Prislapp!$H$2+I749*Prislapp!$I$2+J749*Prislapp!$J$2+K749*Prislapp!$K$2+L749*Prislapp!$L$2+M749*Prislapp!$M$2+N749*Prislapp!$N$2</f>
        <v>27258.3</v>
      </c>
      <c r="P749" s="42">
        <f>C749*Prislapp!$C$3+D749*Prislapp!$D$3+E749*Prislapp!$E$3+F749*Prislapp!$F$3+G749*Prislapp!$G$3+H749*Prislapp!$H$3+I749*Prislapp!$I$3+J749*Prislapp!$J$3+K749*Prislapp!$K$3+M749*Prislapp!$M$3+N749*Prislapp!$N$3</f>
        <v>25776.95</v>
      </c>
      <c r="Q749" s="42">
        <f>C749*Prislapp!$C$5+D749*Prislapp!$D$5+E749*Prislapp!$E$5+F749*Prislapp!$F$5+G749*Prislapp!$G$5+H749*Prislapp!$H$5+I749*Prislapp!$I$5+J749*Prislapp!$J$5+K749*Prislapp!$K$5+L749*Prislapp!$L$5+M749*Prislapp!$M$5+N749*Prislapp!$N$5</f>
        <v>5800</v>
      </c>
      <c r="R749" s="9">
        <f>VLOOKUP(A749,'Ansvar kurs'!$A$2:$B$847,2,FALSE)</f>
        <v>2193</v>
      </c>
    </row>
    <row r="750" spans="1:26" x14ac:dyDescent="0.25">
      <c r="A750" s="31" t="s">
        <v>378</v>
      </c>
      <c r="B750" s="31" t="s">
        <v>379</v>
      </c>
      <c r="I750" s="31">
        <v>1</v>
      </c>
      <c r="O750" s="42">
        <f>C750*Prislapp!$C$2+D750*Prislapp!$D$2+E750*Prislapp!$E$2+F750*Prislapp!$F$2+G750*Prislapp!$G$2+H750*Prislapp!$H$2+I750*Prislapp!$I$2+J750*Prislapp!$J$2+K750*Prislapp!$K$2+L750*Prislapp!$L$2+M750*Prislapp!$M$2+N750*Prislapp!$N$2</f>
        <v>18405</v>
      </c>
      <c r="P750" s="42">
        <f>C750*Prislapp!$C$3+D750*Prislapp!$D$3+E750*Prislapp!$E$3+F750*Prislapp!$F$3+G750*Prislapp!$G$3+H750*Prislapp!$H$3+I750*Prislapp!$I$3+J750*Prislapp!$J$3+K750*Prislapp!$K$3+M750*Prislapp!$M$3+N750*Prislapp!$N$3</f>
        <v>15773</v>
      </c>
      <c r="Q750" s="42">
        <f>C750*Prislapp!$C$5+D750*Prislapp!$D$5+E750*Prislapp!$E$5+F750*Prislapp!$F$5+G750*Prislapp!$G$5+H750*Prislapp!$H$5+I750*Prislapp!$I$5+J750*Prislapp!$J$5+K750*Prislapp!$K$5+L750*Prislapp!$L$5+M750*Prislapp!$M$5+N750*Prislapp!$N$5</f>
        <v>5800</v>
      </c>
      <c r="R750" s="9">
        <f>VLOOKUP(A750,'Ansvar kurs'!$A$2:$B$847,2,FALSE)</f>
        <v>2193</v>
      </c>
    </row>
    <row r="751" spans="1:26" x14ac:dyDescent="0.25">
      <c r="A751" s="31" t="s">
        <v>396</v>
      </c>
      <c r="B751" s="31" t="s">
        <v>747</v>
      </c>
      <c r="I751" s="31">
        <v>0.7</v>
      </c>
      <c r="N751" s="31">
        <v>0.3</v>
      </c>
      <c r="O751" s="42">
        <f>C751*Prislapp!$C$2+D751*Prislapp!$D$2+E751*Prislapp!$E$2+F751*Prislapp!$F$2+G751*Prislapp!$G$2+H751*Prislapp!$H$2+I751*Prislapp!$I$2+J751*Prislapp!$J$2+K751*Prislapp!$K$2+L751*Prislapp!$L$2+M751*Prislapp!$M$2+N751*Prislapp!$N$2</f>
        <v>24307.199999999997</v>
      </c>
      <c r="P751" s="42">
        <f>C751*Prislapp!$C$3+D751*Prislapp!$D$3+E751*Prislapp!$E$3+F751*Prislapp!$F$3+G751*Prislapp!$G$3+H751*Prislapp!$H$3+I751*Prislapp!$I$3+J751*Prislapp!$J$3+K751*Prislapp!$K$3+M751*Prislapp!$M$3+N751*Prislapp!$N$3</f>
        <v>22442.299999999996</v>
      </c>
      <c r="Q751" s="42">
        <f>C751*Prislapp!$C$5+D751*Prislapp!$D$5+E751*Prislapp!$E$5+F751*Prislapp!$F$5+G751*Prislapp!$G$5+H751*Prislapp!$H$5+I751*Prislapp!$I$5+J751*Prislapp!$J$5+K751*Prislapp!$K$5+L751*Prislapp!$L$5+M751*Prislapp!$M$5+N751*Prislapp!$N$5</f>
        <v>5800</v>
      </c>
      <c r="R751" s="9">
        <f>VLOOKUP(A751,'Ansvar kurs'!$A$2:$B$847,2,FALSE)</f>
        <v>2193</v>
      </c>
      <c r="S751" s="159"/>
    </row>
    <row r="752" spans="1:26" x14ac:dyDescent="0.25">
      <c r="A752" s="31" t="s">
        <v>340</v>
      </c>
      <c r="B752" s="31" t="s">
        <v>748</v>
      </c>
      <c r="I752" s="31">
        <v>1</v>
      </c>
      <c r="O752" s="42">
        <f>C752*Prislapp!$C$2+D752*Prislapp!$D$2+E752*Prislapp!$E$2+F752*Prislapp!$F$2+G752*Prislapp!$G$2+H752*Prislapp!$H$2+I752*Prislapp!$I$2+J752*Prislapp!$J$2+K752*Prislapp!$K$2+L752*Prislapp!$L$2+M752*Prislapp!$M$2+N752*Prislapp!$N$2</f>
        <v>18405</v>
      </c>
      <c r="P752" s="42">
        <f>C752*Prislapp!$C$3+D752*Prislapp!$D$3+E752*Prislapp!$E$3+F752*Prislapp!$F$3+G752*Prislapp!$G$3+H752*Prislapp!$H$3+I752*Prislapp!$I$3+J752*Prislapp!$J$3+K752*Prislapp!$K$3+M752*Prislapp!$M$3+N752*Prislapp!$N$3</f>
        <v>15773</v>
      </c>
      <c r="Q752" s="42">
        <f>C752*Prislapp!$C$5+D752*Prislapp!$D$5+E752*Prislapp!$E$5+F752*Prislapp!$F$5+G752*Prislapp!$G$5+H752*Prislapp!$H$5+I752*Prislapp!$I$5+J752*Prislapp!$J$5+K752*Prislapp!$K$5+L752*Prislapp!$L$5+M752*Prislapp!$M$5+N752*Prislapp!$N$5</f>
        <v>5800</v>
      </c>
      <c r="R752" s="9">
        <f>VLOOKUP(A752,'Ansvar kurs'!$A$2:$B$847,2,FALSE)</f>
        <v>2193</v>
      </c>
      <c r="U752" s="159"/>
      <c r="V752" s="159"/>
      <c r="W752" s="159"/>
      <c r="X752" s="159"/>
      <c r="Y752" s="159"/>
      <c r="Z752" s="159"/>
    </row>
    <row r="753" spans="1:26" x14ac:dyDescent="0.25">
      <c r="A753" s="31" t="s">
        <v>1</v>
      </c>
      <c r="B753" s="31" t="s">
        <v>749</v>
      </c>
      <c r="D753" s="31">
        <v>0.8</v>
      </c>
      <c r="I753" s="31">
        <v>0</v>
      </c>
      <c r="N753" s="31">
        <v>0.2</v>
      </c>
      <c r="O753" s="42">
        <f>C753*Prislapp!$C$2+D753*Prislapp!$D$2+E753*Prislapp!$E$2+F753*Prislapp!$F$2+G753*Prislapp!$G$2+H753*Prislapp!$H$2+I753*Prislapp!$I$2+J753*Prislapp!$J$2+K753*Prislapp!$K$2+L753*Prislapp!$L$2+M753*Prislapp!$M$2+N753*Prislapp!$N$2</f>
        <v>22339.8</v>
      </c>
      <c r="P753" s="42">
        <f>C753*Prislapp!$C$3+D753*Prislapp!$D$3+E753*Prislapp!$E$3+F753*Prislapp!$F$3+G753*Prislapp!$G$3+H753*Prislapp!$H$3+I753*Prislapp!$I$3+J753*Prislapp!$J$3+K753*Prislapp!$K$3+M753*Prislapp!$M$3+N753*Prislapp!$N$3</f>
        <v>20219.2</v>
      </c>
      <c r="Q753" s="42">
        <f>C753*Prislapp!$C$5+D753*Prislapp!$D$5+E753*Prislapp!$E$5+F753*Prislapp!$F$5+G753*Prislapp!$G$5+H753*Prislapp!$H$5+I753*Prislapp!$I$5+J753*Prislapp!$J$5+K753*Prislapp!$K$5+L753*Prislapp!$L$5+M753*Prislapp!$M$5+N753*Prislapp!$N$5</f>
        <v>5800</v>
      </c>
      <c r="R753" s="9">
        <f>VLOOKUP(A753,'Ansvar kurs'!$A$2:$B$847,2,FALSE)</f>
        <v>2193</v>
      </c>
      <c r="U753" s="159"/>
      <c r="V753" s="159"/>
      <c r="W753" s="159"/>
      <c r="X753" s="159"/>
      <c r="Y753" s="159"/>
      <c r="Z753" s="159"/>
    </row>
    <row r="754" spans="1:26" x14ac:dyDescent="0.25">
      <c r="A754" s="31" t="s">
        <v>377</v>
      </c>
      <c r="B754" s="31" t="s">
        <v>750</v>
      </c>
      <c r="I754" s="31">
        <v>1</v>
      </c>
      <c r="O754" s="42">
        <f>C754*Prislapp!$C$2+D754*Prislapp!$D$2+E754*Prislapp!$E$2+F754*Prislapp!$F$2+G754*Prislapp!$G$2+H754*Prislapp!$H$2+I754*Prislapp!$I$2+J754*Prislapp!$J$2+K754*Prislapp!$K$2+L754*Prislapp!$L$2+M754*Prislapp!$M$2+N754*Prislapp!$N$2</f>
        <v>18405</v>
      </c>
      <c r="P754" s="42">
        <f>C754*Prislapp!$C$3+D754*Prislapp!$D$3+E754*Prislapp!$E$3+F754*Prislapp!$F$3+G754*Prislapp!$G$3+H754*Prislapp!$H$3+I754*Prislapp!$I$3+J754*Prislapp!$J$3+K754*Prislapp!$K$3+M754*Prislapp!$M$3+N754*Prislapp!$N$3</f>
        <v>15773</v>
      </c>
      <c r="Q754" s="42">
        <f>C754*Prislapp!$C$5+D754*Prislapp!$D$5+E754*Prislapp!$E$5+F754*Prislapp!$F$5+G754*Prislapp!$G$5+H754*Prislapp!$H$5+I754*Prislapp!$I$5+J754*Prislapp!$J$5+K754*Prislapp!$K$5+L754*Prislapp!$L$5+M754*Prislapp!$M$5+N754*Prislapp!$N$5</f>
        <v>5800</v>
      </c>
      <c r="R754" s="9">
        <f>VLOOKUP(A754,'Ansvar kurs'!$A$2:$B$847,2,FALSE)</f>
        <v>2193</v>
      </c>
      <c r="U754" s="159"/>
      <c r="V754" s="159"/>
      <c r="W754" s="159"/>
      <c r="X754" s="159"/>
      <c r="Y754" s="159"/>
      <c r="Z754" s="159"/>
    </row>
    <row r="755" spans="1:26" x14ac:dyDescent="0.25">
      <c r="A755" s="244" t="s">
        <v>607</v>
      </c>
      <c r="B755" s="31" t="s">
        <v>684</v>
      </c>
      <c r="I755" s="31">
        <v>1</v>
      </c>
      <c r="O755" s="42">
        <f>C755*Prislapp!$C$2+D755*Prislapp!$D$2+E755*Prislapp!$E$2+F755*Prislapp!$F$2+G755*Prislapp!$G$2+H755*Prislapp!$H$2+I755*Prislapp!$I$2+J755*Prislapp!$J$2+K755*Prislapp!$K$2+L755*Prislapp!$L$2+M755*Prislapp!$M$2+N755*Prislapp!$N$2</f>
        <v>18405</v>
      </c>
      <c r="P755" s="42">
        <f>C755*Prislapp!$C$3+D755*Prislapp!$D$3+E755*Prislapp!$E$3+F755*Prislapp!$F$3+G755*Prislapp!$G$3+H755*Prislapp!$H$3+I755*Prislapp!$I$3+J755*Prislapp!$J$3+K755*Prislapp!$K$3+M755*Prislapp!$M$3+N755*Prislapp!$N$3</f>
        <v>15773</v>
      </c>
      <c r="Q755" s="42">
        <f>C755*Prislapp!$C$5+D755*Prislapp!$D$5+E755*Prislapp!$E$5+F755*Prislapp!$F$5+G755*Prislapp!$G$5+H755*Prislapp!$H$5+I755*Prislapp!$I$5+J755*Prislapp!$J$5+K755*Prislapp!$K$5+L755*Prislapp!$L$5+M755*Prislapp!$M$5+N755*Prislapp!$N$5</f>
        <v>5800</v>
      </c>
      <c r="R755" s="9">
        <f>VLOOKUP(A755,'Ansvar kurs'!$A$2:$B$847,2,FALSE)</f>
        <v>2193</v>
      </c>
      <c r="U755" s="159"/>
      <c r="V755" s="159"/>
      <c r="W755" s="159"/>
      <c r="X755" s="159"/>
      <c r="Y755" s="159"/>
      <c r="Z755" s="159"/>
    </row>
    <row r="756" spans="1:26" x14ac:dyDescent="0.25">
      <c r="A756" s="244" t="s">
        <v>432</v>
      </c>
      <c r="B756" s="31" t="s">
        <v>1188</v>
      </c>
      <c r="I756" s="31">
        <v>1</v>
      </c>
      <c r="O756" s="42">
        <f>C756*Prislapp!$C$2+D756*Prislapp!$D$2+E756*Prislapp!$E$2+F756*Prislapp!$F$2+G756*Prislapp!$G$2+H756*Prislapp!$H$2+I756*Prislapp!$I$2+J756*Prislapp!$J$2+K756*Prislapp!$K$2+L756*Prislapp!$L$2+M756*Prislapp!$M$2+N756*Prislapp!$N$2</f>
        <v>18405</v>
      </c>
      <c r="P756" s="42">
        <f>C756*Prislapp!$C$3+D756*Prislapp!$D$3+E756*Prislapp!$E$3+F756*Prislapp!$F$3+G756*Prislapp!$G$3+H756*Prislapp!$H$3+I756*Prislapp!$I$3+J756*Prislapp!$J$3+K756*Prislapp!$K$3+M756*Prislapp!$M$3+N756*Prislapp!$N$3</f>
        <v>15773</v>
      </c>
      <c r="Q756" s="42">
        <f>C756*Prislapp!$C$5+D756*Prislapp!$D$5+E756*Prislapp!$E$5+F756*Prislapp!$F$5+G756*Prislapp!$G$5+H756*Prislapp!$H$5+I756*Prislapp!$I$5+J756*Prislapp!$J$5+K756*Prislapp!$K$5+L756*Prislapp!$L$5+M756*Prislapp!$M$5+N756*Prislapp!$N$5</f>
        <v>5800</v>
      </c>
      <c r="R756" s="9">
        <f>VLOOKUP(A756,'Ansvar kurs'!$A$2:$B$847,2,FALSE)</f>
        <v>2193</v>
      </c>
      <c r="S756" s="159"/>
      <c r="T756" s="159"/>
      <c r="U756" s="159"/>
      <c r="V756" s="159"/>
      <c r="W756" s="159"/>
      <c r="X756" s="159"/>
      <c r="Y756" s="159"/>
      <c r="Z756" s="159"/>
    </row>
    <row r="757" spans="1:26" x14ac:dyDescent="0.25">
      <c r="A757" s="244" t="s">
        <v>892</v>
      </c>
      <c r="B757" s="31" t="s">
        <v>1235</v>
      </c>
      <c r="I757" s="31">
        <v>1</v>
      </c>
      <c r="O757" s="42">
        <f>C757*Prislapp!$C$2+D757*Prislapp!$D$2+E757*Prislapp!$E$2+F757*Prislapp!$F$2+G757*Prislapp!$G$2+H757*Prislapp!$H$2+I757*Prislapp!$I$2+J757*Prislapp!$J$2+K757*Prislapp!$K$2+L757*Prislapp!$L$2+M757*Prislapp!$M$2+N757*Prislapp!$N$2</f>
        <v>18405</v>
      </c>
      <c r="P757" s="42">
        <f>C757*Prislapp!$C$3+D757*Prislapp!$D$3+E757*Prislapp!$E$3+F757*Prislapp!$F$3+G757*Prislapp!$G$3+H757*Prislapp!$H$3+I757*Prislapp!$I$3+J757*Prislapp!$J$3+K757*Prislapp!$K$3+M757*Prislapp!$M$3+N757*Prislapp!$N$3</f>
        <v>15773</v>
      </c>
      <c r="Q757" s="42">
        <f>C757*Prislapp!$C$5+D757*Prislapp!$D$5+E757*Prislapp!$E$5+F757*Prislapp!$F$5+G757*Prislapp!$G$5+H757*Prislapp!$H$5+I757*Prislapp!$I$5+J757*Prislapp!$J$5+K757*Prislapp!$K$5+L757*Prislapp!$L$5+M757*Prislapp!$M$5+N757*Prislapp!$N$5</f>
        <v>5800</v>
      </c>
      <c r="R757" s="9">
        <f>VLOOKUP(A757,'Ansvar kurs'!$A$2:$B$847,2,FALSE)</f>
        <v>2193</v>
      </c>
      <c r="S757" s="159"/>
      <c r="T757" s="159"/>
      <c r="U757" s="159"/>
      <c r="V757" s="159"/>
      <c r="W757" s="159"/>
      <c r="X757" s="159"/>
      <c r="Y757" s="159"/>
      <c r="Z757" s="159"/>
    </row>
    <row r="758" spans="1:26" x14ac:dyDescent="0.25">
      <c r="A758" s="244" t="s">
        <v>894</v>
      </c>
      <c r="B758" s="31" t="s">
        <v>1236</v>
      </c>
      <c r="I758" s="31">
        <v>0.8</v>
      </c>
      <c r="N758" s="31">
        <v>0.2</v>
      </c>
      <c r="O758" s="42">
        <f>C758*Prislapp!$C$2+D758*Prislapp!$D$2+E758*Prislapp!$E$2+F758*Prislapp!$F$2+G758*Prislapp!$G$2+H758*Prislapp!$H$2+I758*Prislapp!$I$2+J758*Prislapp!$J$2+K758*Prislapp!$K$2+L758*Prislapp!$L$2+M758*Prislapp!$M$2+N758*Prislapp!$N$2</f>
        <v>22339.8</v>
      </c>
      <c r="P758" s="42">
        <f>C758*Prislapp!$C$3+D758*Prislapp!$D$3+E758*Prislapp!$E$3+F758*Prislapp!$F$3+G758*Prislapp!$G$3+H758*Prislapp!$H$3+I758*Prislapp!$I$3+J758*Prislapp!$J$3+K758*Prislapp!$K$3+M758*Prislapp!$M$3+N758*Prislapp!$N$3</f>
        <v>20219.2</v>
      </c>
      <c r="Q758" s="42">
        <f>C758*Prislapp!$C$5+D758*Prislapp!$D$5+E758*Prislapp!$E$5+F758*Prislapp!$F$5+G758*Prislapp!$G$5+H758*Prislapp!$H$5+I758*Prislapp!$I$5+J758*Prislapp!$J$5+K758*Prislapp!$K$5+L758*Prislapp!$L$5+M758*Prislapp!$M$5+N758*Prislapp!$N$5</f>
        <v>5800</v>
      </c>
      <c r="R758" s="9">
        <f>VLOOKUP(A758,'Ansvar kurs'!$A$2:$B$847,2,FALSE)</f>
        <v>2193</v>
      </c>
      <c r="S758" s="31" t="s">
        <v>1304</v>
      </c>
      <c r="T758" s="159"/>
      <c r="U758" s="159"/>
      <c r="V758" s="159"/>
      <c r="W758" s="159"/>
      <c r="X758" s="159"/>
      <c r="Y758" s="159"/>
      <c r="Z758" s="159"/>
    </row>
    <row r="759" spans="1:26" x14ac:dyDescent="0.25">
      <c r="A759" s="244" t="s">
        <v>895</v>
      </c>
      <c r="B759" s="31" t="s">
        <v>1237</v>
      </c>
      <c r="I759" s="31">
        <v>1</v>
      </c>
      <c r="O759" s="42">
        <f>C759*Prislapp!$C$2+D759*Prislapp!$D$2+E759*Prislapp!$E$2+F759*Prislapp!$F$2+G759*Prislapp!$G$2+H759*Prislapp!$H$2+I759*Prislapp!$I$2+J759*Prislapp!$J$2+K759*Prislapp!$K$2+L759*Prislapp!$L$2+M759*Prislapp!$M$2+N759*Prislapp!$N$2</f>
        <v>18405</v>
      </c>
      <c r="P759" s="42">
        <f>C759*Prislapp!$C$3+D759*Prislapp!$D$3+E759*Prislapp!$E$3+F759*Prislapp!$F$3+G759*Prislapp!$G$3+H759*Prislapp!$H$3+I759*Prislapp!$I$3+J759*Prislapp!$J$3+K759*Prislapp!$K$3+M759*Prislapp!$M$3+N759*Prislapp!$N$3</f>
        <v>15773</v>
      </c>
      <c r="Q759" s="42">
        <f>C759*Prislapp!$C$5+D759*Prislapp!$D$5+E759*Prislapp!$E$5+F759*Prislapp!$F$5+G759*Prislapp!$G$5+H759*Prislapp!$H$5+I759*Prislapp!$I$5+J759*Prislapp!$J$5+K759*Prislapp!$K$5+L759*Prislapp!$L$5+M759*Prislapp!$M$5+N759*Prislapp!$N$5</f>
        <v>5800</v>
      </c>
      <c r="R759" s="9">
        <f>VLOOKUP(A759,'Ansvar kurs'!$A$2:$B$847,2,FALSE)</f>
        <v>2193</v>
      </c>
      <c r="S759" s="159"/>
      <c r="T759" s="159"/>
    </row>
    <row r="760" spans="1:26" x14ac:dyDescent="0.25">
      <c r="A760" s="244" t="s">
        <v>893</v>
      </c>
      <c r="B760" s="31" t="s">
        <v>1238</v>
      </c>
      <c r="D760" s="31">
        <v>0</v>
      </c>
      <c r="I760" s="31">
        <v>0.2</v>
      </c>
      <c r="N760" s="31">
        <v>0.8</v>
      </c>
      <c r="O760" s="42">
        <f>C760*Prislapp!$C$2+D760*Prislapp!$D$2+E760*Prislapp!$E$2+F760*Prislapp!$F$2+G760*Prislapp!$G$2+H760*Prislapp!$H$2+I760*Prislapp!$I$2+J760*Prislapp!$J$2+K760*Prislapp!$K$2+L760*Prislapp!$L$2+M760*Prislapp!$M$2+N760*Prislapp!$N$2</f>
        <v>34144.199999999997</v>
      </c>
      <c r="P760" s="42">
        <f>C760*Prislapp!$C$3+D760*Prislapp!$D$3+E760*Prislapp!$E$3+F760*Prislapp!$F$3+G760*Prislapp!$G$3+H760*Prislapp!$H$3+I760*Prislapp!$I$3+J760*Prislapp!$J$3+K760*Prislapp!$K$3+M760*Prislapp!$M$3+N760*Prislapp!$N$3</f>
        <v>33557.800000000003</v>
      </c>
      <c r="Q760" s="42">
        <f>C760*Prislapp!$C$5+D760*Prislapp!$D$5+E760*Prislapp!$E$5+F760*Prislapp!$F$5+G760*Prislapp!$G$5+H760*Prislapp!$H$5+I760*Prislapp!$I$5+J760*Prislapp!$J$5+K760*Prislapp!$K$5+L760*Prislapp!$L$5+M760*Prislapp!$M$5+N760*Prislapp!$N$5</f>
        <v>5800</v>
      </c>
      <c r="R760" s="9">
        <f>VLOOKUP(A760,'Ansvar kurs'!$A$2:$B$847,2,FALSE)</f>
        <v>2193</v>
      </c>
      <c r="S760" s="31" t="s">
        <v>1304</v>
      </c>
      <c r="T760" s="159"/>
    </row>
    <row r="761" spans="1:26" x14ac:dyDescent="0.25">
      <c r="A761" s="244" t="s">
        <v>891</v>
      </c>
      <c r="B761" s="31" t="s">
        <v>1239</v>
      </c>
      <c r="I761" s="31">
        <v>1</v>
      </c>
      <c r="O761" s="42">
        <f>C761*Prislapp!$C$2+D761*Prislapp!$D$2+E761*Prislapp!$E$2+F761*Prislapp!$F$2+G761*Prislapp!$G$2+H761*Prislapp!$H$2+I761*Prislapp!$I$2+J761*Prislapp!$J$2+K761*Prislapp!$K$2+L761*Prislapp!$L$2+M761*Prislapp!$M$2+N761*Prislapp!$N$2</f>
        <v>18405</v>
      </c>
      <c r="P761" s="42">
        <f>C761*Prislapp!$C$3+D761*Prislapp!$D$3+E761*Prislapp!$E$3+F761*Prislapp!$F$3+G761*Prislapp!$G$3+H761*Prislapp!$H$3+I761*Prislapp!$I$3+J761*Prislapp!$J$3+K761*Prislapp!$K$3+M761*Prislapp!$M$3+N761*Prislapp!$N$3</f>
        <v>15773</v>
      </c>
      <c r="Q761" s="42">
        <f>C761*Prislapp!$C$5+D761*Prislapp!$D$5+E761*Prislapp!$E$5+F761*Prislapp!$F$5+G761*Prislapp!$G$5+H761*Prislapp!$H$5+I761*Prislapp!$I$5+J761*Prislapp!$J$5+K761*Prislapp!$K$5+L761*Prislapp!$L$5+M761*Prislapp!$M$5+N761*Prislapp!$N$5</f>
        <v>5800</v>
      </c>
      <c r="R761" s="9">
        <f>VLOOKUP(A761,'Ansvar kurs'!$A$2:$B$847,2,FALSE)</f>
        <v>2180</v>
      </c>
      <c r="S761" s="159"/>
      <c r="T761" s="159"/>
    </row>
    <row r="762" spans="1:26" x14ac:dyDescent="0.25">
      <c r="A762" s="244" t="s">
        <v>933</v>
      </c>
      <c r="B762" s="31" t="s">
        <v>751</v>
      </c>
      <c r="I762" s="31">
        <v>1</v>
      </c>
      <c r="O762" s="42">
        <f>C762*Prislapp!$C$2+D762*Prislapp!$D$2+E762*Prislapp!$E$2+F762*Prislapp!$F$2+G762*Prislapp!$G$2+H762*Prislapp!$H$2+I762*Prislapp!$I$2+J762*Prislapp!$J$2+K762*Prislapp!$K$2+L762*Prislapp!$L$2+M762*Prislapp!$M$2+N762*Prislapp!$N$2</f>
        <v>18405</v>
      </c>
      <c r="P762" s="42">
        <f>C762*Prislapp!$C$3+D762*Prislapp!$D$3+E762*Prislapp!$E$3+F762*Prislapp!$F$3+G762*Prislapp!$G$3+H762*Prislapp!$H$3+I762*Prislapp!$I$3+J762*Prislapp!$J$3+K762*Prislapp!$K$3+M762*Prislapp!$M$3+N762*Prislapp!$N$3</f>
        <v>15773</v>
      </c>
      <c r="Q762" s="42">
        <f>C762*Prislapp!$C$5+D762*Prislapp!$D$5+E762*Prislapp!$E$5+F762*Prislapp!$F$5+G762*Prislapp!$G$5+H762*Prislapp!$H$5+I762*Prislapp!$I$5+J762*Prislapp!$J$5+K762*Prislapp!$K$5+L762*Prislapp!$L$5+M762*Prislapp!$M$5+N762*Prislapp!$N$5</f>
        <v>5800</v>
      </c>
      <c r="R762" s="9">
        <f>VLOOKUP(A762,'Ansvar kurs'!$A$2:$B$847,2,FALSE)</f>
        <v>2193</v>
      </c>
      <c r="S762" s="159" t="s">
        <v>936</v>
      </c>
      <c r="T762" s="159"/>
    </row>
    <row r="763" spans="1:26" x14ac:dyDescent="0.25">
      <c r="A763" s="244" t="s">
        <v>934</v>
      </c>
      <c r="B763" s="31" t="s">
        <v>1240</v>
      </c>
      <c r="I763" s="31">
        <v>1</v>
      </c>
      <c r="O763" s="42">
        <f>C763*Prislapp!$C$2+D763*Prislapp!$D$2+E763*Prislapp!$E$2+F763*Prislapp!$F$2+G763*Prislapp!$G$2+H763*Prislapp!$H$2+I763*Prislapp!$I$2+J763*Prislapp!$J$2+K763*Prislapp!$K$2+L763*Prislapp!$L$2+M763*Prislapp!$M$2+N763*Prislapp!$N$2</f>
        <v>18405</v>
      </c>
      <c r="P763" s="42">
        <f>C763*Prislapp!$C$3+D763*Prislapp!$D$3+E763*Prislapp!$E$3+F763*Prislapp!$F$3+G763*Prislapp!$G$3+H763*Prislapp!$H$3+I763*Prislapp!$I$3+J763*Prislapp!$J$3+K763*Prislapp!$K$3+M763*Prislapp!$M$3+N763*Prislapp!$N$3</f>
        <v>15773</v>
      </c>
      <c r="Q763" s="42">
        <f>C763*Prislapp!$C$5+D763*Prislapp!$D$5+E763*Prislapp!$E$5+F763*Prislapp!$F$5+G763*Prislapp!$G$5+H763*Prislapp!$H$5+I763*Prislapp!$I$5+J763*Prislapp!$J$5+K763*Prislapp!$K$5+L763*Prislapp!$L$5+M763*Prislapp!$M$5+N763*Prislapp!$N$5</f>
        <v>5800</v>
      </c>
      <c r="R763" s="9">
        <f>VLOOKUP(A763,'Ansvar kurs'!$A$2:$B$847,2,FALSE)</f>
        <v>2193</v>
      </c>
      <c r="S763" s="159" t="s">
        <v>936</v>
      </c>
      <c r="T763" s="159"/>
    </row>
    <row r="764" spans="1:26" x14ac:dyDescent="0.25">
      <c r="A764" s="244" t="s">
        <v>935</v>
      </c>
      <c r="B764" s="31" t="s">
        <v>752</v>
      </c>
      <c r="I764" s="31">
        <v>1</v>
      </c>
      <c r="O764" s="42">
        <f>C764*Prislapp!$C$2+D764*Prislapp!$D$2+E764*Prislapp!$E$2+F764*Prislapp!$F$2+G764*Prislapp!$G$2+H764*Prislapp!$H$2+I764*Prislapp!$I$2+J764*Prislapp!$J$2+K764*Prislapp!$K$2+L764*Prislapp!$L$2+M764*Prislapp!$M$2+N764*Prislapp!$N$2</f>
        <v>18405</v>
      </c>
      <c r="P764" s="42">
        <f>C764*Prislapp!$C$3+D764*Prislapp!$D$3+E764*Prislapp!$E$3+F764*Prislapp!$F$3+G764*Prislapp!$G$3+H764*Prislapp!$H$3+I764*Prislapp!$I$3+J764*Prislapp!$J$3+K764*Prislapp!$K$3+M764*Prislapp!$M$3+N764*Prislapp!$N$3</f>
        <v>15773</v>
      </c>
      <c r="Q764" s="42">
        <f>C764*Prislapp!$C$5+D764*Prislapp!$D$5+E764*Prislapp!$E$5+F764*Prislapp!$F$5+G764*Prislapp!$G$5+H764*Prislapp!$H$5+I764*Prislapp!$I$5+J764*Prislapp!$J$5+K764*Prislapp!$K$5+L764*Prislapp!$L$5+M764*Prislapp!$M$5+N764*Prislapp!$N$5</f>
        <v>5800</v>
      </c>
      <c r="R764" s="9">
        <f>VLOOKUP(A764,'Ansvar kurs'!$A$2:$B$847,2,FALSE)</f>
        <v>2193</v>
      </c>
      <c r="S764" s="159" t="s">
        <v>936</v>
      </c>
      <c r="T764" s="159"/>
    </row>
    <row r="765" spans="1:26" x14ac:dyDescent="0.25">
      <c r="A765" s="244" t="s">
        <v>978</v>
      </c>
      <c r="B765" s="31" t="s">
        <v>745</v>
      </c>
      <c r="I765" s="31">
        <v>1</v>
      </c>
      <c r="O765" s="42">
        <f>C765*Prislapp!$C$2+D765*Prislapp!$D$2+E765*Prislapp!$E$2+F765*Prislapp!$F$2+G765*Prislapp!$G$2+H765*Prislapp!$H$2+I765*Prislapp!$I$2+J765*Prislapp!$J$2+K765*Prislapp!$K$2+L765*Prislapp!$L$2+M765*Prislapp!$M$2+N765*Prislapp!$N$2</f>
        <v>18405</v>
      </c>
      <c r="P765" s="42">
        <f>C765*Prislapp!$C$3+D765*Prislapp!$D$3+E765*Prislapp!$E$3+F765*Prislapp!$F$3+G765*Prislapp!$G$3+H765*Prislapp!$H$3+I765*Prislapp!$I$3+J765*Prislapp!$J$3+K765*Prislapp!$K$3+M765*Prislapp!$M$3+N765*Prislapp!$N$3</f>
        <v>15773</v>
      </c>
      <c r="Q765" s="42">
        <f>C765*Prislapp!$C$5+D765*Prislapp!$D$5+E765*Prislapp!$E$5+F765*Prislapp!$F$5+G765*Prislapp!$G$5+H765*Prislapp!$H$5+I765*Prislapp!$I$5+J765*Prislapp!$J$5+K765*Prislapp!$K$5+L765*Prislapp!$L$5+M765*Prislapp!$M$5+N765*Prislapp!$N$5</f>
        <v>5800</v>
      </c>
      <c r="R765" s="9">
        <f>VLOOKUP(A765,'Ansvar kurs'!$A$2:$B$847,2,FALSE)</f>
        <v>2180</v>
      </c>
      <c r="S765" s="159" t="s">
        <v>979</v>
      </c>
      <c r="T765" s="159"/>
    </row>
    <row r="766" spans="1:26" x14ac:dyDescent="0.25">
      <c r="A766" s="31" t="s">
        <v>1343</v>
      </c>
      <c r="B766" s="31" t="s">
        <v>746</v>
      </c>
      <c r="I766" s="31">
        <v>0.55000000000000004</v>
      </c>
      <c r="N766" s="31">
        <v>0.45</v>
      </c>
      <c r="O766" s="42">
        <f>C766*Prislapp!$C$2+D766*Prislapp!$D$2+E766*Prislapp!$E$2+F766*Prislapp!$F$2+G766*Prislapp!$G$2+H766*Prislapp!$H$2+I766*Prislapp!$I$2+J766*Prislapp!$J$2+K766*Prislapp!$K$2+L766*Prislapp!$L$2+M766*Prislapp!$M$2+N766*Prislapp!$N$2</f>
        <v>27258.3</v>
      </c>
      <c r="P766" s="42">
        <f>C766*Prislapp!$C$3+D766*Prislapp!$D$3+E766*Prislapp!$E$3+F766*Prislapp!$F$3+G766*Prislapp!$G$3+H766*Prislapp!$H$3+I766*Prislapp!$I$3+J766*Prislapp!$J$3+K766*Prislapp!$K$3+M766*Prislapp!$M$3+N766*Prislapp!$N$3</f>
        <v>25776.95</v>
      </c>
      <c r="Q766" s="42">
        <f>C766*Prislapp!$C$5+D766*Prislapp!$D$5+E766*Prislapp!$E$5+F766*Prislapp!$F$5+G766*Prislapp!$G$5+H766*Prislapp!$H$5+I766*Prislapp!$I$5+J766*Prislapp!$J$5+K766*Prislapp!$K$5+L766*Prislapp!$L$5+M766*Prislapp!$M$5+N766*Prislapp!$N$5</f>
        <v>5800</v>
      </c>
      <c r="R766" s="9">
        <f>VLOOKUP(A766,'Ansvar kurs'!$A$2:$B$847,2,FALSE)</f>
        <v>2193</v>
      </c>
      <c r="S766" s="159" t="s">
        <v>1348</v>
      </c>
    </row>
    <row r="767" spans="1:26" x14ac:dyDescent="0.25">
      <c r="A767" s="244" t="s">
        <v>1604</v>
      </c>
      <c r="B767" s="31" t="s">
        <v>1188</v>
      </c>
      <c r="I767" s="31">
        <v>1</v>
      </c>
      <c r="O767" s="42">
        <f>C767*Prislapp!$C$2+D767*Prislapp!$D$2+E767*Prislapp!$E$2+F767*Prislapp!$F$2+G767*Prislapp!$G$2+H767*Prislapp!$H$2+I767*Prislapp!$I$2+J767*Prislapp!$J$2+K767*Prislapp!$K$2+L767*Prislapp!$L$2+M767*Prislapp!$M$2+N767*Prislapp!$N$2</f>
        <v>18405</v>
      </c>
      <c r="P767" s="42">
        <f>C767*Prislapp!$C$3+D767*Prislapp!$D$3+E767*Prislapp!$E$3+F767*Prislapp!$F$3+G767*Prislapp!$G$3+H767*Prislapp!$H$3+I767*Prislapp!$I$3+J767*Prislapp!$J$3+K767*Prislapp!$K$3+M767*Prislapp!$M$3+N767*Prislapp!$N$3</f>
        <v>15773</v>
      </c>
      <c r="Q767" s="42">
        <f>C767*Prislapp!$C$5+D767*Prislapp!$D$5+E767*Prislapp!$E$5+F767*Prislapp!$F$5+G767*Prislapp!$G$5+H767*Prislapp!$H$5+I767*Prislapp!$I$5+J767*Prislapp!$J$5+K767*Prislapp!$K$5+L767*Prislapp!$L$5+M767*Prislapp!$M$5+N767*Prislapp!$N$5</f>
        <v>5800</v>
      </c>
      <c r="R767" s="9">
        <f>VLOOKUP(A767,'Ansvar kurs'!$A$2:$B$847,2,FALSE)</f>
        <v>2193</v>
      </c>
      <c r="S767" s="159"/>
    </row>
    <row r="768" spans="1:26" x14ac:dyDescent="0.25">
      <c r="A768" s="31" t="s">
        <v>656</v>
      </c>
      <c r="B768" s="31" t="s">
        <v>753</v>
      </c>
      <c r="J768" s="31">
        <v>1</v>
      </c>
      <c r="O768" s="42">
        <f>C768*Prislapp!$C$2+D768*Prislapp!$D$2+E768*Prislapp!$E$2+F768*Prislapp!$F$2+G768*Prislapp!$G$2+H768*Prislapp!$H$2+I768*Prislapp!$I$2+J768*Prislapp!$J$2+K768*Prislapp!$K$2+L768*Prislapp!$L$2+M768*Prislapp!$M$2+N768*Prislapp!$N$2</f>
        <v>19473</v>
      </c>
      <c r="P768" s="42">
        <f>C768*Prislapp!$C$3+D768*Prislapp!$D$3+E768*Prislapp!$E$3+F768*Prislapp!$F$3+G768*Prislapp!$G$3+H768*Prislapp!$H$3+I768*Prislapp!$I$3+J768*Prislapp!$J$3+K768*Prislapp!$K$3+M768*Prislapp!$M$3+N768*Prislapp!$N$3</f>
        <v>34806</v>
      </c>
      <c r="Q768" s="42">
        <f>C768*Prislapp!$C$5+D768*Prislapp!$D$5+E768*Prislapp!$E$5+F768*Prislapp!$F$5+G768*Prislapp!$G$5+H768*Prislapp!$H$5+I768*Prislapp!$I$5+J768*Prislapp!$J$5+K768*Prislapp!$K$5+L768*Prislapp!$L$5+M768*Prislapp!$M$5+N768*Prislapp!$N$5</f>
        <v>21800</v>
      </c>
      <c r="R768" s="9">
        <f>VLOOKUP(A768,'Ansvar kurs'!$A$2:$B$847,2,FALSE)</f>
        <v>5740</v>
      </c>
    </row>
    <row r="769" spans="1:26" x14ac:dyDescent="0.25">
      <c r="A769" s="244" t="s">
        <v>938</v>
      </c>
      <c r="B769" s="31" t="s">
        <v>1241</v>
      </c>
      <c r="H769" s="31">
        <v>1</v>
      </c>
      <c r="O769" s="42">
        <f>C769*Prislapp!$C$2+D769*Prislapp!$D$2+E769*Prislapp!$E$2+F769*Prislapp!$F$2+G769*Prislapp!$G$2+H769*Prislapp!$H$2+I769*Prislapp!$I$2+J769*Prislapp!$J$2+K769*Prislapp!$K$2+L769*Prislapp!$L$2+M769*Prislapp!$M$2+N769*Prislapp!$N$2</f>
        <v>19473</v>
      </c>
      <c r="P769" s="42">
        <f>C769*Prislapp!$C$3+D769*Prislapp!$D$3+E769*Prislapp!$E$3+F769*Prislapp!$F$3+G769*Prislapp!$G$3+H769*Prislapp!$H$3+I769*Prislapp!$I$3+J769*Prislapp!$J$3+K769*Prislapp!$K$3+M769*Prislapp!$M$3+N769*Prislapp!$N$3</f>
        <v>34806</v>
      </c>
      <c r="Q769" s="42">
        <f>C769*Prislapp!$C$5+D769*Prislapp!$D$5+E769*Prislapp!$E$5+F769*Prislapp!$F$5+G769*Prislapp!$G$5+H769*Prislapp!$H$5+I769*Prislapp!$I$5+J769*Prislapp!$J$5+K769*Prislapp!$K$5+L769*Prislapp!$L$5+M769*Prislapp!$M$5+N769*Prislapp!$N$5</f>
        <v>21800</v>
      </c>
      <c r="R769" s="9">
        <f>VLOOKUP(A769,'Ansvar kurs'!$A$2:$B$847,2,FALSE)</f>
        <v>5740</v>
      </c>
    </row>
    <row r="770" spans="1:26" x14ac:dyDescent="0.25">
      <c r="A770" s="31" t="s">
        <v>87</v>
      </c>
      <c r="B770" s="31" t="s">
        <v>754</v>
      </c>
      <c r="J770" s="31">
        <v>1</v>
      </c>
      <c r="M770" s="31">
        <v>0</v>
      </c>
      <c r="O770" s="42">
        <f>C770*Prislapp!$C$2+D770*Prislapp!$D$2+E770*Prislapp!$E$2+F770*Prislapp!$F$2+G770*Prislapp!$G$2+H770*Prislapp!$H$2+I770*Prislapp!$I$2+J770*Prislapp!$J$2+K770*Prislapp!$K$2+L770*Prislapp!$L$2+M770*Prislapp!$M$2+N770*Prislapp!$N$2</f>
        <v>19473</v>
      </c>
      <c r="P770" s="42">
        <f>C770*Prislapp!$C$3+D770*Prislapp!$D$3+E770*Prislapp!$E$3+F770*Prislapp!$F$3+G770*Prislapp!$G$3+H770*Prislapp!$H$3+I770*Prislapp!$I$3+J770*Prislapp!$J$3+K770*Prislapp!$K$3+M770*Prislapp!$M$3+N770*Prislapp!$N$3</f>
        <v>34806</v>
      </c>
      <c r="Q770" s="42">
        <f>C770*Prislapp!$C$5+D770*Prislapp!$D$5+E770*Prislapp!$E$5+F770*Prislapp!$F$5+G770*Prislapp!$G$5+H770*Prislapp!$H$5+I770*Prislapp!$I$5+J770*Prislapp!$J$5+K770*Prislapp!$K$5+L770*Prislapp!$L$5+M770*Prislapp!$M$5+N770*Prislapp!$N$5</f>
        <v>21800</v>
      </c>
      <c r="R770" s="9">
        <f>VLOOKUP(A770,'Ansvar kurs'!$A$2:$B$847,2,FALSE)</f>
        <v>1650</v>
      </c>
      <c r="S770" s="182" t="s">
        <v>1517</v>
      </c>
      <c r="T770" s="182"/>
    </row>
    <row r="771" spans="1:26" x14ac:dyDescent="0.25">
      <c r="A771" s="62" t="s">
        <v>882</v>
      </c>
      <c r="B771" s="31" t="s">
        <v>1242</v>
      </c>
      <c r="J771" s="31">
        <v>1</v>
      </c>
      <c r="O771" s="42">
        <f>C771*Prislapp!$C$2+D771*Prislapp!$D$2+E771*Prislapp!$E$2+F771*Prislapp!$F$2+G771*Prislapp!$G$2+H771*Prislapp!$H$2+I771*Prislapp!$I$2+J771*Prislapp!$J$2+K771*Prislapp!$K$2+L771*Prislapp!$L$2+M771*Prislapp!$M$2+N771*Prislapp!$N$2</f>
        <v>19473</v>
      </c>
      <c r="P771" s="42">
        <f>C771*Prislapp!$C$3+D771*Prislapp!$D$3+E771*Prislapp!$E$3+F771*Prislapp!$F$3+G771*Prislapp!$G$3+H771*Prislapp!$H$3+I771*Prislapp!$I$3+J771*Prislapp!$J$3+K771*Prislapp!$K$3+M771*Prislapp!$M$3+N771*Prislapp!$N$3</f>
        <v>34806</v>
      </c>
      <c r="Q771" s="42">
        <f>C771*Prislapp!$C$5+D771*Prislapp!$D$5+E771*Prislapp!$E$5+F771*Prislapp!$F$5+G771*Prislapp!$G$5+H771*Prislapp!$H$5+I771*Prislapp!$I$5+J771*Prislapp!$J$5+K771*Prislapp!$K$5+L771*Prislapp!$L$5+M771*Prislapp!$M$5+N771*Prislapp!$N$5</f>
        <v>21800</v>
      </c>
      <c r="R771" s="9">
        <f>VLOOKUP(A771,'Ansvar kurs'!$A$2:$B$847,2,FALSE)</f>
        <v>1650</v>
      </c>
    </row>
    <row r="772" spans="1:26" x14ac:dyDescent="0.25">
      <c r="A772" s="31" t="s">
        <v>86</v>
      </c>
      <c r="B772" s="31" t="s">
        <v>755</v>
      </c>
      <c r="J772" s="31">
        <v>0.3</v>
      </c>
      <c r="M772" s="31">
        <v>0.7</v>
      </c>
      <c r="O772" s="42">
        <f>C772*Prislapp!$C$2+D772*Prislapp!$D$2+E772*Prislapp!$E$2+F772*Prislapp!$F$2+G772*Prislapp!$G$2+H772*Prislapp!$H$2+I772*Prislapp!$I$2+J772*Prislapp!$J$2+K772*Prislapp!$K$2+L772*Prislapp!$L$2+M772*Prislapp!$M$2+N772*Prislapp!$N$2</f>
        <v>16934.099999999999</v>
      </c>
      <c r="P772" s="42">
        <f>C772*Prislapp!$C$3+D772*Prislapp!$D$3+E772*Prislapp!$E$3+F772*Prislapp!$F$3+G772*Prislapp!$G$3+H772*Prislapp!$H$3+I772*Prislapp!$I$3+J772*Prislapp!$J$3+K772*Prislapp!$K$3+M772*Prislapp!$M$3+N772*Prislapp!$N$3</f>
        <v>29289.999999999996</v>
      </c>
      <c r="Q772" s="42">
        <f>C772*Prislapp!$C$5+D772*Prislapp!$D$5+E772*Prislapp!$E$5+F772*Prislapp!$F$5+G772*Prislapp!$G$5+H772*Prislapp!$H$5+I772*Prislapp!$I$5+J772*Prislapp!$J$5+K772*Prislapp!$K$5+L772*Prislapp!$L$5+M772*Prislapp!$M$5+N772*Prislapp!$N$5</f>
        <v>18650</v>
      </c>
      <c r="R772" s="9">
        <f>VLOOKUP(A772,'Ansvar kurs'!$A$2:$B$847,2,FALSE)</f>
        <v>1650</v>
      </c>
    </row>
    <row r="773" spans="1:26" x14ac:dyDescent="0.25">
      <c r="A773" s="31" t="s">
        <v>332</v>
      </c>
      <c r="B773" s="31" t="s">
        <v>756</v>
      </c>
      <c r="J773" s="31">
        <v>1</v>
      </c>
      <c r="O773" s="42">
        <f>C773*Prislapp!$C$2+D773*Prislapp!$D$2+E773*Prislapp!$E$2+F773*Prislapp!$F$2+G773*Prislapp!$G$2+H773*Prislapp!$H$2+I773*Prislapp!$I$2+J773*Prislapp!$J$2+K773*Prislapp!$K$2+L773*Prislapp!$L$2+M773*Prislapp!$M$2+N773*Prislapp!$N$2</f>
        <v>19473</v>
      </c>
      <c r="P773" s="42">
        <f>C773*Prislapp!$C$3+D773*Prislapp!$D$3+E773*Prislapp!$E$3+F773*Prislapp!$F$3+G773*Prislapp!$G$3+H773*Prislapp!$H$3+I773*Prislapp!$I$3+J773*Prislapp!$J$3+K773*Prislapp!$K$3+M773*Prislapp!$M$3+N773*Prislapp!$N$3</f>
        <v>34806</v>
      </c>
      <c r="Q773" s="42">
        <f>C773*Prislapp!$C$5+D773*Prislapp!$D$5+E773*Prislapp!$E$5+F773*Prislapp!$F$5+G773*Prislapp!$G$5+H773*Prislapp!$H$5+I773*Prislapp!$I$5+J773*Prislapp!$J$5+K773*Prislapp!$K$5+L773*Prislapp!$L$5+M773*Prislapp!$M$5+N773*Prislapp!$N$5</f>
        <v>21800</v>
      </c>
      <c r="R773" s="9">
        <f>VLOOKUP(A773,'Ansvar kurs'!$A$2:$B$847,2,FALSE)</f>
        <v>1650</v>
      </c>
    </row>
    <row r="774" spans="1:26" x14ac:dyDescent="0.25">
      <c r="A774" s="31" t="s">
        <v>81</v>
      </c>
      <c r="B774" s="31" t="s">
        <v>757</v>
      </c>
      <c r="J774" s="31">
        <v>1</v>
      </c>
      <c r="M774" s="31">
        <v>0</v>
      </c>
      <c r="O774" s="42">
        <f>C774*Prislapp!$C$2+D774*Prislapp!$D$2+E774*Prislapp!$E$2+F774*Prislapp!$F$2+G774*Prislapp!$G$2+H774*Prislapp!$H$2+I774*Prislapp!$I$2+J774*Prislapp!$J$2+K774*Prislapp!$K$2+L774*Prislapp!$L$2+M774*Prislapp!$M$2+N774*Prislapp!$N$2</f>
        <v>19473</v>
      </c>
      <c r="P774" s="42">
        <f>C774*Prislapp!$C$3+D774*Prislapp!$D$3+E774*Prislapp!$E$3+F774*Prislapp!$F$3+G774*Prislapp!$G$3+H774*Prislapp!$H$3+I774*Prislapp!$I$3+J774*Prislapp!$J$3+K774*Prislapp!$K$3+M774*Prislapp!$M$3+N774*Prislapp!$N$3</f>
        <v>34806</v>
      </c>
      <c r="Q774" s="42">
        <f>C774*Prislapp!$C$5+D774*Prislapp!$D$5+E774*Prislapp!$E$5+F774*Prislapp!$F$5+G774*Prislapp!$G$5+H774*Prislapp!$H$5+I774*Prislapp!$I$5+J774*Prislapp!$J$5+K774*Prislapp!$K$5+L774*Prislapp!$L$5+M774*Prislapp!$M$5+N774*Prislapp!$N$5</f>
        <v>21800</v>
      </c>
      <c r="R774" s="9">
        <f>VLOOKUP(A774,'Ansvar kurs'!$A$2:$B$847,2,FALSE)</f>
        <v>1650</v>
      </c>
      <c r="S774" s="182" t="s">
        <v>1517</v>
      </c>
      <c r="T774" s="182"/>
    </row>
    <row r="775" spans="1:26" x14ac:dyDescent="0.25">
      <c r="A775" s="31" t="s">
        <v>1047</v>
      </c>
      <c r="B775" s="31" t="s">
        <v>1243</v>
      </c>
      <c r="J775" s="31">
        <v>1</v>
      </c>
      <c r="O775" s="42">
        <f>C775*Prislapp!$C$2+D775*Prislapp!$D$2+E775*Prislapp!$E$2+F775*Prislapp!$F$2+G775*Prislapp!$G$2+H775*Prislapp!$H$2+I775*Prislapp!$I$2+J775*Prislapp!$J$2+K775*Prislapp!$K$2+L775*Prislapp!$L$2+M775*Prislapp!$M$2+N775*Prislapp!$N$2</f>
        <v>19473</v>
      </c>
      <c r="P775" s="42">
        <f>C775*Prislapp!$C$3+D775*Prislapp!$D$3+E775*Prislapp!$E$3+F775*Prislapp!$F$3+G775*Prislapp!$G$3+H775*Prislapp!$H$3+I775*Prislapp!$I$3+J775*Prislapp!$J$3+K775*Prislapp!$K$3+M775*Prislapp!$M$3+N775*Prislapp!$N$3</f>
        <v>34806</v>
      </c>
      <c r="Q775" s="42">
        <f>C775*Prislapp!$C$5+D775*Prislapp!$D$5+E775*Prislapp!$E$5+F775*Prislapp!$F$5+G775*Prislapp!$G$5+H775*Prislapp!$H$5+I775*Prislapp!$I$5+J775*Prislapp!$J$5+K775*Prislapp!$K$5+L775*Prislapp!$L$5+M775*Prislapp!$M$5+N775*Prislapp!$N$5</f>
        <v>21800</v>
      </c>
      <c r="R775" s="9">
        <f>VLOOKUP(A775,'Ansvar kurs'!$A$2:$B$847,2,FALSE)</f>
        <v>1650</v>
      </c>
    </row>
    <row r="776" spans="1:26" x14ac:dyDescent="0.25">
      <c r="A776" s="31" t="s">
        <v>480</v>
      </c>
      <c r="B776" s="31" t="s">
        <v>758</v>
      </c>
      <c r="J776" s="31">
        <v>1</v>
      </c>
      <c r="O776" s="42">
        <f>C776*Prislapp!$C$2+D776*Prislapp!$D$2+E776*Prislapp!$E$2+F776*Prislapp!$F$2+G776*Prislapp!$G$2+H776*Prislapp!$H$2+I776*Prislapp!$I$2+J776*Prislapp!$J$2+K776*Prislapp!$K$2+L776*Prislapp!$L$2+M776*Prislapp!$M$2+N776*Prislapp!$N$2</f>
        <v>19473</v>
      </c>
      <c r="P776" s="42">
        <f>C776*Prislapp!$C$3+D776*Prislapp!$D$3+E776*Prislapp!$E$3+F776*Prislapp!$F$3+G776*Prislapp!$G$3+H776*Prislapp!$H$3+I776*Prislapp!$I$3+J776*Prislapp!$J$3+K776*Prislapp!$K$3+M776*Prislapp!$M$3+N776*Prislapp!$N$3</f>
        <v>34806</v>
      </c>
      <c r="Q776" s="42">
        <f>C776*Prislapp!$C$5+D776*Prislapp!$D$5+E776*Prislapp!$E$5+F776*Prislapp!$F$5+G776*Prislapp!$G$5+H776*Prislapp!$H$5+I776*Prislapp!$I$5+J776*Prislapp!$J$5+K776*Prislapp!$K$5+L776*Prislapp!$L$5+M776*Prislapp!$M$5+N776*Prislapp!$N$5</f>
        <v>21800</v>
      </c>
      <c r="R776" s="9">
        <f>VLOOKUP(A776,'Ansvar kurs'!$A$2:$B$847,2,FALSE)</f>
        <v>1650</v>
      </c>
    </row>
    <row r="777" spans="1:26" x14ac:dyDescent="0.25">
      <c r="A777" s="31" t="s">
        <v>528</v>
      </c>
      <c r="B777" s="31" t="s">
        <v>534</v>
      </c>
      <c r="C777" s="37"/>
      <c r="D777" s="37"/>
      <c r="E777" s="37"/>
      <c r="F777" s="37"/>
      <c r="G777" s="37"/>
      <c r="H777" s="37"/>
      <c r="I777" s="37"/>
      <c r="J777" s="31">
        <v>1</v>
      </c>
      <c r="K777" s="37"/>
      <c r="L777" s="37"/>
      <c r="M777" s="37"/>
      <c r="N777" s="37"/>
      <c r="O777" s="42">
        <f>C777*Prislapp!$C$2+D777*Prislapp!$D$2+E777*Prislapp!$E$2+F777*Prislapp!$F$2+G777*Prislapp!$G$2+H777*Prislapp!$H$2+I777*Prislapp!$I$2+J777*Prislapp!$J$2+K777*Prislapp!$K$2+L777*Prislapp!$L$2+M777*Prislapp!$M$2+N777*Prislapp!$N$2</f>
        <v>19473</v>
      </c>
      <c r="P777" s="42">
        <f>C777*Prislapp!$C$3+D777*Prislapp!$D$3+E777*Prislapp!$E$3+F777*Prislapp!$F$3+G777*Prislapp!$G$3+H777*Prislapp!$H$3+I777*Prislapp!$I$3+J777*Prislapp!$J$3+K777*Prislapp!$K$3+M777*Prislapp!$M$3+N777*Prislapp!$N$3</f>
        <v>34806</v>
      </c>
      <c r="Q777" s="42">
        <f>C777*Prislapp!$C$5+D777*Prislapp!$D$5+E777*Prislapp!$E$5+F777*Prislapp!$F$5+G777*Prislapp!$G$5+H777*Prislapp!$H$5+I777*Prislapp!$I$5+J777*Prislapp!$J$5+K777*Prislapp!$K$5+L777*Prislapp!$L$5+M777*Prislapp!$M$5+N777*Prislapp!$N$5</f>
        <v>21800</v>
      </c>
      <c r="R777" s="9">
        <f>VLOOKUP(A777,'Ansvar kurs'!$A$2:$B$847,2,FALSE)</f>
        <v>1650</v>
      </c>
    </row>
    <row r="778" spans="1:26" x14ac:dyDescent="0.25">
      <c r="A778" s="31" t="s">
        <v>568</v>
      </c>
      <c r="B778" s="31" t="s">
        <v>759</v>
      </c>
      <c r="C778" s="37"/>
      <c r="D778" s="37"/>
      <c r="E778" s="37"/>
      <c r="F778" s="37"/>
      <c r="G778" s="37"/>
      <c r="H778" s="37"/>
      <c r="I778" s="37"/>
      <c r="J778" s="31">
        <v>1</v>
      </c>
      <c r="M778" s="31">
        <v>0</v>
      </c>
      <c r="N778" s="37"/>
      <c r="O778" s="42">
        <f>C778*Prislapp!$C$2+D778*Prislapp!$D$2+E778*Prislapp!$E$2+F778*Prislapp!$F$2+G778*Prislapp!$G$2+H778*Prislapp!$H$2+I778*Prislapp!$I$2+J778*Prislapp!$J$2+K778*Prislapp!$K$2+L778*Prislapp!$L$2+M778*Prislapp!$M$2+N778*Prislapp!$N$2</f>
        <v>19473</v>
      </c>
      <c r="P778" s="42">
        <f>C778*Prislapp!$C$3+D778*Prislapp!$D$3+E778*Prislapp!$E$3+F778*Prislapp!$F$3+G778*Prislapp!$G$3+H778*Prislapp!$H$3+I778*Prislapp!$I$3+J778*Prislapp!$J$3+K778*Prislapp!$K$3+M778*Prislapp!$M$3+N778*Prislapp!$N$3</f>
        <v>34806</v>
      </c>
      <c r="Q778" s="42">
        <f>C778*Prislapp!$C$5+D778*Prislapp!$D$5+E778*Prislapp!$E$5+F778*Prislapp!$F$5+G778*Prislapp!$G$5+H778*Prislapp!$H$5+I778*Prislapp!$I$5+J778*Prislapp!$J$5+K778*Prislapp!$K$5+L778*Prislapp!$L$5+M778*Prislapp!$M$5+N778*Prislapp!$N$5</f>
        <v>21800</v>
      </c>
      <c r="R778" s="9">
        <f>VLOOKUP(A778,'Ansvar kurs'!$A$2:$B$847,2,FALSE)</f>
        <v>1650</v>
      </c>
      <c r="S778" s="182" t="s">
        <v>1517</v>
      </c>
      <c r="T778" s="182"/>
    </row>
    <row r="779" spans="1:26" x14ac:dyDescent="0.25">
      <c r="A779" s="31" t="s">
        <v>522</v>
      </c>
      <c r="B779" s="31" t="s">
        <v>1244</v>
      </c>
      <c r="J779" s="31">
        <v>1</v>
      </c>
      <c r="O779" s="42">
        <f>C779*Prislapp!$C$2+D779*Prislapp!$D$2+E779*Prislapp!$E$2+F779*Prislapp!$F$2+G779*Prislapp!$G$2+H779*Prislapp!$H$2+I779*Prislapp!$I$2+J779*Prislapp!$J$2+K779*Prislapp!$K$2+L779*Prislapp!$L$2+M779*Prislapp!$M$2+N779*Prislapp!$N$2</f>
        <v>19473</v>
      </c>
      <c r="P779" s="42">
        <f>C779*Prislapp!$C$3+D779*Prislapp!$D$3+E779*Prislapp!$E$3+F779*Prislapp!$F$3+G779*Prislapp!$G$3+H779*Prislapp!$H$3+I779*Prislapp!$I$3+J779*Prislapp!$J$3+K779*Prislapp!$K$3+M779*Prislapp!$M$3+N779*Prislapp!$N$3</f>
        <v>34806</v>
      </c>
      <c r="Q779" s="42">
        <f>C779*Prislapp!$C$5+D779*Prislapp!$D$5+E779*Prislapp!$E$5+F779*Prislapp!$F$5+G779*Prislapp!$G$5+H779*Prislapp!$H$5+I779*Prislapp!$I$5+J779*Prislapp!$J$5+K779*Prislapp!$K$5+L779*Prislapp!$L$5+M779*Prislapp!$M$5+N779*Prislapp!$N$5</f>
        <v>21800</v>
      </c>
      <c r="R779" s="9">
        <f>VLOOKUP(A779,'Ansvar kurs'!$A$2:$B$847,2,FALSE)</f>
        <v>1650</v>
      </c>
    </row>
    <row r="780" spans="1:26" x14ac:dyDescent="0.25">
      <c r="A780" s="31" t="s">
        <v>649</v>
      </c>
      <c r="B780" s="31" t="s">
        <v>1245</v>
      </c>
      <c r="J780" s="31">
        <v>1</v>
      </c>
      <c r="M780" s="31">
        <v>0</v>
      </c>
      <c r="O780" s="42">
        <f>C780*Prislapp!$C$2+D780*Prislapp!$D$2+E780*Prislapp!$E$2+F780*Prislapp!$F$2+G780*Prislapp!$G$2+H780*Prislapp!$H$2+I780*Prislapp!$I$2+J780*Prislapp!$J$2+K780*Prislapp!$K$2+L780*Prislapp!$L$2+M780*Prislapp!$M$2+N780*Prislapp!$N$2</f>
        <v>19473</v>
      </c>
      <c r="P780" s="42">
        <f>C780*Prislapp!$C$3+D780*Prislapp!$D$3+E780*Prislapp!$E$3+F780*Prislapp!$F$3+G780*Prislapp!$G$3+H780*Prislapp!$H$3+I780*Prislapp!$I$3+J780*Prislapp!$J$3+K780*Prislapp!$K$3+M780*Prislapp!$M$3+N780*Prislapp!$N$3</f>
        <v>34806</v>
      </c>
      <c r="Q780" s="42">
        <f>C780*Prislapp!$C$5+D780*Prislapp!$D$5+E780*Prislapp!$E$5+F780*Prislapp!$F$5+G780*Prislapp!$G$5+H780*Prislapp!$H$5+I780*Prislapp!$I$5+J780*Prislapp!$J$5+K780*Prislapp!$K$5+L780*Prislapp!$L$5+M780*Prislapp!$M$5+N780*Prislapp!$N$5</f>
        <v>21800</v>
      </c>
      <c r="R780" s="9">
        <f>VLOOKUP(A780,'Ansvar kurs'!$A$2:$B$847,2,FALSE)</f>
        <v>1650</v>
      </c>
      <c r="S780" s="182" t="s">
        <v>1517</v>
      </c>
      <c r="T780" s="182"/>
    </row>
    <row r="781" spans="1:26" x14ac:dyDescent="0.25">
      <c r="A781" s="31" t="s">
        <v>650</v>
      </c>
      <c r="B781" s="31" t="s">
        <v>760</v>
      </c>
      <c r="M781" s="31">
        <v>1</v>
      </c>
      <c r="O781" s="42">
        <f>C781*Prislapp!$C$2+D781*Prislapp!$D$2+E781*Prislapp!$E$2+F781*Prislapp!$F$2+G781*Prislapp!$G$2+H781*Prislapp!$H$2+I781*Prislapp!$I$2+J781*Prislapp!$J$2+K781*Prislapp!$K$2+L781*Prislapp!$L$2+M781*Prislapp!$M$2+N781*Prislapp!$N$2</f>
        <v>15846</v>
      </c>
      <c r="P781" s="42">
        <f>C781*Prislapp!$C$3+D781*Prislapp!$D$3+E781*Prislapp!$E$3+F781*Prislapp!$F$3+G781*Prislapp!$G$3+H781*Prislapp!$H$3+I781*Prislapp!$I$3+J781*Prislapp!$J$3+K781*Prislapp!$K$3+M781*Prislapp!$M$3+N781*Prislapp!$N$3</f>
        <v>26926</v>
      </c>
      <c r="Q781" s="42">
        <f>C781*Prislapp!$C$5+D781*Prislapp!$D$5+E781*Prislapp!$E$5+F781*Prislapp!$F$5+G781*Prislapp!$G$5+H781*Prislapp!$H$5+I781*Prislapp!$I$5+J781*Prislapp!$J$5+K781*Prislapp!$K$5+L781*Prislapp!$L$5+M781*Prislapp!$M$5+N781*Prislapp!$N$5</f>
        <v>17300</v>
      </c>
      <c r="R781" s="9">
        <f>VLOOKUP(A781,'Ansvar kurs'!$A$2:$B$847,2,FALSE)</f>
        <v>1650</v>
      </c>
    </row>
    <row r="782" spans="1:26" x14ac:dyDescent="0.25">
      <c r="A782" s="62" t="s">
        <v>833</v>
      </c>
      <c r="B782" s="31" t="s">
        <v>834</v>
      </c>
      <c r="J782" s="31">
        <v>1</v>
      </c>
      <c r="M782" s="31">
        <v>0</v>
      </c>
      <c r="O782" s="42">
        <f>C782*Prislapp!$C$2+D782*Prislapp!$D$2+E782*Prislapp!$E$2+F782*Prislapp!$F$2+G782*Prislapp!$G$2+H782*Prislapp!$H$2+I782*Prislapp!$I$2+J782*Prislapp!$J$2+K782*Prislapp!$K$2+L782*Prislapp!$L$2+M782*Prislapp!$M$2+N782*Prislapp!$N$2</f>
        <v>19473</v>
      </c>
      <c r="P782" s="42">
        <f>C782*Prislapp!$C$3+D782*Prislapp!$D$3+E782*Prislapp!$E$3+F782*Prislapp!$F$3+G782*Prislapp!$G$3+H782*Prislapp!$H$3+I782*Prislapp!$I$3+J782*Prislapp!$J$3+K782*Prislapp!$K$3+M782*Prislapp!$M$3+N782*Prislapp!$N$3</f>
        <v>34806</v>
      </c>
      <c r="Q782" s="42">
        <f>C782*Prislapp!$C$5+D782*Prislapp!$D$5+E782*Prislapp!$E$5+F782*Prislapp!$F$5+G782*Prislapp!$G$5+H782*Prislapp!$H$5+I782*Prislapp!$I$5+J782*Prislapp!$J$5+K782*Prislapp!$K$5+L782*Prislapp!$L$5+M782*Prislapp!$M$5+N782*Prislapp!$N$5</f>
        <v>21800</v>
      </c>
      <c r="R782" s="9">
        <f>VLOOKUP(A782,'Ansvar kurs'!$A$2:$B$847,2,FALSE)</f>
        <v>1650</v>
      </c>
      <c r="S782" s="182" t="s">
        <v>1517</v>
      </c>
      <c r="T782" s="182"/>
    </row>
    <row r="783" spans="1:26" x14ac:dyDescent="0.25">
      <c r="A783" s="256" t="s">
        <v>1125</v>
      </c>
      <c r="B783" s="31" t="s">
        <v>1246</v>
      </c>
      <c r="D783" s="31">
        <v>0</v>
      </c>
      <c r="J783" s="31">
        <v>1</v>
      </c>
      <c r="O783" s="42">
        <f>C783*Prislapp!$C$2+D783*Prislapp!$D$2+E783*Prislapp!$E$2+F783*Prislapp!$F$2+G783*Prislapp!$G$2+H783*Prislapp!$H$2+I783*Prislapp!$I$2+J783*Prislapp!$J$2+K783*Prislapp!$K$2+L783*Prislapp!$L$2+M783*Prislapp!$M$2+N783*Prislapp!$N$2</f>
        <v>19473</v>
      </c>
      <c r="P783" s="42">
        <f>C783*Prislapp!$C$3+D783*Prislapp!$D$3+E783*Prislapp!$E$3+F783*Prislapp!$F$3+G783*Prislapp!$G$3+H783*Prislapp!$H$3+I783*Prislapp!$I$3+J783*Prislapp!$J$3+K783*Prislapp!$K$3+M783*Prislapp!$M$3+N783*Prislapp!$N$3</f>
        <v>34806</v>
      </c>
      <c r="Q783" s="42">
        <f>C783*Prislapp!$C$5+D783*Prislapp!$D$5+E783*Prislapp!$E$5+F783*Prislapp!$F$5+G783*Prislapp!$G$5+H783*Prislapp!$H$5+I783*Prislapp!$I$5+J783*Prislapp!$J$5+K783*Prislapp!$K$5+L783*Prislapp!$L$5+M783*Prislapp!$M$5+N783*Prislapp!$N$5</f>
        <v>21800</v>
      </c>
      <c r="R783" s="9">
        <f>VLOOKUP(A783,'Ansvar kurs'!$A$2:$B$847,2,FALSE)</f>
        <v>1650</v>
      </c>
      <c r="S783" s="159" t="s">
        <v>1702</v>
      </c>
      <c r="U783" s="159"/>
      <c r="V783" s="159"/>
      <c r="W783" s="159"/>
      <c r="X783" s="159"/>
      <c r="Y783" s="159"/>
      <c r="Z783" s="159"/>
    </row>
    <row r="784" spans="1:26" x14ac:dyDescent="0.25">
      <c r="A784" s="256" t="s">
        <v>2127</v>
      </c>
      <c r="B784" t="s">
        <v>2128</v>
      </c>
      <c r="J784" s="31">
        <v>1</v>
      </c>
      <c r="O784" s="42">
        <f>C784*Prislapp!$C$2+D784*Prislapp!$D$2+E784*Prislapp!$E$2+F784*Prislapp!$F$2+G784*Prislapp!$G$2+H784*Prislapp!$H$2+I784*Prislapp!$I$2+J784*Prislapp!$J$2+K784*Prislapp!$K$2+L784*Prislapp!$L$2+M784*Prislapp!$M$2+N784*Prislapp!$N$2</f>
        <v>19473</v>
      </c>
      <c r="P784" s="42">
        <f>C784*Prislapp!$C$3+D784*Prislapp!$D$3+E784*Prislapp!$E$3+F784*Prislapp!$F$3+G784*Prislapp!$G$3+H784*Prislapp!$H$3+I784*Prislapp!$I$3+J784*Prislapp!$J$3+K784*Prislapp!$K$3+M784*Prislapp!$M$3+N784*Prislapp!$N$3</f>
        <v>34806</v>
      </c>
      <c r="Q784" s="42">
        <f>C784*Prislapp!$C$5+D784*Prislapp!$D$5+E784*Prislapp!$E$5+F784*Prislapp!$F$5+G784*Prislapp!$G$5+H784*Prislapp!$H$5+I784*Prislapp!$I$5+J784*Prislapp!$J$5+K784*Prislapp!$K$5+L784*Prislapp!$L$5+M784*Prislapp!$M$5+N784*Prislapp!$N$5</f>
        <v>21800</v>
      </c>
      <c r="R784" s="9">
        <f>VLOOKUP(A784,'Ansvar kurs'!$A$2:$B$847,2,FALSE)</f>
        <v>1650</v>
      </c>
      <c r="S784" s="159"/>
      <c r="U784" s="159"/>
      <c r="V784" s="159"/>
      <c r="W784" s="159"/>
      <c r="X784" s="159"/>
      <c r="Y784" s="159"/>
      <c r="Z784" s="159"/>
    </row>
    <row r="785" spans="1:26" x14ac:dyDescent="0.25">
      <c r="A785" s="245" t="s">
        <v>1750</v>
      </c>
      <c r="B785" t="s">
        <v>1624</v>
      </c>
      <c r="D785" s="31">
        <v>0</v>
      </c>
      <c r="J785" s="31">
        <v>1</v>
      </c>
      <c r="O785" s="42">
        <f>C785*Prislapp!$C$2+D785*Prislapp!$D$2+E785*Prislapp!$E$2+F785*Prislapp!$F$2+G785*Prislapp!$G$2+H785*Prislapp!$H$2+I785*Prislapp!$I$2+J785*Prislapp!$J$2+K785*Prislapp!$K$2+L785*Prislapp!$L$2+M785*Prislapp!$M$2+N785*Prislapp!$N$2</f>
        <v>19473</v>
      </c>
      <c r="P785" s="42">
        <f>C785*Prislapp!$C$3+D785*Prislapp!$D$3+E785*Prislapp!$E$3+F785*Prislapp!$F$3+G785*Prislapp!$G$3+H785*Prislapp!$H$3+I785*Prislapp!$I$3+J785*Prislapp!$J$3+K785*Prislapp!$K$3+M785*Prislapp!$M$3+N785*Prislapp!$N$3</f>
        <v>34806</v>
      </c>
      <c r="Q785" s="42">
        <f>C785*Prislapp!$C$5+D785*Prislapp!$D$5+E785*Prislapp!$E$5+F785*Prislapp!$F$5+G785*Prislapp!$G$5+H785*Prislapp!$H$5+I785*Prislapp!$I$5+J785*Prislapp!$J$5+K785*Prislapp!$K$5+L785*Prislapp!$L$5+M785*Prislapp!$M$5+N785*Prislapp!$N$5</f>
        <v>21800</v>
      </c>
      <c r="R785" s="9">
        <f>VLOOKUP(A785,'Ansvar kurs'!$A$2:$B$847,2,FALSE)</f>
        <v>1650</v>
      </c>
      <c r="S785" s="159" t="s">
        <v>1902</v>
      </c>
      <c r="T785" s="159"/>
      <c r="U785" s="159"/>
      <c r="V785" s="159"/>
      <c r="W785" s="159"/>
      <c r="X785" s="159"/>
      <c r="Y785" s="159"/>
      <c r="Z785" s="159"/>
    </row>
    <row r="786" spans="1:26" x14ac:dyDescent="0.25">
      <c r="A786" s="31" t="s">
        <v>1722</v>
      </c>
      <c r="B786" t="s">
        <v>757</v>
      </c>
      <c r="D786" s="31">
        <v>0</v>
      </c>
      <c r="J786" s="31">
        <v>1</v>
      </c>
      <c r="O786" s="42">
        <f>C786*Prislapp!$C$2+D786*Prislapp!$D$2+E786*Prislapp!$E$2+F786*Prislapp!$F$2+G786*Prislapp!$G$2+H786*Prislapp!$H$2+I786*Prislapp!$I$2+J786*Prislapp!$J$2+K786*Prislapp!$K$2+L786*Prislapp!$L$2+M786*Prislapp!$M$2+N786*Prislapp!$N$2</f>
        <v>19473</v>
      </c>
      <c r="P786" s="42">
        <f>C786*Prislapp!$C$3+D786*Prislapp!$D$3+E786*Prislapp!$E$3+F786*Prislapp!$F$3+G786*Prislapp!$G$3+H786*Prislapp!$H$3+I786*Prislapp!$I$3+J786*Prislapp!$J$3+K786*Prislapp!$K$3+M786*Prislapp!$M$3+N786*Prislapp!$N$3</f>
        <v>34806</v>
      </c>
      <c r="Q786" s="42">
        <f>C786*Prislapp!$C$5+D786*Prislapp!$D$5+E786*Prislapp!$E$5+F786*Prislapp!$F$5+G786*Prislapp!$G$5+H786*Prislapp!$H$5+I786*Prislapp!$I$5+J786*Prislapp!$J$5+K786*Prislapp!$K$5+L786*Prislapp!$L$5+M786*Prislapp!$M$5+N786*Prislapp!$N$5</f>
        <v>21800</v>
      </c>
      <c r="R786" s="9">
        <f>VLOOKUP(A786,'Ansvar kurs'!$A$2:$B$847,2,FALSE)</f>
        <v>1650</v>
      </c>
      <c r="S786" s="182" t="s">
        <v>1902</v>
      </c>
      <c r="T786" s="159"/>
      <c r="U786" s="159"/>
      <c r="V786" s="159"/>
      <c r="W786" s="159"/>
      <c r="X786" s="159"/>
      <c r="Y786" s="159"/>
      <c r="Z786" s="159"/>
    </row>
    <row r="787" spans="1:26" x14ac:dyDescent="0.25">
      <c r="A787" s="31" t="s">
        <v>1721</v>
      </c>
      <c r="B787" t="s">
        <v>754</v>
      </c>
      <c r="D787" s="31">
        <v>0</v>
      </c>
      <c r="J787" s="31">
        <v>1</v>
      </c>
      <c r="O787" s="42">
        <f>C787*Prislapp!$C$2+D787*Prislapp!$D$2+E787*Prislapp!$E$2+F787*Prislapp!$F$2+G787*Prislapp!$G$2+H787*Prislapp!$H$2+I787*Prislapp!$I$2+J787*Prislapp!$J$2+K787*Prislapp!$K$2+L787*Prislapp!$L$2+M787*Prislapp!$M$2+N787*Prislapp!$N$2</f>
        <v>19473</v>
      </c>
      <c r="P787" s="42">
        <f>C787*Prislapp!$C$3+D787*Prislapp!$D$3+E787*Prislapp!$E$3+F787*Prislapp!$F$3+G787*Prislapp!$G$3+H787*Prislapp!$H$3+I787*Prislapp!$I$3+J787*Prislapp!$J$3+K787*Prislapp!$K$3+M787*Prislapp!$M$3+N787*Prislapp!$N$3</f>
        <v>34806</v>
      </c>
      <c r="Q787" s="42">
        <f>C787*Prislapp!$C$5+D787*Prislapp!$D$5+E787*Prislapp!$E$5+F787*Prislapp!$F$5+G787*Prislapp!$G$5+H787*Prislapp!$H$5+I787*Prislapp!$I$5+J787*Prislapp!$J$5+K787*Prislapp!$K$5+L787*Prislapp!$L$5+M787*Prislapp!$M$5+N787*Prislapp!$N$5</f>
        <v>21800</v>
      </c>
      <c r="R787" s="9">
        <f>VLOOKUP(A787,'Ansvar kurs'!$A$2:$B$847,2,FALSE)</f>
        <v>1650</v>
      </c>
      <c r="S787" s="182" t="s">
        <v>1902</v>
      </c>
      <c r="T787" s="159"/>
      <c r="U787" s="159"/>
      <c r="V787" s="159"/>
      <c r="W787" s="159"/>
      <c r="X787" s="159"/>
      <c r="Y787" s="159"/>
      <c r="Z787" s="159"/>
    </row>
    <row r="788" spans="1:26" x14ac:dyDescent="0.25">
      <c r="A788" s="245" t="s">
        <v>1752</v>
      </c>
      <c r="B788" t="s">
        <v>1749</v>
      </c>
      <c r="D788" s="31">
        <v>0</v>
      </c>
      <c r="J788" s="31">
        <v>1</v>
      </c>
      <c r="O788" s="42">
        <f>C788*Prislapp!$C$2+D788*Prislapp!$D$2+E788*Prislapp!$E$2+F788*Prislapp!$F$2+G788*Prislapp!$G$2+H788*Prislapp!$H$2+I788*Prislapp!$I$2+J788*Prislapp!$J$2+K788*Prislapp!$K$2+L788*Prislapp!$L$2+M788*Prislapp!$M$2+N788*Prislapp!$N$2</f>
        <v>19473</v>
      </c>
      <c r="P788" s="42">
        <f>C788*Prislapp!$C$3+D788*Prislapp!$D$3+E788*Prislapp!$E$3+F788*Prislapp!$F$3+G788*Prislapp!$G$3+H788*Prislapp!$H$3+I788*Prislapp!$I$3+J788*Prislapp!$J$3+K788*Prislapp!$K$3+M788*Prislapp!$M$3+N788*Prislapp!$N$3</f>
        <v>34806</v>
      </c>
      <c r="Q788" s="42">
        <f>C788*Prislapp!$C$5+D788*Prislapp!$D$5+E788*Prislapp!$E$5+F788*Prislapp!$F$5+G788*Prislapp!$G$5+H788*Prislapp!$H$5+I788*Prislapp!$I$5+J788*Prislapp!$J$5+K788*Prislapp!$K$5+L788*Prislapp!$L$5+M788*Prislapp!$M$5+N788*Prislapp!$N$5</f>
        <v>21800</v>
      </c>
      <c r="R788" s="9">
        <f>VLOOKUP(A788,'Ansvar kurs'!$A$2:$B$847,2,FALSE)</f>
        <v>1650</v>
      </c>
      <c r="S788" s="182" t="s">
        <v>1902</v>
      </c>
      <c r="T788" s="159"/>
      <c r="U788" s="159"/>
      <c r="V788" s="159"/>
      <c r="W788" s="159"/>
      <c r="X788" s="159"/>
      <c r="Y788" s="159"/>
      <c r="Z788" s="159"/>
    </row>
    <row r="789" spans="1:26" x14ac:dyDescent="0.25">
      <c r="A789" s="245" t="s">
        <v>2129</v>
      </c>
      <c r="B789" t="s">
        <v>2130</v>
      </c>
      <c r="D789" s="31">
        <v>1</v>
      </c>
      <c r="O789" s="42">
        <f>C789*Prislapp!$C$2+D789*Prislapp!$D$2+E789*Prislapp!$E$2+F789*Prislapp!$F$2+G789*Prislapp!$G$2+H789*Prislapp!$H$2+I789*Prislapp!$I$2+J789*Prislapp!$J$2+K789*Prislapp!$K$2+L789*Prislapp!$L$2+M789*Prislapp!$M$2+N789*Prislapp!$N$2</f>
        <v>18405</v>
      </c>
      <c r="P789" s="42">
        <f>C789*Prislapp!$C$3+D789*Prislapp!$D$3+E789*Prislapp!$E$3+F789*Prislapp!$F$3+G789*Prislapp!$G$3+H789*Prislapp!$H$3+I789*Prislapp!$I$3+J789*Prislapp!$J$3+K789*Prislapp!$K$3+M789*Prislapp!$M$3+N789*Prislapp!$N$3</f>
        <v>15773</v>
      </c>
      <c r="Q789" s="42">
        <f>C789*Prislapp!$C$5+D789*Prislapp!$D$5+E789*Prislapp!$E$5+F789*Prislapp!$F$5+G789*Prislapp!$G$5+H789*Prislapp!$H$5+I789*Prislapp!$I$5+J789*Prislapp!$J$5+K789*Prislapp!$K$5+L789*Prislapp!$L$5+M789*Prislapp!$M$5+N789*Prislapp!$N$5</f>
        <v>5800</v>
      </c>
      <c r="R789" s="9">
        <f>VLOOKUP(A789,'Ansvar kurs'!$A$2:$B$847,2,FALSE)</f>
        <v>1650</v>
      </c>
      <c r="S789" s="182"/>
      <c r="T789" s="159"/>
      <c r="U789" s="159"/>
      <c r="V789" s="159"/>
      <c r="W789" s="159"/>
      <c r="X789" s="159"/>
      <c r="Y789" s="159"/>
      <c r="Z789" s="159"/>
    </row>
    <row r="790" spans="1:26" x14ac:dyDescent="0.25">
      <c r="A790" s="245" t="s">
        <v>1867</v>
      </c>
      <c r="B790" s="31" t="s">
        <v>1796</v>
      </c>
      <c r="J790" s="31">
        <v>1</v>
      </c>
      <c r="O790" s="42">
        <f>C790*Prislapp!$C$2+D790*Prislapp!$D$2+E790*Prislapp!$E$2+F790*Prislapp!$F$2+G790*Prislapp!$G$2+H790*Prislapp!$H$2+I790*Prislapp!$I$2+J790*Prislapp!$J$2+K790*Prislapp!$K$2+L790*Prislapp!$L$2+M790*Prislapp!$M$2+N790*Prislapp!$N$2</f>
        <v>19473</v>
      </c>
      <c r="P790" s="42">
        <f>C790*Prislapp!$C$3+D790*Prislapp!$D$3+E790*Prislapp!$E$3+F790*Prislapp!$F$3+G790*Prislapp!$G$3+H790*Prislapp!$H$3+I790*Prislapp!$I$3+J790*Prislapp!$J$3+K790*Prislapp!$K$3+M790*Prislapp!$M$3+N790*Prislapp!$N$3</f>
        <v>34806</v>
      </c>
      <c r="Q790" s="42">
        <f>C790*Prislapp!$C$5+D790*Prislapp!$D$5+E790*Prislapp!$E$5+F790*Prislapp!$F$5+G790*Prislapp!$G$5+H790*Prislapp!$H$5+I790*Prislapp!$I$5+J790*Prislapp!$J$5+K790*Prislapp!$K$5+L790*Prislapp!$L$5+M790*Prislapp!$M$5+N790*Prislapp!$N$5</f>
        <v>21800</v>
      </c>
      <c r="R790" s="9">
        <f>VLOOKUP(A790,'Ansvar kurs'!$A$2:$B$847,2,FALSE)</f>
        <v>1650</v>
      </c>
      <c r="S790" s="159" t="s">
        <v>1946</v>
      </c>
      <c r="T790" s="159"/>
      <c r="U790" s="159"/>
      <c r="V790" s="159"/>
      <c r="W790" s="159"/>
      <c r="X790" s="159"/>
      <c r="Y790" s="159"/>
      <c r="Z790" s="159"/>
    </row>
    <row r="791" spans="1:26" x14ac:dyDescent="0.25">
      <c r="A791" s="159" t="s">
        <v>1878</v>
      </c>
      <c r="B791" s="31" t="s">
        <v>1839</v>
      </c>
      <c r="J791" s="31">
        <v>1</v>
      </c>
      <c r="O791" s="42">
        <f>C791*Prislapp!$C$2+D791*Prislapp!$D$2+E791*Prislapp!$E$2+F791*Prislapp!$F$2+G791*Prislapp!$G$2+H791*Prislapp!$H$2+I791*Prislapp!$I$2+J791*Prislapp!$J$2+K791*Prislapp!$K$2+L791*Prislapp!$L$2+M791*Prislapp!$M$2+N791*Prislapp!$N$2</f>
        <v>19473</v>
      </c>
      <c r="P791" s="42">
        <f>C791*Prislapp!$C$3+D791*Prislapp!$D$3+E791*Prislapp!$E$3+F791*Prislapp!$F$3+G791*Prislapp!$G$3+H791*Prislapp!$H$3+I791*Prislapp!$I$3+J791*Prislapp!$J$3+K791*Prislapp!$K$3+M791*Prislapp!$M$3+N791*Prislapp!$N$3</f>
        <v>34806</v>
      </c>
      <c r="Q791" s="42">
        <f>C791*Prislapp!$C$5+D791*Prislapp!$D$5+E791*Prislapp!$E$5+F791*Prislapp!$F$5+G791*Prislapp!$G$5+H791*Prislapp!$H$5+I791*Prislapp!$I$5+J791*Prislapp!$J$5+K791*Prislapp!$K$5+L791*Prislapp!$L$5+M791*Prislapp!$M$5+N791*Prislapp!$N$5</f>
        <v>21800</v>
      </c>
      <c r="R791" s="9">
        <f>VLOOKUP(A791,'Ansvar kurs'!$A$2:$B$847,2,FALSE)</f>
        <v>1650</v>
      </c>
      <c r="S791" s="159" t="s">
        <v>1946</v>
      </c>
      <c r="T791" s="159"/>
      <c r="U791" s="159"/>
      <c r="V791" s="159"/>
      <c r="W791" s="159"/>
      <c r="X791" s="159"/>
      <c r="Y791" s="159"/>
      <c r="Z791" s="159"/>
    </row>
    <row r="792" spans="1:26" x14ac:dyDescent="0.25">
      <c r="A792" s="507" t="s">
        <v>2108</v>
      </c>
      <c r="B792" s="31" t="s">
        <v>2109</v>
      </c>
      <c r="J792" s="31">
        <v>1</v>
      </c>
      <c r="O792" s="42">
        <f>C792*Prislapp!$C$2+D792*Prislapp!$D$2+E792*Prislapp!$E$2+F792*Prislapp!$F$2+G792*Prislapp!$G$2+H792*Prislapp!$H$2+I792*Prislapp!$I$2+J792*Prislapp!$J$2+K792*Prislapp!$K$2+L792*Prislapp!$L$2+M792*Prislapp!$M$2+N792*Prislapp!$N$2</f>
        <v>19473</v>
      </c>
      <c r="P792" s="42">
        <f>C792*Prislapp!$C$3+D792*Prislapp!$D$3+E792*Prislapp!$E$3+F792*Prislapp!$F$3+G792*Prislapp!$G$3+H792*Prislapp!$H$3+I792*Prislapp!$I$3+J792*Prislapp!$J$3+K792*Prislapp!$K$3+M792*Prislapp!$M$3+N792*Prislapp!$N$3</f>
        <v>34806</v>
      </c>
      <c r="Q792" s="42">
        <f>C792*Prislapp!$C$5+D792*Prislapp!$D$5+E792*Prislapp!$E$5+F792*Prislapp!$F$5+G792*Prislapp!$G$5+H792*Prislapp!$H$5+I792*Prislapp!$I$5+J792*Prislapp!$J$5+K792*Prislapp!$K$5+L792*Prislapp!$L$5+M792*Prislapp!$M$5+N792*Prislapp!$N$5</f>
        <v>21800</v>
      </c>
      <c r="R792" s="9">
        <f>VLOOKUP(A792,'Ansvar kurs'!$A$2:$B$847,2,FALSE)</f>
        <v>1650</v>
      </c>
      <c r="S792" s="159"/>
    </row>
    <row r="793" spans="1:26" x14ac:dyDescent="0.25">
      <c r="A793" s="575" t="s">
        <v>2206</v>
      </c>
      <c r="B793" s="31" t="s">
        <v>2215</v>
      </c>
      <c r="J793" s="31">
        <v>1</v>
      </c>
      <c r="O793" s="42">
        <f>C793*Prislapp!$C$2+D793*Prislapp!$D$2+E793*Prislapp!$E$2+F793*Prislapp!$F$2+G793*Prislapp!$G$2+H793*Prislapp!$H$2+I793*Prislapp!$I$2+J793*Prislapp!$J$2+K793*Prislapp!$K$2+L793*Prislapp!$L$2+M793*Prislapp!$M$2+N793*Prislapp!$N$2</f>
        <v>19473</v>
      </c>
      <c r="P793" s="42">
        <f>C793*Prislapp!$C$3+D793*Prislapp!$D$3+E793*Prislapp!$E$3+F793*Prislapp!$F$3+G793*Prislapp!$G$3+H793*Prislapp!$H$3+I793*Prislapp!$I$3+J793*Prislapp!$J$3+K793*Prislapp!$K$3+M793*Prislapp!$M$3+N793*Prislapp!$N$3</f>
        <v>34806</v>
      </c>
      <c r="Q793" s="42">
        <f>C793*Prislapp!$C$5+D793*Prislapp!$D$5+E793*Prislapp!$E$5+F793*Prislapp!$F$5+G793*Prislapp!$G$5+H793*Prislapp!$H$5+I793*Prislapp!$I$5+J793*Prislapp!$J$5+K793*Prislapp!$K$5+L793*Prislapp!$L$5+M793*Prislapp!$M$5+N793*Prislapp!$N$5</f>
        <v>21800</v>
      </c>
      <c r="R793" s="9">
        <f>VLOOKUP(A793,'Ansvar kurs'!$A$2:$B$847,2,FALSE)</f>
        <v>1650</v>
      </c>
      <c r="S793" s="159"/>
    </row>
    <row r="794" spans="1:26" x14ac:dyDescent="0.25">
      <c r="A794" s="62" t="s">
        <v>883</v>
      </c>
      <c r="B794" s="31" t="s">
        <v>1247</v>
      </c>
      <c r="D794" s="31">
        <v>1</v>
      </c>
      <c r="O794" s="42">
        <f>C794*Prislapp!$C$2+D794*Prislapp!$D$2+E794*Prislapp!$E$2+F794*Prislapp!$F$2+G794*Prislapp!$G$2+H794*Prislapp!$H$2+I794*Prislapp!$I$2+J794*Prislapp!$J$2+K794*Prislapp!$K$2+L794*Prislapp!$L$2+M794*Prislapp!$M$2+N794*Prislapp!$N$2</f>
        <v>18405</v>
      </c>
      <c r="P794" s="42">
        <f>C794*Prislapp!$C$3+D794*Prislapp!$D$3+E794*Prislapp!$E$3+F794*Prislapp!$F$3+G794*Prislapp!$G$3+H794*Prislapp!$H$3+I794*Prislapp!$I$3+J794*Prislapp!$J$3+K794*Prislapp!$K$3+M794*Prislapp!$M$3+N794*Prislapp!$N$3</f>
        <v>15773</v>
      </c>
      <c r="Q794" s="42">
        <f>C794*Prislapp!$C$5+D794*Prislapp!$D$5+E794*Prislapp!$E$5+F794*Prislapp!$F$5+G794*Prislapp!$G$5+H794*Prislapp!$H$5+I794*Prislapp!$I$5+J794*Prislapp!$J$5+K794*Prislapp!$K$5+L794*Prislapp!$L$5+M794*Prislapp!$M$5+N794*Prislapp!$N$5</f>
        <v>5800</v>
      </c>
      <c r="R794" s="9">
        <f>VLOOKUP(A794,'Ansvar kurs'!$A$2:$B$847,2,FALSE)</f>
        <v>1620</v>
      </c>
    </row>
    <row r="795" spans="1:26" x14ac:dyDescent="0.25">
      <c r="A795" s="59" t="s">
        <v>884</v>
      </c>
      <c r="B795" s="31" t="s">
        <v>1248</v>
      </c>
      <c r="D795" s="31">
        <v>1</v>
      </c>
      <c r="O795" s="42">
        <f>C795*Prislapp!$C$2+D795*Prislapp!$D$2+E795*Prislapp!$E$2+F795*Prislapp!$F$2+G795*Prislapp!$G$2+H795*Prislapp!$H$2+I795*Prislapp!$I$2+J795*Prislapp!$J$2+K795*Prislapp!$K$2+L795*Prislapp!$L$2+M795*Prislapp!$M$2+N795*Prislapp!$N$2</f>
        <v>18405</v>
      </c>
      <c r="P795" s="42">
        <f>C795*Prislapp!$C$3+D795*Prislapp!$D$3+E795*Prislapp!$E$3+F795*Prislapp!$F$3+G795*Prislapp!$G$3+H795*Prislapp!$H$3+I795*Prislapp!$I$3+J795*Prislapp!$J$3+K795*Prislapp!$K$3+M795*Prislapp!$M$3+N795*Prislapp!$N$3</f>
        <v>15773</v>
      </c>
      <c r="Q795" s="42">
        <f>C795*Prislapp!$C$5+D795*Prislapp!$D$5+E795*Prislapp!$E$5+F795*Prislapp!$F$5+G795*Prislapp!$G$5+H795*Prislapp!$H$5+I795*Prislapp!$I$5+J795*Prislapp!$J$5+K795*Prislapp!$K$5+L795*Prislapp!$L$5+M795*Prislapp!$M$5+N795*Prislapp!$N$5</f>
        <v>5800</v>
      </c>
      <c r="R795" s="9">
        <f>VLOOKUP(A795,'Ansvar kurs'!$A$2:$B$847,2,FALSE)</f>
        <v>1620</v>
      </c>
    </row>
    <row r="796" spans="1:26" x14ac:dyDescent="0.25">
      <c r="A796" s="62" t="s">
        <v>1048</v>
      </c>
      <c r="B796" s="31" t="s">
        <v>1068</v>
      </c>
      <c r="D796" s="31">
        <v>1</v>
      </c>
      <c r="O796" s="42">
        <f>C796*Prislapp!$C$2+D796*Prislapp!$D$2+E796*Prislapp!$E$2+F796*Prislapp!$F$2+G796*Prislapp!$G$2+H796*Prislapp!$H$2+I796*Prislapp!$I$2+J796*Prislapp!$J$2+K796*Prislapp!$K$2+L796*Prislapp!$L$2+M796*Prislapp!$M$2+N796*Prislapp!$N$2</f>
        <v>18405</v>
      </c>
      <c r="P796" s="42">
        <f>C796*Prislapp!$C$3+D796*Prislapp!$D$3+E796*Prislapp!$E$3+F796*Prislapp!$F$3+G796*Prislapp!$G$3+H796*Prislapp!$H$3+I796*Prislapp!$I$3+J796*Prislapp!$J$3+K796*Prislapp!$K$3+M796*Prislapp!$M$3+N796*Prislapp!$N$3</f>
        <v>15773</v>
      </c>
      <c r="Q796" s="42">
        <f>C796*Prislapp!$C$5+D796*Prislapp!$D$5+E796*Prislapp!$E$5+F796*Prislapp!$F$5+G796*Prislapp!$G$5+H796*Prislapp!$H$5+I796*Prislapp!$I$5+J796*Prislapp!$J$5+K796*Prislapp!$K$5+L796*Prislapp!$L$5+M796*Prislapp!$M$5+N796*Prislapp!$N$5</f>
        <v>5800</v>
      </c>
      <c r="R796" s="9">
        <f>VLOOKUP(A796,'Ansvar kurs'!$A$2:$B$847,2,FALSE)</f>
        <v>1620</v>
      </c>
    </row>
    <row r="797" spans="1:26" x14ac:dyDescent="0.25">
      <c r="A797" s="245" t="s">
        <v>1689</v>
      </c>
      <c r="B797" t="s">
        <v>1642</v>
      </c>
      <c r="D797" s="31">
        <v>1</v>
      </c>
      <c r="O797" s="42">
        <f>C797*Prislapp!$C$2+D797*Prislapp!$D$2+E797*Prislapp!$E$2+F797*Prislapp!$F$2+G797*Prislapp!$G$2+H797*Prislapp!$H$2+I797*Prislapp!$I$2+J797*Prislapp!$J$2+K797*Prislapp!$K$2+L797*Prislapp!$L$2+M797*Prislapp!$M$2+N797*Prislapp!$N$2</f>
        <v>18405</v>
      </c>
      <c r="P797" s="42">
        <f>C797*Prislapp!$C$3+D797*Prislapp!$D$3+E797*Prislapp!$E$3+F797*Prislapp!$F$3+G797*Prislapp!$G$3+H797*Prislapp!$H$3+I797*Prislapp!$I$3+J797*Prislapp!$J$3+K797*Prislapp!$K$3+M797*Prislapp!$M$3+N797*Prislapp!$N$3</f>
        <v>15773</v>
      </c>
      <c r="Q797" s="42">
        <f>C797*Prislapp!$C$5+D797*Prislapp!$D$5+E797*Prislapp!$E$5+F797*Prislapp!$F$5+G797*Prislapp!$G$5+H797*Prislapp!$H$5+I797*Prislapp!$I$5+J797*Prislapp!$J$5+K797*Prislapp!$K$5+L797*Prislapp!$L$5+M797*Prislapp!$M$5+N797*Prislapp!$N$5</f>
        <v>5800</v>
      </c>
      <c r="R797" s="9">
        <f>VLOOKUP(A797,'Ansvar kurs'!$A$2:$B$847,2,FALSE)</f>
        <v>1620</v>
      </c>
      <c r="S797" s="159"/>
      <c r="T797" s="159"/>
      <c r="U797" s="215"/>
      <c r="V797" s="215"/>
      <c r="W797" s="215"/>
      <c r="X797" s="215"/>
      <c r="Y797" s="215"/>
      <c r="Z797" s="197"/>
    </row>
    <row r="798" spans="1:26" x14ac:dyDescent="0.25">
      <c r="A798" s="245" t="s">
        <v>1899</v>
      </c>
      <c r="B798" s="31" t="s">
        <v>1894</v>
      </c>
      <c r="K798" s="31">
        <v>1</v>
      </c>
      <c r="O798" s="42">
        <f>C798*Prislapp!$C$2+D798*Prislapp!$D$2+E798*Prislapp!$E$2+F798*Prislapp!$F$2+G798*Prislapp!$G$2+H798*Prislapp!$H$2+I798*Prislapp!$I$2+J798*Prislapp!$J$2+K798*Prislapp!$K$2+L798*Prislapp!$L$2+M798*Prislapp!$M$2+N798*Prislapp!$N$2</f>
        <v>21634</v>
      </c>
      <c r="P798" s="42">
        <f>C798*Prislapp!$C$3+D798*Prislapp!$D$3+E798*Prislapp!$E$3+F798*Prislapp!$F$3+G798*Prislapp!$G$3+H798*Prislapp!$H$3+I798*Prislapp!$I$3+J798*Prislapp!$J$3+K798*Prislapp!$K$3+M798*Prislapp!$M$3+N798*Prislapp!$N$3</f>
        <v>26986</v>
      </c>
      <c r="Q798" s="42">
        <f>C798*Prislapp!$C$5+D798*Prislapp!$D$5+E798*Prislapp!$E$5+F798*Prislapp!$F$5+G798*Prislapp!$G$5+H798*Prislapp!$H$5+I798*Prislapp!$I$5+J798*Prislapp!$J$5+K798*Prislapp!$K$5+L798*Prislapp!$L$5+M798*Prislapp!$M$5+N798*Prislapp!$N$5</f>
        <v>3400</v>
      </c>
      <c r="R798" s="9">
        <f>VLOOKUP(A798,'Ansvar kurs'!$A$2:$B$847,2,FALSE)</f>
        <v>1620</v>
      </c>
      <c r="T798" s="159"/>
      <c r="U798" s="215"/>
      <c r="V798" s="215"/>
      <c r="W798" s="215"/>
      <c r="X798" s="215"/>
      <c r="Y798" s="215"/>
      <c r="Z798" s="197"/>
    </row>
    <row r="799" spans="1:26" x14ac:dyDescent="0.25">
      <c r="A799" s="245" t="s">
        <v>2147</v>
      </c>
      <c r="B799" s="31" t="s">
        <v>2148</v>
      </c>
      <c r="D799" s="31">
        <v>1</v>
      </c>
      <c r="O799" s="42">
        <f>C799*Prislapp!$C$2+D799*Prislapp!$D$2+E799*Prislapp!$E$2+F799*Prislapp!$F$2+G799*Prislapp!$G$2+H799*Prislapp!$H$2+I799*Prislapp!$I$2+J799*Prislapp!$J$2+K799*Prislapp!$K$2+L799*Prislapp!$L$2+M799*Prislapp!$M$2+N799*Prislapp!$N$2</f>
        <v>18405</v>
      </c>
      <c r="P799" s="42">
        <f>C799*Prislapp!$C$3+D799*Prislapp!$D$3+E799*Prislapp!$E$3+F799*Prislapp!$F$3+G799*Prislapp!$G$3+H799*Prislapp!$H$3+I799*Prislapp!$I$3+J799*Prislapp!$J$3+K799*Prislapp!$K$3+M799*Prislapp!$M$3+N799*Prislapp!$N$3</f>
        <v>15773</v>
      </c>
      <c r="Q799" s="42">
        <f>C799*Prislapp!$C$5+D799*Prislapp!$D$5+E799*Prislapp!$E$5+F799*Prislapp!$F$5+G799*Prislapp!$G$5+H799*Prislapp!$H$5+I799*Prislapp!$I$5+J799*Prislapp!$J$5+K799*Prislapp!$K$5+L799*Prislapp!$L$5+M799*Prislapp!$M$5+N799*Prislapp!$N$5</f>
        <v>5800</v>
      </c>
      <c r="R799" s="9">
        <f>VLOOKUP(A799,'Ansvar kurs'!$A$2:$B$847,2,FALSE)</f>
        <v>1620</v>
      </c>
      <c r="T799" s="159"/>
      <c r="U799" s="215"/>
      <c r="V799" s="215"/>
      <c r="W799" s="215"/>
      <c r="X799" s="215"/>
      <c r="Y799" s="215"/>
      <c r="Z799" s="197"/>
    </row>
    <row r="800" spans="1:26" x14ac:dyDescent="0.25">
      <c r="A800" s="62" t="s">
        <v>1527</v>
      </c>
      <c r="B800" s="31" t="s">
        <v>1430</v>
      </c>
      <c r="H800" s="31">
        <v>1</v>
      </c>
      <c r="O800" s="42">
        <f>C800*Prislapp!$C$2+D800*Prislapp!$D$2+E800*Prislapp!$E$2+F800*Prislapp!$F$2+G800*Prislapp!$G$2+H800*Prislapp!$H$2+I800*Prislapp!$I$2+J800*Prislapp!$J$2+K800*Prislapp!$K$2+L800*Prislapp!$L$2+M800*Prislapp!$M$2+N800*Prislapp!$N$2</f>
        <v>19473</v>
      </c>
      <c r="P800" s="42">
        <f>C800*Prislapp!$C$3+D800*Prislapp!$D$3+E800*Prislapp!$E$3+F800*Prislapp!$F$3+G800*Prislapp!$G$3+H800*Prislapp!$H$3+I800*Prislapp!$I$3+J800*Prislapp!$J$3+K800*Prislapp!$K$3+M800*Prislapp!$M$3+N800*Prislapp!$N$3</f>
        <v>34806</v>
      </c>
      <c r="Q800" s="42">
        <f>C800*Prislapp!$C$5+D800*Prislapp!$D$5+E800*Prislapp!$E$5+F800*Prislapp!$F$5+G800*Prislapp!$G$5+H800*Prislapp!$H$5+I800*Prislapp!$I$5+J800*Prislapp!$J$5+K800*Prislapp!$K$5+L800*Prislapp!$L$5+M800*Prislapp!$M$5+N800*Prislapp!$N$5</f>
        <v>21800</v>
      </c>
      <c r="R800" s="9">
        <f>VLOOKUP(A800,'Ansvar kurs'!$A$2:$B$847,2,FALSE)</f>
        <v>5740</v>
      </c>
    </row>
    <row r="801" spans="1:18" x14ac:dyDescent="0.25">
      <c r="A801" s="62" t="s">
        <v>1537</v>
      </c>
      <c r="B801" s="31" t="s">
        <v>1422</v>
      </c>
      <c r="I801" s="31">
        <v>1</v>
      </c>
      <c r="O801" s="42">
        <f>C801*Prislapp!$C$2+D801*Prislapp!$D$2+E801*Prislapp!$E$2+F801*Prislapp!$F$2+G801*Prislapp!$G$2+H801*Prislapp!$H$2+I801*Prislapp!$I$2+J801*Prislapp!$J$2+K801*Prislapp!$K$2+L801*Prislapp!$L$2+M801*Prislapp!$M$2+N801*Prislapp!$N$2</f>
        <v>18405</v>
      </c>
      <c r="P801" s="42">
        <f>C801*Prislapp!$C$3+D801*Prislapp!$D$3+E801*Prislapp!$E$3+F801*Prislapp!$F$3+G801*Prislapp!$G$3+H801*Prislapp!$H$3+I801*Prislapp!$I$3+J801*Prislapp!$J$3+K801*Prislapp!$K$3+M801*Prislapp!$M$3+N801*Prislapp!$N$3</f>
        <v>15773</v>
      </c>
      <c r="Q801" s="42">
        <f>C801*Prislapp!$C$5+D801*Prislapp!$D$5+E801*Prislapp!$E$5+F801*Prislapp!$F$5+G801*Prislapp!$G$5+H801*Prislapp!$H$5+I801*Prislapp!$I$5+J801*Prislapp!$J$5+K801*Prislapp!$K$5+L801*Prislapp!$L$5+M801*Prislapp!$M$5+N801*Prislapp!$N$5</f>
        <v>5800</v>
      </c>
      <c r="R801" s="9">
        <f>VLOOKUP(A801,'Ansvar kurs'!$A$2:$B$847,2,FALSE)</f>
        <v>2193</v>
      </c>
    </row>
    <row r="802" spans="1:18" x14ac:dyDescent="0.25">
      <c r="A802" s="62" t="s">
        <v>1538</v>
      </c>
      <c r="B802" s="31" t="s">
        <v>1423</v>
      </c>
      <c r="K802" s="31">
        <v>1</v>
      </c>
      <c r="O802" s="42">
        <f>C802*Prislapp!$C$2+D802*Prislapp!$D$2+E802*Prislapp!$E$2+F802*Prislapp!$F$2+G802*Prislapp!$G$2+H802*Prislapp!$H$2+I802*Prislapp!$I$2+J802*Prislapp!$J$2+K802*Prislapp!$K$2+L802*Prislapp!$L$2+M802*Prislapp!$M$2+N802*Prislapp!$N$2</f>
        <v>21634</v>
      </c>
      <c r="P802" s="42">
        <f>C802*Prislapp!$C$3+D802*Prislapp!$D$3+E802*Prislapp!$E$3+F802*Prislapp!$F$3+G802*Prislapp!$G$3+H802*Prislapp!$H$3+I802*Prislapp!$I$3+J802*Prislapp!$J$3+K802*Prislapp!$K$3+M802*Prislapp!$M$3+N802*Prislapp!$N$3</f>
        <v>26986</v>
      </c>
      <c r="Q802" s="42">
        <f>C802*Prislapp!$C$5+D802*Prislapp!$D$5+E802*Prislapp!$E$5+F802*Prislapp!$F$5+G802*Prislapp!$G$5+H802*Prislapp!$H$5+I802*Prislapp!$I$5+J802*Prislapp!$J$5+K802*Prislapp!$K$5+L802*Prislapp!$L$5+M802*Prislapp!$M$5+N802*Prislapp!$N$5</f>
        <v>3400</v>
      </c>
      <c r="R802" s="9">
        <f>VLOOKUP(A802,'Ansvar kurs'!$A$2:$B$847,2,FALSE)</f>
        <v>2193</v>
      </c>
    </row>
    <row r="803" spans="1:18" x14ac:dyDescent="0.25">
      <c r="A803" s="62" t="s">
        <v>1540</v>
      </c>
      <c r="B803" s="31" t="s">
        <v>1425</v>
      </c>
      <c r="E803" s="31">
        <v>1</v>
      </c>
      <c r="O803" s="42">
        <f>C803*Prislapp!$C$2+D803*Prislapp!$D$2+E803*Prislapp!$E$2+F803*Prislapp!$F$2+G803*Prislapp!$G$2+H803*Prislapp!$H$2+I803*Prislapp!$I$2+J803*Prislapp!$J$2+K803*Prislapp!$K$2+L803*Prislapp!$L$2+M803*Prislapp!$M$2+N803*Prislapp!$N$2</f>
        <v>45034</v>
      </c>
      <c r="P803" s="42">
        <f>C803*Prislapp!$C$3+D803*Prislapp!$D$3+E803*Prislapp!$E$3+F803*Prislapp!$F$3+G803*Prislapp!$G$3+H803*Prislapp!$H$3+I803*Prislapp!$I$3+J803*Prislapp!$J$3+K803*Prislapp!$K$3+M803*Prislapp!$M$3+N803*Prislapp!$N$3</f>
        <v>31547</v>
      </c>
      <c r="Q803" s="42">
        <f>C803*Prislapp!$C$5+D803*Prislapp!$D$5+E803*Prislapp!$E$5+F803*Prislapp!$F$5+G803*Prislapp!$G$5+H803*Prislapp!$H$5+I803*Prislapp!$I$5+J803*Prislapp!$J$5+K803*Prislapp!$K$5+L803*Prislapp!$L$5+M803*Prislapp!$M$5+N803*Prislapp!$N$5</f>
        <v>34500</v>
      </c>
      <c r="R803" s="9">
        <f>VLOOKUP(A803,'Ansvar kurs'!$A$2:$B$847,2,FALSE)</f>
        <v>2180</v>
      </c>
    </row>
    <row r="804" spans="1:18" x14ac:dyDescent="0.25">
      <c r="A804" s="62" t="s">
        <v>1541</v>
      </c>
      <c r="B804" s="31" t="s">
        <v>1428</v>
      </c>
      <c r="E804" s="31">
        <v>1</v>
      </c>
      <c r="O804" s="42">
        <f>C804*Prislapp!$C$2+D804*Prislapp!$D$2+E804*Prislapp!$E$2+F804*Prislapp!$F$2+G804*Prislapp!$G$2+H804*Prislapp!$H$2+I804*Prislapp!$I$2+J804*Prislapp!$J$2+K804*Prislapp!$K$2+L804*Prislapp!$L$2+M804*Prislapp!$M$2+N804*Prislapp!$N$2</f>
        <v>45034</v>
      </c>
      <c r="P804" s="42">
        <f>C804*Prislapp!$C$3+D804*Prislapp!$D$3+E804*Prislapp!$E$3+F804*Prislapp!$F$3+G804*Prislapp!$G$3+H804*Prislapp!$H$3+I804*Prislapp!$I$3+J804*Prislapp!$J$3+K804*Prislapp!$K$3+M804*Prislapp!$M$3+N804*Prislapp!$N$3</f>
        <v>31547</v>
      </c>
      <c r="Q804" s="42">
        <f>C804*Prislapp!$C$5+D804*Prislapp!$D$5+E804*Prislapp!$E$5+F804*Prislapp!$F$5+G804*Prislapp!$G$5+H804*Prislapp!$H$5+I804*Prislapp!$I$5+J804*Prislapp!$J$5+K804*Prislapp!$K$5+L804*Prislapp!$L$5+M804*Prislapp!$M$5+N804*Prislapp!$N$5</f>
        <v>34500</v>
      </c>
      <c r="R804" s="9">
        <f>VLOOKUP(A804,'Ansvar kurs'!$A$2:$B$847,2,FALSE)</f>
        <v>2180</v>
      </c>
    </row>
    <row r="805" spans="1:18" x14ac:dyDescent="0.25">
      <c r="A805" s="31" t="s">
        <v>63</v>
      </c>
      <c r="B805" s="31" t="s">
        <v>761</v>
      </c>
      <c r="F805" s="31">
        <v>1</v>
      </c>
      <c r="O805" s="42">
        <f>C805*Prislapp!$C$2+D805*Prislapp!$D$2+E805*Prislapp!$E$2+F805*Prislapp!$F$2+G805*Prislapp!$G$2+H805*Prislapp!$H$2+I805*Prislapp!$I$2+J805*Prislapp!$J$2+K805*Prislapp!$K$2+L805*Prislapp!$L$2+M805*Prislapp!$M$2+N805*Prislapp!$N$2</f>
        <v>23641</v>
      </c>
      <c r="P805" s="42">
        <f>C805*Prislapp!$C$3+D805*Prislapp!$D$3+E805*Prislapp!$E$3+F805*Prislapp!$F$3+G805*Prislapp!$G$3+H805*Prislapp!$H$3+I805*Prislapp!$I$3+J805*Prislapp!$J$3+K805*Prislapp!$K$3+M805*Prislapp!$M$3+N805*Prislapp!$N$3</f>
        <v>28786</v>
      </c>
      <c r="Q805" s="42">
        <f>C805*Prislapp!$C$5+D805*Prislapp!$D$5+E805*Prislapp!$E$5+F805*Prislapp!$F$5+G805*Prislapp!$G$5+H805*Prislapp!$H$5+I805*Prislapp!$I$5+J805*Prislapp!$J$5+K805*Prislapp!$K$5+L805*Prislapp!$L$5+M805*Prislapp!$M$5+N805*Prislapp!$N$5</f>
        <v>5800</v>
      </c>
      <c r="R805" s="9">
        <f>VLOOKUP(A805,'Ansvar kurs'!$A$2:$B$847,2,FALSE)</f>
        <v>2193</v>
      </c>
    </row>
    <row r="806" spans="1:18" x14ac:dyDescent="0.25">
      <c r="A806" s="31" t="s">
        <v>64</v>
      </c>
      <c r="B806" s="31" t="s">
        <v>460</v>
      </c>
      <c r="F806" s="31">
        <v>1</v>
      </c>
      <c r="O806" s="42">
        <f>C806*Prislapp!$C$2+D806*Prislapp!$D$2+E806*Prislapp!$E$2+F806*Prislapp!$F$2+G806*Prislapp!$G$2+H806*Prislapp!$H$2+I806*Prislapp!$I$2+J806*Prislapp!$J$2+K806*Prislapp!$K$2+L806*Prislapp!$L$2+M806*Prislapp!$M$2+N806*Prislapp!$N$2</f>
        <v>23641</v>
      </c>
      <c r="P806" s="42">
        <f>C806*Prislapp!$C$3+D806*Prislapp!$D$3+E806*Prislapp!$E$3+F806*Prislapp!$F$3+G806*Prislapp!$G$3+H806*Prislapp!$H$3+I806*Prislapp!$I$3+J806*Prislapp!$J$3+K806*Prislapp!$K$3+M806*Prislapp!$M$3+N806*Prislapp!$N$3</f>
        <v>28786</v>
      </c>
      <c r="Q806" s="42">
        <f>C806*Prislapp!$C$5+D806*Prislapp!$D$5+E806*Prislapp!$E$5+F806*Prislapp!$F$5+G806*Prislapp!$G$5+H806*Prislapp!$H$5+I806*Prislapp!$I$5+J806*Prislapp!$J$5+K806*Prislapp!$K$5+L806*Prislapp!$L$5+M806*Prislapp!$M$5+N806*Prislapp!$N$5</f>
        <v>5800</v>
      </c>
      <c r="R806" s="9">
        <f>VLOOKUP(A806,'Ansvar kurs'!$A$2:$B$847,2,FALSE)</f>
        <v>1650</v>
      </c>
    </row>
    <row r="807" spans="1:18" x14ac:dyDescent="0.25">
      <c r="A807" s="31" t="s">
        <v>397</v>
      </c>
      <c r="B807" s="31" t="s">
        <v>359</v>
      </c>
      <c r="F807" s="31">
        <v>1</v>
      </c>
      <c r="O807" s="42">
        <f>C807*Prislapp!$C$2+D807*Prislapp!$D$2+E807*Prislapp!$E$2+F807*Prislapp!$F$2+G807*Prislapp!$G$2+H807*Prislapp!$H$2+I807*Prislapp!$I$2+J807*Prislapp!$J$2+K807*Prislapp!$K$2+L807*Prislapp!$L$2+M807*Prislapp!$M$2+N807*Prislapp!$N$2</f>
        <v>23641</v>
      </c>
      <c r="P807" s="42">
        <f>C807*Prislapp!$C$3+D807*Prislapp!$D$3+E807*Prislapp!$E$3+F807*Prislapp!$F$3+G807*Prislapp!$G$3+H807*Prislapp!$H$3+I807*Prislapp!$I$3+J807*Prislapp!$J$3+K807*Prislapp!$K$3+M807*Prislapp!$M$3+N807*Prislapp!$N$3</f>
        <v>28786</v>
      </c>
      <c r="Q807" s="42">
        <f>C807*Prislapp!$C$5+D807*Prislapp!$D$5+E807*Prislapp!$E$5+F807*Prislapp!$F$5+G807*Prislapp!$G$5+H807*Prislapp!$H$5+I807*Prislapp!$I$5+J807*Prislapp!$J$5+K807*Prislapp!$K$5+L807*Prislapp!$L$5+M807*Prislapp!$M$5+N807*Prislapp!$N$5</f>
        <v>5800</v>
      </c>
      <c r="R807" s="9">
        <f>VLOOKUP(A807,'Ansvar kurs'!$A$2:$B$847,2,FALSE)</f>
        <v>1650</v>
      </c>
    </row>
    <row r="808" spans="1:18" x14ac:dyDescent="0.25">
      <c r="A808" s="31" t="s">
        <v>371</v>
      </c>
      <c r="B808" s="31" t="s">
        <v>359</v>
      </c>
      <c r="F808" s="31">
        <v>1</v>
      </c>
      <c r="O808" s="42">
        <f>C808*Prislapp!$C$2+D808*Prislapp!$D$2+E808*Prislapp!$E$2+F808*Prislapp!$F$2+G808*Prislapp!$G$2+H808*Prislapp!$H$2+I808*Prislapp!$I$2+J808*Prislapp!$J$2+K808*Prislapp!$K$2+L808*Prislapp!$L$2+M808*Prislapp!$M$2+N808*Prislapp!$N$2</f>
        <v>23641</v>
      </c>
      <c r="P808" s="42">
        <f>C808*Prislapp!$C$3+D808*Prislapp!$D$3+E808*Prislapp!$E$3+F808*Prislapp!$F$3+G808*Prislapp!$G$3+H808*Prislapp!$H$3+I808*Prislapp!$I$3+J808*Prislapp!$J$3+K808*Prislapp!$K$3+M808*Prislapp!$M$3+N808*Prislapp!$N$3</f>
        <v>28786</v>
      </c>
      <c r="Q808" s="42">
        <f>C808*Prislapp!$C$5+D808*Prislapp!$D$5+E808*Prislapp!$E$5+F808*Prislapp!$F$5+G808*Prislapp!$G$5+H808*Prislapp!$H$5+I808*Prislapp!$I$5+J808*Prislapp!$J$5+K808*Prislapp!$K$5+L808*Prislapp!$L$5+M808*Prislapp!$M$5+N808*Prislapp!$N$5</f>
        <v>5800</v>
      </c>
      <c r="R808" s="9">
        <f>VLOOKUP(A808,'Ansvar kurs'!$A$2:$B$847,2,FALSE)</f>
        <v>2193</v>
      </c>
    </row>
    <row r="809" spans="1:18" x14ac:dyDescent="0.25">
      <c r="A809" s="244" t="s">
        <v>331</v>
      </c>
      <c r="B809" s="31" t="s">
        <v>0</v>
      </c>
      <c r="F809" s="31">
        <v>1</v>
      </c>
      <c r="O809" s="42">
        <f>C809*Prislapp!$C$2+D809*Prislapp!$D$2+E809*Prislapp!$E$2+F809*Prislapp!$F$2+G809*Prislapp!$G$2+H809*Prislapp!$H$2+I809*Prislapp!$I$2+J809*Prislapp!$J$2+K809*Prislapp!$K$2+L809*Prislapp!$L$2+M809*Prislapp!$M$2+N809*Prislapp!$N$2</f>
        <v>23641</v>
      </c>
      <c r="P809" s="42">
        <f>C809*Prislapp!$C$3+D809*Prislapp!$D$3+E809*Prislapp!$E$3+F809*Prislapp!$F$3+G809*Prislapp!$G$3+H809*Prislapp!$H$3+I809*Prislapp!$I$3+J809*Prislapp!$J$3+K809*Prislapp!$K$3+M809*Prislapp!$M$3+N809*Prislapp!$N$3</f>
        <v>28786</v>
      </c>
      <c r="Q809" s="42">
        <f>C809*Prislapp!$C$5+D809*Prislapp!$D$5+E809*Prislapp!$E$5+F809*Prislapp!$F$5+G809*Prislapp!$G$5+H809*Prislapp!$H$5+I809*Prislapp!$I$5+J809*Prislapp!$J$5+K809*Prislapp!$K$5+L809*Prislapp!$L$5+M809*Prislapp!$M$5+N809*Prislapp!$N$5</f>
        <v>5800</v>
      </c>
      <c r="R809" s="9">
        <f>VLOOKUP(A809,'Ansvar kurs'!$A$2:$B$847,2,FALSE)</f>
        <v>6000</v>
      </c>
    </row>
    <row r="810" spans="1:18" x14ac:dyDescent="0.25">
      <c r="O810" s="42"/>
      <c r="P810" s="42"/>
      <c r="Q810" s="42"/>
      <c r="R810" s="42"/>
    </row>
    <row r="811" spans="1:18" x14ac:dyDescent="0.25">
      <c r="O811" s="42"/>
      <c r="P811" s="42"/>
      <c r="Q811" s="42"/>
      <c r="R811" s="42"/>
    </row>
    <row r="812" spans="1:18" x14ac:dyDescent="0.25">
      <c r="O812" s="42"/>
      <c r="P812" s="42"/>
      <c r="Q812" s="42"/>
      <c r="R812" s="42"/>
    </row>
    <row r="813" spans="1:18" x14ac:dyDescent="0.25">
      <c r="O813" s="42"/>
      <c r="P813" s="42"/>
      <c r="Q813" s="42"/>
      <c r="R813" s="42"/>
    </row>
    <row r="814" spans="1:18" x14ac:dyDescent="0.25">
      <c r="O814" s="42"/>
      <c r="P814" s="42"/>
      <c r="Q814" s="42"/>
      <c r="R814" s="42"/>
    </row>
    <row r="815" spans="1:18" x14ac:dyDescent="0.25">
      <c r="O815" s="42"/>
    </row>
    <row r="816" spans="1:18" x14ac:dyDescent="0.25">
      <c r="O816" s="42"/>
    </row>
    <row r="817" spans="15:18" x14ac:dyDescent="0.25">
      <c r="O817" s="42"/>
    </row>
    <row r="818" spans="15:18" x14ac:dyDescent="0.25">
      <c r="O818" s="42"/>
    </row>
    <row r="819" spans="15:18" x14ac:dyDescent="0.25">
      <c r="O819" s="42"/>
    </row>
    <row r="820" spans="15:18" x14ac:dyDescent="0.25">
      <c r="O820" s="42"/>
      <c r="Q820" s="59"/>
      <c r="R820" s="59"/>
    </row>
    <row r="821" spans="15:18" x14ac:dyDescent="0.25">
      <c r="O821" s="42"/>
      <c r="P821" s="42"/>
      <c r="Q821" s="42"/>
      <c r="R821" s="42"/>
    </row>
    <row r="822" spans="15:18" x14ac:dyDescent="0.25">
      <c r="O822" s="42"/>
      <c r="P822" s="42"/>
      <c r="Q822" s="42"/>
      <c r="R822" s="42"/>
    </row>
    <row r="823" spans="15:18" x14ac:dyDescent="0.25">
      <c r="O823" s="42"/>
      <c r="P823" s="42"/>
      <c r="Q823" s="42"/>
      <c r="R823" s="42"/>
    </row>
    <row r="824" spans="15:18" x14ac:dyDescent="0.25">
      <c r="O824" s="42"/>
      <c r="P824" s="42"/>
      <c r="Q824" s="42"/>
      <c r="R824" s="42"/>
    </row>
    <row r="825" spans="15:18" x14ac:dyDescent="0.25">
      <c r="O825" s="42"/>
      <c r="P825" s="42"/>
      <c r="Q825" s="42"/>
      <c r="R825" s="42"/>
    </row>
    <row r="826" spans="15:18" x14ac:dyDescent="0.25">
      <c r="O826" s="42"/>
      <c r="P826" s="42"/>
      <c r="Q826" s="42"/>
      <c r="R826" s="42"/>
    </row>
    <row r="827" spans="15:18" x14ac:dyDescent="0.25">
      <c r="O827" s="42"/>
      <c r="P827" s="42"/>
      <c r="Q827" s="42"/>
      <c r="R827" s="42"/>
    </row>
    <row r="828" spans="15:18" x14ac:dyDescent="0.25">
      <c r="O828" s="42"/>
      <c r="P828" s="42"/>
      <c r="Q828" s="42"/>
      <c r="R828" s="42"/>
    </row>
    <row r="829" spans="15:18" x14ac:dyDescent="0.25">
      <c r="O829" s="42"/>
      <c r="P829" s="42"/>
      <c r="Q829" s="42"/>
      <c r="R829" s="42"/>
    </row>
    <row r="830" spans="15:18" x14ac:dyDescent="0.25">
      <c r="O830" s="42"/>
      <c r="P830" s="42"/>
      <c r="Q830" s="42"/>
      <c r="R830" s="42"/>
    </row>
    <row r="831" spans="15:18" x14ac:dyDescent="0.25">
      <c r="O831" s="42"/>
      <c r="P831" s="42"/>
      <c r="Q831" s="42"/>
      <c r="R831" s="42"/>
    </row>
    <row r="832" spans="15:18" x14ac:dyDescent="0.25">
      <c r="O832" s="42"/>
      <c r="P832" s="42"/>
      <c r="Q832" s="42"/>
      <c r="R832" s="42"/>
    </row>
    <row r="833" spans="15:18" x14ac:dyDescent="0.25">
      <c r="O833" s="42"/>
      <c r="P833" s="42"/>
      <c r="Q833" s="42"/>
      <c r="R833" s="42"/>
    </row>
    <row r="834" spans="15:18" x14ac:dyDescent="0.25">
      <c r="O834" s="42"/>
      <c r="P834" s="42"/>
      <c r="Q834" s="42"/>
      <c r="R834" s="42"/>
    </row>
    <row r="835" spans="15:18" x14ac:dyDescent="0.25">
      <c r="O835" s="42"/>
      <c r="P835" s="42"/>
      <c r="Q835" s="42"/>
      <c r="R835" s="42"/>
    </row>
    <row r="836" spans="15:18" x14ac:dyDescent="0.25">
      <c r="O836" s="42"/>
      <c r="P836" s="42"/>
      <c r="Q836" s="42"/>
      <c r="R836" s="42"/>
    </row>
    <row r="837" spans="15:18" x14ac:dyDescent="0.25">
      <c r="O837" s="42"/>
      <c r="P837" s="42"/>
      <c r="Q837" s="42"/>
      <c r="R837" s="42"/>
    </row>
    <row r="838" spans="15:18" x14ac:dyDescent="0.25">
      <c r="O838" s="42"/>
      <c r="P838" s="42"/>
      <c r="Q838" s="42"/>
      <c r="R838" s="42"/>
    </row>
    <row r="839" spans="15:18" x14ac:dyDescent="0.25">
      <c r="O839" s="42"/>
      <c r="P839" s="42"/>
      <c r="Q839" s="42"/>
      <c r="R839" s="42"/>
    </row>
    <row r="840" spans="15:18" x14ac:dyDescent="0.25">
      <c r="O840" s="42"/>
      <c r="P840" s="42"/>
      <c r="Q840" s="42"/>
      <c r="R840" s="42"/>
    </row>
    <row r="841" spans="15:18" x14ac:dyDescent="0.25">
      <c r="O841" s="42"/>
      <c r="P841" s="42"/>
      <c r="Q841" s="42"/>
      <c r="R841" s="42"/>
    </row>
    <row r="842" spans="15:18" x14ac:dyDescent="0.25">
      <c r="O842" s="42"/>
      <c r="P842" s="42"/>
      <c r="Q842" s="42"/>
      <c r="R842" s="42"/>
    </row>
    <row r="843" spans="15:18" x14ac:dyDescent="0.25">
      <c r="O843" s="42"/>
      <c r="P843" s="42"/>
      <c r="Q843" s="42"/>
      <c r="R843" s="42"/>
    </row>
    <row r="844" spans="15:18" x14ac:dyDescent="0.25">
      <c r="O844" s="42"/>
      <c r="P844" s="42"/>
      <c r="Q844" s="42"/>
      <c r="R844" s="42"/>
    </row>
    <row r="845" spans="15:18" x14ac:dyDescent="0.25">
      <c r="O845" s="42"/>
      <c r="P845" s="42"/>
      <c r="Q845" s="42"/>
      <c r="R845" s="42"/>
    </row>
    <row r="846" spans="15:18" x14ac:dyDescent="0.25">
      <c r="O846" s="42"/>
      <c r="P846" s="42"/>
      <c r="Q846" s="42"/>
      <c r="R846" s="42"/>
    </row>
    <row r="847" spans="15:18" x14ac:dyDescent="0.25">
      <c r="O847" s="42"/>
      <c r="P847" s="42"/>
      <c r="Q847" s="42"/>
      <c r="R847" s="42"/>
    </row>
    <row r="848" spans="15:18" x14ac:dyDescent="0.25">
      <c r="O848" s="42"/>
      <c r="P848" s="42"/>
      <c r="Q848" s="42"/>
      <c r="R848" s="42"/>
    </row>
    <row r="849" spans="15:18" x14ac:dyDescent="0.25">
      <c r="O849" s="42"/>
      <c r="P849" s="42"/>
      <c r="Q849" s="42"/>
      <c r="R849" s="42"/>
    </row>
    <row r="850" spans="15:18" x14ac:dyDescent="0.25">
      <c r="O850" s="42"/>
      <c r="P850" s="42"/>
      <c r="Q850" s="42"/>
      <c r="R850" s="42"/>
    </row>
    <row r="851" spans="15:18" x14ac:dyDescent="0.25">
      <c r="O851" s="42"/>
      <c r="P851" s="42"/>
      <c r="Q851" s="42"/>
      <c r="R851" s="42"/>
    </row>
    <row r="852" spans="15:18" x14ac:dyDescent="0.25">
      <c r="O852" s="42"/>
      <c r="P852" s="42"/>
      <c r="Q852" s="42"/>
      <c r="R852" s="42"/>
    </row>
    <row r="853" spans="15:18" x14ac:dyDescent="0.25">
      <c r="O853" s="42"/>
      <c r="P853" s="42"/>
      <c r="Q853" s="42"/>
      <c r="R853" s="42"/>
    </row>
    <row r="854" spans="15:18" x14ac:dyDescent="0.25">
      <c r="O854" s="42"/>
      <c r="P854" s="42"/>
      <c r="Q854" s="42"/>
      <c r="R854" s="42"/>
    </row>
    <row r="855" spans="15:18" x14ac:dyDescent="0.25">
      <c r="O855" s="42"/>
      <c r="P855" s="42"/>
      <c r="Q855" s="42"/>
      <c r="R855" s="42"/>
    </row>
    <row r="856" spans="15:18" x14ac:dyDescent="0.25">
      <c r="O856" s="42"/>
      <c r="P856" s="42"/>
      <c r="Q856" s="42"/>
      <c r="R856" s="42"/>
    </row>
    <row r="857" spans="15:18" x14ac:dyDescent="0.25">
      <c r="O857" s="42"/>
      <c r="P857" s="42"/>
      <c r="Q857" s="42"/>
      <c r="R857" s="42"/>
    </row>
    <row r="858" spans="15:18" x14ac:dyDescent="0.25">
      <c r="O858" s="42"/>
      <c r="P858" s="42"/>
      <c r="Q858" s="42"/>
      <c r="R858" s="42"/>
    </row>
    <row r="859" spans="15:18" x14ac:dyDescent="0.25">
      <c r="O859" s="42"/>
      <c r="P859" s="42"/>
      <c r="Q859" s="42"/>
      <c r="R859" s="42"/>
    </row>
    <row r="860" spans="15:18" x14ac:dyDescent="0.25">
      <c r="O860" s="42"/>
      <c r="P860" s="42"/>
      <c r="Q860" s="42"/>
      <c r="R860" s="42"/>
    </row>
    <row r="861" spans="15:18" x14ac:dyDescent="0.25">
      <c r="O861" s="42"/>
      <c r="P861" s="42"/>
      <c r="Q861" s="42"/>
      <c r="R861" s="42"/>
    </row>
    <row r="862" spans="15:18" x14ac:dyDescent="0.25">
      <c r="O862" s="42"/>
      <c r="P862" s="42"/>
      <c r="Q862" s="42"/>
      <c r="R862" s="42"/>
    </row>
    <row r="863" spans="15:18" x14ac:dyDescent="0.25">
      <c r="O863" s="42"/>
      <c r="P863" s="42"/>
      <c r="Q863" s="42"/>
      <c r="R863" s="42"/>
    </row>
    <row r="864" spans="15:18" x14ac:dyDescent="0.25">
      <c r="O864" s="42"/>
      <c r="P864" s="42"/>
      <c r="Q864" s="42"/>
      <c r="R864" s="42"/>
    </row>
    <row r="865" spans="15:18" x14ac:dyDescent="0.25">
      <c r="O865" s="42"/>
      <c r="P865" s="42"/>
      <c r="Q865" s="42"/>
      <c r="R865" s="42"/>
    </row>
    <row r="866" spans="15:18" x14ac:dyDescent="0.25">
      <c r="O866" s="42"/>
      <c r="P866" s="42"/>
      <c r="Q866" s="42"/>
      <c r="R866" s="42"/>
    </row>
    <row r="867" spans="15:18" x14ac:dyDescent="0.25">
      <c r="O867" s="42"/>
      <c r="P867" s="42"/>
      <c r="Q867" s="42"/>
      <c r="R867" s="42"/>
    </row>
    <row r="868" spans="15:18" x14ac:dyDescent="0.25">
      <c r="O868" s="42"/>
      <c r="P868" s="42"/>
      <c r="Q868" s="42"/>
      <c r="R868" s="42"/>
    </row>
    <row r="869" spans="15:18" x14ac:dyDescent="0.25">
      <c r="O869" s="42"/>
      <c r="P869" s="42"/>
      <c r="Q869" s="42"/>
      <c r="R869" s="42"/>
    </row>
    <row r="870" spans="15:18" x14ac:dyDescent="0.25">
      <c r="O870" s="42"/>
      <c r="P870" s="42"/>
      <c r="Q870" s="42"/>
      <c r="R870" s="42"/>
    </row>
    <row r="871" spans="15:18" x14ac:dyDescent="0.25">
      <c r="O871" s="42"/>
      <c r="P871" s="42"/>
      <c r="Q871" s="42"/>
      <c r="R871" s="42"/>
    </row>
    <row r="872" spans="15:18" x14ac:dyDescent="0.25">
      <c r="O872" s="42"/>
      <c r="P872" s="42"/>
      <c r="Q872" s="42"/>
      <c r="R872" s="42"/>
    </row>
    <row r="873" spans="15:18" x14ac:dyDescent="0.25">
      <c r="O873" s="42"/>
      <c r="P873" s="42"/>
      <c r="Q873" s="42"/>
      <c r="R873" s="42"/>
    </row>
    <row r="874" spans="15:18" x14ac:dyDescent="0.25">
      <c r="O874" s="42"/>
      <c r="P874" s="42"/>
      <c r="Q874" s="42"/>
      <c r="R874" s="42"/>
    </row>
    <row r="875" spans="15:18" x14ac:dyDescent="0.25">
      <c r="O875" s="42"/>
      <c r="P875" s="42"/>
      <c r="Q875" s="42"/>
      <c r="R875" s="42"/>
    </row>
    <row r="876" spans="15:18" x14ac:dyDescent="0.25">
      <c r="O876" s="42"/>
      <c r="P876" s="42"/>
      <c r="Q876" s="42"/>
      <c r="R876" s="42"/>
    </row>
    <row r="877" spans="15:18" x14ac:dyDescent="0.25">
      <c r="O877" s="42"/>
      <c r="P877" s="42"/>
      <c r="Q877" s="42"/>
      <c r="R877" s="42"/>
    </row>
    <row r="878" spans="15:18" x14ac:dyDescent="0.25">
      <c r="O878" s="42"/>
      <c r="P878" s="42"/>
      <c r="Q878" s="42"/>
      <c r="R878" s="42"/>
    </row>
    <row r="879" spans="15:18" x14ac:dyDescent="0.25">
      <c r="O879" s="42"/>
      <c r="P879" s="42"/>
      <c r="Q879" s="42"/>
      <c r="R879" s="42"/>
    </row>
    <row r="880" spans="15:18" x14ac:dyDescent="0.25">
      <c r="O880" s="42"/>
      <c r="P880" s="42"/>
      <c r="Q880" s="42"/>
      <c r="R880" s="42"/>
    </row>
    <row r="881" spans="15:18" x14ac:dyDescent="0.25">
      <c r="O881" s="42"/>
      <c r="P881" s="42"/>
      <c r="Q881" s="42"/>
      <c r="R881" s="42"/>
    </row>
    <row r="882" spans="15:18" x14ac:dyDescent="0.25">
      <c r="O882" s="42"/>
      <c r="P882" s="42"/>
      <c r="Q882" s="42"/>
      <c r="R882" s="42"/>
    </row>
    <row r="883" spans="15:18" x14ac:dyDescent="0.25">
      <c r="O883" s="42"/>
      <c r="P883" s="42"/>
      <c r="Q883" s="42"/>
      <c r="R883" s="42"/>
    </row>
    <row r="884" spans="15:18" x14ac:dyDescent="0.25">
      <c r="O884" s="42"/>
      <c r="P884" s="42"/>
      <c r="Q884" s="42"/>
      <c r="R884" s="42"/>
    </row>
    <row r="885" spans="15:18" x14ac:dyDescent="0.25">
      <c r="O885" s="42"/>
      <c r="P885" s="42"/>
      <c r="Q885" s="42"/>
      <c r="R885" s="42"/>
    </row>
    <row r="886" spans="15:18" x14ac:dyDescent="0.25">
      <c r="O886" s="42"/>
      <c r="P886" s="42"/>
      <c r="Q886" s="42"/>
      <c r="R886" s="42"/>
    </row>
    <row r="887" spans="15:18" x14ac:dyDescent="0.25">
      <c r="O887" s="42"/>
      <c r="P887" s="42"/>
      <c r="Q887" s="42"/>
      <c r="R887" s="42"/>
    </row>
    <row r="888" spans="15:18" x14ac:dyDescent="0.25">
      <c r="O888" s="42"/>
      <c r="P888" s="42"/>
      <c r="Q888" s="42"/>
      <c r="R888" s="42"/>
    </row>
    <row r="889" spans="15:18" x14ac:dyDescent="0.25">
      <c r="O889" s="42"/>
      <c r="P889" s="42"/>
      <c r="Q889" s="42"/>
      <c r="R889" s="42"/>
    </row>
    <row r="890" spans="15:18" x14ac:dyDescent="0.25">
      <c r="O890" s="42"/>
      <c r="P890" s="42"/>
      <c r="Q890" s="42"/>
      <c r="R890" s="42"/>
    </row>
    <row r="891" spans="15:18" x14ac:dyDescent="0.25">
      <c r="O891" s="42"/>
      <c r="P891" s="42"/>
      <c r="Q891" s="42"/>
      <c r="R891" s="42"/>
    </row>
    <row r="892" spans="15:18" x14ac:dyDescent="0.25">
      <c r="O892" s="42"/>
      <c r="P892" s="42"/>
      <c r="Q892" s="42"/>
      <c r="R892" s="42"/>
    </row>
    <row r="893" spans="15:18" x14ac:dyDescent="0.25">
      <c r="O893" s="42"/>
      <c r="P893" s="42"/>
      <c r="Q893" s="42"/>
      <c r="R893" s="42"/>
    </row>
    <row r="894" spans="15:18" x14ac:dyDescent="0.25">
      <c r="O894" s="42"/>
      <c r="P894" s="42"/>
      <c r="Q894" s="42"/>
      <c r="R894" s="42"/>
    </row>
  </sheetData>
  <sheetProtection sheet="1" objects="1" scenarios="1"/>
  <autoFilter ref="A1:T809"/>
  <sortState ref="A2:S532">
    <sortCondition ref="A2"/>
  </sortState>
  <phoneticPr fontId="14" type="noConversion"/>
  <printOptions horizontalCentered="1" gridLines="1"/>
  <pageMargins left="0.15748031496062992" right="0.15748031496062992" top="0.59055118110236227" bottom="0.39370078740157483" header="0.51181102362204722" footer="0.11811023622047245"/>
  <pageSetup paperSize="9" scale="45" fitToHeight="8" orientation="landscape" r:id="rId1"/>
  <headerFooter alignWithMargins="0">
    <oddFooter>&amp;L&amp;F&amp;CSida &amp;P av &amp;N&amp;R&amp;A</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7030A0"/>
    <pageSetUpPr fitToPage="1"/>
  </sheetPr>
  <dimension ref="A2:B23"/>
  <sheetViews>
    <sheetView tabSelected="1" zoomScaleNormal="100" workbookViewId="0"/>
  </sheetViews>
  <sheetFormatPr defaultColWidth="8.85546875" defaultRowHeight="15" x14ac:dyDescent="0.25"/>
  <cols>
    <col min="1" max="1" width="124.42578125" customWidth="1"/>
  </cols>
  <sheetData>
    <row r="2" spans="1:2" s="33" customFormat="1" ht="18.75" x14ac:dyDescent="0.3">
      <c r="A2" s="250" t="s">
        <v>2173</v>
      </c>
    </row>
    <row r="3" spans="1:2" s="33" customFormat="1" ht="18.75" x14ac:dyDescent="0.3">
      <c r="A3" s="250"/>
    </row>
    <row r="4" spans="1:2" s="33" customFormat="1" ht="84.75" customHeight="1" x14ac:dyDescent="0.3">
      <c r="A4" s="306" t="s">
        <v>2222</v>
      </c>
    </row>
    <row r="5" spans="1:2" ht="88.5" customHeight="1" x14ac:dyDescent="0.25">
      <c r="A5" s="249" t="s">
        <v>2221</v>
      </c>
    </row>
    <row r="6" spans="1:2" ht="47.25" customHeight="1" x14ac:dyDescent="0.25">
      <c r="A6" s="566" t="s">
        <v>2188</v>
      </c>
      <c r="B6" s="39"/>
    </row>
    <row r="7" spans="1:2" ht="59.25" customHeight="1" x14ac:dyDescent="0.25">
      <c r="A7" s="249" t="s">
        <v>2151</v>
      </c>
    </row>
    <row r="8" spans="1:2" ht="97.5" customHeight="1" x14ac:dyDescent="0.25">
      <c r="A8" s="566" t="s">
        <v>1724</v>
      </c>
    </row>
    <row r="9" spans="1:2" ht="50.25" customHeight="1" x14ac:dyDescent="0.25">
      <c r="A9" s="566" t="s">
        <v>2174</v>
      </c>
    </row>
    <row r="10" spans="1:2" ht="71.25" customHeight="1" x14ac:dyDescent="0.25">
      <c r="A10" s="249" t="s">
        <v>1836</v>
      </c>
    </row>
    <row r="11" spans="1:2" ht="65.25" customHeight="1" x14ac:dyDescent="0.25">
      <c r="A11" s="249" t="s">
        <v>913</v>
      </c>
    </row>
    <row r="12" spans="1:2" ht="56.25" customHeight="1" x14ac:dyDescent="0.25">
      <c r="A12" s="249" t="s">
        <v>1361</v>
      </c>
    </row>
    <row r="13" spans="1:2" ht="51" customHeight="1" x14ac:dyDescent="0.25">
      <c r="A13" s="249" t="s">
        <v>1916</v>
      </c>
    </row>
    <row r="14" spans="1:2" ht="15" customHeight="1" x14ac:dyDescent="0.25">
      <c r="A14" s="249"/>
    </row>
    <row r="15" spans="1:2" x14ac:dyDescent="0.25">
      <c r="A15" s="253" t="s">
        <v>1097</v>
      </c>
    </row>
    <row r="16" spans="1:2" x14ac:dyDescent="0.25">
      <c r="A16" s="252" t="s">
        <v>929</v>
      </c>
    </row>
    <row r="17" spans="1:1" x14ac:dyDescent="0.25">
      <c r="A17" s="252"/>
    </row>
    <row r="18" spans="1:1" x14ac:dyDescent="0.25">
      <c r="A18" s="251"/>
    </row>
    <row r="19" spans="1:1" ht="32.25" customHeight="1" x14ac:dyDescent="0.25">
      <c r="A19" s="249" t="s">
        <v>1790</v>
      </c>
    </row>
    <row r="20" spans="1:1" x14ac:dyDescent="0.25">
      <c r="A20" s="262" t="s">
        <v>1725</v>
      </c>
    </row>
    <row r="23" spans="1:1" ht="18.75" x14ac:dyDescent="0.25">
      <c r="A23" s="249"/>
    </row>
  </sheetData>
  <sheetProtection sheet="1" objects="1" scenarios="1"/>
  <hyperlinks>
    <hyperlink ref="A16" r:id="rId1"/>
    <hyperlink ref="A20" r:id="rId2"/>
  </hyperlinks>
  <pageMargins left="0.70866141732283472" right="0.70866141732283472" top="0.74803149606299213" bottom="0.74803149606299213" header="0.31496062992125984" footer="0.31496062992125984"/>
  <pageSetup paperSize="9" scale="71" orientation="portrait"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0">
    <tabColor rgb="FFC00000"/>
  </sheetPr>
  <dimension ref="A1:H213"/>
  <sheetViews>
    <sheetView zoomScaleNormal="100" workbookViewId="0">
      <selection activeCell="D1" sqref="D1"/>
    </sheetView>
  </sheetViews>
  <sheetFormatPr defaultColWidth="8.85546875" defaultRowHeight="15" x14ac:dyDescent="0.25"/>
  <cols>
    <col min="2" max="2" width="44.5703125" customWidth="1"/>
    <col min="4" max="4" width="49.140625" customWidth="1"/>
    <col min="8" max="8" width="37.42578125" bestFit="1" customWidth="1"/>
  </cols>
  <sheetData>
    <row r="1" spans="1:8" s="1" customFormat="1" ht="14.25" x14ac:dyDescent="0.2">
      <c r="A1" s="1" t="s">
        <v>153</v>
      </c>
      <c r="B1" s="1" t="s">
        <v>157</v>
      </c>
      <c r="C1" s="1" t="s">
        <v>71</v>
      </c>
      <c r="G1" s="1" t="s">
        <v>1382</v>
      </c>
    </row>
    <row r="2" spans="1:8" s="1" customFormat="1" ht="14.25" x14ac:dyDescent="0.2">
      <c r="A2" s="1">
        <v>0</v>
      </c>
      <c r="B2" s="1">
        <v>0</v>
      </c>
      <c r="C2" s="1" t="s">
        <v>76</v>
      </c>
      <c r="G2" s="1" t="s">
        <v>1380</v>
      </c>
    </row>
    <row r="3" spans="1:8" x14ac:dyDescent="0.25">
      <c r="A3">
        <v>1001</v>
      </c>
      <c r="B3" s="11" t="s">
        <v>184</v>
      </c>
      <c r="C3" t="s">
        <v>72</v>
      </c>
      <c r="G3">
        <v>1620</v>
      </c>
      <c r="H3" s="11"/>
    </row>
    <row r="4" spans="1:8" x14ac:dyDescent="0.25">
      <c r="A4">
        <v>1010</v>
      </c>
      <c r="B4" s="11" t="s">
        <v>185</v>
      </c>
      <c r="C4" t="s">
        <v>72</v>
      </c>
      <c r="G4">
        <v>1630</v>
      </c>
      <c r="H4" s="12"/>
    </row>
    <row r="5" spans="1:8" x14ac:dyDescent="0.25">
      <c r="A5">
        <v>1020</v>
      </c>
      <c r="B5" s="11" t="s">
        <v>186</v>
      </c>
      <c r="C5" t="s">
        <v>72</v>
      </c>
      <c r="G5">
        <v>1640</v>
      </c>
      <c r="H5" s="11"/>
    </row>
    <row r="6" spans="1:8" x14ac:dyDescent="0.25">
      <c r="A6">
        <v>1030</v>
      </c>
      <c r="B6" s="11" t="s">
        <v>187</v>
      </c>
      <c r="C6" t="s">
        <v>72</v>
      </c>
      <c r="G6">
        <v>1650</v>
      </c>
      <c r="H6" s="11"/>
    </row>
    <row r="7" spans="1:8" x14ac:dyDescent="0.25">
      <c r="A7">
        <v>1040</v>
      </c>
      <c r="B7" s="13" t="s">
        <v>177</v>
      </c>
      <c r="C7" t="s">
        <v>72</v>
      </c>
      <c r="G7">
        <v>2180</v>
      </c>
      <c r="H7" s="11"/>
    </row>
    <row r="8" spans="1:8" x14ac:dyDescent="0.25">
      <c r="A8">
        <v>1400</v>
      </c>
      <c r="B8" s="11" t="s">
        <v>188</v>
      </c>
      <c r="C8" t="s">
        <v>72</v>
      </c>
      <c r="G8">
        <v>2193</v>
      </c>
      <c r="H8" s="11"/>
    </row>
    <row r="9" spans="1:8" x14ac:dyDescent="0.25">
      <c r="A9">
        <v>1620</v>
      </c>
      <c r="B9" s="13" t="s">
        <v>176</v>
      </c>
      <c r="C9" t="s">
        <v>72</v>
      </c>
      <c r="G9">
        <v>2200</v>
      </c>
      <c r="H9" s="11"/>
    </row>
    <row r="10" spans="1:8" x14ac:dyDescent="0.25">
      <c r="A10">
        <v>1630</v>
      </c>
      <c r="B10" s="13" t="s">
        <v>172</v>
      </c>
      <c r="C10" t="s">
        <v>72</v>
      </c>
      <c r="G10">
        <v>2220</v>
      </c>
      <c r="H10" s="11"/>
    </row>
    <row r="11" spans="1:8" x14ac:dyDescent="0.25">
      <c r="A11">
        <v>1640</v>
      </c>
      <c r="B11" s="13" t="s">
        <v>173</v>
      </c>
      <c r="C11" t="s">
        <v>72</v>
      </c>
      <c r="G11">
        <v>2271</v>
      </c>
      <c r="H11" s="13"/>
    </row>
    <row r="12" spans="1:8" x14ac:dyDescent="0.25">
      <c r="A12">
        <v>1650</v>
      </c>
      <c r="B12" s="11" t="s">
        <v>11</v>
      </c>
      <c r="C12" t="s">
        <v>72</v>
      </c>
      <c r="G12">
        <v>2272</v>
      </c>
      <c r="H12" s="11"/>
    </row>
    <row r="13" spans="1:8" x14ac:dyDescent="0.25">
      <c r="A13">
        <v>1660</v>
      </c>
      <c r="B13" s="11" t="s">
        <v>319</v>
      </c>
      <c r="C13" t="s">
        <v>72</v>
      </c>
      <c r="G13">
        <v>2300</v>
      </c>
      <c r="H13" s="13"/>
    </row>
    <row r="14" spans="1:8" x14ac:dyDescent="0.25">
      <c r="A14">
        <v>2000</v>
      </c>
      <c r="B14" s="11" t="s">
        <v>189</v>
      </c>
      <c r="C14" t="s">
        <v>73</v>
      </c>
      <c r="G14">
        <v>2340</v>
      </c>
      <c r="H14" s="11"/>
    </row>
    <row r="15" spans="1:8" x14ac:dyDescent="0.25">
      <c r="A15">
        <v>2001</v>
      </c>
      <c r="B15" s="11" t="s">
        <v>190</v>
      </c>
      <c r="C15" t="s">
        <v>73</v>
      </c>
      <c r="G15" s="31">
        <v>2360</v>
      </c>
      <c r="H15" s="11"/>
    </row>
    <row r="16" spans="1:8" x14ac:dyDescent="0.25">
      <c r="A16">
        <v>2011</v>
      </c>
      <c r="B16" s="11" t="s">
        <v>160</v>
      </c>
      <c r="C16" t="s">
        <v>73</v>
      </c>
      <c r="G16">
        <v>2500</v>
      </c>
      <c r="H16" s="11"/>
    </row>
    <row r="17" spans="1:8" x14ac:dyDescent="0.25">
      <c r="A17">
        <v>2050</v>
      </c>
      <c r="B17" s="11" t="s">
        <v>191</v>
      </c>
      <c r="C17" t="s">
        <v>73</v>
      </c>
      <c r="G17">
        <v>2750</v>
      </c>
      <c r="H17" s="11"/>
    </row>
    <row r="18" spans="1:8" x14ac:dyDescent="0.25">
      <c r="A18">
        <v>2160</v>
      </c>
      <c r="B18" s="11" t="s">
        <v>161</v>
      </c>
      <c r="C18" t="s">
        <v>73</v>
      </c>
      <c r="G18">
        <v>3306</v>
      </c>
      <c r="H18" s="11"/>
    </row>
    <row r="19" spans="1:8" x14ac:dyDescent="0.25">
      <c r="A19">
        <v>2170</v>
      </c>
      <c r="B19" s="60" t="s">
        <v>405</v>
      </c>
      <c r="C19" t="s">
        <v>73</v>
      </c>
      <c r="G19">
        <v>3850</v>
      </c>
      <c r="H19" s="11"/>
    </row>
    <row r="20" spans="1:8" x14ac:dyDescent="0.25">
      <c r="A20">
        <v>2180</v>
      </c>
      <c r="B20" s="11" t="s">
        <v>192</v>
      </c>
      <c r="C20" t="s">
        <v>73</v>
      </c>
      <c r="G20">
        <v>5100</v>
      </c>
      <c r="H20" s="11"/>
    </row>
    <row r="21" spans="1:8" x14ac:dyDescent="0.25">
      <c r="A21">
        <v>2190</v>
      </c>
      <c r="B21" s="11" t="s">
        <v>193</v>
      </c>
      <c r="C21" t="s">
        <v>73</v>
      </c>
      <c r="G21">
        <v>5160</v>
      </c>
      <c r="H21" s="11"/>
    </row>
    <row r="22" spans="1:8" x14ac:dyDescent="0.25">
      <c r="A22">
        <v>2191</v>
      </c>
      <c r="B22" s="11" t="s">
        <v>320</v>
      </c>
      <c r="C22" t="s">
        <v>73</v>
      </c>
      <c r="G22">
        <v>5400</v>
      </c>
      <c r="H22" s="11"/>
    </row>
    <row r="23" spans="1:8" x14ac:dyDescent="0.25">
      <c r="A23">
        <v>2192</v>
      </c>
      <c r="B23" s="11" t="s">
        <v>318</v>
      </c>
      <c r="C23" t="s">
        <v>73</v>
      </c>
      <c r="G23">
        <v>5410</v>
      </c>
      <c r="H23" s="11"/>
    </row>
    <row r="24" spans="1:8" x14ac:dyDescent="0.25">
      <c r="A24">
        <v>2193</v>
      </c>
      <c r="B24" s="60" t="s">
        <v>1121</v>
      </c>
      <c r="C24" t="s">
        <v>73</v>
      </c>
      <c r="G24">
        <v>5500</v>
      </c>
      <c r="H24" s="11"/>
    </row>
    <row r="25" spans="1:8" x14ac:dyDescent="0.25">
      <c r="A25">
        <v>2200</v>
      </c>
      <c r="B25" s="11" t="s">
        <v>194</v>
      </c>
      <c r="C25" t="s">
        <v>73</v>
      </c>
      <c r="G25">
        <v>5700</v>
      </c>
      <c r="H25" s="11"/>
    </row>
    <row r="26" spans="1:8" x14ac:dyDescent="0.25">
      <c r="A26">
        <v>2220</v>
      </c>
      <c r="B26" s="11" t="s">
        <v>195</v>
      </c>
      <c r="C26" t="s">
        <v>73</v>
      </c>
      <c r="G26">
        <v>5730</v>
      </c>
      <c r="H26" s="11"/>
    </row>
    <row r="27" spans="1:8" x14ac:dyDescent="0.25">
      <c r="A27">
        <v>2270</v>
      </c>
      <c r="B27" s="43" t="s">
        <v>777</v>
      </c>
      <c r="C27" t="s">
        <v>73</v>
      </c>
      <c r="G27">
        <v>5740</v>
      </c>
      <c r="H27" s="11"/>
    </row>
    <row r="28" spans="1:8" x14ac:dyDescent="0.25">
      <c r="A28">
        <v>2271</v>
      </c>
      <c r="B28" s="11" t="s">
        <v>196</v>
      </c>
      <c r="C28" t="s">
        <v>73</v>
      </c>
    </row>
    <row r="29" spans="1:8" x14ac:dyDescent="0.25">
      <c r="A29">
        <v>2272</v>
      </c>
      <c r="B29" s="11" t="s">
        <v>200</v>
      </c>
      <c r="C29" t="s">
        <v>73</v>
      </c>
    </row>
    <row r="30" spans="1:8" x14ac:dyDescent="0.25">
      <c r="A30">
        <v>2300</v>
      </c>
      <c r="B30" s="11" t="s">
        <v>197</v>
      </c>
      <c r="C30" t="s">
        <v>73</v>
      </c>
      <c r="H30" s="12"/>
    </row>
    <row r="31" spans="1:8" x14ac:dyDescent="0.25">
      <c r="A31">
        <v>2340</v>
      </c>
      <c r="B31" s="11" t="s">
        <v>198</v>
      </c>
      <c r="C31" t="s">
        <v>73</v>
      </c>
      <c r="H31" s="11"/>
    </row>
    <row r="32" spans="1:8" x14ac:dyDescent="0.25">
      <c r="A32" s="194">
        <v>2360</v>
      </c>
      <c r="B32" s="246" t="s">
        <v>199</v>
      </c>
      <c r="C32" s="194" t="s">
        <v>73</v>
      </c>
      <c r="D32" s="194" t="s">
        <v>1520</v>
      </c>
      <c r="H32" s="11"/>
    </row>
    <row r="33" spans="1:8" x14ac:dyDescent="0.25">
      <c r="A33">
        <v>2400</v>
      </c>
      <c r="B33" s="11" t="s">
        <v>201</v>
      </c>
      <c r="C33" t="s">
        <v>73</v>
      </c>
      <c r="H33" s="11"/>
    </row>
    <row r="34" spans="1:8" x14ac:dyDescent="0.25">
      <c r="A34">
        <v>2401</v>
      </c>
      <c r="B34" s="11" t="s">
        <v>202</v>
      </c>
      <c r="C34" t="s">
        <v>73</v>
      </c>
      <c r="H34" s="11"/>
    </row>
    <row r="35" spans="1:8" x14ac:dyDescent="0.25">
      <c r="A35">
        <v>2500</v>
      </c>
      <c r="B35" s="60" t="s">
        <v>2096</v>
      </c>
      <c r="C35" t="s">
        <v>73</v>
      </c>
      <c r="H35" s="11"/>
    </row>
    <row r="36" spans="1:8" x14ac:dyDescent="0.25">
      <c r="A36">
        <v>2600</v>
      </c>
      <c r="B36" s="11" t="s">
        <v>203</v>
      </c>
      <c r="C36" t="s">
        <v>73</v>
      </c>
      <c r="H36" s="11"/>
    </row>
    <row r="37" spans="1:8" x14ac:dyDescent="0.25">
      <c r="A37">
        <v>2700</v>
      </c>
      <c r="B37" s="11" t="s">
        <v>204</v>
      </c>
      <c r="C37" t="s">
        <v>73</v>
      </c>
      <c r="H37" s="11"/>
    </row>
    <row r="38" spans="1:8" x14ac:dyDescent="0.25">
      <c r="A38">
        <v>2750</v>
      </c>
      <c r="B38" s="11" t="s">
        <v>205</v>
      </c>
      <c r="C38" t="s">
        <v>73</v>
      </c>
      <c r="H38" s="11"/>
    </row>
    <row r="39" spans="1:8" x14ac:dyDescent="0.25">
      <c r="A39">
        <v>2800</v>
      </c>
      <c r="B39" s="11" t="s">
        <v>206</v>
      </c>
      <c r="C39" t="s">
        <v>73</v>
      </c>
      <c r="H39" s="13"/>
    </row>
    <row r="40" spans="1:8" x14ac:dyDescent="0.25">
      <c r="A40">
        <v>2850</v>
      </c>
      <c r="B40" s="13" t="s">
        <v>174</v>
      </c>
      <c r="C40" t="s">
        <v>73</v>
      </c>
      <c r="H40" s="11"/>
    </row>
    <row r="41" spans="1:8" x14ac:dyDescent="0.25">
      <c r="A41">
        <v>2880</v>
      </c>
      <c r="B41" s="11" t="s">
        <v>207</v>
      </c>
      <c r="C41" t="s">
        <v>73</v>
      </c>
      <c r="H41" s="11"/>
    </row>
    <row r="42" spans="1:8" x14ac:dyDescent="0.25">
      <c r="A42">
        <v>2900</v>
      </c>
      <c r="B42" s="11" t="s">
        <v>208</v>
      </c>
      <c r="C42" t="s">
        <v>73</v>
      </c>
      <c r="H42" s="11"/>
    </row>
    <row r="43" spans="1:8" x14ac:dyDescent="0.25">
      <c r="A43">
        <v>2905</v>
      </c>
      <c r="B43" s="11" t="s">
        <v>209</v>
      </c>
      <c r="C43" t="s">
        <v>73</v>
      </c>
      <c r="H43" s="11"/>
    </row>
    <row r="44" spans="1:8" x14ac:dyDescent="0.25">
      <c r="A44">
        <v>2910</v>
      </c>
      <c r="B44" s="11" t="s">
        <v>210</v>
      </c>
      <c r="C44" t="s">
        <v>73</v>
      </c>
      <c r="H44" s="13"/>
    </row>
    <row r="45" spans="1:8" x14ac:dyDescent="0.25">
      <c r="A45">
        <v>2911</v>
      </c>
      <c r="B45" s="11" t="s">
        <v>211</v>
      </c>
      <c r="C45" t="s">
        <v>73</v>
      </c>
      <c r="H45" s="11"/>
    </row>
    <row r="46" spans="1:8" x14ac:dyDescent="0.25">
      <c r="A46">
        <v>2912</v>
      </c>
      <c r="B46" s="11" t="s">
        <v>212</v>
      </c>
      <c r="C46" t="s">
        <v>73</v>
      </c>
      <c r="H46" s="11"/>
    </row>
    <row r="47" spans="1:8" x14ac:dyDescent="0.25">
      <c r="A47">
        <v>2913</v>
      </c>
      <c r="B47" s="11" t="s">
        <v>213</v>
      </c>
      <c r="C47" t="s">
        <v>73</v>
      </c>
      <c r="H47" s="11"/>
    </row>
    <row r="48" spans="1:8" x14ac:dyDescent="0.25">
      <c r="A48">
        <v>2914</v>
      </c>
      <c r="B48" s="11" t="s">
        <v>162</v>
      </c>
      <c r="C48" t="s">
        <v>73</v>
      </c>
      <c r="H48" s="12"/>
    </row>
    <row r="49" spans="1:8" x14ac:dyDescent="0.25">
      <c r="A49">
        <v>2915</v>
      </c>
      <c r="B49" s="12" t="s">
        <v>214</v>
      </c>
      <c r="C49" t="s">
        <v>73</v>
      </c>
      <c r="H49" s="12"/>
    </row>
    <row r="50" spans="1:8" x14ac:dyDescent="0.25">
      <c r="A50">
        <v>3000</v>
      </c>
      <c r="B50" s="11" t="s">
        <v>215</v>
      </c>
      <c r="C50" t="s">
        <v>74</v>
      </c>
      <c r="H50" s="11"/>
    </row>
    <row r="51" spans="1:8" x14ac:dyDescent="0.25">
      <c r="A51">
        <v>3001</v>
      </c>
      <c r="B51" s="11" t="s">
        <v>216</v>
      </c>
      <c r="C51" t="s">
        <v>74</v>
      </c>
      <c r="H51" s="11"/>
    </row>
    <row r="52" spans="1:8" x14ac:dyDescent="0.25">
      <c r="A52">
        <v>3003</v>
      </c>
      <c r="B52" s="11" t="s">
        <v>217</v>
      </c>
      <c r="C52" t="s">
        <v>74</v>
      </c>
      <c r="H52" s="11"/>
    </row>
    <row r="53" spans="1:8" x14ac:dyDescent="0.25">
      <c r="A53">
        <v>3005</v>
      </c>
      <c r="B53" s="12" t="s">
        <v>218</v>
      </c>
      <c r="C53" t="s">
        <v>74</v>
      </c>
      <c r="H53" s="11"/>
    </row>
    <row r="54" spans="1:8" x14ac:dyDescent="0.25">
      <c r="A54">
        <v>3010</v>
      </c>
      <c r="B54" s="11" t="s">
        <v>219</v>
      </c>
      <c r="C54" t="s">
        <v>74</v>
      </c>
      <c r="H54" s="11"/>
    </row>
    <row r="55" spans="1:8" x14ac:dyDescent="0.25">
      <c r="A55">
        <v>3030</v>
      </c>
      <c r="B55" s="11" t="s">
        <v>220</v>
      </c>
      <c r="C55" t="s">
        <v>74</v>
      </c>
      <c r="H55" s="11"/>
    </row>
    <row r="56" spans="1:8" x14ac:dyDescent="0.25">
      <c r="A56">
        <v>3100</v>
      </c>
      <c r="B56" s="11" t="s">
        <v>221</v>
      </c>
      <c r="C56" t="s">
        <v>74</v>
      </c>
      <c r="H56" s="11"/>
    </row>
    <row r="57" spans="1:8" x14ac:dyDescent="0.25">
      <c r="A57">
        <v>3101</v>
      </c>
      <c r="B57" s="11" t="s">
        <v>222</v>
      </c>
      <c r="C57" t="s">
        <v>74</v>
      </c>
      <c r="H57" s="11"/>
    </row>
    <row r="58" spans="1:8" x14ac:dyDescent="0.25">
      <c r="A58">
        <v>3102</v>
      </c>
      <c r="B58" s="11" t="s">
        <v>223</v>
      </c>
      <c r="C58" t="s">
        <v>74</v>
      </c>
      <c r="H58" s="11"/>
    </row>
    <row r="59" spans="1:8" x14ac:dyDescent="0.25">
      <c r="A59">
        <v>3103</v>
      </c>
      <c r="B59" s="11" t="s">
        <v>224</v>
      </c>
      <c r="C59" t="s">
        <v>74</v>
      </c>
      <c r="H59" s="11"/>
    </row>
    <row r="60" spans="1:8" x14ac:dyDescent="0.25">
      <c r="A60">
        <v>3104</v>
      </c>
      <c r="B60" s="11" t="s">
        <v>225</v>
      </c>
      <c r="C60" t="s">
        <v>74</v>
      </c>
      <c r="H60" s="11"/>
    </row>
    <row r="61" spans="1:8" x14ac:dyDescent="0.25">
      <c r="A61">
        <v>3105</v>
      </c>
      <c r="B61" s="11" t="s">
        <v>226</v>
      </c>
      <c r="C61" t="s">
        <v>74</v>
      </c>
      <c r="H61" s="11"/>
    </row>
    <row r="62" spans="1:8" x14ac:dyDescent="0.25">
      <c r="A62">
        <v>3106</v>
      </c>
      <c r="B62" s="11" t="s">
        <v>227</v>
      </c>
      <c r="C62" t="s">
        <v>74</v>
      </c>
      <c r="H62" s="11"/>
    </row>
    <row r="63" spans="1:8" x14ac:dyDescent="0.25">
      <c r="A63">
        <v>3107</v>
      </c>
      <c r="B63" s="11" t="s">
        <v>228</v>
      </c>
      <c r="C63" t="s">
        <v>74</v>
      </c>
      <c r="H63" s="11"/>
    </row>
    <row r="64" spans="1:8" x14ac:dyDescent="0.25">
      <c r="A64">
        <v>3108</v>
      </c>
      <c r="B64" s="11" t="s">
        <v>229</v>
      </c>
      <c r="C64" t="s">
        <v>74</v>
      </c>
      <c r="H64" s="11"/>
    </row>
    <row r="65" spans="1:8" x14ac:dyDescent="0.25">
      <c r="A65">
        <v>3150</v>
      </c>
      <c r="B65" s="11" t="s">
        <v>230</v>
      </c>
      <c r="C65" t="s">
        <v>74</v>
      </c>
      <c r="H65" s="11"/>
    </row>
    <row r="66" spans="1:8" x14ac:dyDescent="0.25">
      <c r="A66">
        <v>3151</v>
      </c>
      <c r="B66" s="11" t="s">
        <v>231</v>
      </c>
      <c r="C66" t="s">
        <v>74</v>
      </c>
      <c r="H66" s="11"/>
    </row>
    <row r="67" spans="1:8" x14ac:dyDescent="0.25">
      <c r="A67">
        <v>3152</v>
      </c>
      <c r="B67" s="11" t="s">
        <v>232</v>
      </c>
      <c r="C67" t="s">
        <v>74</v>
      </c>
      <c r="H67" s="11"/>
    </row>
    <row r="68" spans="1:8" x14ac:dyDescent="0.25">
      <c r="A68">
        <v>3153</v>
      </c>
      <c r="B68" s="11" t="s">
        <v>233</v>
      </c>
      <c r="C68" t="s">
        <v>74</v>
      </c>
      <c r="H68" s="13"/>
    </row>
    <row r="69" spans="1:8" x14ac:dyDescent="0.25">
      <c r="A69">
        <v>3154</v>
      </c>
      <c r="B69" s="12" t="s">
        <v>234</v>
      </c>
      <c r="C69" t="s">
        <v>74</v>
      </c>
      <c r="H69" s="13"/>
    </row>
    <row r="70" spans="1:8" x14ac:dyDescent="0.25">
      <c r="A70">
        <v>3220</v>
      </c>
      <c r="B70" s="11" t="s">
        <v>235</v>
      </c>
      <c r="C70" t="s">
        <v>74</v>
      </c>
      <c r="H70" s="12"/>
    </row>
    <row r="71" spans="1:8" x14ac:dyDescent="0.25">
      <c r="A71">
        <v>3221</v>
      </c>
      <c r="B71" s="13" t="s">
        <v>175</v>
      </c>
      <c r="C71" t="s">
        <v>74</v>
      </c>
      <c r="H71" s="11"/>
    </row>
    <row r="72" spans="1:8" x14ac:dyDescent="0.25">
      <c r="A72">
        <v>3250</v>
      </c>
      <c r="B72" s="11" t="s">
        <v>236</v>
      </c>
      <c r="C72" t="s">
        <v>74</v>
      </c>
      <c r="H72" s="13"/>
    </row>
    <row r="73" spans="1:8" x14ac:dyDescent="0.25">
      <c r="A73">
        <v>3251</v>
      </c>
      <c r="B73" s="11" t="s">
        <v>237</v>
      </c>
      <c r="C73" t="s">
        <v>74</v>
      </c>
      <c r="H73" s="11"/>
    </row>
    <row r="74" spans="1:8" x14ac:dyDescent="0.25">
      <c r="A74">
        <v>3252</v>
      </c>
      <c r="B74" s="11" t="s">
        <v>238</v>
      </c>
      <c r="C74" t="s">
        <v>74</v>
      </c>
      <c r="H74" s="11"/>
    </row>
    <row r="75" spans="1:8" x14ac:dyDescent="0.25">
      <c r="A75">
        <v>3254</v>
      </c>
      <c r="B75" s="11" t="s">
        <v>239</v>
      </c>
      <c r="C75" t="s">
        <v>74</v>
      </c>
      <c r="H75" s="11"/>
    </row>
    <row r="76" spans="1:8" x14ac:dyDescent="0.25">
      <c r="A76">
        <v>3255</v>
      </c>
      <c r="B76" s="11" t="s">
        <v>240</v>
      </c>
      <c r="C76" t="s">
        <v>74</v>
      </c>
      <c r="H76" s="11"/>
    </row>
    <row r="77" spans="1:8" x14ac:dyDescent="0.25">
      <c r="A77">
        <v>3256</v>
      </c>
      <c r="B77" s="11" t="s">
        <v>241</v>
      </c>
      <c r="C77" t="s">
        <v>74</v>
      </c>
      <c r="H77" s="11"/>
    </row>
    <row r="78" spans="1:8" x14ac:dyDescent="0.25">
      <c r="A78">
        <v>3258</v>
      </c>
      <c r="B78" s="11" t="s">
        <v>243</v>
      </c>
      <c r="C78" t="s">
        <v>74</v>
      </c>
      <c r="H78" s="12"/>
    </row>
    <row r="79" spans="1:8" x14ac:dyDescent="0.25">
      <c r="A79">
        <v>3300</v>
      </c>
      <c r="B79" s="11" t="s">
        <v>244</v>
      </c>
      <c r="C79" t="s">
        <v>74</v>
      </c>
      <c r="H79" s="11"/>
    </row>
    <row r="80" spans="1:8" x14ac:dyDescent="0.25">
      <c r="A80">
        <v>3301</v>
      </c>
      <c r="B80" s="11" t="s">
        <v>245</v>
      </c>
      <c r="C80" t="s">
        <v>74</v>
      </c>
      <c r="H80" s="11"/>
    </row>
    <row r="81" spans="1:8" x14ac:dyDescent="0.25">
      <c r="A81">
        <v>3302</v>
      </c>
      <c r="B81" s="11" t="s">
        <v>246</v>
      </c>
      <c r="C81" t="s">
        <v>74</v>
      </c>
      <c r="H81" s="11"/>
    </row>
    <row r="82" spans="1:8" x14ac:dyDescent="0.25">
      <c r="A82">
        <v>3303</v>
      </c>
      <c r="B82" s="11" t="s">
        <v>247</v>
      </c>
      <c r="C82" t="s">
        <v>74</v>
      </c>
      <c r="H82" s="11"/>
    </row>
    <row r="83" spans="1:8" x14ac:dyDescent="0.25">
      <c r="A83">
        <v>3304</v>
      </c>
      <c r="B83" s="11" t="s">
        <v>248</v>
      </c>
      <c r="C83" t="s">
        <v>74</v>
      </c>
      <c r="H83" s="11"/>
    </row>
    <row r="84" spans="1:8" x14ac:dyDescent="0.25">
      <c r="A84">
        <v>3305</v>
      </c>
      <c r="B84" s="11" t="s">
        <v>249</v>
      </c>
      <c r="C84" t="s">
        <v>74</v>
      </c>
      <c r="H84" s="11"/>
    </row>
    <row r="85" spans="1:8" x14ac:dyDescent="0.25">
      <c r="A85">
        <v>3306</v>
      </c>
      <c r="B85" s="60" t="s">
        <v>242</v>
      </c>
      <c r="C85" t="s">
        <v>74</v>
      </c>
      <c r="D85" t="s">
        <v>1140</v>
      </c>
      <c r="H85" s="11"/>
    </row>
    <row r="86" spans="1:8" x14ac:dyDescent="0.25">
      <c r="A86">
        <v>3350</v>
      </c>
      <c r="B86" s="11" t="s">
        <v>250</v>
      </c>
      <c r="C86" t="s">
        <v>74</v>
      </c>
      <c r="H86" s="11"/>
    </row>
    <row r="87" spans="1:8" x14ac:dyDescent="0.25">
      <c r="A87">
        <v>3351</v>
      </c>
      <c r="B87" s="11" t="s">
        <v>251</v>
      </c>
      <c r="C87" t="s">
        <v>74</v>
      </c>
      <c r="H87" s="11"/>
    </row>
    <row r="88" spans="1:8" x14ac:dyDescent="0.25">
      <c r="A88">
        <v>3352</v>
      </c>
      <c r="B88" s="11" t="s">
        <v>252</v>
      </c>
      <c r="C88" t="s">
        <v>74</v>
      </c>
      <c r="H88" s="11"/>
    </row>
    <row r="89" spans="1:8" x14ac:dyDescent="0.25">
      <c r="A89">
        <v>3353</v>
      </c>
      <c r="B89" s="11" t="s">
        <v>253</v>
      </c>
      <c r="C89" t="s">
        <v>74</v>
      </c>
      <c r="H89" s="11"/>
    </row>
    <row r="90" spans="1:8" x14ac:dyDescent="0.25">
      <c r="A90">
        <v>3400</v>
      </c>
      <c r="B90" s="11" t="s">
        <v>254</v>
      </c>
      <c r="C90" t="s">
        <v>74</v>
      </c>
      <c r="H90" s="11"/>
    </row>
    <row r="91" spans="1:8" x14ac:dyDescent="0.25">
      <c r="A91">
        <v>3401</v>
      </c>
      <c r="B91" s="11" t="s">
        <v>255</v>
      </c>
      <c r="C91" t="s">
        <v>74</v>
      </c>
      <c r="H91" s="11"/>
    </row>
    <row r="92" spans="1:8" x14ac:dyDescent="0.25">
      <c r="A92">
        <v>3402</v>
      </c>
      <c r="B92" s="11" t="s">
        <v>256</v>
      </c>
      <c r="C92" t="s">
        <v>74</v>
      </c>
      <c r="H92" s="11"/>
    </row>
    <row r="93" spans="1:8" x14ac:dyDescent="0.25">
      <c r="A93">
        <v>3403</v>
      </c>
      <c r="B93" s="11" t="s">
        <v>257</v>
      </c>
      <c r="C93" t="s">
        <v>74</v>
      </c>
      <c r="H93" s="11"/>
    </row>
    <row r="94" spans="1:8" x14ac:dyDescent="0.25">
      <c r="A94">
        <v>3405</v>
      </c>
      <c r="B94" s="11" t="s">
        <v>258</v>
      </c>
      <c r="C94" t="s">
        <v>74</v>
      </c>
      <c r="H94" s="11"/>
    </row>
    <row r="95" spans="1:8" x14ac:dyDescent="0.25">
      <c r="A95">
        <v>3450</v>
      </c>
      <c r="B95" s="11" t="s">
        <v>259</v>
      </c>
      <c r="C95" t="s">
        <v>74</v>
      </c>
      <c r="H95" s="11"/>
    </row>
    <row r="96" spans="1:8" x14ac:dyDescent="0.25">
      <c r="A96">
        <v>3451</v>
      </c>
      <c r="B96" s="11" t="s">
        <v>260</v>
      </c>
      <c r="C96" t="s">
        <v>74</v>
      </c>
      <c r="H96" s="11"/>
    </row>
    <row r="97" spans="1:8" x14ac:dyDescent="0.25">
      <c r="A97">
        <v>3452</v>
      </c>
      <c r="B97" s="11" t="s">
        <v>261</v>
      </c>
      <c r="C97" t="s">
        <v>74</v>
      </c>
      <c r="H97" s="11"/>
    </row>
    <row r="98" spans="1:8" x14ac:dyDescent="0.25">
      <c r="A98">
        <v>3453</v>
      </c>
      <c r="B98" s="11" t="s">
        <v>262</v>
      </c>
      <c r="C98" t="s">
        <v>74</v>
      </c>
      <c r="H98" s="11"/>
    </row>
    <row r="99" spans="1:8" x14ac:dyDescent="0.25">
      <c r="A99">
        <v>3454</v>
      </c>
      <c r="B99" s="11" t="s">
        <v>263</v>
      </c>
      <c r="C99" t="s">
        <v>74</v>
      </c>
      <c r="H99" s="11"/>
    </row>
    <row r="100" spans="1:8" x14ac:dyDescent="0.25">
      <c r="A100">
        <v>3455</v>
      </c>
      <c r="B100" s="11" t="s">
        <v>264</v>
      </c>
      <c r="C100" t="s">
        <v>74</v>
      </c>
      <c r="H100" s="11"/>
    </row>
    <row r="101" spans="1:8" x14ac:dyDescent="0.25">
      <c r="A101">
        <v>3456</v>
      </c>
      <c r="B101" s="11" t="s">
        <v>265</v>
      </c>
      <c r="C101" t="s">
        <v>74</v>
      </c>
      <c r="H101" s="11"/>
    </row>
    <row r="102" spans="1:8" x14ac:dyDescent="0.25">
      <c r="A102">
        <v>3500</v>
      </c>
      <c r="B102" s="11" t="s">
        <v>266</v>
      </c>
      <c r="C102" t="s">
        <v>74</v>
      </c>
      <c r="H102" s="11"/>
    </row>
    <row r="103" spans="1:8" x14ac:dyDescent="0.25">
      <c r="A103">
        <v>3550</v>
      </c>
      <c r="B103" s="11" t="s">
        <v>267</v>
      </c>
      <c r="C103" t="s">
        <v>74</v>
      </c>
      <c r="H103" s="13"/>
    </row>
    <row r="104" spans="1:8" x14ac:dyDescent="0.25">
      <c r="A104">
        <v>3600</v>
      </c>
      <c r="B104" s="11" t="s">
        <v>268</v>
      </c>
      <c r="C104" t="s">
        <v>74</v>
      </c>
      <c r="H104" s="11"/>
    </row>
    <row r="105" spans="1:8" x14ac:dyDescent="0.25">
      <c r="A105">
        <v>3601</v>
      </c>
      <c r="B105" s="11" t="s">
        <v>269</v>
      </c>
      <c r="C105" t="s">
        <v>74</v>
      </c>
      <c r="H105" s="11"/>
    </row>
    <row r="106" spans="1:8" x14ac:dyDescent="0.25">
      <c r="A106">
        <v>3602</v>
      </c>
      <c r="B106" s="11" t="s">
        <v>270</v>
      </c>
      <c r="C106" t="s">
        <v>74</v>
      </c>
      <c r="H106" s="11"/>
    </row>
    <row r="107" spans="1:8" x14ac:dyDescent="0.25">
      <c r="A107">
        <v>3603</v>
      </c>
      <c r="B107" s="11" t="s">
        <v>271</v>
      </c>
      <c r="C107" t="s">
        <v>74</v>
      </c>
      <c r="H107" s="11"/>
    </row>
    <row r="108" spans="1:8" x14ac:dyDescent="0.25">
      <c r="A108">
        <v>3700</v>
      </c>
      <c r="B108" s="11" t="s">
        <v>272</v>
      </c>
      <c r="C108" t="s">
        <v>74</v>
      </c>
      <c r="H108" s="11"/>
    </row>
    <row r="109" spans="1:8" x14ac:dyDescent="0.25">
      <c r="A109">
        <v>3701</v>
      </c>
      <c r="B109" s="11" t="s">
        <v>273</v>
      </c>
      <c r="C109" t="s">
        <v>74</v>
      </c>
      <c r="H109" s="11"/>
    </row>
    <row r="110" spans="1:8" x14ac:dyDescent="0.25">
      <c r="A110">
        <v>3702</v>
      </c>
      <c r="B110" s="11" t="s">
        <v>274</v>
      </c>
      <c r="C110" t="s">
        <v>74</v>
      </c>
      <c r="H110" s="11"/>
    </row>
    <row r="111" spans="1:8" x14ac:dyDescent="0.25">
      <c r="A111">
        <v>3703</v>
      </c>
      <c r="B111" s="11" t="s">
        <v>275</v>
      </c>
      <c r="C111" t="s">
        <v>74</v>
      </c>
      <c r="H111" s="11"/>
    </row>
    <row r="112" spans="1:8" x14ac:dyDescent="0.25">
      <c r="A112">
        <v>3705</v>
      </c>
      <c r="B112" s="11" t="s">
        <v>276</v>
      </c>
      <c r="C112" t="s">
        <v>74</v>
      </c>
      <c r="H112" s="11"/>
    </row>
    <row r="113" spans="1:8" x14ac:dyDescent="0.25">
      <c r="A113">
        <v>3706</v>
      </c>
      <c r="B113" s="11" t="s">
        <v>277</v>
      </c>
      <c r="C113" t="s">
        <v>74</v>
      </c>
      <c r="H113" s="11"/>
    </row>
    <row r="114" spans="1:8" x14ac:dyDescent="0.25">
      <c r="A114">
        <v>3707</v>
      </c>
      <c r="B114" s="11" t="s">
        <v>278</v>
      </c>
      <c r="C114" t="s">
        <v>74</v>
      </c>
      <c r="H114" s="11"/>
    </row>
    <row r="115" spans="1:8" x14ac:dyDescent="0.25">
      <c r="A115">
        <v>3708</v>
      </c>
      <c r="B115" s="11" t="s">
        <v>279</v>
      </c>
      <c r="C115" t="s">
        <v>74</v>
      </c>
      <c r="H115" s="11"/>
    </row>
    <row r="116" spans="1:8" x14ac:dyDescent="0.25">
      <c r="A116">
        <v>3709</v>
      </c>
      <c r="B116" s="11" t="s">
        <v>280</v>
      </c>
      <c r="C116" t="s">
        <v>74</v>
      </c>
      <c r="H116" s="11"/>
    </row>
    <row r="117" spans="1:8" x14ac:dyDescent="0.25">
      <c r="A117">
        <v>3710</v>
      </c>
      <c r="B117" s="11" t="s">
        <v>281</v>
      </c>
      <c r="C117" t="s">
        <v>74</v>
      </c>
      <c r="H117" s="11"/>
    </row>
    <row r="118" spans="1:8" x14ac:dyDescent="0.25">
      <c r="A118" s="274">
        <v>3850</v>
      </c>
      <c r="B118" s="60" t="s">
        <v>813</v>
      </c>
      <c r="C118" t="s">
        <v>74</v>
      </c>
      <c r="D118" t="s">
        <v>2135</v>
      </c>
      <c r="H118" s="11"/>
    </row>
    <row r="119" spans="1:8" x14ac:dyDescent="0.25">
      <c r="A119">
        <v>3900</v>
      </c>
      <c r="B119" s="11" t="s">
        <v>282</v>
      </c>
      <c r="C119" t="s">
        <v>74</v>
      </c>
      <c r="H119" s="11"/>
    </row>
    <row r="120" spans="1:8" x14ac:dyDescent="0.25">
      <c r="A120">
        <v>3910</v>
      </c>
      <c r="B120" s="11" t="s">
        <v>283</v>
      </c>
      <c r="C120" t="s">
        <v>74</v>
      </c>
      <c r="H120" s="11"/>
    </row>
    <row r="121" spans="1:8" x14ac:dyDescent="0.25">
      <c r="A121">
        <v>3920</v>
      </c>
      <c r="B121" s="13" t="s">
        <v>178</v>
      </c>
      <c r="C121" t="s">
        <v>74</v>
      </c>
      <c r="H121" s="11"/>
    </row>
    <row r="122" spans="1:8" x14ac:dyDescent="0.25">
      <c r="A122">
        <v>3921</v>
      </c>
      <c r="B122" s="13" t="s">
        <v>179</v>
      </c>
      <c r="C122" t="s">
        <v>74</v>
      </c>
      <c r="H122" s="11"/>
    </row>
    <row r="123" spans="1:8" x14ac:dyDescent="0.25">
      <c r="A123">
        <v>3922</v>
      </c>
      <c r="B123" s="13" t="s">
        <v>180</v>
      </c>
      <c r="C123" t="s">
        <v>74</v>
      </c>
      <c r="H123" s="11"/>
    </row>
    <row r="124" spans="1:8" x14ac:dyDescent="0.25">
      <c r="A124">
        <v>3923</v>
      </c>
      <c r="B124" s="13" t="s">
        <v>181</v>
      </c>
      <c r="C124" t="s">
        <v>74</v>
      </c>
      <c r="H124" s="11"/>
    </row>
    <row r="125" spans="1:8" x14ac:dyDescent="0.25">
      <c r="A125">
        <v>3960</v>
      </c>
      <c r="B125" s="11" t="s">
        <v>284</v>
      </c>
      <c r="C125" t="s">
        <v>74</v>
      </c>
      <c r="H125" s="11"/>
    </row>
    <row r="126" spans="1:8" x14ac:dyDescent="0.25">
      <c r="A126">
        <v>3962</v>
      </c>
      <c r="B126" s="11" t="s">
        <v>285</v>
      </c>
      <c r="C126" t="s">
        <v>74</v>
      </c>
      <c r="H126" s="11"/>
    </row>
    <row r="127" spans="1:8" x14ac:dyDescent="0.25">
      <c r="A127">
        <v>3964</v>
      </c>
      <c r="B127" s="11" t="s">
        <v>286</v>
      </c>
      <c r="C127" t="s">
        <v>74</v>
      </c>
      <c r="H127" s="11"/>
    </row>
    <row r="128" spans="1:8" x14ac:dyDescent="0.25">
      <c r="A128">
        <v>3966</v>
      </c>
      <c r="B128" s="11" t="s">
        <v>287</v>
      </c>
      <c r="C128" t="s">
        <v>74</v>
      </c>
      <c r="H128" s="12"/>
    </row>
    <row r="129" spans="1:8" x14ac:dyDescent="0.25">
      <c r="A129">
        <v>3968</v>
      </c>
      <c r="B129" s="11" t="s">
        <v>288</v>
      </c>
      <c r="C129" t="s">
        <v>74</v>
      </c>
      <c r="H129" s="11"/>
    </row>
    <row r="130" spans="1:8" x14ac:dyDescent="0.25">
      <c r="A130">
        <v>3970</v>
      </c>
      <c r="B130" s="11" t="s">
        <v>289</v>
      </c>
      <c r="C130" t="s">
        <v>74</v>
      </c>
      <c r="H130" s="12"/>
    </row>
    <row r="131" spans="1:8" x14ac:dyDescent="0.25">
      <c r="A131">
        <v>3972</v>
      </c>
      <c r="B131" s="11" t="s">
        <v>290</v>
      </c>
      <c r="C131" t="s">
        <v>74</v>
      </c>
      <c r="H131" s="11"/>
    </row>
    <row r="132" spans="1:8" x14ac:dyDescent="0.25">
      <c r="A132">
        <v>3974</v>
      </c>
      <c r="B132" s="11" t="s">
        <v>291</v>
      </c>
      <c r="C132" t="s">
        <v>74</v>
      </c>
      <c r="H132" s="11"/>
    </row>
    <row r="133" spans="1:8" x14ac:dyDescent="0.25">
      <c r="A133">
        <v>3976</v>
      </c>
      <c r="B133" s="11" t="s">
        <v>292</v>
      </c>
      <c r="C133" t="s">
        <v>74</v>
      </c>
      <c r="H133" s="11"/>
    </row>
    <row r="134" spans="1:8" x14ac:dyDescent="0.25">
      <c r="A134">
        <v>3978</v>
      </c>
      <c r="B134" s="11" t="s">
        <v>293</v>
      </c>
      <c r="C134" t="s">
        <v>74</v>
      </c>
      <c r="H134" s="11"/>
    </row>
    <row r="135" spans="1:8" x14ac:dyDescent="0.25">
      <c r="A135">
        <v>3980</v>
      </c>
      <c r="B135" s="11" t="s">
        <v>294</v>
      </c>
      <c r="C135" t="s">
        <v>74</v>
      </c>
      <c r="H135" s="11"/>
    </row>
    <row r="136" spans="1:8" x14ac:dyDescent="0.25">
      <c r="A136">
        <v>3982</v>
      </c>
      <c r="B136" s="11" t="s">
        <v>295</v>
      </c>
      <c r="C136" t="s">
        <v>74</v>
      </c>
      <c r="H136" s="11"/>
    </row>
    <row r="137" spans="1:8" x14ac:dyDescent="0.25">
      <c r="A137">
        <v>3984</v>
      </c>
      <c r="B137" s="11" t="s">
        <v>296</v>
      </c>
      <c r="C137" t="s">
        <v>74</v>
      </c>
      <c r="H137" s="11"/>
    </row>
    <row r="138" spans="1:8" x14ac:dyDescent="0.25">
      <c r="A138">
        <v>3986</v>
      </c>
      <c r="B138" s="11" t="s">
        <v>297</v>
      </c>
      <c r="C138" t="s">
        <v>74</v>
      </c>
      <c r="H138" s="11"/>
    </row>
    <row r="139" spans="1:8" x14ac:dyDescent="0.25">
      <c r="A139">
        <v>3988</v>
      </c>
      <c r="B139" s="11" t="s">
        <v>298</v>
      </c>
      <c r="C139" t="s">
        <v>74</v>
      </c>
      <c r="H139" s="11"/>
    </row>
    <row r="140" spans="1:8" x14ac:dyDescent="0.25">
      <c r="A140">
        <v>3990</v>
      </c>
      <c r="B140" s="11" t="s">
        <v>299</v>
      </c>
      <c r="C140" t="s">
        <v>74</v>
      </c>
      <c r="H140" s="11"/>
    </row>
    <row r="141" spans="1:8" x14ac:dyDescent="0.25">
      <c r="A141">
        <v>5000</v>
      </c>
      <c r="B141" s="11" t="s">
        <v>300</v>
      </c>
      <c r="C141" t="s">
        <v>75</v>
      </c>
      <c r="H141" s="11"/>
    </row>
    <row r="142" spans="1:8" x14ac:dyDescent="0.25">
      <c r="A142">
        <v>5005</v>
      </c>
      <c r="B142" s="11" t="s">
        <v>301</v>
      </c>
      <c r="C142" t="s">
        <v>75</v>
      </c>
      <c r="H142" s="11"/>
    </row>
    <row r="143" spans="1:8" x14ac:dyDescent="0.25">
      <c r="A143">
        <v>5008</v>
      </c>
      <c r="B143" s="11" t="s">
        <v>302</v>
      </c>
      <c r="C143" t="s">
        <v>75</v>
      </c>
      <c r="H143" s="11"/>
    </row>
    <row r="144" spans="1:8" x14ac:dyDescent="0.25">
      <c r="A144">
        <v>5009</v>
      </c>
      <c r="B144" s="12" t="s">
        <v>163</v>
      </c>
      <c r="C144" t="s">
        <v>75</v>
      </c>
      <c r="H144" s="11"/>
    </row>
    <row r="145" spans="1:8" x14ac:dyDescent="0.25">
      <c r="A145">
        <v>5016</v>
      </c>
      <c r="B145" s="11" t="s">
        <v>303</v>
      </c>
      <c r="C145" t="s">
        <v>75</v>
      </c>
      <c r="H145" s="11"/>
    </row>
    <row r="146" spans="1:8" x14ac:dyDescent="0.25">
      <c r="A146">
        <v>5100</v>
      </c>
      <c r="B146" s="12" t="s">
        <v>164</v>
      </c>
      <c r="C146" t="s">
        <v>75</v>
      </c>
      <c r="H146" s="11"/>
    </row>
    <row r="147" spans="1:8" x14ac:dyDescent="0.25">
      <c r="A147">
        <v>5121</v>
      </c>
      <c r="B147" s="11" t="s">
        <v>304</v>
      </c>
      <c r="C147" t="s">
        <v>75</v>
      </c>
      <c r="H147" s="11"/>
    </row>
    <row r="148" spans="1:8" x14ac:dyDescent="0.25">
      <c r="A148">
        <v>5160</v>
      </c>
      <c r="B148" s="11" t="s">
        <v>305</v>
      </c>
      <c r="C148" t="s">
        <v>75</v>
      </c>
      <c r="H148" s="11"/>
    </row>
    <row r="149" spans="1:8" x14ac:dyDescent="0.25">
      <c r="A149">
        <v>5161</v>
      </c>
      <c r="B149" s="11" t="s">
        <v>306</v>
      </c>
      <c r="C149" t="s">
        <v>75</v>
      </c>
      <c r="H149" s="13"/>
    </row>
    <row r="150" spans="1:8" x14ac:dyDescent="0.25">
      <c r="A150">
        <v>5220</v>
      </c>
      <c r="B150" s="11" t="s">
        <v>235</v>
      </c>
      <c r="C150" t="s">
        <v>75</v>
      </c>
      <c r="H150" s="11"/>
    </row>
    <row r="151" spans="1:8" x14ac:dyDescent="0.25">
      <c r="A151">
        <v>5310</v>
      </c>
      <c r="B151" s="11" t="s">
        <v>307</v>
      </c>
      <c r="C151" t="s">
        <v>75</v>
      </c>
      <c r="H151" s="11"/>
    </row>
    <row r="152" spans="1:8" x14ac:dyDescent="0.25">
      <c r="A152">
        <v>5400</v>
      </c>
      <c r="B152" s="11" t="s">
        <v>308</v>
      </c>
      <c r="C152" t="s">
        <v>75</v>
      </c>
      <c r="H152" s="11"/>
    </row>
    <row r="153" spans="1:8" x14ac:dyDescent="0.25">
      <c r="A153">
        <v>5410</v>
      </c>
      <c r="B153" s="60" t="s">
        <v>1096</v>
      </c>
      <c r="C153" t="s">
        <v>75</v>
      </c>
      <c r="H153" s="11"/>
    </row>
    <row r="154" spans="1:8" x14ac:dyDescent="0.25">
      <c r="A154">
        <v>5412</v>
      </c>
      <c r="B154" s="11" t="s">
        <v>309</v>
      </c>
      <c r="C154" t="s">
        <v>75</v>
      </c>
      <c r="H154" s="11"/>
    </row>
    <row r="155" spans="1:8" x14ac:dyDescent="0.25">
      <c r="A155">
        <v>5500</v>
      </c>
      <c r="B155" s="12" t="s">
        <v>165</v>
      </c>
      <c r="C155" t="s">
        <v>75</v>
      </c>
      <c r="H155" s="11"/>
    </row>
    <row r="156" spans="1:8" x14ac:dyDescent="0.25">
      <c r="A156">
        <v>5607</v>
      </c>
      <c r="B156" s="11" t="s">
        <v>310</v>
      </c>
      <c r="C156" t="s">
        <v>75</v>
      </c>
      <c r="H156" s="13"/>
    </row>
    <row r="157" spans="1:8" x14ac:dyDescent="0.25">
      <c r="A157">
        <v>5608</v>
      </c>
      <c r="B157" s="11" t="s">
        <v>311</v>
      </c>
      <c r="C157" t="s">
        <v>75</v>
      </c>
      <c r="H157" s="11"/>
    </row>
    <row r="158" spans="1:8" x14ac:dyDescent="0.25">
      <c r="A158">
        <v>5609</v>
      </c>
      <c r="B158" s="11" t="s">
        <v>312</v>
      </c>
      <c r="C158" t="s">
        <v>75</v>
      </c>
      <c r="H158" s="11"/>
    </row>
    <row r="159" spans="1:8" x14ac:dyDescent="0.25">
      <c r="A159">
        <v>5700</v>
      </c>
      <c r="B159" s="11" t="s">
        <v>313</v>
      </c>
      <c r="C159" t="s">
        <v>75</v>
      </c>
      <c r="H159" s="11"/>
    </row>
    <row r="160" spans="1:8" x14ac:dyDescent="0.25">
      <c r="A160">
        <v>5701</v>
      </c>
      <c r="B160" s="11" t="s">
        <v>314</v>
      </c>
      <c r="C160" t="s">
        <v>75</v>
      </c>
      <c r="H160" s="11"/>
    </row>
    <row r="161" spans="1:8" x14ac:dyDescent="0.25">
      <c r="A161">
        <v>5730</v>
      </c>
      <c r="B161" s="12" t="s">
        <v>166</v>
      </c>
      <c r="C161" t="s">
        <v>75</v>
      </c>
      <c r="H161" s="11"/>
    </row>
    <row r="162" spans="1:8" x14ac:dyDescent="0.25">
      <c r="A162">
        <v>5740</v>
      </c>
      <c r="B162" s="60" t="s">
        <v>461</v>
      </c>
      <c r="C162" t="s">
        <v>75</v>
      </c>
      <c r="H162" s="11"/>
    </row>
    <row r="163" spans="1:8" x14ac:dyDescent="0.25">
      <c r="A163">
        <v>6000</v>
      </c>
      <c r="B163" s="11" t="s">
        <v>315</v>
      </c>
      <c r="C163" s="39" t="s">
        <v>852</v>
      </c>
      <c r="H163" s="11"/>
    </row>
    <row r="164" spans="1:8" x14ac:dyDescent="0.25">
      <c r="A164">
        <v>6100</v>
      </c>
      <c r="B164" s="11" t="s">
        <v>316</v>
      </c>
      <c r="C164" t="s">
        <v>72</v>
      </c>
      <c r="H164" s="11"/>
    </row>
    <row r="165" spans="1:8" x14ac:dyDescent="0.25">
      <c r="A165">
        <v>6150</v>
      </c>
      <c r="B165" s="11" t="s">
        <v>317</v>
      </c>
      <c r="C165" t="s">
        <v>72</v>
      </c>
    </row>
    <row r="166" spans="1:8" x14ac:dyDescent="0.25">
      <c r="A166">
        <v>7000</v>
      </c>
      <c r="B166" s="11" t="s">
        <v>12</v>
      </c>
    </row>
    <row r="167" spans="1:8" x14ac:dyDescent="0.25">
      <c r="A167">
        <v>7001</v>
      </c>
      <c r="B167" s="12" t="s">
        <v>13</v>
      </c>
    </row>
    <row r="168" spans="1:8" x14ac:dyDescent="0.25">
      <c r="A168">
        <v>7002</v>
      </c>
      <c r="B168" s="12" t="s">
        <v>14</v>
      </c>
    </row>
    <row r="169" spans="1:8" x14ac:dyDescent="0.25">
      <c r="A169">
        <v>7006</v>
      </c>
      <c r="B169" s="11" t="s">
        <v>15</v>
      </c>
    </row>
    <row r="170" spans="1:8" x14ac:dyDescent="0.25">
      <c r="A170">
        <v>7008</v>
      </c>
      <c r="B170" s="11" t="s">
        <v>16</v>
      </c>
    </row>
    <row r="171" spans="1:8" x14ac:dyDescent="0.25">
      <c r="A171">
        <v>7050</v>
      </c>
      <c r="B171" s="12" t="s">
        <v>17</v>
      </c>
    </row>
    <row r="172" spans="1:8" x14ac:dyDescent="0.25">
      <c r="A172">
        <v>7055</v>
      </c>
      <c r="B172" s="12" t="s">
        <v>18</v>
      </c>
    </row>
    <row r="173" spans="1:8" x14ac:dyDescent="0.25">
      <c r="A173">
        <v>7101</v>
      </c>
      <c r="B173" s="11" t="s">
        <v>19</v>
      </c>
    </row>
    <row r="174" spans="1:8" x14ac:dyDescent="0.25">
      <c r="A174">
        <v>7103</v>
      </c>
      <c r="B174" s="11" t="s">
        <v>20</v>
      </c>
    </row>
    <row r="175" spans="1:8" x14ac:dyDescent="0.25">
      <c r="A175">
        <v>7300</v>
      </c>
      <c r="B175" s="11" t="s">
        <v>21</v>
      </c>
    </row>
    <row r="176" spans="1:8" x14ac:dyDescent="0.25">
      <c r="A176">
        <v>7400</v>
      </c>
      <c r="B176" s="11" t="s">
        <v>22</v>
      </c>
    </row>
    <row r="177" spans="1:2" x14ac:dyDescent="0.25">
      <c r="A177">
        <v>7401</v>
      </c>
      <c r="B177" s="11" t="s">
        <v>23</v>
      </c>
    </row>
    <row r="178" spans="1:2" x14ac:dyDescent="0.25">
      <c r="A178">
        <v>7460</v>
      </c>
      <c r="B178" s="11" t="s">
        <v>24</v>
      </c>
    </row>
    <row r="179" spans="1:2" x14ac:dyDescent="0.25">
      <c r="A179">
        <v>7500</v>
      </c>
      <c r="B179" s="11" t="s">
        <v>25</v>
      </c>
    </row>
    <row r="180" spans="1:2" x14ac:dyDescent="0.25">
      <c r="A180">
        <v>7504</v>
      </c>
      <c r="B180" s="11" t="s">
        <v>26</v>
      </c>
    </row>
    <row r="181" spans="1:2" x14ac:dyDescent="0.25">
      <c r="A181">
        <v>7508</v>
      </c>
      <c r="B181" s="11" t="s">
        <v>27</v>
      </c>
    </row>
    <row r="182" spans="1:2" x14ac:dyDescent="0.25">
      <c r="A182">
        <v>7510</v>
      </c>
      <c r="B182" s="11" t="s">
        <v>28</v>
      </c>
    </row>
    <row r="183" spans="1:2" x14ac:dyDescent="0.25">
      <c r="A183">
        <v>7512</v>
      </c>
      <c r="B183" s="11" t="s">
        <v>29</v>
      </c>
    </row>
    <row r="184" spans="1:2" x14ac:dyDescent="0.25">
      <c r="A184">
        <v>7514</v>
      </c>
      <c r="B184" s="11" t="s">
        <v>30</v>
      </c>
    </row>
    <row r="185" spans="1:2" x14ac:dyDescent="0.25">
      <c r="A185">
        <v>7516</v>
      </c>
      <c r="B185" s="11" t="s">
        <v>31</v>
      </c>
    </row>
    <row r="186" spans="1:2" x14ac:dyDescent="0.25">
      <c r="A186">
        <v>7518</v>
      </c>
      <c r="B186" s="11" t="s">
        <v>32</v>
      </c>
    </row>
    <row r="187" spans="1:2" x14ac:dyDescent="0.25">
      <c r="A187">
        <v>7522</v>
      </c>
      <c r="B187" s="11" t="s">
        <v>182</v>
      </c>
    </row>
    <row r="188" spans="1:2" x14ac:dyDescent="0.25">
      <c r="A188">
        <v>7524</v>
      </c>
      <c r="B188" s="13" t="s">
        <v>183</v>
      </c>
    </row>
    <row r="189" spans="1:2" x14ac:dyDescent="0.25">
      <c r="A189">
        <v>7526</v>
      </c>
      <c r="B189" s="11" t="s">
        <v>33</v>
      </c>
    </row>
    <row r="190" spans="1:2" x14ac:dyDescent="0.25">
      <c r="A190">
        <v>7530</v>
      </c>
      <c r="B190" s="12" t="s">
        <v>167</v>
      </c>
    </row>
    <row r="191" spans="1:2" x14ac:dyDescent="0.25">
      <c r="A191">
        <v>7531</v>
      </c>
      <c r="B191" s="12" t="s">
        <v>168</v>
      </c>
    </row>
    <row r="192" spans="1:2" x14ac:dyDescent="0.25">
      <c r="A192">
        <v>7600</v>
      </c>
      <c r="B192" s="11" t="s">
        <v>34</v>
      </c>
    </row>
    <row r="193" spans="1:2" x14ac:dyDescent="0.25">
      <c r="A193">
        <v>7602</v>
      </c>
      <c r="B193" s="12" t="s">
        <v>169</v>
      </c>
    </row>
    <row r="194" spans="1:2" x14ac:dyDescent="0.25">
      <c r="A194">
        <v>7605</v>
      </c>
      <c r="B194" s="11" t="s">
        <v>40</v>
      </c>
    </row>
    <row r="195" spans="1:2" x14ac:dyDescent="0.25">
      <c r="A195">
        <v>7610</v>
      </c>
      <c r="B195" s="11" t="s">
        <v>41</v>
      </c>
    </row>
    <row r="196" spans="1:2" x14ac:dyDescent="0.25">
      <c r="A196">
        <v>7615</v>
      </c>
      <c r="B196" s="11" t="s">
        <v>42</v>
      </c>
    </row>
    <row r="197" spans="1:2" x14ac:dyDescent="0.25">
      <c r="A197">
        <v>7620</v>
      </c>
      <c r="B197" s="11" t="s">
        <v>43</v>
      </c>
    </row>
    <row r="198" spans="1:2" x14ac:dyDescent="0.25">
      <c r="A198">
        <v>7625</v>
      </c>
      <c r="B198" s="11" t="s">
        <v>44</v>
      </c>
    </row>
    <row r="199" spans="1:2" x14ac:dyDescent="0.25">
      <c r="A199">
        <v>7630</v>
      </c>
      <c r="B199" s="11" t="s">
        <v>45</v>
      </c>
    </row>
    <row r="200" spans="1:2" x14ac:dyDescent="0.25">
      <c r="A200">
        <v>7635</v>
      </c>
      <c r="B200" s="11" t="s">
        <v>46</v>
      </c>
    </row>
    <row r="201" spans="1:2" x14ac:dyDescent="0.25">
      <c r="A201">
        <v>7640</v>
      </c>
      <c r="B201" s="11" t="s">
        <v>47</v>
      </c>
    </row>
    <row r="202" spans="1:2" x14ac:dyDescent="0.25">
      <c r="A202">
        <v>7642</v>
      </c>
      <c r="B202" s="12" t="s">
        <v>170</v>
      </c>
    </row>
    <row r="203" spans="1:2" x14ac:dyDescent="0.25">
      <c r="A203">
        <v>7645</v>
      </c>
      <c r="B203" s="11" t="s">
        <v>48</v>
      </c>
    </row>
    <row r="204" spans="1:2" x14ac:dyDescent="0.25">
      <c r="A204">
        <v>7650</v>
      </c>
      <c r="B204" s="11" t="s">
        <v>49</v>
      </c>
    </row>
    <row r="205" spans="1:2" x14ac:dyDescent="0.25">
      <c r="A205">
        <v>7655</v>
      </c>
      <c r="B205" s="11" t="s">
        <v>171</v>
      </c>
    </row>
    <row r="206" spans="1:2" x14ac:dyDescent="0.25">
      <c r="A206">
        <v>7998</v>
      </c>
      <c r="B206" s="11" t="s">
        <v>50</v>
      </c>
    </row>
    <row r="207" spans="1:2" x14ac:dyDescent="0.25">
      <c r="A207">
        <v>8540</v>
      </c>
      <c r="B207" s="14" t="s">
        <v>51</v>
      </c>
    </row>
    <row r="208" spans="1:2" x14ac:dyDescent="0.25">
      <c r="A208">
        <v>8560</v>
      </c>
      <c r="B208" s="11" t="s">
        <v>52</v>
      </c>
    </row>
    <row r="209" spans="1:2" x14ac:dyDescent="0.25">
      <c r="A209">
        <v>8600</v>
      </c>
      <c r="B209" s="11" t="s">
        <v>53</v>
      </c>
    </row>
    <row r="210" spans="1:2" x14ac:dyDescent="0.25">
      <c r="A210">
        <v>8610</v>
      </c>
      <c r="B210" s="11" t="s">
        <v>54</v>
      </c>
    </row>
    <row r="211" spans="1:2" x14ac:dyDescent="0.25">
      <c r="A211">
        <v>8620</v>
      </c>
      <c r="B211" s="11" t="s">
        <v>55</v>
      </c>
    </row>
    <row r="212" spans="1:2" x14ac:dyDescent="0.25">
      <c r="A212">
        <v>9890</v>
      </c>
      <c r="B212" s="11" t="s">
        <v>56</v>
      </c>
    </row>
    <row r="213" spans="1:2" x14ac:dyDescent="0.25">
      <c r="A213">
        <v>9891</v>
      </c>
      <c r="B213" s="11" t="s">
        <v>57</v>
      </c>
    </row>
  </sheetData>
  <sheetProtection sheet="1" objects="1" scenarios="1"/>
  <autoFilter ref="A1:G1"/>
  <sortState ref="A2:C211">
    <sortCondition ref="A2:A211"/>
  </sortState>
  <phoneticPr fontId="14" type="noConversion"/>
  <printOptions gridLines="1"/>
  <pageMargins left="0.74803149606299213" right="0.74803149606299213" top="0.39370078740157483" bottom="0.39370078740157483" header="0.51181102362204722" footer="0.51181102362204722"/>
  <pageSetup paperSize="9" orientation="portrait" verticalDpi="0"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tabColor rgb="FFC00000"/>
  </sheetPr>
  <dimension ref="A1:D67"/>
  <sheetViews>
    <sheetView zoomScaleNormal="100" workbookViewId="0">
      <selection activeCell="D1" sqref="D1"/>
    </sheetView>
  </sheetViews>
  <sheetFormatPr defaultColWidth="8.85546875" defaultRowHeight="15" x14ac:dyDescent="0.25"/>
  <cols>
    <col min="1" max="1" width="14" bestFit="1" customWidth="1"/>
    <col min="2" max="2" width="42.5703125" customWidth="1"/>
    <col min="3" max="3" width="5.5703125" customWidth="1"/>
    <col min="4" max="4" width="41.42578125" customWidth="1"/>
  </cols>
  <sheetData>
    <row r="1" spans="1:4" s="1" customFormat="1" ht="14.25" x14ac:dyDescent="0.2">
      <c r="A1" s="263" t="s">
        <v>105</v>
      </c>
      <c r="B1" s="263" t="s">
        <v>155</v>
      </c>
    </row>
    <row r="2" spans="1:4" x14ac:dyDescent="0.25">
      <c r="A2" s="264" t="s">
        <v>117</v>
      </c>
      <c r="B2" s="265" t="s">
        <v>124</v>
      </c>
    </row>
    <row r="3" spans="1:4" x14ac:dyDescent="0.25">
      <c r="A3" s="266" t="s">
        <v>358</v>
      </c>
      <c r="B3" s="265" t="s">
        <v>124</v>
      </c>
    </row>
    <row r="4" spans="1:4" x14ac:dyDescent="0.25">
      <c r="A4" s="266" t="s">
        <v>530</v>
      </c>
      <c r="B4" s="265" t="s">
        <v>124</v>
      </c>
    </row>
    <row r="5" spans="1:4" x14ac:dyDescent="0.25">
      <c r="A5" s="266" t="s">
        <v>356</v>
      </c>
      <c r="B5" s="265" t="s">
        <v>124</v>
      </c>
    </row>
    <row r="6" spans="1:4" x14ac:dyDescent="0.25">
      <c r="A6" s="266" t="s">
        <v>429</v>
      </c>
      <c r="B6" s="265" t="s">
        <v>124</v>
      </c>
    </row>
    <row r="7" spans="1:4" x14ac:dyDescent="0.25">
      <c r="A7" s="267" t="s">
        <v>357</v>
      </c>
      <c r="B7" s="268" t="s">
        <v>928</v>
      </c>
    </row>
    <row r="8" spans="1:4" x14ac:dyDescent="0.25">
      <c r="A8" s="267" t="s">
        <v>114</v>
      </c>
      <c r="B8" s="268" t="s">
        <v>927</v>
      </c>
    </row>
    <row r="9" spans="1:4" x14ac:dyDescent="0.25">
      <c r="A9" s="267" t="s">
        <v>122</v>
      </c>
      <c r="B9" s="268" t="s">
        <v>362</v>
      </c>
    </row>
    <row r="10" spans="1:4" x14ac:dyDescent="0.25">
      <c r="A10" s="267" t="s">
        <v>119</v>
      </c>
      <c r="B10" s="268" t="s">
        <v>363</v>
      </c>
    </row>
    <row r="11" spans="1:4" x14ac:dyDescent="0.25">
      <c r="A11" s="267" t="s">
        <v>118</v>
      </c>
      <c r="B11" s="268" t="s">
        <v>363</v>
      </c>
    </row>
    <row r="12" spans="1:4" x14ac:dyDescent="0.25">
      <c r="A12" s="269" t="s">
        <v>430</v>
      </c>
      <c r="B12" s="265" t="s">
        <v>124</v>
      </c>
    </row>
    <row r="13" spans="1:4" x14ac:dyDescent="0.25">
      <c r="A13" s="269" t="s">
        <v>482</v>
      </c>
      <c r="B13" s="268" t="s">
        <v>920</v>
      </c>
      <c r="D13" s="270" t="s">
        <v>531</v>
      </c>
    </row>
    <row r="14" spans="1:4" x14ac:dyDescent="0.25">
      <c r="A14" s="269" t="s">
        <v>483</v>
      </c>
      <c r="B14" s="268" t="s">
        <v>1360</v>
      </c>
      <c r="D14" s="270" t="s">
        <v>531</v>
      </c>
    </row>
    <row r="15" spans="1:4" x14ac:dyDescent="0.25">
      <c r="A15" s="269" t="s">
        <v>484</v>
      </c>
      <c r="B15" s="268" t="s">
        <v>917</v>
      </c>
      <c r="D15" s="270" t="s">
        <v>531</v>
      </c>
    </row>
    <row r="16" spans="1:4" x14ac:dyDescent="0.25">
      <c r="A16" s="269" t="s">
        <v>485</v>
      </c>
      <c r="B16" s="268" t="s">
        <v>916</v>
      </c>
      <c r="D16" s="270" t="s">
        <v>531</v>
      </c>
    </row>
    <row r="17" spans="1:4" x14ac:dyDescent="0.25">
      <c r="A17" s="269" t="s">
        <v>486</v>
      </c>
      <c r="B17" s="268" t="s">
        <v>918</v>
      </c>
      <c r="D17" s="270" t="s">
        <v>531</v>
      </c>
    </row>
    <row r="18" spans="1:4" x14ac:dyDescent="0.25">
      <c r="A18" s="269" t="s">
        <v>524</v>
      </c>
      <c r="B18" s="268" t="s">
        <v>919</v>
      </c>
      <c r="C18" s="18"/>
      <c r="D18" s="270" t="s">
        <v>531</v>
      </c>
    </row>
    <row r="19" spans="1:4" x14ac:dyDescent="0.25">
      <c r="A19" s="269" t="s">
        <v>628</v>
      </c>
      <c r="B19" s="268" t="s">
        <v>923</v>
      </c>
      <c r="C19" s="18"/>
      <c r="D19" s="211" t="s">
        <v>630</v>
      </c>
    </row>
    <row r="20" spans="1:4" x14ac:dyDescent="0.25">
      <c r="A20" s="269" t="s">
        <v>629</v>
      </c>
      <c r="B20" s="268" t="s">
        <v>924</v>
      </c>
      <c r="C20" s="18"/>
      <c r="D20" s="211" t="s">
        <v>631</v>
      </c>
    </row>
    <row r="21" spans="1:4" x14ac:dyDescent="0.25">
      <c r="A21" s="298" t="s">
        <v>1614</v>
      </c>
      <c r="B21" s="299" t="s">
        <v>1631</v>
      </c>
      <c r="C21" s="18"/>
      <c r="D21" s="211"/>
    </row>
    <row r="22" spans="1:4" x14ac:dyDescent="0.25">
      <c r="A22" s="264" t="s">
        <v>84</v>
      </c>
      <c r="B22" s="268" t="s">
        <v>1385</v>
      </c>
      <c r="C22" s="18"/>
    </row>
    <row r="23" spans="1:4" x14ac:dyDescent="0.25">
      <c r="A23" s="267" t="s">
        <v>116</v>
      </c>
      <c r="B23" s="268" t="s">
        <v>927</v>
      </c>
      <c r="C23" s="18"/>
    </row>
    <row r="24" spans="1:4" x14ac:dyDescent="0.25">
      <c r="A24" s="264" t="s">
        <v>120</v>
      </c>
      <c r="B24" s="268" t="s">
        <v>925</v>
      </c>
      <c r="C24" s="18"/>
    </row>
    <row r="25" spans="1:4" x14ac:dyDescent="0.25">
      <c r="A25" s="264" t="s">
        <v>115</v>
      </c>
      <c r="B25" s="268" t="s">
        <v>926</v>
      </c>
      <c r="C25" s="18"/>
    </row>
    <row r="26" spans="1:4" x14ac:dyDescent="0.25">
      <c r="A26" s="267" t="s">
        <v>85</v>
      </c>
      <c r="B26" s="268" t="s">
        <v>363</v>
      </c>
      <c r="C26" s="18"/>
    </row>
    <row r="27" spans="1:4" x14ac:dyDescent="0.25">
      <c r="A27" s="269" t="s">
        <v>627</v>
      </c>
      <c r="B27" s="268" t="s">
        <v>922</v>
      </c>
      <c r="C27" s="18"/>
      <c r="D27" s="39" t="s">
        <v>921</v>
      </c>
    </row>
    <row r="28" spans="1:4" x14ac:dyDescent="0.25">
      <c r="A28" s="269" t="s">
        <v>475</v>
      </c>
      <c r="B28" s="265" t="s">
        <v>124</v>
      </c>
      <c r="C28" s="18"/>
    </row>
    <row r="29" spans="1:4" x14ac:dyDescent="0.25">
      <c r="A29" s="269" t="s">
        <v>532</v>
      </c>
      <c r="B29" s="265" t="s">
        <v>124</v>
      </c>
      <c r="C29" s="18"/>
    </row>
    <row r="30" spans="1:4" x14ac:dyDescent="0.25">
      <c r="A30" s="264" t="s">
        <v>364</v>
      </c>
      <c r="B30" s="265" t="s">
        <v>124</v>
      </c>
      <c r="C30" s="18"/>
    </row>
    <row r="31" spans="1:4" x14ac:dyDescent="0.25">
      <c r="A31" s="266" t="s">
        <v>343</v>
      </c>
      <c r="B31" s="265" t="s">
        <v>343</v>
      </c>
      <c r="C31" s="18"/>
    </row>
    <row r="32" spans="1:4" x14ac:dyDescent="0.25">
      <c r="A32" s="264" t="s">
        <v>366</v>
      </c>
      <c r="B32" s="265" t="s">
        <v>124</v>
      </c>
      <c r="C32" s="18"/>
    </row>
    <row r="33" spans="1:3" x14ac:dyDescent="0.25">
      <c r="A33" s="264" t="s">
        <v>365</v>
      </c>
      <c r="B33" s="265" t="s">
        <v>124</v>
      </c>
      <c r="C33" s="18"/>
    </row>
    <row r="34" spans="1:3" x14ac:dyDescent="0.25">
      <c r="A34" s="264" t="s">
        <v>533</v>
      </c>
      <c r="B34" s="265" t="s">
        <v>124</v>
      </c>
      <c r="C34" s="18"/>
    </row>
    <row r="35" spans="1:3" x14ac:dyDescent="0.25">
      <c r="A35" s="18"/>
      <c r="B35" s="18"/>
      <c r="C35" s="18"/>
    </row>
    <row r="36" spans="1:3" x14ac:dyDescent="0.25">
      <c r="A36" s="18"/>
      <c r="B36" s="18"/>
      <c r="C36" s="18"/>
    </row>
    <row r="37" spans="1:3" x14ac:dyDescent="0.25">
      <c r="A37" s="18"/>
      <c r="B37" s="18"/>
      <c r="C37" s="18"/>
    </row>
    <row r="38" spans="1:3" x14ac:dyDescent="0.25">
      <c r="A38" s="18"/>
      <c r="B38" s="18"/>
      <c r="C38" s="18"/>
    </row>
    <row r="39" spans="1:3" x14ac:dyDescent="0.25">
      <c r="A39" s="18"/>
      <c r="B39" s="18"/>
      <c r="C39" s="18"/>
    </row>
    <row r="40" spans="1:3" x14ac:dyDescent="0.25">
      <c r="A40" s="18"/>
      <c r="B40" s="18"/>
      <c r="C40" s="18"/>
    </row>
    <row r="41" spans="1:3" x14ac:dyDescent="0.25">
      <c r="A41" s="18"/>
      <c r="B41" s="18"/>
      <c r="C41" s="18"/>
    </row>
    <row r="42" spans="1:3" x14ac:dyDescent="0.25">
      <c r="A42" s="18"/>
      <c r="B42" s="18"/>
      <c r="C42" s="18"/>
    </row>
    <row r="43" spans="1:3" x14ac:dyDescent="0.25">
      <c r="A43" s="18"/>
      <c r="B43" s="18"/>
      <c r="C43" s="18"/>
    </row>
    <row r="44" spans="1:3" x14ac:dyDescent="0.25">
      <c r="A44" s="18"/>
      <c r="B44" s="18"/>
      <c r="C44" s="18"/>
    </row>
    <row r="45" spans="1:3" x14ac:dyDescent="0.25">
      <c r="A45" s="18"/>
      <c r="B45" s="18"/>
      <c r="C45" s="18"/>
    </row>
    <row r="46" spans="1:3" x14ac:dyDescent="0.25">
      <c r="A46" s="18"/>
      <c r="B46" s="18"/>
      <c r="C46" s="18"/>
    </row>
    <row r="47" spans="1:3" x14ac:dyDescent="0.25">
      <c r="A47" s="18"/>
      <c r="B47" s="18"/>
      <c r="C47" s="18"/>
    </row>
    <row r="48" spans="1:3" x14ac:dyDescent="0.25">
      <c r="A48" s="18"/>
      <c r="B48" s="18"/>
      <c r="C48" s="18"/>
    </row>
    <row r="49" spans="1:3" x14ac:dyDescent="0.25">
      <c r="A49" s="18"/>
      <c r="B49" s="18"/>
      <c r="C49" s="18"/>
    </row>
    <row r="50" spans="1:3" x14ac:dyDescent="0.25">
      <c r="A50" s="18"/>
      <c r="B50" s="18"/>
      <c r="C50" s="18"/>
    </row>
    <row r="51" spans="1:3" x14ac:dyDescent="0.25">
      <c r="A51" s="18"/>
      <c r="B51" s="18"/>
      <c r="C51" s="18"/>
    </row>
    <row r="52" spans="1:3" x14ac:dyDescent="0.25">
      <c r="A52" s="18"/>
      <c r="B52" s="18"/>
      <c r="C52" s="18"/>
    </row>
    <row r="53" spans="1:3" x14ac:dyDescent="0.25">
      <c r="A53" s="18"/>
      <c r="B53" s="18"/>
      <c r="C53" s="18"/>
    </row>
    <row r="54" spans="1:3" x14ac:dyDescent="0.25">
      <c r="A54" s="18"/>
      <c r="B54" s="18"/>
      <c r="C54" s="18"/>
    </row>
    <row r="55" spans="1:3" x14ac:dyDescent="0.25">
      <c r="A55" s="18"/>
      <c r="B55" s="18"/>
      <c r="C55" s="18"/>
    </row>
    <row r="56" spans="1:3" x14ac:dyDescent="0.25">
      <c r="A56" s="18"/>
      <c r="B56" s="18"/>
      <c r="C56" s="18"/>
    </row>
    <row r="57" spans="1:3" x14ac:dyDescent="0.25">
      <c r="A57" s="18"/>
      <c r="B57" s="18"/>
    </row>
    <row r="58" spans="1:3" x14ac:dyDescent="0.25">
      <c r="A58" s="18"/>
      <c r="B58" s="18"/>
    </row>
    <row r="59" spans="1:3" x14ac:dyDescent="0.25">
      <c r="A59" s="18"/>
      <c r="B59" s="18"/>
    </row>
    <row r="60" spans="1:3" x14ac:dyDescent="0.25">
      <c r="A60" s="18"/>
      <c r="B60" s="18"/>
    </row>
    <row r="61" spans="1:3" x14ac:dyDescent="0.25">
      <c r="A61" s="18"/>
      <c r="B61" s="18"/>
    </row>
    <row r="62" spans="1:3" x14ac:dyDescent="0.25">
      <c r="A62" s="18"/>
      <c r="B62" s="18"/>
    </row>
    <row r="63" spans="1:3" x14ac:dyDescent="0.25">
      <c r="A63" s="18"/>
      <c r="B63" s="18"/>
    </row>
    <row r="64" spans="1:3" x14ac:dyDescent="0.25">
      <c r="A64" s="18"/>
      <c r="B64" s="18"/>
    </row>
    <row r="65" spans="1:2" x14ac:dyDescent="0.25">
      <c r="A65" s="18"/>
      <c r="B65" s="18"/>
    </row>
    <row r="66" spans="1:2" x14ac:dyDescent="0.25">
      <c r="A66" s="18"/>
      <c r="B66" s="18"/>
    </row>
    <row r="67" spans="1:2" x14ac:dyDescent="0.25">
      <c r="A67" s="18"/>
      <c r="B67" s="18"/>
    </row>
  </sheetData>
  <sheetProtection sheet="1" objects="1" scenarios="1"/>
  <sortState ref="A2:B56">
    <sortCondition ref="A33"/>
  </sortState>
  <phoneticPr fontId="14" type="noConversion"/>
  <pageMargins left="0.74803149606299213" right="0.74803149606299213" top="0.98425196850393704" bottom="0.98425196850393704" header="0.51181102362204722" footer="0.51181102362204722"/>
  <pageSetup paperSize="9" orientation="landscape" verticalDpi="0"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4">
    <tabColor rgb="FFFF0000"/>
  </sheetPr>
  <dimension ref="A1:C1027"/>
  <sheetViews>
    <sheetView zoomScaleNormal="100" workbookViewId="0">
      <selection activeCell="E2" sqref="E2"/>
    </sheetView>
  </sheetViews>
  <sheetFormatPr defaultColWidth="8.85546875" defaultRowHeight="15" x14ac:dyDescent="0.25"/>
  <cols>
    <col min="1" max="1" width="19.5703125" style="22" customWidth="1"/>
    <col min="2" max="2" width="11.42578125" style="22" bestFit="1" customWidth="1"/>
    <col min="3" max="3" width="30.5703125" style="22" customWidth="1"/>
    <col min="4" max="4" width="3.42578125" customWidth="1"/>
    <col min="5" max="5" width="17.42578125" customWidth="1"/>
  </cols>
  <sheetData>
    <row r="1" spans="1:3" s="1" customFormat="1" ht="14.25" x14ac:dyDescent="0.2">
      <c r="A1" s="217" t="s">
        <v>59</v>
      </c>
      <c r="B1" s="217" t="s">
        <v>153</v>
      </c>
      <c r="C1" s="16" t="s">
        <v>60</v>
      </c>
    </row>
    <row r="2" spans="1:3" s="1" customFormat="1" x14ac:dyDescent="0.25">
      <c r="A2" s="271" t="s">
        <v>1386</v>
      </c>
      <c r="B2" s="271">
        <v>1620</v>
      </c>
      <c r="C2" s="271" t="str">
        <f>VLOOKUP(B2,Orgenheter!$A$1:$B$213,2,0)</f>
        <v>Inst för språkstudier</v>
      </c>
    </row>
    <row r="3" spans="1:3" s="1" customFormat="1" x14ac:dyDescent="0.25">
      <c r="A3" s="271" t="s">
        <v>1388</v>
      </c>
      <c r="B3" s="271">
        <v>1620</v>
      </c>
      <c r="C3" s="271" t="str">
        <f>VLOOKUP(B3,Orgenheter!$A$1:$B$213,2,0)</f>
        <v>Inst för språkstudier</v>
      </c>
    </row>
    <row r="4" spans="1:3" s="1" customFormat="1" x14ac:dyDescent="0.25">
      <c r="A4" s="271" t="s">
        <v>1390</v>
      </c>
      <c r="B4" s="271">
        <v>1620</v>
      </c>
      <c r="C4" s="271" t="str">
        <f>VLOOKUP(B4,Orgenheter!$A$1:$B$213,2,0)</f>
        <v>Inst för språkstudier</v>
      </c>
    </row>
    <row r="5" spans="1:3" s="1" customFormat="1" x14ac:dyDescent="0.25">
      <c r="A5" s="271" t="s">
        <v>1497</v>
      </c>
      <c r="B5" s="271">
        <v>1620</v>
      </c>
      <c r="C5" s="271" t="str">
        <f>VLOOKUP(B5,Orgenheter!$A$1:$B$213,2,0)</f>
        <v>Inst för språkstudier</v>
      </c>
    </row>
    <row r="6" spans="1:3" s="1" customFormat="1" x14ac:dyDescent="0.25">
      <c r="A6" s="271" t="s">
        <v>1498</v>
      </c>
      <c r="B6" s="271">
        <v>1620</v>
      </c>
      <c r="C6" s="271" t="str">
        <f>VLOOKUP(B6,Orgenheter!$A$1:$B$213,2,0)</f>
        <v>Inst för språkstudier</v>
      </c>
    </row>
    <row r="7" spans="1:3" s="1" customFormat="1" x14ac:dyDescent="0.25">
      <c r="A7" s="271" t="s">
        <v>1499</v>
      </c>
      <c r="B7" s="271">
        <v>1630</v>
      </c>
      <c r="C7" s="271" t="str">
        <f>VLOOKUP(B7,Orgenheter!$A$1:$B$213,2,0)</f>
        <v>Inst för ide- o samhällsstudier</v>
      </c>
    </row>
    <row r="8" spans="1:3" s="1" customFormat="1" x14ac:dyDescent="0.25">
      <c r="A8" s="271" t="s">
        <v>1500</v>
      </c>
      <c r="B8" s="271">
        <v>1640</v>
      </c>
      <c r="C8" s="271" t="str">
        <f>VLOOKUP(B8,Orgenheter!$A$1:$B$213,2,0)</f>
        <v>Inst för kultur- o medievetenskap</v>
      </c>
    </row>
    <row r="9" spans="1:3" s="1" customFormat="1" x14ac:dyDescent="0.25">
      <c r="A9" s="271" t="s">
        <v>1087</v>
      </c>
      <c r="B9" s="271">
        <v>1640</v>
      </c>
      <c r="C9" s="271" t="str">
        <f>VLOOKUP(B9,Orgenheter!$A$1:$B$213,2,0)</f>
        <v>Inst för kultur- o medievetenskap</v>
      </c>
    </row>
    <row r="10" spans="1:3" s="1" customFormat="1" x14ac:dyDescent="0.25">
      <c r="A10" s="271" t="s">
        <v>1501</v>
      </c>
      <c r="B10" s="271">
        <v>1620</v>
      </c>
      <c r="C10" s="271" t="str">
        <f>VLOOKUP(B10,Orgenheter!$A$1:$B$213,2,0)</f>
        <v>Inst för språkstudier</v>
      </c>
    </row>
    <row r="11" spans="1:3" s="1" customFormat="1" x14ac:dyDescent="0.25">
      <c r="A11" s="271" t="s">
        <v>1502</v>
      </c>
      <c r="B11" s="271">
        <v>1620</v>
      </c>
      <c r="C11" s="271" t="str">
        <f>VLOOKUP(B11,Orgenheter!$A$1:$B$213,2,0)</f>
        <v>Inst för språkstudier</v>
      </c>
    </row>
    <row r="12" spans="1:3" s="1" customFormat="1" x14ac:dyDescent="0.25">
      <c r="A12" s="271" t="s">
        <v>1392</v>
      </c>
      <c r="B12" s="271">
        <v>1620</v>
      </c>
      <c r="C12" s="271" t="str">
        <f>VLOOKUP(B12,Orgenheter!$A$1:$B$213,2,0)</f>
        <v>Inst för språkstudier</v>
      </c>
    </row>
    <row r="13" spans="1:3" s="1" customFormat="1" x14ac:dyDescent="0.25">
      <c r="A13" s="271" t="s">
        <v>1503</v>
      </c>
      <c r="B13" s="271">
        <v>1620</v>
      </c>
      <c r="C13" s="271" t="str">
        <f>VLOOKUP(B13,Orgenheter!$A$1:$B$213,2,0)</f>
        <v>Inst för språkstudier</v>
      </c>
    </row>
    <row r="14" spans="1:3" s="1" customFormat="1" x14ac:dyDescent="0.25">
      <c r="A14" s="271" t="s">
        <v>1394</v>
      </c>
      <c r="B14" s="271">
        <v>1620</v>
      </c>
      <c r="C14" s="271" t="str">
        <f>VLOOKUP(B14,Orgenheter!$A$1:$B$213,2,0)</f>
        <v>Inst för språkstudier</v>
      </c>
    </row>
    <row r="15" spans="1:3" s="1" customFormat="1" x14ac:dyDescent="0.25">
      <c r="A15" s="447" t="s">
        <v>2004</v>
      </c>
      <c r="B15" s="446">
        <v>2180</v>
      </c>
      <c r="C15" s="271" t="str">
        <f>VLOOKUP(B15,Orgenheter!$A$1:$B$213,2,0)</f>
        <v xml:space="preserve">Pedagogik                     </v>
      </c>
    </row>
    <row r="16" spans="1:3" s="1" customFormat="1" x14ac:dyDescent="0.25">
      <c r="A16" s="447" t="s">
        <v>1988</v>
      </c>
      <c r="B16" s="446">
        <v>2180</v>
      </c>
      <c r="C16" s="271" t="str">
        <f>VLOOKUP(B16,Orgenheter!$A$1:$B$213,2,0)</f>
        <v xml:space="preserve">Pedagogik                     </v>
      </c>
    </row>
    <row r="17" spans="1:3" s="1" customFormat="1" x14ac:dyDescent="0.25">
      <c r="A17" s="271" t="s">
        <v>901</v>
      </c>
      <c r="B17" s="271">
        <v>2193</v>
      </c>
      <c r="C17" s="271" t="str">
        <f>VLOOKUP(B17,Orgenheter!$A$1:$B$213,2,0)</f>
        <v xml:space="preserve">TUV </v>
      </c>
    </row>
    <row r="18" spans="1:3" s="1" customFormat="1" x14ac:dyDescent="0.25">
      <c r="A18" s="271" t="s">
        <v>902</v>
      </c>
      <c r="B18" s="271">
        <v>2193</v>
      </c>
      <c r="C18" s="271" t="str">
        <f>VLOOKUP(B18,Orgenheter!$A$1:$B$213,2,0)</f>
        <v xml:space="preserve">TUV </v>
      </c>
    </row>
    <row r="19" spans="1:3" s="1" customFormat="1" x14ac:dyDescent="0.25">
      <c r="A19" s="271" t="s">
        <v>903</v>
      </c>
      <c r="B19" s="271">
        <v>2193</v>
      </c>
      <c r="C19" s="271" t="str">
        <f>VLOOKUP(B19,Orgenheter!$A$1:$B$213,2,0)</f>
        <v xml:space="preserve">TUV </v>
      </c>
    </row>
    <row r="20" spans="1:3" s="1" customFormat="1" x14ac:dyDescent="0.25">
      <c r="A20" s="271" t="s">
        <v>904</v>
      </c>
      <c r="B20" s="271">
        <v>2193</v>
      </c>
      <c r="C20" s="271" t="str">
        <f>VLOOKUP(B20,Orgenheter!$A$1:$B$213,2,0)</f>
        <v xml:space="preserve">TUV </v>
      </c>
    </row>
    <row r="21" spans="1:3" s="1" customFormat="1" x14ac:dyDescent="0.25">
      <c r="A21" s="271" t="s">
        <v>899</v>
      </c>
      <c r="B21" s="271">
        <v>2193</v>
      </c>
      <c r="C21" s="271" t="str">
        <f>VLOOKUP(B21,Orgenheter!$A$1:$B$213,2,0)</f>
        <v xml:space="preserve">TUV </v>
      </c>
    </row>
    <row r="22" spans="1:3" s="1" customFormat="1" x14ac:dyDescent="0.25">
      <c r="A22" s="271" t="s">
        <v>900</v>
      </c>
      <c r="B22" s="271">
        <v>2193</v>
      </c>
      <c r="C22" s="271" t="str">
        <f>VLOOKUP(B22,Orgenheter!$A$1:$B$213,2,0)</f>
        <v xml:space="preserve">TUV </v>
      </c>
    </row>
    <row r="23" spans="1:3" s="1" customFormat="1" x14ac:dyDescent="0.25">
      <c r="A23" s="271" t="s">
        <v>1504</v>
      </c>
      <c r="B23" s="271">
        <v>2340</v>
      </c>
      <c r="C23" s="271" t="str">
        <f>VLOOKUP(B23,Orgenheter!$A$1:$B$213,2,0)</f>
        <v xml:space="preserve">Statsvetenskap                </v>
      </c>
    </row>
    <row r="24" spans="1:3" s="1" customFormat="1" x14ac:dyDescent="0.25">
      <c r="A24" s="271" t="s">
        <v>1006</v>
      </c>
      <c r="B24" s="271">
        <v>5740</v>
      </c>
      <c r="C24" s="271" t="str">
        <f>VLOOKUP(B24,Orgenheter!$A$1:$B$213,2,0)</f>
        <v>NMD</v>
      </c>
    </row>
    <row r="25" spans="1:3" s="1" customFormat="1" x14ac:dyDescent="0.25">
      <c r="A25" s="271" t="s">
        <v>1007</v>
      </c>
      <c r="B25" s="271">
        <v>5740</v>
      </c>
      <c r="C25" s="271" t="str">
        <f>VLOOKUP(B25,Orgenheter!$A$1:$B$213,2,0)</f>
        <v>NMD</v>
      </c>
    </row>
    <row r="26" spans="1:3" s="1" customFormat="1" x14ac:dyDescent="0.25">
      <c r="A26" s="271" t="s">
        <v>1008</v>
      </c>
      <c r="B26" s="271">
        <v>5740</v>
      </c>
      <c r="C26" s="271" t="str">
        <f>VLOOKUP(B26,Orgenheter!$A$1:$B$213,2,0)</f>
        <v>NMD</v>
      </c>
    </row>
    <row r="27" spans="1:3" s="1" customFormat="1" x14ac:dyDescent="0.25">
      <c r="A27" s="296" t="s">
        <v>1254</v>
      </c>
      <c r="B27" s="271">
        <v>5740</v>
      </c>
      <c r="C27" s="271" t="str">
        <f>VLOOKUP(B27,Orgenheter!$A$1:$B$213,2,0)</f>
        <v>NMD</v>
      </c>
    </row>
    <row r="28" spans="1:3" s="1" customFormat="1" x14ac:dyDescent="0.25">
      <c r="A28" s="271" t="s">
        <v>1009</v>
      </c>
      <c r="B28" s="271">
        <v>5740</v>
      </c>
      <c r="C28" s="271" t="str">
        <f>VLOOKUP(B28,Orgenheter!$A$1:$B$213,2,0)</f>
        <v>NMD</v>
      </c>
    </row>
    <row r="29" spans="1:3" s="1" customFormat="1" x14ac:dyDescent="0.25">
      <c r="A29" s="271" t="s">
        <v>943</v>
      </c>
      <c r="B29" s="271">
        <v>5100</v>
      </c>
      <c r="C29" s="271" t="str">
        <f>VLOOKUP(B29,Orgenheter!$A$1:$B$213,2,0)</f>
        <v>EMG</v>
      </c>
    </row>
    <row r="30" spans="1:3" s="1" customFormat="1" x14ac:dyDescent="0.25">
      <c r="A30" s="271" t="s">
        <v>1010</v>
      </c>
      <c r="B30" s="271">
        <v>5160</v>
      </c>
      <c r="C30" s="271" t="str">
        <f>VLOOKUP(B30,Orgenheter!$A$1:$B$213,2,0)</f>
        <v xml:space="preserve">Inst för Fysiologisk botanik  </v>
      </c>
    </row>
    <row r="31" spans="1:3" s="1" customFormat="1" x14ac:dyDescent="0.25">
      <c r="A31" s="271" t="s">
        <v>942</v>
      </c>
      <c r="B31" s="271">
        <v>5100</v>
      </c>
      <c r="C31" s="271" t="str">
        <f>VLOOKUP(B31,Orgenheter!$A$1:$B$213,2,0)</f>
        <v>EMG</v>
      </c>
    </row>
    <row r="32" spans="1:3" s="1" customFormat="1" x14ac:dyDescent="0.25">
      <c r="A32" s="271" t="s">
        <v>944</v>
      </c>
      <c r="B32" s="271">
        <v>5100</v>
      </c>
      <c r="C32" s="271" t="str">
        <f>VLOOKUP(B32,Orgenheter!$A$1:$B$213,2,0)</f>
        <v>EMG</v>
      </c>
    </row>
    <row r="33" spans="1:3" s="1" customFormat="1" x14ac:dyDescent="0.25">
      <c r="A33" s="296" t="s">
        <v>1572</v>
      </c>
      <c r="B33" s="271">
        <v>5100</v>
      </c>
      <c r="C33" s="271" t="str">
        <f>VLOOKUP(B33,Orgenheter!$A$1:$B$213,2,0)</f>
        <v>EMG</v>
      </c>
    </row>
    <row r="34" spans="1:3" s="1" customFormat="1" x14ac:dyDescent="0.25">
      <c r="A34" s="296" t="s">
        <v>1571</v>
      </c>
      <c r="B34" s="271">
        <v>5100</v>
      </c>
      <c r="C34" s="271" t="str">
        <f>VLOOKUP(B34,Orgenheter!$A$1:$B$213,2,0)</f>
        <v>EMG</v>
      </c>
    </row>
    <row r="35" spans="1:3" s="1" customFormat="1" x14ac:dyDescent="0.25">
      <c r="A35" s="296" t="s">
        <v>1553</v>
      </c>
      <c r="B35" s="271">
        <v>5100</v>
      </c>
      <c r="C35" s="271" t="str">
        <f>VLOOKUP(B35,Orgenheter!$A$1:$B$213,2,0)</f>
        <v>EMG</v>
      </c>
    </row>
    <row r="36" spans="1:3" s="1" customFormat="1" x14ac:dyDescent="0.25">
      <c r="A36" s="296" t="s">
        <v>1554</v>
      </c>
      <c r="B36" s="271">
        <v>5100</v>
      </c>
      <c r="C36" s="271" t="str">
        <f>VLOOKUP(B36,Orgenheter!$A$1:$B$213,2,0)</f>
        <v>EMG</v>
      </c>
    </row>
    <row r="37" spans="1:3" s="1" customFormat="1" x14ac:dyDescent="0.25">
      <c r="A37" s="271" t="s">
        <v>2046</v>
      </c>
      <c r="B37" s="271">
        <v>5100</v>
      </c>
      <c r="C37" s="271" t="str">
        <f>VLOOKUP(B37,Orgenheter!$A$1:$B$213,2,0)</f>
        <v>EMG</v>
      </c>
    </row>
    <row r="38" spans="1:3" s="1" customFormat="1" x14ac:dyDescent="0.25">
      <c r="A38" s="296" t="s">
        <v>2045</v>
      </c>
      <c r="B38" s="271">
        <v>5100</v>
      </c>
      <c r="C38" s="271" t="str">
        <f>VLOOKUP(B38,Orgenheter!$A$1:$B$213,2,0)</f>
        <v>EMG</v>
      </c>
    </row>
    <row r="39" spans="1:3" s="1" customFormat="1" x14ac:dyDescent="0.25">
      <c r="A39" s="508" t="s">
        <v>2144</v>
      </c>
      <c r="B39" s="499">
        <v>5700</v>
      </c>
      <c r="C39" s="271" t="str">
        <f>VLOOKUP(B39,Orgenheter!$A$1:$B$213,2,0)</f>
        <v xml:space="preserve">Inst för datavetenskap        </v>
      </c>
    </row>
    <row r="40" spans="1:3" s="1" customFormat="1" x14ac:dyDescent="0.25">
      <c r="A40" s="271" t="s">
        <v>1011</v>
      </c>
      <c r="B40" s="271">
        <v>5410</v>
      </c>
      <c r="C40" s="271" t="str">
        <f>VLOOKUP(B40,Orgenheter!$A$1:$B$213,2,0)</f>
        <v>TFE</v>
      </c>
    </row>
    <row r="41" spans="1:3" s="1" customFormat="1" x14ac:dyDescent="0.25">
      <c r="A41" s="271" t="s">
        <v>1132</v>
      </c>
      <c r="B41" s="271">
        <v>5400</v>
      </c>
      <c r="C41" s="271" t="str">
        <f>VLOOKUP(B41,Orgenheter!$A$1:$B$213,2,0)</f>
        <v xml:space="preserve">Inst för Fysik                </v>
      </c>
    </row>
    <row r="42" spans="1:3" s="1" customFormat="1" x14ac:dyDescent="0.25">
      <c r="A42" s="271" t="s">
        <v>1012</v>
      </c>
      <c r="B42" s="271">
        <v>5400</v>
      </c>
      <c r="C42" s="271" t="str">
        <f>VLOOKUP(B42,Orgenheter!$A$1:$B$213,2,0)</f>
        <v xml:space="preserve">Inst för Fysik                </v>
      </c>
    </row>
    <row r="43" spans="1:3" s="1" customFormat="1" x14ac:dyDescent="0.25">
      <c r="A43" s="271" t="s">
        <v>1505</v>
      </c>
      <c r="B43" s="271">
        <v>5400</v>
      </c>
      <c r="C43" s="271" t="str">
        <f>VLOOKUP(B43,Orgenheter!$A$1:$B$213,2,0)</f>
        <v xml:space="preserve">Inst för Fysik                </v>
      </c>
    </row>
    <row r="44" spans="1:3" s="1" customFormat="1" x14ac:dyDescent="0.25">
      <c r="A44" s="271" t="s">
        <v>945</v>
      </c>
      <c r="B44" s="271">
        <v>5400</v>
      </c>
      <c r="C44" s="271" t="str">
        <f>VLOOKUP(B44,Orgenheter!$A$1:$B$213,2,0)</f>
        <v xml:space="preserve">Inst för Fysik                </v>
      </c>
    </row>
    <row r="45" spans="1:3" s="1" customFormat="1" x14ac:dyDescent="0.25">
      <c r="A45" s="296" t="s">
        <v>1574</v>
      </c>
      <c r="B45" s="271">
        <v>5400</v>
      </c>
      <c r="C45" s="271" t="str">
        <f>VLOOKUP(B45,Orgenheter!$A$1:$B$213,2,0)</f>
        <v xml:space="preserve">Inst för Fysik                </v>
      </c>
    </row>
    <row r="46" spans="1:3" s="1" customFormat="1" x14ac:dyDescent="0.25">
      <c r="A46" s="271" t="s">
        <v>349</v>
      </c>
      <c r="B46" s="271">
        <v>5400</v>
      </c>
      <c r="C46" s="271" t="str">
        <f>VLOOKUP(B46,Orgenheter!$A$1:$B$213,2,0)</f>
        <v xml:space="preserve">Inst för Fysik                </v>
      </c>
    </row>
    <row r="47" spans="1:3" s="1" customFormat="1" x14ac:dyDescent="0.25">
      <c r="A47" s="271" t="s">
        <v>1797</v>
      </c>
      <c r="B47" s="271">
        <v>5400</v>
      </c>
      <c r="C47" s="271" t="str">
        <f>VLOOKUP(B47,Orgenheter!$A$1:$B$213,2,0)</f>
        <v xml:space="preserve">Inst för Fysik                </v>
      </c>
    </row>
    <row r="48" spans="1:3" s="1" customFormat="1" x14ac:dyDescent="0.25">
      <c r="A48" s="271" t="s">
        <v>1013</v>
      </c>
      <c r="B48" s="271">
        <v>5400</v>
      </c>
      <c r="C48" s="271" t="str">
        <f>VLOOKUP(B48,Orgenheter!$A$1:$B$213,2,0)</f>
        <v xml:space="preserve">Inst för Fysik                </v>
      </c>
    </row>
    <row r="49" spans="1:3" s="1" customFormat="1" x14ac:dyDescent="0.25">
      <c r="A49" s="271" t="s">
        <v>1014</v>
      </c>
      <c r="B49" s="271">
        <v>5400</v>
      </c>
      <c r="C49" s="271" t="str">
        <f>VLOOKUP(B49,Orgenheter!$A$1:$B$213,2,0)</f>
        <v xml:space="preserve">Inst för Fysik                </v>
      </c>
    </row>
    <row r="50" spans="1:3" s="1" customFormat="1" x14ac:dyDescent="0.25">
      <c r="A50" s="271" t="s">
        <v>1133</v>
      </c>
      <c r="B50" s="271">
        <v>5400</v>
      </c>
      <c r="C50" s="271" t="str">
        <f>VLOOKUP(B50,Orgenheter!$A$1:$B$213,2,0)</f>
        <v xml:space="preserve">Inst för Fysik                </v>
      </c>
    </row>
    <row r="51" spans="1:3" s="1" customFormat="1" x14ac:dyDescent="0.25">
      <c r="A51" s="271" t="s">
        <v>1015</v>
      </c>
      <c r="B51" s="271">
        <v>5400</v>
      </c>
      <c r="C51" s="271" t="str">
        <f>VLOOKUP(B51,Orgenheter!$A$1:$B$213,2,0)</f>
        <v xml:space="preserve">Inst för Fysik                </v>
      </c>
    </row>
    <row r="52" spans="1:3" s="1" customFormat="1" x14ac:dyDescent="0.25">
      <c r="A52" s="271" t="s">
        <v>348</v>
      </c>
      <c r="B52" s="271">
        <v>5400</v>
      </c>
      <c r="C52" s="271" t="str">
        <f>VLOOKUP(B52,Orgenheter!$A$1:$B$213,2,0)</f>
        <v xml:space="preserve">Inst för Fysik                </v>
      </c>
    </row>
    <row r="53" spans="1:3" s="1" customFormat="1" x14ac:dyDescent="0.25">
      <c r="A53" s="499" t="s">
        <v>1798</v>
      </c>
      <c r="B53" s="271">
        <v>5400</v>
      </c>
      <c r="C53" s="271" t="str">
        <f>VLOOKUP(B53,Orgenheter!$A$1:$B$213,2,0)</f>
        <v xml:space="preserve">Inst för Fysik                </v>
      </c>
    </row>
    <row r="54" spans="1:3" s="1" customFormat="1" x14ac:dyDescent="0.25">
      <c r="A54" s="271" t="s">
        <v>1073</v>
      </c>
      <c r="B54" s="271">
        <v>5400</v>
      </c>
      <c r="C54" s="271" t="str">
        <f>VLOOKUP(B54,Orgenheter!$A$1:$B$213,2,0)</f>
        <v xml:space="preserve">Inst för Fysik                </v>
      </c>
    </row>
    <row r="55" spans="1:3" s="1" customFormat="1" x14ac:dyDescent="0.25">
      <c r="A55" s="271" t="s">
        <v>1074</v>
      </c>
      <c r="B55" s="271">
        <v>5400</v>
      </c>
      <c r="C55" s="271" t="str">
        <f>VLOOKUP(B55,Orgenheter!$A$1:$B$213,2,0)</f>
        <v xml:space="preserve">Inst för Fysik                </v>
      </c>
    </row>
    <row r="56" spans="1:3" s="1" customFormat="1" x14ac:dyDescent="0.25">
      <c r="A56" s="296" t="s">
        <v>1252</v>
      </c>
      <c r="B56" s="271">
        <v>5400</v>
      </c>
      <c r="C56" s="271" t="str">
        <f>VLOOKUP(B56,Orgenheter!$A$1:$B$213,2,0)</f>
        <v xml:space="preserve">Inst för Fysik                </v>
      </c>
    </row>
    <row r="57" spans="1:3" s="1" customFormat="1" x14ac:dyDescent="0.25">
      <c r="A57" s="271" t="s">
        <v>1134</v>
      </c>
      <c r="B57" s="271">
        <v>5400</v>
      </c>
      <c r="C57" s="271" t="str">
        <f>VLOOKUP(B57,Orgenheter!$A$1:$B$213,2,0)</f>
        <v xml:space="preserve">Inst för Fysik                </v>
      </c>
    </row>
    <row r="58" spans="1:3" s="1" customFormat="1" x14ac:dyDescent="0.25">
      <c r="A58" s="271" t="s">
        <v>1135</v>
      </c>
      <c r="B58" s="271">
        <v>5400</v>
      </c>
      <c r="C58" s="271" t="str">
        <f>VLOOKUP(B58,Orgenheter!$A$1:$B$213,2,0)</f>
        <v xml:space="preserve">Inst för Fysik                </v>
      </c>
    </row>
    <row r="59" spans="1:3" s="1" customFormat="1" x14ac:dyDescent="0.25">
      <c r="A59" s="271" t="s">
        <v>1726</v>
      </c>
      <c r="B59" s="271">
        <v>5400</v>
      </c>
      <c r="C59" s="271" t="str">
        <f>VLOOKUP(B59,Orgenheter!$A$1:$B$213,2,0)</f>
        <v xml:space="preserve">Inst för Fysik                </v>
      </c>
    </row>
    <row r="60" spans="1:3" s="1" customFormat="1" x14ac:dyDescent="0.25">
      <c r="A60" s="296" t="s">
        <v>1588</v>
      </c>
      <c r="B60" s="271">
        <v>5400</v>
      </c>
      <c r="C60" s="271" t="str">
        <f>VLOOKUP(B60,Orgenheter!$A$1:$B$213,2,0)</f>
        <v xml:space="preserve">Inst för Fysik                </v>
      </c>
    </row>
    <row r="61" spans="1:3" s="1" customFormat="1" x14ac:dyDescent="0.25">
      <c r="A61" s="433" t="s">
        <v>2142</v>
      </c>
      <c r="B61" s="427">
        <v>5400</v>
      </c>
      <c r="C61" s="271" t="str">
        <f>VLOOKUP(B61,Orgenheter!$A$1:$B$213,2,0)</f>
        <v xml:space="preserve">Inst för Fysik                </v>
      </c>
    </row>
    <row r="62" spans="1:3" s="1" customFormat="1" x14ac:dyDescent="0.25">
      <c r="A62" s="271" t="s">
        <v>2143</v>
      </c>
      <c r="B62" s="271">
        <v>5400</v>
      </c>
      <c r="C62" s="271" t="str">
        <f>VLOOKUP(B62,Orgenheter!$A$1:$B$213,2,0)</f>
        <v xml:space="preserve">Inst för Fysik                </v>
      </c>
    </row>
    <row r="63" spans="1:3" s="1" customFormat="1" x14ac:dyDescent="0.25">
      <c r="A63" s="508" t="s">
        <v>2111</v>
      </c>
      <c r="B63" s="499">
        <v>5400</v>
      </c>
      <c r="C63" s="271" t="str">
        <f>VLOOKUP(B63,Orgenheter!$A$1:$B$213,2,0)</f>
        <v xml:space="preserve">Inst för Fysik                </v>
      </c>
    </row>
    <row r="64" spans="1:3" s="1" customFormat="1" x14ac:dyDescent="0.25">
      <c r="A64" s="296" t="s">
        <v>1575</v>
      </c>
      <c r="B64" s="271">
        <v>5400</v>
      </c>
      <c r="C64" s="271" t="str">
        <f>VLOOKUP(B64,Orgenheter!$A$1:$B$213,2,0)</f>
        <v xml:space="preserve">Inst för Fysik                </v>
      </c>
    </row>
    <row r="65" spans="1:3" s="1" customFormat="1" x14ac:dyDescent="0.25">
      <c r="A65" s="271" t="s">
        <v>1016</v>
      </c>
      <c r="B65" s="271">
        <v>5500</v>
      </c>
      <c r="C65" s="271" t="str">
        <f>VLOOKUP(B65,Orgenheter!$A$1:$B$213,2,0)</f>
        <v xml:space="preserve">Kemiska institutionen         </v>
      </c>
    </row>
    <row r="66" spans="1:3" s="1" customFormat="1" x14ac:dyDescent="0.25">
      <c r="A66" s="271" t="s">
        <v>946</v>
      </c>
      <c r="B66" s="271">
        <v>5500</v>
      </c>
      <c r="C66" s="271" t="str">
        <f>VLOOKUP(B66,Orgenheter!$A$1:$B$213,2,0)</f>
        <v xml:space="preserve">Kemiska institutionen         </v>
      </c>
    </row>
    <row r="67" spans="1:3" s="1" customFormat="1" x14ac:dyDescent="0.25">
      <c r="A67" s="296" t="s">
        <v>1799</v>
      </c>
      <c r="B67" s="271">
        <v>5500</v>
      </c>
      <c r="C67" s="271" t="str">
        <f>VLOOKUP(B67,Orgenheter!$A$1:$B$213,2,0)</f>
        <v xml:space="preserve">Kemiska institutionen         </v>
      </c>
    </row>
    <row r="68" spans="1:3" s="1" customFormat="1" x14ac:dyDescent="0.25">
      <c r="A68" s="414" t="s">
        <v>1850</v>
      </c>
      <c r="B68" s="415">
        <v>5500</v>
      </c>
      <c r="C68" s="271" t="str">
        <f>VLOOKUP(B68,Orgenheter!$A$1:$B$213,2,0)</f>
        <v xml:space="preserve">Kemiska institutionen         </v>
      </c>
    </row>
    <row r="69" spans="1:3" s="1" customFormat="1" x14ac:dyDescent="0.25">
      <c r="A69" s="414" t="s">
        <v>1851</v>
      </c>
      <c r="B69" s="415">
        <v>5500</v>
      </c>
      <c r="C69" s="271" t="str">
        <f>VLOOKUP(B69,Orgenheter!$A$1:$B$213,2,0)</f>
        <v xml:space="preserve">Kemiska institutionen         </v>
      </c>
    </row>
    <row r="70" spans="1:3" s="1" customFormat="1" x14ac:dyDescent="0.25">
      <c r="A70" s="271" t="s">
        <v>1017</v>
      </c>
      <c r="B70" s="271">
        <v>5500</v>
      </c>
      <c r="C70" s="271" t="str">
        <f>VLOOKUP(B70,Orgenheter!$A$1:$B$213,2,0)</f>
        <v xml:space="preserve">Kemiska institutionen         </v>
      </c>
    </row>
    <row r="71" spans="1:3" s="1" customFormat="1" x14ac:dyDescent="0.25">
      <c r="A71" s="271" t="s">
        <v>947</v>
      </c>
      <c r="B71" s="271">
        <v>5500</v>
      </c>
      <c r="C71" s="271" t="str">
        <f>VLOOKUP(B71,Orgenheter!$A$1:$B$213,2,0)</f>
        <v xml:space="preserve">Kemiska institutionen         </v>
      </c>
    </row>
    <row r="72" spans="1:3" s="1" customFormat="1" x14ac:dyDescent="0.25">
      <c r="A72" s="499" t="s">
        <v>2145</v>
      </c>
      <c r="B72" s="499">
        <v>5500</v>
      </c>
      <c r="C72" s="271" t="str">
        <f>VLOOKUP(B72,Orgenheter!$A$1:$B$213,2,0)</f>
        <v xml:space="preserve">Kemiska institutionen         </v>
      </c>
    </row>
    <row r="73" spans="1:3" s="1" customFormat="1" x14ac:dyDescent="0.25">
      <c r="A73" s="271" t="s">
        <v>1298</v>
      </c>
      <c r="B73" s="271">
        <v>5500</v>
      </c>
      <c r="C73" s="271" t="str">
        <f>VLOOKUP(B73,Orgenheter!$A$1:$B$213,2,0)</f>
        <v xml:space="preserve">Kemiska institutionen         </v>
      </c>
    </row>
    <row r="74" spans="1:3" s="1" customFormat="1" x14ac:dyDescent="0.25">
      <c r="A74" s="415" t="s">
        <v>1852</v>
      </c>
      <c r="B74" s="415">
        <v>5500</v>
      </c>
      <c r="C74" s="271" t="str">
        <f>VLOOKUP(B74,Orgenheter!$A$1:$B$213,2,0)</f>
        <v xml:space="preserve">Kemiska institutionen         </v>
      </c>
    </row>
    <row r="75" spans="1:3" s="1" customFormat="1" x14ac:dyDescent="0.25">
      <c r="A75" s="427" t="s">
        <v>1951</v>
      </c>
      <c r="B75" s="427">
        <v>5500</v>
      </c>
      <c r="C75" s="271" t="str">
        <f>VLOOKUP(B75,Orgenheter!$A$1:$B$213,2,0)</f>
        <v xml:space="preserve">Kemiska institutionen         </v>
      </c>
    </row>
    <row r="76" spans="1:3" s="1" customFormat="1" x14ac:dyDescent="0.25">
      <c r="A76" s="508" t="s">
        <v>2113</v>
      </c>
      <c r="B76" s="427">
        <v>5500</v>
      </c>
      <c r="C76" s="271" t="str">
        <f>VLOOKUP(B76,Orgenheter!$A$1:$B$213,2,0)</f>
        <v xml:space="preserve">Kemiska institutionen         </v>
      </c>
    </row>
    <row r="77" spans="1:3" s="1" customFormat="1" x14ac:dyDescent="0.25">
      <c r="A77" s="296" t="s">
        <v>1573</v>
      </c>
      <c r="B77" s="271">
        <v>5730</v>
      </c>
      <c r="C77" s="271" t="str">
        <f>VLOOKUP(B77,Orgenheter!$A$1:$B$213,2,0)</f>
        <v>Inst för MA och MA statistik</v>
      </c>
    </row>
    <row r="78" spans="1:3" s="1" customFormat="1" x14ac:dyDescent="0.25">
      <c r="A78" s="508" t="s">
        <v>2115</v>
      </c>
      <c r="B78" s="499">
        <v>5730</v>
      </c>
      <c r="C78" s="271" t="str">
        <f>VLOOKUP(B78,Orgenheter!$A$1:$B$213,2,0)</f>
        <v>Inst för MA och MA statistik</v>
      </c>
    </row>
    <row r="79" spans="1:3" s="1" customFormat="1" x14ac:dyDescent="0.25">
      <c r="A79" s="271" t="s">
        <v>1522</v>
      </c>
      <c r="B79" s="271">
        <v>5730</v>
      </c>
      <c r="C79" s="271" t="str">
        <f>VLOOKUP(B79,Orgenheter!$A$1:$B$213,2,0)</f>
        <v>Inst för MA och MA statistik</v>
      </c>
    </row>
    <row r="80" spans="1:3" s="1" customFormat="1" x14ac:dyDescent="0.25">
      <c r="A80" s="508" t="s">
        <v>2189</v>
      </c>
      <c r="B80" s="499">
        <v>5730</v>
      </c>
      <c r="C80" s="271" t="str">
        <f>VLOOKUP(B80,Orgenheter!$A$1:$B$213,2,0)</f>
        <v>Inst för MA och MA statistik</v>
      </c>
    </row>
    <row r="81" spans="1:3" s="1" customFormat="1" x14ac:dyDescent="0.25">
      <c r="A81" s="271" t="s">
        <v>1523</v>
      </c>
      <c r="B81" s="271">
        <v>5730</v>
      </c>
      <c r="C81" s="271" t="str">
        <f>VLOOKUP(B81,Orgenheter!$A$1:$B$213,2,0)</f>
        <v>Inst för MA och MA statistik</v>
      </c>
    </row>
    <row r="82" spans="1:3" s="1" customFormat="1" x14ac:dyDescent="0.25">
      <c r="A82" s="271" t="s">
        <v>1018</v>
      </c>
      <c r="B82" s="271">
        <v>5740</v>
      </c>
      <c r="C82" s="271" t="str">
        <f>VLOOKUP(B82,Orgenheter!$A$1:$B$213,2,0)</f>
        <v>NMD</v>
      </c>
    </row>
    <row r="83" spans="1:3" s="1" customFormat="1" x14ac:dyDescent="0.25">
      <c r="A83" s="433" t="s">
        <v>1952</v>
      </c>
      <c r="B83" s="427">
        <v>6000</v>
      </c>
      <c r="C83" s="271" t="str">
        <f>VLOOKUP(B83,Orgenheter!$A$1:$B$213,2,0)</f>
        <v xml:space="preserve">Lärarutbildningarna gem       </v>
      </c>
    </row>
    <row r="84" spans="1:3" s="1" customFormat="1" x14ac:dyDescent="0.25">
      <c r="A84" s="296" t="s">
        <v>1255</v>
      </c>
      <c r="B84" s="271">
        <v>5100</v>
      </c>
      <c r="C84" s="271" t="str">
        <f>VLOOKUP(B84,Orgenheter!$A$1:$B$213,2,0)</f>
        <v>EMG</v>
      </c>
    </row>
    <row r="85" spans="1:3" ht="12.95" customHeight="1" x14ac:dyDescent="0.25">
      <c r="A85" s="326" t="s">
        <v>1256</v>
      </c>
      <c r="B85" s="271">
        <v>5100</v>
      </c>
      <c r="C85" s="271" t="str">
        <f>VLOOKUP(B85,Orgenheter!$A$1:$B$213,2,0)</f>
        <v>EMG</v>
      </c>
    </row>
    <row r="86" spans="1:3" ht="12.95" customHeight="1" x14ac:dyDescent="0.25">
      <c r="A86" s="271" t="s">
        <v>770</v>
      </c>
      <c r="B86" s="271">
        <v>5100</v>
      </c>
      <c r="C86" s="271" t="str">
        <f>VLOOKUP(B86,Orgenheter!$A$1:$B$213,2,0)</f>
        <v>EMG</v>
      </c>
    </row>
    <row r="87" spans="1:3" ht="12.95" customHeight="1" x14ac:dyDescent="0.25">
      <c r="A87" s="427" t="s">
        <v>1019</v>
      </c>
      <c r="B87" s="427">
        <v>5100</v>
      </c>
      <c r="C87" s="271" t="str">
        <f>VLOOKUP(B87,Orgenheter!$A$1:$B$213,2,0)</f>
        <v>EMG</v>
      </c>
    </row>
    <row r="88" spans="1:3" ht="12.95" customHeight="1" x14ac:dyDescent="0.25">
      <c r="A88" s="326" t="s">
        <v>1478</v>
      </c>
      <c r="B88" s="271">
        <v>5740</v>
      </c>
      <c r="C88" s="271" t="str">
        <f>VLOOKUP(B88,Orgenheter!$A$1:$B$213,2,0)</f>
        <v>NMD</v>
      </c>
    </row>
    <row r="89" spans="1:3" ht="12.95" customHeight="1" x14ac:dyDescent="0.25">
      <c r="A89" s="431" t="s">
        <v>1953</v>
      </c>
      <c r="B89" s="427">
        <v>5740</v>
      </c>
      <c r="C89" s="271" t="str">
        <f>VLOOKUP(B89,Orgenheter!$A$1:$B$213,2,0)</f>
        <v>NMD</v>
      </c>
    </row>
    <row r="90" spans="1:3" ht="12.95" customHeight="1" x14ac:dyDescent="0.25">
      <c r="A90" s="431" t="s">
        <v>1942</v>
      </c>
      <c r="B90" s="427">
        <v>5100</v>
      </c>
      <c r="C90" s="271" t="str">
        <f>VLOOKUP(B90,Orgenheter!$A$1:$B$213,2,0)</f>
        <v>EMG</v>
      </c>
    </row>
    <row r="91" spans="1:3" ht="12.95" customHeight="1" x14ac:dyDescent="0.25">
      <c r="A91" s="431" t="s">
        <v>1933</v>
      </c>
      <c r="B91" s="427">
        <v>5100</v>
      </c>
      <c r="C91" s="271" t="str">
        <f>VLOOKUP(B91,Orgenheter!$A$1:$B$213,2,0)</f>
        <v>EMG</v>
      </c>
    </row>
    <row r="92" spans="1:3" ht="15.75" x14ac:dyDescent="0.25">
      <c r="A92" s="275" t="s">
        <v>1488</v>
      </c>
      <c r="B92" s="273">
        <v>5740</v>
      </c>
      <c r="C92" s="271" t="str">
        <f>VLOOKUP(B92,Orgenheter!$A$1:$B$213,2,0)</f>
        <v>NMD</v>
      </c>
    </row>
    <row r="93" spans="1:3" ht="15.75" x14ac:dyDescent="0.25">
      <c r="A93" s="275" t="s">
        <v>1489</v>
      </c>
      <c r="B93" s="273">
        <v>5740</v>
      </c>
      <c r="C93" s="271" t="str">
        <f>VLOOKUP(B93,Orgenheter!$A$1:$B$213,2,0)</f>
        <v>NMD</v>
      </c>
    </row>
    <row r="94" spans="1:3" ht="15.75" x14ac:dyDescent="0.25">
      <c r="A94" s="275" t="s">
        <v>1490</v>
      </c>
      <c r="B94" s="273">
        <v>5740</v>
      </c>
      <c r="C94" s="271" t="str">
        <f>VLOOKUP(B94,Orgenheter!$A$1:$B$213,2,0)</f>
        <v>NMD</v>
      </c>
    </row>
    <row r="95" spans="1:3" ht="15.75" x14ac:dyDescent="0.25">
      <c r="A95" s="275" t="s">
        <v>1019</v>
      </c>
      <c r="B95" s="273">
        <v>5100</v>
      </c>
      <c r="C95" s="271" t="str">
        <f>VLOOKUP(B95,Orgenheter!$A$1:$B$213,2,0)</f>
        <v>EMG</v>
      </c>
    </row>
    <row r="96" spans="1:3" ht="15.75" x14ac:dyDescent="0.25">
      <c r="A96" s="275" t="s">
        <v>1395</v>
      </c>
      <c r="B96" s="273">
        <v>5740</v>
      </c>
      <c r="C96" s="271" t="str">
        <f>VLOOKUP(B96,Orgenheter!$A$1:$B$213,2,0)</f>
        <v>NMD</v>
      </c>
    </row>
    <row r="97" spans="1:3" ht="12.95" customHeight="1" x14ac:dyDescent="0.25">
      <c r="A97" s="326" t="s">
        <v>1396</v>
      </c>
      <c r="B97" s="271">
        <v>5740</v>
      </c>
      <c r="C97" s="271" t="str">
        <f>VLOOKUP(B97,Orgenheter!$A$1:$B$213,2,0)</f>
        <v>NMD</v>
      </c>
    </row>
    <row r="98" spans="1:3" ht="12.95" customHeight="1" x14ac:dyDescent="0.25">
      <c r="A98" s="326" t="s">
        <v>1397</v>
      </c>
      <c r="B98" s="271">
        <v>5740</v>
      </c>
      <c r="C98" s="271" t="str">
        <f>VLOOKUP(B98,Orgenheter!$A$1:$B$213,2,0)</f>
        <v>NMD</v>
      </c>
    </row>
    <row r="99" spans="1:3" ht="12.95" customHeight="1" x14ac:dyDescent="0.25">
      <c r="A99" s="326" t="s">
        <v>1398</v>
      </c>
      <c r="B99" s="271">
        <v>5740</v>
      </c>
      <c r="C99" s="271" t="str">
        <f>VLOOKUP(B99,Orgenheter!$A$1:$B$213,2,0)</f>
        <v>NMD</v>
      </c>
    </row>
    <row r="100" spans="1:3" ht="12.95" customHeight="1" x14ac:dyDescent="0.25">
      <c r="A100" s="447" t="s">
        <v>1989</v>
      </c>
      <c r="B100" s="446">
        <v>5700</v>
      </c>
      <c r="C100" s="271" t="str">
        <f>VLOOKUP(B100,Orgenheter!$A$1:$B$213,2,0)</f>
        <v xml:space="preserve">Inst för datavetenskap        </v>
      </c>
    </row>
    <row r="101" spans="1:3" ht="12.95" customHeight="1" x14ac:dyDescent="0.25">
      <c r="A101" s="277" t="s">
        <v>66</v>
      </c>
      <c r="B101" s="277">
        <v>1620</v>
      </c>
      <c r="C101" s="271" t="str">
        <f>VLOOKUP(B101,Orgenheter!$A$1:$B$213,2,0)</f>
        <v>Inst för språkstudier</v>
      </c>
    </row>
    <row r="102" spans="1:3" ht="12.95" customHeight="1" x14ac:dyDescent="0.25">
      <c r="A102" s="271" t="s">
        <v>89</v>
      </c>
      <c r="B102" s="271">
        <v>1620</v>
      </c>
      <c r="C102" s="271" t="str">
        <f>VLOOKUP(B102,Orgenheter!$A$1:$B$213,2,0)</f>
        <v>Inst för språkstudier</v>
      </c>
    </row>
    <row r="103" spans="1:3" ht="12.95" customHeight="1" x14ac:dyDescent="0.25">
      <c r="A103" s="277" t="s">
        <v>367</v>
      </c>
      <c r="B103" s="271">
        <v>1620</v>
      </c>
      <c r="C103" s="271" t="str">
        <f>VLOOKUP(B103,Orgenheter!$A$1:$B$213,2,0)</f>
        <v>Inst för språkstudier</v>
      </c>
    </row>
    <row r="104" spans="1:3" ht="12.95" customHeight="1" x14ac:dyDescent="0.25">
      <c r="A104" s="276" t="s">
        <v>487</v>
      </c>
      <c r="B104" s="273">
        <v>1620</v>
      </c>
      <c r="C104" s="271" t="str">
        <f>VLOOKUP(B104,Orgenheter!$A$1:$B$213,2,0)</f>
        <v>Inst för språkstudier</v>
      </c>
    </row>
    <row r="105" spans="1:3" ht="12.95" customHeight="1" x14ac:dyDescent="0.25">
      <c r="A105" s="276" t="s">
        <v>488</v>
      </c>
      <c r="B105" s="273">
        <v>1620</v>
      </c>
      <c r="C105" s="271" t="str">
        <f>VLOOKUP(B105,Orgenheter!$A$1:$B$213,2,0)</f>
        <v>Inst för språkstudier</v>
      </c>
    </row>
    <row r="106" spans="1:3" ht="12.95" customHeight="1" x14ac:dyDescent="0.25">
      <c r="A106" s="276" t="s">
        <v>489</v>
      </c>
      <c r="B106" s="273">
        <v>1620</v>
      </c>
      <c r="C106" s="271" t="str">
        <f>VLOOKUP(B106,Orgenheter!$A$1:$B$213,2,0)</f>
        <v>Inst för språkstudier</v>
      </c>
    </row>
    <row r="107" spans="1:3" ht="12.95" customHeight="1" x14ac:dyDescent="0.25">
      <c r="A107" s="276" t="s">
        <v>490</v>
      </c>
      <c r="B107" s="273">
        <v>1620</v>
      </c>
      <c r="C107" s="271" t="str">
        <f>VLOOKUP(B107,Orgenheter!$A$1:$B$213,2,0)</f>
        <v>Inst för språkstudier</v>
      </c>
    </row>
    <row r="108" spans="1:3" ht="12.95" customHeight="1" x14ac:dyDescent="0.25">
      <c r="A108" s="276" t="s">
        <v>580</v>
      </c>
      <c r="B108" s="273">
        <v>1620</v>
      </c>
      <c r="C108" s="271" t="str">
        <f>VLOOKUP(B108,Orgenheter!$A$1:$B$213,2,0)</f>
        <v>Inst för språkstudier</v>
      </c>
    </row>
    <row r="109" spans="1:3" ht="12.95" customHeight="1" x14ac:dyDescent="0.25">
      <c r="A109" s="276" t="s">
        <v>491</v>
      </c>
      <c r="B109" s="273">
        <v>1620</v>
      </c>
      <c r="C109" s="271" t="str">
        <f>VLOOKUP(B109,Orgenheter!$A$1:$B$213,2,0)</f>
        <v>Inst för språkstudier</v>
      </c>
    </row>
    <row r="110" spans="1:3" ht="15.75" x14ac:dyDescent="0.25">
      <c r="A110" s="276" t="s">
        <v>492</v>
      </c>
      <c r="B110" s="273">
        <v>1620</v>
      </c>
      <c r="C110" s="271" t="str">
        <f>VLOOKUP(B110,Orgenheter!$A$1:$B$213,2,0)</f>
        <v>Inst för språkstudier</v>
      </c>
    </row>
    <row r="111" spans="1:3" ht="15.75" x14ac:dyDescent="0.25">
      <c r="A111" s="276" t="s">
        <v>581</v>
      </c>
      <c r="B111" s="273">
        <v>1620</v>
      </c>
      <c r="C111" s="271" t="str">
        <f>VLOOKUP(B111,Orgenheter!$A$1:$B$213,2,0)</f>
        <v>Inst för språkstudier</v>
      </c>
    </row>
    <row r="112" spans="1:3" ht="15.75" x14ac:dyDescent="0.25">
      <c r="A112" s="276" t="s">
        <v>1020</v>
      </c>
      <c r="B112" s="273">
        <v>1620</v>
      </c>
      <c r="C112" s="271" t="str">
        <f>VLOOKUP(B112,Orgenheter!$A$1:$B$213,2,0)</f>
        <v>Inst för språkstudier</v>
      </c>
    </row>
    <row r="113" spans="1:3" ht="15.75" x14ac:dyDescent="0.25">
      <c r="A113" s="276" t="s">
        <v>1728</v>
      </c>
      <c r="B113" s="273">
        <v>1620</v>
      </c>
      <c r="C113" s="271" t="str">
        <f>VLOOKUP(B113,Orgenheter!$A$1:$B$213,2,0)</f>
        <v>Inst för språkstudier</v>
      </c>
    </row>
    <row r="114" spans="1:3" ht="15.75" x14ac:dyDescent="0.25">
      <c r="A114" s="276" t="s">
        <v>1729</v>
      </c>
      <c r="B114" s="273">
        <v>1620</v>
      </c>
      <c r="C114" s="271" t="str">
        <f>VLOOKUP(B114,Orgenheter!$A$1:$B$213,2,0)</f>
        <v>Inst för språkstudier</v>
      </c>
    </row>
    <row r="115" spans="1:3" x14ac:dyDescent="0.25">
      <c r="A115" s="244" t="s">
        <v>1895</v>
      </c>
      <c r="B115" s="273">
        <v>1620</v>
      </c>
      <c r="C115" s="271" t="str">
        <f>VLOOKUP(B115,Orgenheter!$A$1:$B$213,2,0)</f>
        <v>Inst för språkstudier</v>
      </c>
    </row>
    <row r="116" spans="1:3" ht="12.95" customHeight="1" x14ac:dyDescent="0.25">
      <c r="A116" s="276" t="s">
        <v>1912</v>
      </c>
      <c r="B116" s="273">
        <v>1620</v>
      </c>
      <c r="C116" s="271" t="str">
        <f>VLOOKUP(B116,Orgenheter!$A$1:$B$213,2,0)</f>
        <v>Inst för språkstudier</v>
      </c>
    </row>
    <row r="117" spans="1:3" ht="12.95" customHeight="1" x14ac:dyDescent="0.25">
      <c r="A117" s="276" t="s">
        <v>1913</v>
      </c>
      <c r="B117" s="273">
        <v>1620</v>
      </c>
      <c r="C117" s="271" t="str">
        <f>VLOOKUP(B117,Orgenheter!$A$1:$B$213,2,0)</f>
        <v>Inst för språkstudier</v>
      </c>
    </row>
    <row r="118" spans="1:3" ht="12.95" customHeight="1" x14ac:dyDescent="0.25">
      <c r="A118" s="444" t="s">
        <v>1985</v>
      </c>
      <c r="B118" s="445">
        <v>1620</v>
      </c>
      <c r="C118" s="271" t="str">
        <f>VLOOKUP(B118,Orgenheter!$A$1:$B$213,2,0)</f>
        <v>Inst för språkstudier</v>
      </c>
    </row>
    <row r="119" spans="1:3" ht="12.95" customHeight="1" x14ac:dyDescent="0.25">
      <c r="A119" s="444" t="s">
        <v>1986</v>
      </c>
      <c r="B119" s="445">
        <v>1620</v>
      </c>
      <c r="C119" s="271" t="str">
        <f>VLOOKUP(B119,Orgenheter!$A$1:$B$213,2,0)</f>
        <v>Inst för språkstudier</v>
      </c>
    </row>
    <row r="120" spans="1:3" ht="12.95" customHeight="1" x14ac:dyDescent="0.25">
      <c r="A120" s="444" t="s">
        <v>1987</v>
      </c>
      <c r="B120" s="445">
        <v>1620</v>
      </c>
      <c r="C120" s="271" t="str">
        <f>VLOOKUP(B120,Orgenheter!$A$1:$B$213,2,0)</f>
        <v>Inst för språkstudier</v>
      </c>
    </row>
    <row r="121" spans="1:3" ht="12.95" customHeight="1" x14ac:dyDescent="0.25">
      <c r="A121" s="446" t="s">
        <v>2155</v>
      </c>
      <c r="B121" s="446">
        <v>1620</v>
      </c>
      <c r="C121" s="271" t="str">
        <f>VLOOKUP(B121,Orgenheter!$A$1:$B$213,2,0)</f>
        <v>Inst för språkstudier</v>
      </c>
    </row>
    <row r="122" spans="1:3" ht="15.75" x14ac:dyDescent="0.25">
      <c r="A122" s="276" t="s">
        <v>1257</v>
      </c>
      <c r="B122" s="273">
        <v>1620</v>
      </c>
      <c r="C122" s="271" t="str">
        <f>VLOOKUP(B122,Orgenheter!$A$1:$B$213,2,0)</f>
        <v>Inst för språkstudier</v>
      </c>
    </row>
    <row r="123" spans="1:3" ht="12.95" customHeight="1" x14ac:dyDescent="0.25">
      <c r="A123" s="271" t="s">
        <v>67</v>
      </c>
      <c r="B123" s="271">
        <v>1650</v>
      </c>
      <c r="C123" s="271" t="str">
        <f>VLOOKUP(B123,Orgenheter!$A$1:$B$213,2,0)</f>
        <v xml:space="preserve">Estetiska ämnen               </v>
      </c>
    </row>
    <row r="124" spans="1:3" ht="12.95" customHeight="1" x14ac:dyDescent="0.25">
      <c r="A124" s="271" t="s">
        <v>83</v>
      </c>
      <c r="B124" s="271">
        <v>1650</v>
      </c>
      <c r="C124" s="271" t="str">
        <f>VLOOKUP(B124,Orgenheter!$A$1:$B$213,2,0)</f>
        <v xml:space="preserve">Estetiska ämnen               </v>
      </c>
    </row>
    <row r="125" spans="1:3" ht="12.95" customHeight="1" x14ac:dyDescent="0.25">
      <c r="A125" s="271" t="s">
        <v>336</v>
      </c>
      <c r="B125" s="271">
        <v>1650</v>
      </c>
      <c r="C125" s="271" t="str">
        <f>VLOOKUP(B125,Orgenheter!$A$1:$B$213,2,0)</f>
        <v xml:space="preserve">Estetiska ämnen               </v>
      </c>
    </row>
    <row r="126" spans="1:3" x14ac:dyDescent="0.25">
      <c r="A126" s="277" t="s">
        <v>65</v>
      </c>
      <c r="B126" s="271">
        <v>1650</v>
      </c>
      <c r="C126" s="271" t="str">
        <f>VLOOKUP(B126,Orgenheter!$A$1:$B$213,2,0)</f>
        <v xml:space="preserve">Estetiska ämnen               </v>
      </c>
    </row>
    <row r="127" spans="1:3" x14ac:dyDescent="0.25">
      <c r="A127" s="271" t="s">
        <v>400</v>
      </c>
      <c r="B127" s="271">
        <v>1650</v>
      </c>
      <c r="C127" s="271" t="str">
        <f>VLOOKUP(B127,Orgenheter!$A$1:$B$213,2,0)</f>
        <v xml:space="preserve">Estetiska ämnen               </v>
      </c>
    </row>
    <row r="128" spans="1:3" x14ac:dyDescent="0.25">
      <c r="A128" s="271" t="s">
        <v>476</v>
      </c>
      <c r="B128" s="271">
        <v>1650</v>
      </c>
      <c r="C128" s="271" t="str">
        <f>VLOOKUP(B128,Orgenheter!$A$1:$B$213,2,0)</f>
        <v xml:space="preserve">Estetiska ämnen               </v>
      </c>
    </row>
    <row r="129" spans="1:3" x14ac:dyDescent="0.25">
      <c r="A129" s="271" t="s">
        <v>525</v>
      </c>
      <c r="B129" s="271">
        <v>1650</v>
      </c>
      <c r="C129" s="271" t="str">
        <f>VLOOKUP(B129,Orgenheter!$A$1:$B$213,2,0)</f>
        <v xml:space="preserve">Estetiska ämnen               </v>
      </c>
    </row>
    <row r="130" spans="1:3" ht="15.75" x14ac:dyDescent="0.25">
      <c r="A130" s="276" t="s">
        <v>493</v>
      </c>
      <c r="B130" s="273">
        <v>1650</v>
      </c>
      <c r="C130" s="271" t="str">
        <f>VLOOKUP(B130,Orgenheter!$A$1:$B$213,2,0)</f>
        <v xml:space="preserve">Estetiska ämnen               </v>
      </c>
    </row>
    <row r="131" spans="1:3" ht="12.95" customHeight="1" x14ac:dyDescent="0.25">
      <c r="A131" s="276" t="s">
        <v>494</v>
      </c>
      <c r="B131" s="273">
        <v>1650</v>
      </c>
      <c r="C131" s="271" t="str">
        <f>VLOOKUP(B131,Orgenheter!$A$1:$B$213,2,0)</f>
        <v xml:space="preserve">Estetiska ämnen               </v>
      </c>
    </row>
    <row r="132" spans="1:3" ht="15.75" x14ac:dyDescent="0.25">
      <c r="A132" s="276" t="s">
        <v>582</v>
      </c>
      <c r="B132" s="273">
        <v>1650</v>
      </c>
      <c r="C132" s="271" t="str">
        <f>VLOOKUP(B132,Orgenheter!$A$1:$B$213,2,0)</f>
        <v xml:space="preserve">Estetiska ämnen               </v>
      </c>
    </row>
    <row r="133" spans="1:3" ht="15.75" x14ac:dyDescent="0.25">
      <c r="A133" s="276" t="s">
        <v>1021</v>
      </c>
      <c r="B133" s="273">
        <v>1650</v>
      </c>
      <c r="C133" s="271" t="str">
        <f>VLOOKUP(B133,Orgenheter!$A$1:$B$213,2,0)</f>
        <v xml:space="preserve">Estetiska ämnen               </v>
      </c>
    </row>
    <row r="134" spans="1:3" ht="12.95" customHeight="1" x14ac:dyDescent="0.25">
      <c r="A134" s="276" t="s">
        <v>1022</v>
      </c>
      <c r="B134" s="273">
        <v>1650</v>
      </c>
      <c r="C134" s="271" t="str">
        <f>VLOOKUP(B134,Orgenheter!$A$1:$B$213,2,0)</f>
        <v xml:space="preserve">Estetiska ämnen               </v>
      </c>
    </row>
    <row r="135" spans="1:3" ht="12.95" customHeight="1" x14ac:dyDescent="0.25">
      <c r="A135" s="276" t="s">
        <v>1258</v>
      </c>
      <c r="B135" s="273">
        <v>1650</v>
      </c>
      <c r="C135" s="271" t="str">
        <f>VLOOKUP(B135,Orgenheter!$A$1:$B$213,2,0)</f>
        <v xml:space="preserve">Estetiska ämnen               </v>
      </c>
    </row>
    <row r="136" spans="1:3" ht="15.75" x14ac:dyDescent="0.25">
      <c r="A136" s="276" t="s">
        <v>583</v>
      </c>
      <c r="B136" s="273">
        <v>1650</v>
      </c>
      <c r="C136" s="271" t="str">
        <f>VLOOKUP(B136,Orgenheter!$A$1:$B$213,2,0)</f>
        <v xml:space="preserve">Estetiska ämnen               </v>
      </c>
    </row>
    <row r="137" spans="1:3" ht="15.75" x14ac:dyDescent="0.25">
      <c r="A137" s="276" t="s">
        <v>827</v>
      </c>
      <c r="B137" s="273">
        <v>1650</v>
      </c>
      <c r="C137" s="271" t="str">
        <f>VLOOKUP(B137,Orgenheter!$A$1:$B$213,2,0)</f>
        <v xml:space="preserve">Estetiska ämnen               </v>
      </c>
    </row>
    <row r="138" spans="1:3" ht="15.75" x14ac:dyDescent="0.25">
      <c r="A138" s="276" t="s">
        <v>828</v>
      </c>
      <c r="B138" s="273">
        <v>1650</v>
      </c>
      <c r="C138" s="271" t="str">
        <f>VLOOKUP(B138,Orgenheter!$A$1:$B$213,2,0)</f>
        <v xml:space="preserve">Estetiska ämnen               </v>
      </c>
    </row>
    <row r="139" spans="1:3" ht="12.95" customHeight="1" x14ac:dyDescent="0.25">
      <c r="A139" s="276" t="s">
        <v>854</v>
      </c>
      <c r="B139" s="273">
        <v>1650</v>
      </c>
      <c r="C139" s="271" t="str">
        <f>VLOOKUP(B139,Orgenheter!$A$1:$B$213,2,0)</f>
        <v xml:space="preserve">Estetiska ämnen               </v>
      </c>
    </row>
    <row r="140" spans="1:3" ht="15.75" x14ac:dyDescent="0.25">
      <c r="A140" s="276" t="s">
        <v>855</v>
      </c>
      <c r="B140" s="273">
        <v>1650</v>
      </c>
      <c r="C140" s="271" t="str">
        <f>VLOOKUP(B140,Orgenheter!$A$1:$B$213,2,0)</f>
        <v xml:space="preserve">Estetiska ämnen               </v>
      </c>
    </row>
    <row r="141" spans="1:3" ht="15.75" x14ac:dyDescent="0.25">
      <c r="A141" s="276" t="s">
        <v>1023</v>
      </c>
      <c r="B141" s="273">
        <v>1650</v>
      </c>
      <c r="C141" s="271" t="str">
        <f>VLOOKUP(B141,Orgenheter!$A$1:$B$213,2,0)</f>
        <v xml:space="preserve">Estetiska ämnen               </v>
      </c>
    </row>
    <row r="142" spans="1:3" ht="12.95" customHeight="1" x14ac:dyDescent="0.25">
      <c r="A142" s="276" t="s">
        <v>1024</v>
      </c>
      <c r="B142" s="273">
        <v>1650</v>
      </c>
      <c r="C142" s="271" t="str">
        <f>VLOOKUP(B142,Orgenheter!$A$1:$B$213,2,0)</f>
        <v xml:space="preserve">Estetiska ämnen               </v>
      </c>
    </row>
    <row r="143" spans="1:3" ht="12.95" customHeight="1" x14ac:dyDescent="0.25">
      <c r="A143" s="276" t="s">
        <v>495</v>
      </c>
      <c r="B143" s="273">
        <v>1650</v>
      </c>
      <c r="C143" s="271" t="str">
        <f>VLOOKUP(B143,Orgenheter!$A$1:$B$213,2,0)</f>
        <v xml:space="preserve">Estetiska ämnen               </v>
      </c>
    </row>
    <row r="144" spans="1:3" ht="12.95" customHeight="1" x14ac:dyDescent="0.25">
      <c r="A144" s="275" t="s">
        <v>566</v>
      </c>
      <c r="B144" s="273">
        <v>1650</v>
      </c>
      <c r="C144" s="271" t="str">
        <f>VLOOKUP(B144,Orgenheter!$A$1:$B$213,2,0)</f>
        <v xml:space="preserve">Estetiska ämnen               </v>
      </c>
    </row>
    <row r="145" spans="1:3" ht="12.95" customHeight="1" x14ac:dyDescent="0.25">
      <c r="A145" s="288" t="s">
        <v>657</v>
      </c>
      <c r="B145" s="271">
        <v>1650</v>
      </c>
      <c r="C145" s="271" t="str">
        <f>VLOOKUP(B145,Orgenheter!$A$1:$B$213,2,0)</f>
        <v xml:space="preserve">Estetiska ämnen               </v>
      </c>
    </row>
    <row r="146" spans="1:3" ht="12.95" customHeight="1" x14ac:dyDescent="0.25">
      <c r="A146" s="288" t="s">
        <v>658</v>
      </c>
      <c r="B146" s="271">
        <v>1650</v>
      </c>
      <c r="C146" s="271" t="str">
        <f>VLOOKUP(B146,Orgenheter!$A$1:$B$213,2,0)</f>
        <v xml:space="preserve">Estetiska ämnen               </v>
      </c>
    </row>
    <row r="147" spans="1:3" ht="12.95" customHeight="1" x14ac:dyDescent="0.25">
      <c r="A147" s="275" t="s">
        <v>907</v>
      </c>
      <c r="B147" s="273">
        <v>1650</v>
      </c>
      <c r="C147" s="271" t="str">
        <f>VLOOKUP(B147,Orgenheter!$A$1:$B$213,2,0)</f>
        <v xml:space="preserve">Estetiska ämnen               </v>
      </c>
    </row>
    <row r="148" spans="1:3" ht="12.95" customHeight="1" x14ac:dyDescent="0.25">
      <c r="A148" s="275" t="s">
        <v>1351</v>
      </c>
      <c r="B148" s="273">
        <v>1650</v>
      </c>
      <c r="C148" s="271" t="str">
        <f>VLOOKUP(B148,Orgenheter!$A$1:$B$213,2,0)</f>
        <v xml:space="preserve">Estetiska ämnen               </v>
      </c>
    </row>
    <row r="149" spans="1:3" ht="12.95" customHeight="1" x14ac:dyDescent="0.25">
      <c r="A149" s="275" t="s">
        <v>1370</v>
      </c>
      <c r="B149" s="273">
        <v>1650</v>
      </c>
      <c r="C149" s="271" t="str">
        <f>VLOOKUP(B149,Orgenheter!$A$1:$B$213,2,0)</f>
        <v xml:space="preserve">Estetiska ämnen               </v>
      </c>
    </row>
    <row r="150" spans="1:3" ht="12.95" customHeight="1" x14ac:dyDescent="0.25">
      <c r="A150" s="275" t="s">
        <v>1371</v>
      </c>
      <c r="B150" s="273">
        <v>1650</v>
      </c>
      <c r="C150" s="271" t="str">
        <f>VLOOKUP(B150,Orgenheter!$A$1:$B$213,2,0)</f>
        <v xml:space="preserve">Estetiska ämnen               </v>
      </c>
    </row>
    <row r="151" spans="1:3" ht="12.95" customHeight="1" x14ac:dyDescent="0.25">
      <c r="A151" s="275" t="s">
        <v>1372</v>
      </c>
      <c r="B151" s="273">
        <v>1650</v>
      </c>
      <c r="C151" s="271" t="str">
        <f>VLOOKUP(B151,Orgenheter!$A$1:$B$213,2,0)</f>
        <v xml:space="preserve">Estetiska ämnen               </v>
      </c>
    </row>
    <row r="152" spans="1:3" ht="12.95" customHeight="1" x14ac:dyDescent="0.25">
      <c r="A152" s="293" t="s">
        <v>1617</v>
      </c>
      <c r="B152" s="271">
        <v>1650</v>
      </c>
      <c r="C152" s="271" t="str">
        <f>VLOOKUP(B152,Orgenheter!$A$1:$B$213,2,0)</f>
        <v xml:space="preserve">Estetiska ämnen               </v>
      </c>
    </row>
    <row r="153" spans="1:3" ht="12.95" customHeight="1" x14ac:dyDescent="0.25">
      <c r="A153" s="275" t="s">
        <v>1618</v>
      </c>
      <c r="B153" s="271">
        <v>1650</v>
      </c>
      <c r="C153" s="271" t="str">
        <f>VLOOKUP(B153,Orgenheter!$A$1:$B$213,2,0)</f>
        <v xml:space="preserve">Estetiska ämnen               </v>
      </c>
    </row>
    <row r="154" spans="1:3" ht="15" customHeight="1" x14ac:dyDescent="0.25">
      <c r="A154" s="297" t="s">
        <v>1559</v>
      </c>
      <c r="B154" s="271">
        <v>1650</v>
      </c>
      <c r="C154" s="271" t="str">
        <f>VLOOKUP(B154,Orgenheter!$A$1:$B$213,2,0)</f>
        <v xml:space="preserve">Estetiska ämnen               </v>
      </c>
    </row>
    <row r="155" spans="1:3" ht="12.95" customHeight="1" x14ac:dyDescent="0.25">
      <c r="A155" s="275" t="s">
        <v>1459</v>
      </c>
      <c r="B155" s="273">
        <v>1650</v>
      </c>
      <c r="C155" s="271" t="str">
        <f>VLOOKUP(B155,Orgenheter!$A$1:$B$213,2,0)</f>
        <v xml:space="preserve">Estetiska ämnen               </v>
      </c>
    </row>
    <row r="156" spans="1:3" ht="12.95" customHeight="1" x14ac:dyDescent="0.25">
      <c r="A156" s="275" t="s">
        <v>1460</v>
      </c>
      <c r="B156" s="273">
        <v>1650</v>
      </c>
      <c r="C156" s="271" t="str">
        <f>VLOOKUP(B156,Orgenheter!$A$1:$B$213,2,0)</f>
        <v xml:space="preserve">Estetiska ämnen               </v>
      </c>
    </row>
    <row r="157" spans="1:3" ht="12.95" customHeight="1" x14ac:dyDescent="0.25">
      <c r="A157" s="275" t="s">
        <v>1461</v>
      </c>
      <c r="B157" s="273">
        <v>1650</v>
      </c>
      <c r="C157" s="271" t="str">
        <f>VLOOKUP(B157,Orgenheter!$A$1:$B$213,2,0)</f>
        <v xml:space="preserve">Estetiska ämnen               </v>
      </c>
    </row>
    <row r="158" spans="1:3" ht="12.95" customHeight="1" x14ac:dyDescent="0.25">
      <c r="A158" s="275" t="s">
        <v>1615</v>
      </c>
      <c r="B158" s="273">
        <v>1650</v>
      </c>
      <c r="C158" s="271" t="str">
        <f>VLOOKUP(B158,Orgenheter!$A$1:$B$213,2,0)</f>
        <v xml:space="preserve">Estetiska ämnen               </v>
      </c>
    </row>
    <row r="159" spans="1:3" ht="15" customHeight="1" x14ac:dyDescent="0.25">
      <c r="A159" s="297" t="s">
        <v>1703</v>
      </c>
      <c r="B159" s="271">
        <v>1650</v>
      </c>
      <c r="C159" s="271" t="str">
        <f>VLOOKUP(B159,Orgenheter!$A$1:$B$213,2,0)</f>
        <v xml:space="preserve">Estetiska ämnen               </v>
      </c>
    </row>
    <row r="160" spans="1:3" ht="12.95" customHeight="1" x14ac:dyDescent="0.25">
      <c r="A160" s="275" t="s">
        <v>1651</v>
      </c>
      <c r="B160" s="273">
        <v>1650</v>
      </c>
      <c r="C160" s="271" t="str">
        <f>VLOOKUP(B160,Orgenheter!$A$1:$B$213,2,0)</f>
        <v xml:space="preserve">Estetiska ämnen               </v>
      </c>
    </row>
    <row r="161" spans="1:3" ht="12.95" customHeight="1" x14ac:dyDescent="0.25">
      <c r="A161" s="277" t="s">
        <v>1716</v>
      </c>
      <c r="B161" s="271">
        <v>1650</v>
      </c>
      <c r="C161" s="271" t="str">
        <f>VLOOKUP(B161,Orgenheter!$A$1:$B$213,2,0)</f>
        <v xml:space="preserve">Estetiska ämnen               </v>
      </c>
    </row>
    <row r="162" spans="1:3" ht="12.95" customHeight="1" x14ac:dyDescent="0.25">
      <c r="A162" s="275" t="s">
        <v>1709</v>
      </c>
      <c r="B162" s="273">
        <v>1650</v>
      </c>
      <c r="C162" s="271" t="str">
        <f>VLOOKUP(B162,Orgenheter!$A$1:$B$213,2,0)</f>
        <v xml:space="preserve">Estetiska ämnen               </v>
      </c>
    </row>
    <row r="163" spans="1:3" ht="12.95" customHeight="1" x14ac:dyDescent="0.25">
      <c r="A163" s="275" t="s">
        <v>1734</v>
      </c>
      <c r="B163" s="273">
        <v>1650</v>
      </c>
      <c r="C163" s="271" t="str">
        <f>VLOOKUP(B163,Orgenheter!$A$1:$B$213,2,0)</f>
        <v xml:space="preserve">Estetiska ämnen               </v>
      </c>
    </row>
    <row r="164" spans="1:3" ht="12.95" customHeight="1" x14ac:dyDescent="0.25">
      <c r="A164" s="275" t="s">
        <v>1820</v>
      </c>
      <c r="B164" s="273">
        <v>1650</v>
      </c>
      <c r="C164" s="271" t="str">
        <f>VLOOKUP(B164,Orgenheter!$A$1:$B$213,2,0)</f>
        <v xml:space="preserve">Estetiska ämnen               </v>
      </c>
    </row>
    <row r="165" spans="1:3" ht="12.95" customHeight="1" x14ac:dyDescent="0.25">
      <c r="A165" s="416" t="s">
        <v>1853</v>
      </c>
      <c r="B165" s="417">
        <v>1650</v>
      </c>
      <c r="C165" s="271" t="str">
        <f>VLOOKUP(B165,Orgenheter!$A$1:$B$213,2,0)</f>
        <v xml:space="preserve">Estetiska ämnen               </v>
      </c>
    </row>
    <row r="166" spans="1:3" ht="12.95" customHeight="1" x14ac:dyDescent="0.25">
      <c r="A166" s="277" t="s">
        <v>1881</v>
      </c>
      <c r="B166" s="271">
        <v>1650</v>
      </c>
      <c r="C166" s="271" t="str">
        <f>VLOOKUP(B166,Orgenheter!$A$1:$B$213,2,0)</f>
        <v xml:space="preserve">Estetiska ämnen               </v>
      </c>
    </row>
    <row r="167" spans="1:3" ht="12.95" customHeight="1" x14ac:dyDescent="0.25">
      <c r="A167" s="277" t="s">
        <v>1879</v>
      </c>
      <c r="B167" s="271">
        <v>1650</v>
      </c>
      <c r="C167" s="271" t="str">
        <f>VLOOKUP(B167,Orgenheter!$A$1:$B$213,2,0)</f>
        <v xml:space="preserve">Estetiska ämnen               </v>
      </c>
    </row>
    <row r="168" spans="1:3" ht="12.95" customHeight="1" x14ac:dyDescent="0.25">
      <c r="A168" s="277" t="s">
        <v>1880</v>
      </c>
      <c r="B168" s="271">
        <v>1650</v>
      </c>
      <c r="C168" s="271" t="str">
        <f>VLOOKUP(B168,Orgenheter!$A$1:$B$213,2,0)</f>
        <v xml:space="preserve">Estetiska ämnen               </v>
      </c>
    </row>
    <row r="169" spans="1:3" ht="12.95" customHeight="1" x14ac:dyDescent="0.25">
      <c r="A169" s="453" t="s">
        <v>2001</v>
      </c>
      <c r="B169" s="446">
        <v>1650</v>
      </c>
      <c r="C169" s="271" t="str">
        <f>VLOOKUP(B169,Orgenheter!$A$1:$B$213,2,0)</f>
        <v xml:space="preserve">Estetiska ämnen               </v>
      </c>
    </row>
    <row r="170" spans="1:3" ht="12.95" customHeight="1" x14ac:dyDescent="0.25">
      <c r="A170" s="498" t="s">
        <v>2063</v>
      </c>
      <c r="B170" s="499">
        <v>1650</v>
      </c>
      <c r="C170" s="271" t="str">
        <f>VLOOKUP(B170,Orgenheter!$A$1:$B$213,2,0)</f>
        <v xml:space="preserve">Estetiska ämnen               </v>
      </c>
    </row>
    <row r="171" spans="1:3" ht="12.95" customHeight="1" x14ac:dyDescent="0.25">
      <c r="A171" s="328" t="s">
        <v>2000</v>
      </c>
      <c r="B171" s="271">
        <v>1650</v>
      </c>
      <c r="C171" s="271" t="str">
        <f>VLOOKUP(B171,Orgenheter!$A$1:$B$213,2,0)</f>
        <v xml:space="preserve">Estetiska ämnen               </v>
      </c>
    </row>
    <row r="172" spans="1:3" ht="12.95" customHeight="1" x14ac:dyDescent="0.25">
      <c r="A172" s="570" t="s">
        <v>2190</v>
      </c>
      <c r="B172" s="499">
        <v>1650</v>
      </c>
      <c r="C172" s="271" t="str">
        <f>VLOOKUP(B172,Orgenheter!$A$1:$B$213,2,0)</f>
        <v xml:space="preserve">Estetiska ämnen               </v>
      </c>
    </row>
    <row r="173" spans="1:3" ht="12.95" customHeight="1" x14ac:dyDescent="0.25">
      <c r="A173" s="31" t="s">
        <v>2117</v>
      </c>
      <c r="B173" s="271">
        <v>1650</v>
      </c>
      <c r="C173" s="271" t="str">
        <f>VLOOKUP(B173,Orgenheter!$A$1:$B$213,2,0)</f>
        <v xml:space="preserve">Estetiska ämnen               </v>
      </c>
    </row>
    <row r="174" spans="1:3" ht="12.95" customHeight="1" x14ac:dyDescent="0.25">
      <c r="A174" s="498" t="s">
        <v>2064</v>
      </c>
      <c r="B174" s="499">
        <v>1650</v>
      </c>
      <c r="C174" s="271" t="str">
        <f>VLOOKUP(B174,Orgenheter!$A$1:$B$213,2,0)</f>
        <v xml:space="preserve">Estetiska ämnen               </v>
      </c>
    </row>
    <row r="175" spans="1:3" ht="12.95" customHeight="1" x14ac:dyDescent="0.25">
      <c r="A175" s="498" t="s">
        <v>2065</v>
      </c>
      <c r="B175" s="499">
        <v>1650</v>
      </c>
      <c r="C175" s="271" t="str">
        <f>VLOOKUP(B175,Orgenheter!$A$1:$B$213,2,0)</f>
        <v xml:space="preserve">Estetiska ämnen               </v>
      </c>
    </row>
    <row r="176" spans="1:3" ht="15" customHeight="1" x14ac:dyDescent="0.25">
      <c r="A176" s="297" t="s">
        <v>2054</v>
      </c>
      <c r="B176" s="271">
        <v>1650</v>
      </c>
      <c r="C176" s="271" t="str">
        <f>VLOOKUP(B176,Orgenheter!$A$1:$B$213,2,0)</f>
        <v xml:space="preserve">Estetiska ämnen               </v>
      </c>
    </row>
    <row r="177" spans="1:3" ht="12.95" customHeight="1" x14ac:dyDescent="0.25">
      <c r="A177" s="498" t="s">
        <v>2066</v>
      </c>
      <c r="B177" s="499">
        <v>1650</v>
      </c>
      <c r="C177" s="271" t="str">
        <f>VLOOKUP(B177,Orgenheter!$A$1:$B$213,2,0)</f>
        <v xml:space="preserve">Estetiska ämnen               </v>
      </c>
    </row>
    <row r="178" spans="1:3" ht="12.95" customHeight="1" x14ac:dyDescent="0.25">
      <c r="A178" s="498" t="s">
        <v>2067</v>
      </c>
      <c r="B178" s="499">
        <v>1650</v>
      </c>
      <c r="C178" s="271" t="str">
        <f>VLOOKUP(B178,Orgenheter!$A$1:$B$213,2,0)</f>
        <v xml:space="preserve">Estetiska ämnen               </v>
      </c>
    </row>
    <row r="179" spans="1:3" ht="12.95" customHeight="1" x14ac:dyDescent="0.25">
      <c r="A179" s="277" t="s">
        <v>2098</v>
      </c>
      <c r="B179" s="271">
        <v>1650</v>
      </c>
      <c r="C179" s="271" t="str">
        <f>VLOOKUP(B179,Orgenheter!$A$1:$B$213,2,0)</f>
        <v xml:space="preserve">Estetiska ämnen               </v>
      </c>
    </row>
    <row r="180" spans="1:3" ht="15.75" x14ac:dyDescent="0.25">
      <c r="A180" s="276" t="s">
        <v>2093</v>
      </c>
      <c r="B180" s="273">
        <v>1650</v>
      </c>
      <c r="C180" s="271" t="str">
        <f>VLOOKUP(B180,Orgenheter!$A$1:$B$213,2,0)</f>
        <v xml:space="preserve">Estetiska ämnen               </v>
      </c>
    </row>
    <row r="181" spans="1:3" ht="12.95" customHeight="1" x14ac:dyDescent="0.25">
      <c r="A181" s="18" t="s">
        <v>2118</v>
      </c>
      <c r="B181" s="271">
        <v>1650</v>
      </c>
      <c r="C181" s="271" t="str">
        <f>VLOOKUP(B181,Orgenheter!$A$1:$B$213,2,0)</f>
        <v xml:space="preserve">Estetiska ämnen               </v>
      </c>
    </row>
    <row r="182" spans="1:3" ht="12.95" customHeight="1" x14ac:dyDescent="0.25">
      <c r="A182" s="452" t="s">
        <v>2103</v>
      </c>
      <c r="B182" s="271">
        <v>1650</v>
      </c>
      <c r="C182" s="271" t="str">
        <f>VLOOKUP(B182,Orgenheter!$A$1:$B$213,2,0)</f>
        <v xml:space="preserve">Estetiska ämnen               </v>
      </c>
    </row>
    <row r="183" spans="1:3" s="1" customFormat="1" x14ac:dyDescent="0.25">
      <c r="A183" s="427" t="s">
        <v>2052</v>
      </c>
      <c r="B183" s="427">
        <v>1650</v>
      </c>
      <c r="C183" s="271" t="str">
        <f>VLOOKUP(B183,Orgenheter!$A$1:$B$213,2,0)</f>
        <v xml:space="preserve">Estetiska ämnen               </v>
      </c>
    </row>
    <row r="184" spans="1:3" ht="12.95" customHeight="1" x14ac:dyDescent="0.25">
      <c r="A184" s="452" t="s">
        <v>2102</v>
      </c>
      <c r="B184" s="271">
        <v>1650</v>
      </c>
      <c r="C184" s="271" t="str">
        <f>VLOOKUP(B184,Orgenheter!$A$1:$B$213,2,0)</f>
        <v xml:space="preserve">Estetiska ämnen               </v>
      </c>
    </row>
    <row r="185" spans="1:3" ht="12.95" customHeight="1" x14ac:dyDescent="0.25">
      <c r="A185" s="500" t="s">
        <v>2116</v>
      </c>
      <c r="B185" s="499">
        <v>1650</v>
      </c>
      <c r="C185" s="271" t="str">
        <f>VLOOKUP(B185,Orgenheter!$A$1:$B$213,2,0)</f>
        <v xml:space="preserve">Estetiska ämnen               </v>
      </c>
    </row>
    <row r="186" spans="1:3" ht="12.95" customHeight="1" x14ac:dyDescent="0.25">
      <c r="A186" s="498" t="s">
        <v>2191</v>
      </c>
      <c r="B186" s="499">
        <v>1650</v>
      </c>
      <c r="C186" s="271" t="str">
        <f>VLOOKUP(B186,Orgenheter!$A$1:$B$213,2,0)</f>
        <v xml:space="preserve">Estetiska ämnen               </v>
      </c>
    </row>
    <row r="187" spans="1:3" ht="12.95" customHeight="1" x14ac:dyDescent="0.25">
      <c r="A187" s="275" t="s">
        <v>523</v>
      </c>
      <c r="B187" s="271">
        <v>6000</v>
      </c>
      <c r="C187" s="271" t="str">
        <f>VLOOKUP(B187,Orgenheter!$A$1:$B$213,2,0)</f>
        <v xml:space="preserve">Lärarutbildningarna gem       </v>
      </c>
    </row>
    <row r="188" spans="1:3" ht="12.95" customHeight="1" x14ac:dyDescent="0.25">
      <c r="A188" s="275" t="s">
        <v>1259</v>
      </c>
      <c r="B188" s="271">
        <v>6000</v>
      </c>
      <c r="C188" s="271" t="str">
        <f>VLOOKUP(B188,Orgenheter!$A$1:$B$213,2,0)</f>
        <v xml:space="preserve">Lärarutbildningarna gem       </v>
      </c>
    </row>
    <row r="189" spans="1:3" ht="12.95" customHeight="1" x14ac:dyDescent="0.25">
      <c r="A189" s="275" t="s">
        <v>1800</v>
      </c>
      <c r="B189" s="271">
        <v>6000</v>
      </c>
      <c r="C189" s="271" t="str">
        <f>VLOOKUP(B189,Orgenheter!$A$1:$B$213,2,0)</f>
        <v xml:space="preserve">Lärarutbildningarna gem       </v>
      </c>
    </row>
    <row r="190" spans="1:3" ht="12.95" customHeight="1" x14ac:dyDescent="0.25">
      <c r="A190" s="277" t="s">
        <v>856</v>
      </c>
      <c r="B190" s="277">
        <v>1620</v>
      </c>
      <c r="C190" s="271" t="str">
        <f>VLOOKUP(B190,Orgenheter!$A$1:$B$213,2,0)</f>
        <v>Inst för språkstudier</v>
      </c>
    </row>
    <row r="191" spans="1:3" ht="12.95" customHeight="1" x14ac:dyDescent="0.25">
      <c r="A191" s="271" t="s">
        <v>88</v>
      </c>
      <c r="B191" s="271">
        <v>1620</v>
      </c>
      <c r="C191" s="271" t="str">
        <f>VLOOKUP(B191,Orgenheter!$A$1:$B$213,2,0)</f>
        <v>Inst för språkstudier</v>
      </c>
    </row>
    <row r="192" spans="1:3" ht="12.95" customHeight="1" x14ac:dyDescent="0.25">
      <c r="A192" s="327" t="s">
        <v>144</v>
      </c>
      <c r="B192" s="271">
        <v>1620</v>
      </c>
      <c r="C192" s="271" t="str">
        <f>VLOOKUP(B192,Orgenheter!$A$1:$B$213,2,0)</f>
        <v>Inst för språkstudier</v>
      </c>
    </row>
    <row r="193" spans="1:3" ht="12.95" customHeight="1" x14ac:dyDescent="0.25">
      <c r="A193" s="277" t="s">
        <v>857</v>
      </c>
      <c r="B193" s="271">
        <v>1620</v>
      </c>
      <c r="C193" s="271" t="str">
        <f>VLOOKUP(B193,Orgenheter!$A$1:$B$213,2,0)</f>
        <v>Inst för språkstudier</v>
      </c>
    </row>
    <row r="194" spans="1:3" ht="12.95" customHeight="1" x14ac:dyDescent="0.25">
      <c r="A194" s="277" t="s">
        <v>1025</v>
      </c>
      <c r="B194" s="271">
        <v>1620</v>
      </c>
      <c r="C194" s="271" t="str">
        <f>VLOOKUP(B194,Orgenheter!$A$1:$B$213,2,0)</f>
        <v>Inst för språkstudier</v>
      </c>
    </row>
    <row r="195" spans="1:3" ht="12.95" customHeight="1" x14ac:dyDescent="0.25">
      <c r="A195" s="418" t="s">
        <v>1900</v>
      </c>
      <c r="B195" s="415">
        <v>1620</v>
      </c>
      <c r="C195" s="271" t="str">
        <f>VLOOKUP(B195,Orgenheter!$A$1:$B$213,2,0)</f>
        <v>Inst för språkstudier</v>
      </c>
    </row>
    <row r="196" spans="1:3" ht="12.95" customHeight="1" x14ac:dyDescent="0.25">
      <c r="A196" s="18" t="s">
        <v>2119</v>
      </c>
      <c r="B196" s="271">
        <v>1620</v>
      </c>
      <c r="C196" s="271" t="str">
        <f>VLOOKUP(B196,Orgenheter!$A$1:$B$213,2,0)</f>
        <v>Inst för språkstudier</v>
      </c>
    </row>
    <row r="197" spans="1:3" ht="12.95" customHeight="1" x14ac:dyDescent="0.25">
      <c r="A197" s="533" t="s">
        <v>2192</v>
      </c>
      <c r="B197" s="499">
        <v>1620</v>
      </c>
      <c r="C197" s="271" t="str">
        <f>VLOOKUP(B197,Orgenheter!$A$1:$B$213,2,0)</f>
        <v>Inst för språkstudier</v>
      </c>
    </row>
    <row r="198" spans="1:3" ht="12.95" customHeight="1" x14ac:dyDescent="0.25">
      <c r="A198" s="277" t="s">
        <v>1793</v>
      </c>
      <c r="B198" s="271">
        <v>6000</v>
      </c>
      <c r="C198" s="271" t="str">
        <f>VLOOKUP(B198,Orgenheter!$A$1:$B$213,2,0)</f>
        <v xml:space="preserve">Lärarutbildningarna gem       </v>
      </c>
    </row>
    <row r="199" spans="1:3" ht="12.95" customHeight="1" x14ac:dyDescent="0.25">
      <c r="A199" s="277" t="s">
        <v>1843</v>
      </c>
      <c r="B199" s="271">
        <v>1620</v>
      </c>
      <c r="C199" s="271" t="str">
        <f>VLOOKUP(B199,Orgenheter!$A$1:$B$213,2,0)</f>
        <v>Inst för språkstudier</v>
      </c>
    </row>
    <row r="200" spans="1:3" ht="12.95" customHeight="1" x14ac:dyDescent="0.25">
      <c r="A200" s="328" t="s">
        <v>2027</v>
      </c>
      <c r="B200" s="446">
        <v>1620</v>
      </c>
      <c r="C200" s="271" t="str">
        <f>VLOOKUP(B200,Orgenheter!$A$1:$B$213,2,0)</f>
        <v>Inst för språkstudier</v>
      </c>
    </row>
    <row r="201" spans="1:3" ht="12.95" customHeight="1" x14ac:dyDescent="0.25">
      <c r="A201" s="498" t="s">
        <v>2081</v>
      </c>
      <c r="B201" s="499">
        <v>1620</v>
      </c>
      <c r="C201" s="271" t="str">
        <f>VLOOKUP(B201,Orgenheter!$A$1:$B$213,2,0)</f>
        <v>Inst för språkstudier</v>
      </c>
    </row>
    <row r="202" spans="1:3" ht="12.95" customHeight="1" x14ac:dyDescent="0.25">
      <c r="A202" s="277" t="s">
        <v>858</v>
      </c>
      <c r="B202" s="271">
        <v>5400</v>
      </c>
      <c r="C202" s="271" t="str">
        <f>VLOOKUP(B202,Orgenheter!$A$1:$B$213,2,0)</f>
        <v xml:space="preserve">Inst för Fysik                </v>
      </c>
    </row>
    <row r="203" spans="1:3" ht="12.95" customHeight="1" x14ac:dyDescent="0.25">
      <c r="A203" s="277" t="s">
        <v>1026</v>
      </c>
      <c r="B203" s="271">
        <v>5400</v>
      </c>
      <c r="C203" s="271" t="str">
        <f>VLOOKUP(B203,Orgenheter!$A$1:$B$213,2,0)</f>
        <v xml:space="preserve">Inst för Fysik                </v>
      </c>
    </row>
    <row r="204" spans="1:3" ht="12.95" customHeight="1" x14ac:dyDescent="0.25">
      <c r="A204" s="277" t="s">
        <v>1481</v>
      </c>
      <c r="B204" s="271">
        <v>5740</v>
      </c>
      <c r="C204" s="271" t="str">
        <f>VLOOKUP(B204,Orgenheter!$A$1:$B$213,2,0)</f>
        <v>NMD</v>
      </c>
    </row>
    <row r="205" spans="1:3" ht="12.95" customHeight="1" x14ac:dyDescent="0.25">
      <c r="A205" s="277" t="s">
        <v>1727</v>
      </c>
      <c r="B205" s="271">
        <v>5400</v>
      </c>
      <c r="C205" s="271" t="str">
        <f>VLOOKUP(B205,Orgenheter!$A$1:$B$213,2,0)</f>
        <v xml:space="preserve">Inst för Fysik                </v>
      </c>
    </row>
    <row r="206" spans="1:3" ht="12.95" customHeight="1" x14ac:dyDescent="0.25">
      <c r="A206" s="277" t="s">
        <v>1854</v>
      </c>
      <c r="B206" s="415">
        <v>5400</v>
      </c>
      <c r="C206" s="271" t="str">
        <f>VLOOKUP(B206,Orgenheter!$A$1:$B$213,2,0)</f>
        <v xml:space="preserve">Inst för Fysik                </v>
      </c>
    </row>
    <row r="207" spans="1:3" ht="12.95" customHeight="1" x14ac:dyDescent="0.25">
      <c r="A207" s="418" t="s">
        <v>1855</v>
      </c>
      <c r="B207" s="415">
        <v>5400</v>
      </c>
      <c r="C207" s="271" t="str">
        <f>VLOOKUP(B207,Orgenheter!$A$1:$B$213,2,0)</f>
        <v xml:space="preserve">Inst för Fysik                </v>
      </c>
    </row>
    <row r="208" spans="1:3" ht="12.95" customHeight="1" x14ac:dyDescent="0.25">
      <c r="A208" s="275" t="s">
        <v>1494</v>
      </c>
      <c r="B208" s="273">
        <v>5740</v>
      </c>
      <c r="C208" s="271" t="str">
        <f>VLOOKUP(B208,Orgenheter!$A$1:$B$213,2,0)</f>
        <v>NMD</v>
      </c>
    </row>
    <row r="209" spans="1:3" ht="15.75" x14ac:dyDescent="0.25">
      <c r="A209" s="275" t="s">
        <v>1495</v>
      </c>
      <c r="B209" s="273">
        <v>5740</v>
      </c>
      <c r="C209" s="271" t="str">
        <f>VLOOKUP(B209,Orgenheter!$A$1:$B$213,2,0)</f>
        <v>NMD</v>
      </c>
    </row>
    <row r="210" spans="1:3" ht="12.95" customHeight="1" x14ac:dyDescent="0.25">
      <c r="A210" s="275" t="s">
        <v>1496</v>
      </c>
      <c r="B210" s="273">
        <v>5740</v>
      </c>
      <c r="C210" s="271" t="str">
        <f>VLOOKUP(B210,Orgenheter!$A$1:$B$213,2,0)</f>
        <v>NMD</v>
      </c>
    </row>
    <row r="211" spans="1:3" ht="12.95" customHeight="1" x14ac:dyDescent="0.25">
      <c r="A211" s="275" t="s">
        <v>1801</v>
      </c>
      <c r="B211" s="273">
        <v>2500</v>
      </c>
      <c r="C211" s="271" t="str">
        <f>VLOOKUP(B211,Orgenheter!$A$1:$B$213,2,0)</f>
        <v>Geografi</v>
      </c>
    </row>
    <row r="212" spans="1:3" ht="12.95" customHeight="1" x14ac:dyDescent="0.25">
      <c r="A212" s="429" t="s">
        <v>1954</v>
      </c>
      <c r="B212" s="430">
        <v>5100</v>
      </c>
      <c r="C212" s="271" t="str">
        <f>VLOOKUP(B212,Orgenheter!$A$1:$B$213,2,0)</f>
        <v>EMG</v>
      </c>
    </row>
    <row r="213" spans="1:3" ht="12.95" customHeight="1" x14ac:dyDescent="0.25">
      <c r="A213" s="271" t="s">
        <v>1935</v>
      </c>
      <c r="B213" s="271">
        <v>5100</v>
      </c>
      <c r="C213" s="271" t="str">
        <f>VLOOKUP(B213,Orgenheter!$A$1:$B$213,2,0)</f>
        <v>EMG</v>
      </c>
    </row>
    <row r="214" spans="1:3" ht="15.75" x14ac:dyDescent="0.25">
      <c r="A214" s="419" t="s">
        <v>1856</v>
      </c>
      <c r="B214" s="415">
        <v>5100</v>
      </c>
      <c r="C214" s="271" t="str">
        <f>VLOOKUP(B214,Orgenheter!$A$1:$B$213,2,0)</f>
        <v>EMG</v>
      </c>
    </row>
    <row r="215" spans="1:3" ht="12.95" customHeight="1" x14ac:dyDescent="0.25">
      <c r="A215" s="271" t="s">
        <v>1936</v>
      </c>
      <c r="B215" s="271">
        <v>5100</v>
      </c>
      <c r="C215" s="271" t="str">
        <f>VLOOKUP(B215,Orgenheter!$A$1:$B$213,2,0)</f>
        <v>EMG</v>
      </c>
    </row>
    <row r="216" spans="1:3" ht="12.95" customHeight="1" x14ac:dyDescent="0.25">
      <c r="A216" s="499" t="s">
        <v>2055</v>
      </c>
      <c r="B216" s="499">
        <v>5100</v>
      </c>
      <c r="C216" s="271" t="str">
        <f>VLOOKUP(B216,Orgenheter!$A$1:$B$213,2,0)</f>
        <v>EMG</v>
      </c>
    </row>
    <row r="217" spans="1:3" ht="12.95" customHeight="1" x14ac:dyDescent="0.25">
      <c r="A217" s="288" t="s">
        <v>95</v>
      </c>
      <c r="B217" s="271">
        <v>1630</v>
      </c>
      <c r="C217" s="271" t="str">
        <f>VLOOKUP(B217,Orgenheter!$A$1:$B$213,2,0)</f>
        <v>Inst för ide- o samhällsstudier</v>
      </c>
    </row>
    <row r="218" spans="1:3" ht="12.95" customHeight="1" x14ac:dyDescent="0.25">
      <c r="A218" s="271" t="s">
        <v>99</v>
      </c>
      <c r="B218" s="271">
        <v>1630</v>
      </c>
      <c r="C218" s="271" t="str">
        <f>VLOOKUP(B218,Orgenheter!$A$1:$B$213,2,0)</f>
        <v>Inst för ide- o samhällsstudier</v>
      </c>
    </row>
    <row r="219" spans="1:3" ht="12.95" customHeight="1" x14ac:dyDescent="0.25">
      <c r="A219" s="277" t="s">
        <v>391</v>
      </c>
      <c r="B219" s="277">
        <v>1630</v>
      </c>
      <c r="C219" s="271" t="str">
        <f>VLOOKUP(B219,Orgenheter!$A$1:$B$213,2,0)</f>
        <v>Inst för ide- o samhällsstudier</v>
      </c>
    </row>
    <row r="220" spans="1:3" ht="12.95" customHeight="1" x14ac:dyDescent="0.25">
      <c r="A220" s="277" t="s">
        <v>859</v>
      </c>
      <c r="B220" s="277">
        <v>1630</v>
      </c>
      <c r="C220" s="271" t="str">
        <f>VLOOKUP(B220,Orgenheter!$A$1:$B$213,2,0)</f>
        <v>Inst för ide- o samhällsstudier</v>
      </c>
    </row>
    <row r="221" spans="1:3" ht="15.75" x14ac:dyDescent="0.25">
      <c r="A221" s="275" t="s">
        <v>496</v>
      </c>
      <c r="B221" s="273">
        <v>1630</v>
      </c>
      <c r="C221" s="271" t="str">
        <f>VLOOKUP(B221,Orgenheter!$A$1:$B$213,2,0)</f>
        <v>Inst för ide- o samhällsstudier</v>
      </c>
    </row>
    <row r="222" spans="1:3" ht="15.75" x14ac:dyDescent="0.25">
      <c r="A222" s="275" t="s">
        <v>610</v>
      </c>
      <c r="B222" s="273">
        <v>1630</v>
      </c>
      <c r="C222" s="271" t="str">
        <f>VLOOKUP(B222,Orgenheter!$A$1:$B$213,2,0)</f>
        <v>Inst för ide- o samhällsstudier</v>
      </c>
    </row>
    <row r="223" spans="1:3" ht="12.95" customHeight="1" x14ac:dyDescent="0.25">
      <c r="A223" s="275" t="s">
        <v>775</v>
      </c>
      <c r="B223" s="273">
        <v>1630</v>
      </c>
      <c r="C223" s="271" t="str">
        <f>VLOOKUP(B223,Orgenheter!$A$1:$B$213,2,0)</f>
        <v>Inst för ide- o samhällsstudier</v>
      </c>
    </row>
    <row r="224" spans="1:3" ht="12.95" customHeight="1" x14ac:dyDescent="0.25">
      <c r="A224" s="275" t="s">
        <v>1260</v>
      </c>
      <c r="B224" s="273">
        <v>1630</v>
      </c>
      <c r="C224" s="271" t="str">
        <f>VLOOKUP(B224,Orgenheter!$A$1:$B$213,2,0)</f>
        <v>Inst för ide- o samhällsstudier</v>
      </c>
    </row>
    <row r="225" spans="1:3" ht="12.95" customHeight="1" x14ac:dyDescent="0.25">
      <c r="A225" s="275" t="s">
        <v>1027</v>
      </c>
      <c r="B225" s="273">
        <v>1630</v>
      </c>
      <c r="C225" s="271" t="str">
        <f>VLOOKUP(B225,Orgenheter!$A$1:$B$213,2,0)</f>
        <v>Inst för ide- o samhällsstudier</v>
      </c>
    </row>
    <row r="226" spans="1:3" ht="12.95" customHeight="1" x14ac:dyDescent="0.25">
      <c r="A226" s="275" t="s">
        <v>1075</v>
      </c>
      <c r="B226" s="273">
        <v>1630</v>
      </c>
      <c r="C226" s="271" t="str">
        <f>VLOOKUP(B226,Orgenheter!$A$1:$B$213,2,0)</f>
        <v>Inst för ide- o samhällsstudier</v>
      </c>
    </row>
    <row r="227" spans="1:3" ht="15.75" x14ac:dyDescent="0.25">
      <c r="A227" s="275" t="s">
        <v>1076</v>
      </c>
      <c r="B227" s="273">
        <v>1630</v>
      </c>
      <c r="C227" s="271" t="str">
        <f>VLOOKUP(B227,Orgenheter!$A$1:$B$213,2,0)</f>
        <v>Inst för ide- o samhällsstudier</v>
      </c>
    </row>
    <row r="228" spans="1:3" ht="15.75" x14ac:dyDescent="0.25">
      <c r="A228" s="275" t="s">
        <v>1468</v>
      </c>
      <c r="B228" s="273">
        <v>1630</v>
      </c>
      <c r="C228" s="271" t="str">
        <f>VLOOKUP(B228,Orgenheter!$A$1:$B$213,2,0)</f>
        <v>Inst för ide- o samhällsstudier</v>
      </c>
    </row>
    <row r="229" spans="1:3" ht="15.75" x14ac:dyDescent="0.25">
      <c r="A229" s="275" t="s">
        <v>972</v>
      </c>
      <c r="B229" s="273">
        <v>1630</v>
      </c>
      <c r="C229" s="271" t="str">
        <f>VLOOKUP(B229,Orgenheter!$A$1:$B$213,2,0)</f>
        <v>Inst för ide- o samhällsstudier</v>
      </c>
    </row>
    <row r="230" spans="1:3" ht="15.75" x14ac:dyDescent="0.25">
      <c r="A230" s="275" t="s">
        <v>1519</v>
      </c>
      <c r="B230" s="273">
        <v>1630</v>
      </c>
      <c r="C230" s="271" t="str">
        <f>VLOOKUP(B230,Orgenheter!$A$1:$B$213,2,0)</f>
        <v>Inst för ide- o samhällsstudier</v>
      </c>
    </row>
    <row r="231" spans="1:3" ht="15.75" x14ac:dyDescent="0.25">
      <c r="A231" s="429" t="s">
        <v>1955</v>
      </c>
      <c r="B231" s="430">
        <v>1630</v>
      </c>
      <c r="C231" s="271" t="str">
        <f>VLOOKUP(B231,Orgenheter!$A$1:$B$213,2,0)</f>
        <v>Inst för ide- o samhällsstudier</v>
      </c>
    </row>
    <row r="232" spans="1:3" ht="15.75" x14ac:dyDescent="0.25">
      <c r="A232" s="429" t="s">
        <v>1938</v>
      </c>
      <c r="B232" s="430">
        <v>1630</v>
      </c>
      <c r="C232" s="271" t="str">
        <f>VLOOKUP(B232,Orgenheter!$A$1:$B$213,2,0)</f>
        <v>Inst för ide- o samhällsstudier</v>
      </c>
    </row>
    <row r="233" spans="1:3" ht="15.75" x14ac:dyDescent="0.25">
      <c r="A233" s="495" t="s">
        <v>2056</v>
      </c>
      <c r="B233" s="496">
        <v>1630</v>
      </c>
      <c r="C233" s="271" t="str">
        <f>VLOOKUP(B233,Orgenheter!$A$1:$B$213,2,0)</f>
        <v>Inst för ide- o samhällsstudier</v>
      </c>
    </row>
    <row r="234" spans="1:3" ht="15.75" x14ac:dyDescent="0.25">
      <c r="A234" s="495" t="s">
        <v>2057</v>
      </c>
      <c r="B234" s="496">
        <v>1630</v>
      </c>
      <c r="C234" s="271" t="str">
        <f>VLOOKUP(B234,Orgenheter!$A$1:$B$213,2,0)</f>
        <v>Inst för ide- o samhällsstudier</v>
      </c>
    </row>
    <row r="235" spans="1:3" ht="15.75" x14ac:dyDescent="0.25">
      <c r="A235" s="275" t="s">
        <v>1028</v>
      </c>
      <c r="B235" s="273">
        <v>1630</v>
      </c>
      <c r="C235" s="271" t="str">
        <f>VLOOKUP(B235,Orgenheter!$A$1:$B$213,2,0)</f>
        <v>Inst för ide- o samhällsstudier</v>
      </c>
    </row>
    <row r="236" spans="1:3" ht="15.75" x14ac:dyDescent="0.25">
      <c r="A236" s="275" t="s">
        <v>92</v>
      </c>
      <c r="B236" s="273">
        <v>1630</v>
      </c>
      <c r="C236" s="271" t="str">
        <f>VLOOKUP(B236,Orgenheter!$A$1:$B$213,2,0)</f>
        <v>Inst för ide- o samhällsstudier</v>
      </c>
    </row>
    <row r="237" spans="1:3" ht="15.75" x14ac:dyDescent="0.25">
      <c r="A237" s="275" t="s">
        <v>1117</v>
      </c>
      <c r="B237" s="273">
        <v>2180</v>
      </c>
      <c r="C237" s="271" t="str">
        <f>VLOOKUP(B237,Orgenheter!$A$1:$B$213,2,0)</f>
        <v xml:space="preserve">Pedagogik                     </v>
      </c>
    </row>
    <row r="238" spans="1:3" ht="12.95" customHeight="1" x14ac:dyDescent="0.25">
      <c r="A238" s="275" t="s">
        <v>1118</v>
      </c>
      <c r="B238" s="273">
        <v>2180</v>
      </c>
      <c r="C238" s="271" t="str">
        <f>VLOOKUP(B238,Orgenheter!$A$1:$B$213,2,0)</f>
        <v xml:space="preserve">Pedagogik                     </v>
      </c>
    </row>
    <row r="239" spans="1:3" ht="12.95" customHeight="1" x14ac:dyDescent="0.25">
      <c r="A239" s="275" t="s">
        <v>1548</v>
      </c>
      <c r="B239" s="273">
        <v>2180</v>
      </c>
      <c r="C239" s="271" t="str">
        <f>VLOOKUP(B239,Orgenheter!$A$1:$B$213,2,0)</f>
        <v xml:space="preserve">Pedagogik                     </v>
      </c>
    </row>
    <row r="240" spans="1:3" ht="12.95" customHeight="1" x14ac:dyDescent="0.25">
      <c r="A240" s="275" t="s">
        <v>1474</v>
      </c>
      <c r="B240" s="273">
        <v>2180</v>
      </c>
      <c r="C240" s="271" t="str">
        <f>VLOOKUP(B240,Orgenheter!$A$1:$B$213,2,0)</f>
        <v xml:space="preserve">Pedagogik                     </v>
      </c>
    </row>
    <row r="241" spans="1:3" ht="12.95" customHeight="1" x14ac:dyDescent="0.25">
      <c r="A241" s="275" t="s">
        <v>1464</v>
      </c>
      <c r="B241" s="273">
        <v>2180</v>
      </c>
      <c r="C241" s="271" t="str">
        <f>VLOOKUP(B241,Orgenheter!$A$1:$B$213,2,0)</f>
        <v xml:space="preserve">Pedagogik                     </v>
      </c>
    </row>
    <row r="242" spans="1:3" ht="15.75" x14ac:dyDescent="0.25">
      <c r="A242" s="275" t="s">
        <v>1577</v>
      </c>
      <c r="B242" s="273">
        <v>2180</v>
      </c>
      <c r="C242" s="271" t="str">
        <f>VLOOKUP(B242,Orgenheter!$A$1:$B$213,2,0)</f>
        <v xml:space="preserve">Pedagogik                     </v>
      </c>
    </row>
    <row r="243" spans="1:3" ht="15.75" x14ac:dyDescent="0.25">
      <c r="A243" s="275" t="s">
        <v>1821</v>
      </c>
      <c r="B243" s="273">
        <v>2180</v>
      </c>
      <c r="C243" s="271" t="str">
        <f>VLOOKUP(B243,Orgenheter!$A$1:$B$213,2,0)</f>
        <v xml:space="preserve">Pedagogik                     </v>
      </c>
    </row>
    <row r="244" spans="1:3" ht="12.95" customHeight="1" x14ac:dyDescent="0.25">
      <c r="A244" s="328" t="s">
        <v>2193</v>
      </c>
      <c r="B244" s="271">
        <v>2180</v>
      </c>
      <c r="C244" s="271" t="str">
        <f>VLOOKUP(B244,Orgenheter!$A$1:$B$213,2,0)</f>
        <v xml:space="preserve">Pedagogik                     </v>
      </c>
    </row>
    <row r="245" spans="1:3" ht="15.75" x14ac:dyDescent="0.25">
      <c r="A245" s="275" t="s">
        <v>497</v>
      </c>
      <c r="B245" s="273">
        <v>2180</v>
      </c>
      <c r="C245" s="271" t="str">
        <f>VLOOKUP(B245,Orgenheter!$A$1:$B$213,2,0)</f>
        <v xml:space="preserve">Pedagogik                     </v>
      </c>
    </row>
    <row r="246" spans="1:3" ht="15.75" x14ac:dyDescent="0.25">
      <c r="A246" s="275" t="s">
        <v>584</v>
      </c>
      <c r="B246" s="273">
        <v>2180</v>
      </c>
      <c r="C246" s="271" t="str">
        <f>VLOOKUP(B246,Orgenheter!$A$1:$B$213,2,0)</f>
        <v xml:space="preserve">Pedagogik                     </v>
      </c>
    </row>
    <row r="247" spans="1:3" ht="15.75" x14ac:dyDescent="0.25">
      <c r="A247" s="275" t="s">
        <v>585</v>
      </c>
      <c r="B247" s="273">
        <v>2180</v>
      </c>
      <c r="C247" s="271" t="str">
        <f>VLOOKUP(B247,Orgenheter!$A$1:$B$213,2,0)</f>
        <v xml:space="preserve">Pedagogik                     </v>
      </c>
    </row>
    <row r="248" spans="1:3" ht="15.75" x14ac:dyDescent="0.25">
      <c r="A248" s="275" t="s">
        <v>1029</v>
      </c>
      <c r="B248" s="273">
        <v>2180</v>
      </c>
      <c r="C248" s="271" t="str">
        <f>VLOOKUP(B248,Orgenheter!$A$1:$B$213,2,0)</f>
        <v xml:space="preserve">Pedagogik                     </v>
      </c>
    </row>
    <row r="249" spans="1:3" ht="12.95" customHeight="1" x14ac:dyDescent="0.25">
      <c r="A249" s="275" t="s">
        <v>1030</v>
      </c>
      <c r="B249" s="273">
        <v>2180</v>
      </c>
      <c r="C249" s="271" t="str">
        <f>VLOOKUP(B249,Orgenheter!$A$1:$B$213,2,0)</f>
        <v xml:space="preserve">Pedagogik                     </v>
      </c>
    </row>
    <row r="250" spans="1:3" ht="12.95" customHeight="1" x14ac:dyDescent="0.25">
      <c r="A250" s="275" t="s">
        <v>1031</v>
      </c>
      <c r="B250" s="273">
        <v>2180</v>
      </c>
      <c r="C250" s="271" t="str">
        <f>VLOOKUP(B250,Orgenheter!$A$1:$B$213,2,0)</f>
        <v xml:space="preserve">Pedagogik                     </v>
      </c>
    </row>
    <row r="251" spans="1:3" ht="12.95" customHeight="1" x14ac:dyDescent="0.25">
      <c r="A251" s="275" t="s">
        <v>860</v>
      </c>
      <c r="B251" s="273">
        <v>2180</v>
      </c>
      <c r="C251" s="271" t="str">
        <f>VLOOKUP(B251,Orgenheter!$A$1:$B$213,2,0)</f>
        <v xml:space="preserve">Pedagogik                     </v>
      </c>
    </row>
    <row r="252" spans="1:3" ht="12.95" customHeight="1" x14ac:dyDescent="0.25">
      <c r="A252" s="275" t="s">
        <v>861</v>
      </c>
      <c r="B252" s="273">
        <v>2180</v>
      </c>
      <c r="C252" s="271" t="str">
        <f>VLOOKUP(B252,Orgenheter!$A$1:$B$213,2,0)</f>
        <v xml:space="preserve">Pedagogik                     </v>
      </c>
    </row>
    <row r="253" spans="1:3" ht="12.95" customHeight="1" x14ac:dyDescent="0.25">
      <c r="A253" s="275" t="s">
        <v>586</v>
      </c>
      <c r="B253" s="273">
        <v>2180</v>
      </c>
      <c r="C253" s="271" t="str">
        <f>VLOOKUP(B253,Orgenheter!$A$1:$B$213,2,0)</f>
        <v xml:space="preserve">Pedagogik                     </v>
      </c>
    </row>
    <row r="254" spans="1:3" ht="12.95" customHeight="1" x14ac:dyDescent="0.25">
      <c r="A254" s="275" t="s">
        <v>992</v>
      </c>
      <c r="B254" s="273">
        <v>2180</v>
      </c>
      <c r="C254" s="271" t="str">
        <f>VLOOKUP(B254,Orgenheter!$A$1:$B$213,2,0)</f>
        <v xml:space="preserve">Pedagogik                     </v>
      </c>
    </row>
    <row r="255" spans="1:3" ht="12.95" customHeight="1" x14ac:dyDescent="0.25">
      <c r="A255" s="275" t="s">
        <v>993</v>
      </c>
      <c r="B255" s="273">
        <v>2180</v>
      </c>
      <c r="C255" s="271" t="str">
        <f>VLOOKUP(B255,Orgenheter!$A$1:$B$213,2,0)</f>
        <v xml:space="preserve">Pedagogik                     </v>
      </c>
    </row>
    <row r="256" spans="1:3" ht="12.95" customHeight="1" x14ac:dyDescent="0.25">
      <c r="A256" s="245" t="s">
        <v>1695</v>
      </c>
      <c r="B256" s="271">
        <v>2193</v>
      </c>
      <c r="C256" s="271" t="str">
        <f>VLOOKUP(B256,Orgenheter!$A$1:$B$213,2,0)</f>
        <v xml:space="preserve">TUV </v>
      </c>
    </row>
    <row r="257" spans="1:3" ht="12.95" customHeight="1" x14ac:dyDescent="0.25">
      <c r="A257" s="245" t="s">
        <v>1694</v>
      </c>
      <c r="B257" s="271">
        <v>2193</v>
      </c>
      <c r="C257" s="271" t="str">
        <f>VLOOKUP(B257,Orgenheter!$A$1:$B$213,2,0)</f>
        <v xml:space="preserve">TUV </v>
      </c>
    </row>
    <row r="258" spans="1:3" ht="12.95" customHeight="1" x14ac:dyDescent="0.25">
      <c r="A258" s="275" t="s">
        <v>956</v>
      </c>
      <c r="B258" s="273">
        <v>2300</v>
      </c>
      <c r="C258" s="271" t="str">
        <f>VLOOKUP(B258,Orgenheter!$A$1:$B$213,2,0)</f>
        <v xml:space="preserve">Juridiska institutionen       </v>
      </c>
    </row>
    <row r="259" spans="1:3" ht="12.95" customHeight="1" x14ac:dyDescent="0.25">
      <c r="A259" s="275" t="s">
        <v>1307</v>
      </c>
      <c r="B259" s="273">
        <v>1640</v>
      </c>
      <c r="C259" s="271" t="str">
        <f>VLOOKUP(B259,Orgenheter!$A$1:$B$213,2,0)</f>
        <v>Inst för kultur- o medievetenskap</v>
      </c>
    </row>
    <row r="260" spans="1:3" ht="12.95" customHeight="1" x14ac:dyDescent="0.25">
      <c r="A260" s="275" t="s">
        <v>1309</v>
      </c>
      <c r="B260" s="273">
        <v>1640</v>
      </c>
      <c r="C260" s="271" t="str">
        <f>VLOOKUP(B260,Orgenheter!$A$1:$B$213,2,0)</f>
        <v>Inst för kultur- o medievetenskap</v>
      </c>
    </row>
    <row r="261" spans="1:3" ht="12.95" customHeight="1" x14ac:dyDescent="0.25">
      <c r="A261" s="271" t="s">
        <v>862</v>
      </c>
      <c r="B261" s="271">
        <v>5500</v>
      </c>
      <c r="C261" s="271" t="str">
        <f>VLOOKUP(B261,Orgenheter!$A$1:$B$213,2,0)</f>
        <v xml:space="preserve">Kemiska institutionen         </v>
      </c>
    </row>
    <row r="262" spans="1:3" ht="12.95" customHeight="1" x14ac:dyDescent="0.25">
      <c r="A262" s="433" t="s">
        <v>1956</v>
      </c>
      <c r="B262" s="427">
        <v>5500</v>
      </c>
      <c r="C262" s="271" t="str">
        <f>VLOOKUP(B262,Orgenheter!$A$1:$B$213,2,0)</f>
        <v xml:space="preserve">Kemiska institutionen         </v>
      </c>
    </row>
    <row r="263" spans="1:3" ht="12.95" customHeight="1" x14ac:dyDescent="0.25">
      <c r="A263" s="327" t="s">
        <v>1261</v>
      </c>
      <c r="B263" s="271">
        <v>5500</v>
      </c>
      <c r="C263" s="271" t="str">
        <f>VLOOKUP(B263,Orgenheter!$A$1:$B$213,2,0)</f>
        <v xml:space="preserve">Kemiska institutionen         </v>
      </c>
    </row>
    <row r="264" spans="1:3" ht="12.95" customHeight="1" x14ac:dyDescent="0.25">
      <c r="A264" s="327" t="s">
        <v>1483</v>
      </c>
      <c r="B264" s="271">
        <v>5740</v>
      </c>
      <c r="C264" s="271" t="str">
        <f>VLOOKUP(B264,Orgenheter!$A$1:$B$213,2,0)</f>
        <v>NMD</v>
      </c>
    </row>
    <row r="265" spans="1:3" ht="12.95" customHeight="1" x14ac:dyDescent="0.25">
      <c r="A265" s="275" t="s">
        <v>1491</v>
      </c>
      <c r="B265" s="273">
        <v>5740</v>
      </c>
      <c r="C265" s="271" t="str">
        <f>VLOOKUP(B265,Orgenheter!$A$1:$B$213,2,0)</f>
        <v>NMD</v>
      </c>
    </row>
    <row r="266" spans="1:3" ht="15.75" x14ac:dyDescent="0.25">
      <c r="A266" s="275" t="s">
        <v>1492</v>
      </c>
      <c r="B266" s="273">
        <v>5740</v>
      </c>
      <c r="C266" s="271" t="str">
        <f>VLOOKUP(B266,Orgenheter!$A$1:$B$213,2,0)</f>
        <v>NMD</v>
      </c>
    </row>
    <row r="267" spans="1:3" ht="12.95" customHeight="1" x14ac:dyDescent="0.25">
      <c r="A267" s="275" t="s">
        <v>1493</v>
      </c>
      <c r="B267" s="273">
        <v>5740</v>
      </c>
      <c r="C267" s="271" t="str">
        <f>VLOOKUP(B267,Orgenheter!$A$1:$B$213,2,0)</f>
        <v>NMD</v>
      </c>
    </row>
    <row r="268" spans="1:3" ht="12.95" customHeight="1" x14ac:dyDescent="0.25">
      <c r="A268" s="271" t="s">
        <v>776</v>
      </c>
      <c r="B268" s="271">
        <v>2500</v>
      </c>
      <c r="C268" s="271" t="str">
        <f>VLOOKUP(B268,Orgenheter!$A$1:$B$213,2,0)</f>
        <v>Geografi</v>
      </c>
    </row>
    <row r="269" spans="1:3" ht="15.75" x14ac:dyDescent="0.25">
      <c r="A269" s="327" t="s">
        <v>940</v>
      </c>
      <c r="B269" s="271">
        <v>2500</v>
      </c>
      <c r="C269" s="271" t="str">
        <f>VLOOKUP(B269,Orgenheter!$A$1:$B$213,2,0)</f>
        <v>Geografi</v>
      </c>
    </row>
    <row r="270" spans="1:3" ht="12.95" customHeight="1" x14ac:dyDescent="0.25">
      <c r="A270" s="429" t="s">
        <v>2058</v>
      </c>
      <c r="B270" s="430">
        <v>2500</v>
      </c>
      <c r="C270" s="271" t="str">
        <f>VLOOKUP(B270,Orgenheter!$A$1:$B$213,2,0)</f>
        <v>Geografi</v>
      </c>
    </row>
    <row r="271" spans="1:3" ht="15.75" x14ac:dyDescent="0.25">
      <c r="A271" s="327" t="s">
        <v>1857</v>
      </c>
      <c r="B271" s="271">
        <v>2500</v>
      </c>
      <c r="C271" s="271" t="str">
        <f>VLOOKUP(B271,Orgenheter!$A$1:$B$213,2,0)</f>
        <v>Geografi</v>
      </c>
    </row>
    <row r="272" spans="1:3" x14ac:dyDescent="0.25">
      <c r="A272" s="245" t="s">
        <v>1858</v>
      </c>
      <c r="B272" s="271">
        <v>2500</v>
      </c>
      <c r="C272" s="271" t="str">
        <f>VLOOKUP(B272,Orgenheter!$A$1:$B$213,2,0)</f>
        <v>Geografi</v>
      </c>
    </row>
    <row r="273" spans="1:3" ht="15.75" x14ac:dyDescent="0.25">
      <c r="A273" s="327" t="s">
        <v>1934</v>
      </c>
      <c r="B273" s="271">
        <v>2500</v>
      </c>
      <c r="C273" s="271" t="str">
        <f>VLOOKUP(B273,Orgenheter!$A$1:$B$213,2,0)</f>
        <v>Geografi</v>
      </c>
    </row>
    <row r="274" spans="1:3" ht="15.75" x14ac:dyDescent="0.25">
      <c r="A274" s="327" t="s">
        <v>1937</v>
      </c>
      <c r="B274" s="271">
        <v>2500</v>
      </c>
      <c r="C274" s="271" t="str">
        <f>VLOOKUP(B274,Orgenheter!$A$1:$B$213,2,0)</f>
        <v>Geografi</v>
      </c>
    </row>
    <row r="275" spans="1:3" ht="12.95" customHeight="1" x14ac:dyDescent="0.25">
      <c r="A275" s="429" t="s">
        <v>2059</v>
      </c>
      <c r="B275" s="430">
        <v>2500</v>
      </c>
      <c r="C275" s="271" t="str">
        <f>VLOOKUP(B275,Orgenheter!$A$1:$B$213,2,0)</f>
        <v>Geografi</v>
      </c>
    </row>
    <row r="276" spans="1:3" ht="12.95" customHeight="1" x14ac:dyDescent="0.25">
      <c r="A276" s="429" t="s">
        <v>2106</v>
      </c>
      <c r="B276" s="430">
        <v>2500</v>
      </c>
      <c r="C276" s="271" t="str">
        <f>VLOOKUP(B276,Orgenheter!$A$1:$B$213,2,0)</f>
        <v>Geografi</v>
      </c>
    </row>
    <row r="277" spans="1:3" x14ac:dyDescent="0.25">
      <c r="A277" s="277" t="s">
        <v>104</v>
      </c>
      <c r="B277" s="277">
        <v>2750</v>
      </c>
      <c r="C277" s="271" t="str">
        <f>VLOOKUP(B277,Orgenheter!$A$1:$B$213,2,0)</f>
        <v xml:space="preserve">Kostvetenskap                 </v>
      </c>
    </row>
    <row r="278" spans="1:3" x14ac:dyDescent="0.25">
      <c r="A278" s="271" t="s">
        <v>329</v>
      </c>
      <c r="B278" s="271">
        <v>2750</v>
      </c>
      <c r="C278" s="271" t="str">
        <f>VLOOKUP(B278,Orgenheter!$A$1:$B$213,2,0)</f>
        <v xml:space="preserve">Kostvetenskap                 </v>
      </c>
    </row>
    <row r="279" spans="1:3" x14ac:dyDescent="0.25">
      <c r="A279" s="271" t="s">
        <v>863</v>
      </c>
      <c r="B279" s="271">
        <v>2750</v>
      </c>
      <c r="C279" s="271" t="str">
        <f>VLOOKUP(B279,Orgenheter!$A$1:$B$213,2,0)</f>
        <v xml:space="preserve">Kostvetenskap                 </v>
      </c>
    </row>
    <row r="280" spans="1:3" ht="15.75" x14ac:dyDescent="0.25">
      <c r="A280" s="275" t="s">
        <v>498</v>
      </c>
      <c r="B280" s="273">
        <v>2750</v>
      </c>
      <c r="C280" s="271" t="str">
        <f>VLOOKUP(B280,Orgenheter!$A$1:$B$213,2,0)</f>
        <v xml:space="preserve">Kostvetenskap                 </v>
      </c>
    </row>
    <row r="281" spans="1:3" x14ac:dyDescent="0.25">
      <c r="A281" s="277" t="s">
        <v>529</v>
      </c>
      <c r="B281" s="271">
        <v>2750</v>
      </c>
      <c r="C281" s="271" t="str">
        <f>VLOOKUP(B281,Orgenheter!$A$1:$B$213,2,0)</f>
        <v xml:space="preserve">Kostvetenskap                 </v>
      </c>
    </row>
    <row r="282" spans="1:3" x14ac:dyDescent="0.25">
      <c r="A282" s="288" t="s">
        <v>651</v>
      </c>
      <c r="B282" s="271">
        <v>2750</v>
      </c>
      <c r="C282" s="271" t="str">
        <f>VLOOKUP(B282,Orgenheter!$A$1:$B$213,2,0)</f>
        <v xml:space="preserve">Kostvetenskap                 </v>
      </c>
    </row>
    <row r="283" spans="1:3" x14ac:dyDescent="0.25">
      <c r="A283" s="297" t="s">
        <v>829</v>
      </c>
      <c r="B283" s="271">
        <v>2750</v>
      </c>
      <c r="C283" s="271" t="str">
        <f>VLOOKUP(B283,Orgenheter!$A$1:$B$213,2,0)</f>
        <v xml:space="preserve">Kostvetenskap                 </v>
      </c>
    </row>
    <row r="284" spans="1:3" x14ac:dyDescent="0.25">
      <c r="A284" s="289" t="s">
        <v>821</v>
      </c>
      <c r="B284" s="271">
        <v>2750</v>
      </c>
      <c r="C284" s="271" t="str">
        <f>VLOOKUP(B284,Orgenheter!$A$1:$B$213,2,0)</f>
        <v xml:space="preserve">Kostvetenskap                 </v>
      </c>
    </row>
    <row r="285" spans="1:3" x14ac:dyDescent="0.25">
      <c r="A285" s="289" t="s">
        <v>1090</v>
      </c>
      <c r="B285" s="271">
        <v>2750</v>
      </c>
      <c r="C285" s="271" t="str">
        <f>VLOOKUP(B285,Orgenheter!$A$1:$B$213,2,0)</f>
        <v xml:space="preserve">Kostvetenskap                 </v>
      </c>
    </row>
    <row r="286" spans="1:3" x14ac:dyDescent="0.25">
      <c r="A286" s="289" t="s">
        <v>1089</v>
      </c>
      <c r="B286" s="271">
        <v>2750</v>
      </c>
      <c r="C286" s="271" t="str">
        <f>VLOOKUP(B286,Orgenheter!$A$1:$B$213,2,0)</f>
        <v xml:space="preserve">Kostvetenskap                 </v>
      </c>
    </row>
    <row r="287" spans="1:3" x14ac:dyDescent="0.25">
      <c r="A287" s="289" t="s">
        <v>1311</v>
      </c>
      <c r="B287" s="271">
        <v>2750</v>
      </c>
      <c r="C287" s="271" t="str">
        <f>VLOOKUP(B287,Orgenheter!$A$1:$B$213,2,0)</f>
        <v xml:space="preserve">Kostvetenskap                 </v>
      </c>
    </row>
    <row r="288" spans="1:3" x14ac:dyDescent="0.25">
      <c r="A288" s="289" t="s">
        <v>1357</v>
      </c>
      <c r="B288" s="271">
        <v>2750</v>
      </c>
      <c r="C288" s="271" t="str">
        <f>VLOOKUP(B288,Orgenheter!$A$1:$B$213,2,0)</f>
        <v xml:space="preserve">Kostvetenskap                 </v>
      </c>
    </row>
    <row r="289" spans="1:3" x14ac:dyDescent="0.25">
      <c r="A289" s="289" t="s">
        <v>1443</v>
      </c>
      <c r="B289" s="271">
        <v>2750</v>
      </c>
      <c r="C289" s="271" t="str">
        <f>VLOOKUP(B289,Orgenheter!$A$1:$B$213,2,0)</f>
        <v xml:space="preserve">Kostvetenskap                 </v>
      </c>
    </row>
    <row r="290" spans="1:3" x14ac:dyDescent="0.25">
      <c r="A290" s="31" t="s">
        <v>2084</v>
      </c>
      <c r="B290" s="271">
        <v>2750</v>
      </c>
      <c r="C290" s="271" t="str">
        <f>VLOOKUP(B290,Orgenheter!$A$1:$B$213,2,0)</f>
        <v xml:space="preserve">Kostvetenskap                 </v>
      </c>
    </row>
    <row r="291" spans="1:3" x14ac:dyDescent="0.25">
      <c r="A291" s="571" t="s">
        <v>2194</v>
      </c>
      <c r="B291" s="499">
        <v>2750</v>
      </c>
      <c r="C291" s="271" t="str">
        <f>VLOOKUP(B291,Orgenheter!$A$1:$B$213,2,0)</f>
        <v xml:space="preserve">Kostvetenskap                 </v>
      </c>
    </row>
    <row r="292" spans="1:3" x14ac:dyDescent="0.25">
      <c r="A292" s="571" t="s">
        <v>2195</v>
      </c>
      <c r="B292" s="499">
        <v>2750</v>
      </c>
      <c r="C292" s="271" t="str">
        <f>VLOOKUP(B292,Orgenheter!$A$1:$B$213,2,0)</f>
        <v xml:space="preserve">Kostvetenskap                 </v>
      </c>
    </row>
    <row r="293" spans="1:3" x14ac:dyDescent="0.25">
      <c r="A293" s="571" t="s">
        <v>2196</v>
      </c>
      <c r="B293" s="499">
        <v>2750</v>
      </c>
      <c r="C293" s="271" t="str">
        <f>VLOOKUP(B293,Orgenheter!$A$1:$B$213,2,0)</f>
        <v xml:space="preserve">Kostvetenskap                 </v>
      </c>
    </row>
    <row r="294" spans="1:3" ht="12.95" customHeight="1" x14ac:dyDescent="0.25">
      <c r="A294" s="289" t="s">
        <v>1032</v>
      </c>
      <c r="B294" s="271">
        <v>2750</v>
      </c>
      <c r="C294" s="271" t="str">
        <f>VLOOKUP(B294,Orgenheter!$A$1:$B$213,2,0)</f>
        <v xml:space="preserve">Kostvetenskap                 </v>
      </c>
    </row>
    <row r="295" spans="1:3" ht="12.95" customHeight="1" x14ac:dyDescent="0.25">
      <c r="A295" s="289" t="s">
        <v>954</v>
      </c>
      <c r="B295" s="271">
        <v>2750</v>
      </c>
      <c r="C295" s="271" t="str">
        <f>VLOOKUP(B295,Orgenheter!$A$1:$B$213,2,0)</f>
        <v xml:space="preserve">Kostvetenskap                 </v>
      </c>
    </row>
    <row r="296" spans="1:3" ht="12.95" customHeight="1" x14ac:dyDescent="0.25">
      <c r="A296" s="289" t="s">
        <v>1312</v>
      </c>
      <c r="B296" s="271">
        <v>1640</v>
      </c>
      <c r="C296" s="271" t="str">
        <f>VLOOKUP(B296,Orgenheter!$A$1:$B$213,2,0)</f>
        <v>Inst för kultur- o medievetenskap</v>
      </c>
    </row>
    <row r="297" spans="1:3" ht="12.95" customHeight="1" x14ac:dyDescent="0.25">
      <c r="A297" s="293" t="s">
        <v>1033</v>
      </c>
      <c r="B297" s="271">
        <v>2180</v>
      </c>
      <c r="C297" s="271" t="str">
        <f>VLOOKUP(B297,Orgenheter!$A$1:$B$213,2,0)</f>
        <v xml:space="preserve">Pedagogik                     </v>
      </c>
    </row>
    <row r="298" spans="1:3" ht="12.95" customHeight="1" x14ac:dyDescent="0.25">
      <c r="A298" s="293" t="s">
        <v>1034</v>
      </c>
      <c r="B298" s="271">
        <v>6000</v>
      </c>
      <c r="C298" s="271" t="str">
        <f>VLOOKUP(B298,Orgenheter!$A$1:$B$213,2,0)</f>
        <v xml:space="preserve">Lärarutbildningarna gem       </v>
      </c>
    </row>
    <row r="299" spans="1:3" ht="12.95" customHeight="1" x14ac:dyDescent="0.25">
      <c r="A299" s="548" t="s">
        <v>2158</v>
      </c>
      <c r="B299" s="499">
        <v>1650</v>
      </c>
      <c r="C299" s="271" t="str">
        <f>VLOOKUP(B299,Orgenheter!$A$1:$B$213,2,0)</f>
        <v xml:space="preserve">Estetiska ämnen               </v>
      </c>
    </row>
    <row r="300" spans="1:3" ht="12.95" customHeight="1" x14ac:dyDescent="0.25">
      <c r="A300" s="548" t="s">
        <v>2159</v>
      </c>
      <c r="B300" s="499">
        <v>1650</v>
      </c>
      <c r="C300" s="271" t="str">
        <f>VLOOKUP(B300,Orgenheter!$A$1:$B$213,2,0)</f>
        <v xml:space="preserve">Estetiska ämnen               </v>
      </c>
    </row>
    <row r="301" spans="1:3" ht="12.95" customHeight="1" x14ac:dyDescent="0.25">
      <c r="A301" s="329" t="s">
        <v>771</v>
      </c>
      <c r="B301" s="271">
        <v>1620</v>
      </c>
      <c r="C301" s="271" t="str">
        <f>VLOOKUP(B301,Orgenheter!$A$1:$B$213,2,0)</f>
        <v>Inst för språkstudier</v>
      </c>
    </row>
    <row r="302" spans="1:3" ht="12.95" customHeight="1" x14ac:dyDescent="0.25">
      <c r="A302" s="329" t="s">
        <v>1077</v>
      </c>
      <c r="B302" s="271">
        <v>1620</v>
      </c>
      <c r="C302" s="271" t="str">
        <f>VLOOKUP(B302,Orgenheter!$A$1:$B$213,2,0)</f>
        <v>Inst för språkstudier</v>
      </c>
    </row>
    <row r="303" spans="1:3" ht="12.95" customHeight="1" x14ac:dyDescent="0.25">
      <c r="A303" s="329" t="s">
        <v>1471</v>
      </c>
      <c r="B303" s="271">
        <v>1620</v>
      </c>
      <c r="C303" s="271" t="str">
        <f>VLOOKUP(B303,Orgenheter!$A$1:$B$213,2,0)</f>
        <v>Inst för språkstudier</v>
      </c>
    </row>
    <row r="304" spans="1:3" ht="15" customHeight="1" x14ac:dyDescent="0.25">
      <c r="A304" s="271" t="s">
        <v>1691</v>
      </c>
      <c r="B304" s="271">
        <v>1620</v>
      </c>
      <c r="C304" s="271" t="str">
        <f>VLOOKUP(B304,Orgenheter!$A$1:$B$213,2,0)</f>
        <v>Inst för språkstudier</v>
      </c>
    </row>
    <row r="305" spans="1:3" ht="15" customHeight="1" x14ac:dyDescent="0.25">
      <c r="A305" s="271" t="s">
        <v>1828</v>
      </c>
      <c r="B305" s="271">
        <v>1620</v>
      </c>
      <c r="C305" s="271" t="str">
        <f>VLOOKUP(B305,Orgenheter!$A$1:$B$213,2,0)</f>
        <v>Inst för språkstudier</v>
      </c>
    </row>
    <row r="306" spans="1:3" ht="15" customHeight="1" x14ac:dyDescent="0.25">
      <c r="A306" s="271" t="s">
        <v>1829</v>
      </c>
      <c r="B306" s="271">
        <v>1620</v>
      </c>
      <c r="C306" s="271" t="str">
        <f>VLOOKUP(B306,Orgenheter!$A$1:$B$213,2,0)</f>
        <v>Inst för språkstudier</v>
      </c>
    </row>
    <row r="307" spans="1:3" ht="12.95" customHeight="1" x14ac:dyDescent="0.25">
      <c r="A307" s="271" t="s">
        <v>1700</v>
      </c>
      <c r="B307" s="271">
        <v>1620</v>
      </c>
      <c r="C307" s="271" t="str">
        <f>VLOOKUP(B307,Orgenheter!$A$1:$B$213,2,0)</f>
        <v>Inst för språkstudier</v>
      </c>
    </row>
    <row r="308" spans="1:3" ht="12.95" customHeight="1" x14ac:dyDescent="0.25">
      <c r="A308" s="245" t="s">
        <v>1950</v>
      </c>
      <c r="B308" s="427">
        <v>1620</v>
      </c>
      <c r="C308" s="271" t="str">
        <f>VLOOKUP(B308,Orgenheter!$A$1:$B$213,2,0)</f>
        <v>Inst för språkstudier</v>
      </c>
    </row>
    <row r="309" spans="1:3" ht="15.75" x14ac:dyDescent="0.25">
      <c r="A309" s="275" t="s">
        <v>587</v>
      </c>
      <c r="B309" s="273">
        <v>1630</v>
      </c>
      <c r="C309" s="271" t="str">
        <f>VLOOKUP(B309,Orgenheter!$A$1:$B$213,2,0)</f>
        <v>Inst för ide- o samhällsstudier</v>
      </c>
    </row>
    <row r="310" spans="1:3" x14ac:dyDescent="0.25">
      <c r="A310" s="296" t="s">
        <v>470</v>
      </c>
      <c r="B310" s="271">
        <v>1630</v>
      </c>
      <c r="C310" s="271" t="str">
        <f>VLOOKUP(B310,Orgenheter!$A$1:$B$213,2,0)</f>
        <v>Inst för ide- o samhällsstudier</v>
      </c>
    </row>
    <row r="311" spans="1:3" x14ac:dyDescent="0.25">
      <c r="A311" s="296" t="s">
        <v>471</v>
      </c>
      <c r="B311" s="271">
        <v>1630</v>
      </c>
      <c r="C311" s="271" t="str">
        <f>VLOOKUP(B311,Orgenheter!$A$1:$B$213,2,0)</f>
        <v>Inst för ide- o samhällsstudier</v>
      </c>
    </row>
    <row r="312" spans="1:3" x14ac:dyDescent="0.25">
      <c r="A312" s="296" t="s">
        <v>864</v>
      </c>
      <c r="B312" s="271">
        <v>1630</v>
      </c>
      <c r="C312" s="271" t="str">
        <f>VLOOKUP(B312,Orgenheter!$A$1:$B$213,2,0)</f>
        <v>Inst för ide- o samhällsstudier</v>
      </c>
    </row>
    <row r="313" spans="1:3" ht="15" customHeight="1" x14ac:dyDescent="0.25">
      <c r="A313" s="330" t="s">
        <v>1143</v>
      </c>
      <c r="B313" s="331">
        <v>1630</v>
      </c>
      <c r="C313" s="271" t="str">
        <f>VLOOKUP(B313,Orgenheter!$A$1:$B$213,2,0)</f>
        <v>Inst för ide- o samhällsstudier</v>
      </c>
    </row>
    <row r="314" spans="1:3" ht="15" customHeight="1" x14ac:dyDescent="0.25">
      <c r="A314" s="330" t="s">
        <v>1145</v>
      </c>
      <c r="B314" s="331">
        <v>1630</v>
      </c>
      <c r="C314" s="271" t="str">
        <f>VLOOKUP(B314,Orgenheter!$A$1:$B$213,2,0)</f>
        <v>Inst för ide- o samhällsstudier</v>
      </c>
    </row>
    <row r="315" spans="1:3" x14ac:dyDescent="0.25">
      <c r="A315" s="271" t="s">
        <v>368</v>
      </c>
      <c r="B315" s="271">
        <v>1640</v>
      </c>
      <c r="C315" s="271" t="str">
        <f>VLOOKUP(B315,Orgenheter!$A$1:$B$213,2,0)</f>
        <v>Inst för kultur- o medievetenskap</v>
      </c>
    </row>
    <row r="316" spans="1:3" x14ac:dyDescent="0.25">
      <c r="A316" s="332" t="s">
        <v>1116</v>
      </c>
      <c r="B316" s="277">
        <v>1640</v>
      </c>
      <c r="C316" s="271" t="str">
        <f>VLOOKUP(B316,Orgenheter!$A$1:$B$213,2,0)</f>
        <v>Inst för kultur- o medievetenskap</v>
      </c>
    </row>
    <row r="317" spans="1:3" x14ac:dyDescent="0.25">
      <c r="A317" s="289" t="s">
        <v>1313</v>
      </c>
      <c r="B317" s="277">
        <v>1640</v>
      </c>
      <c r="C317" s="271" t="str">
        <f>VLOOKUP(B317,Orgenheter!$A$1:$B$213,2,0)</f>
        <v>Inst för kultur- o medievetenskap</v>
      </c>
    </row>
    <row r="318" spans="1:3" x14ac:dyDescent="0.25">
      <c r="A318" s="289" t="s">
        <v>1314</v>
      </c>
      <c r="B318" s="277">
        <v>1640</v>
      </c>
      <c r="C318" s="271" t="str">
        <f>VLOOKUP(B318,Orgenheter!$A$1:$B$213,2,0)</f>
        <v>Inst för kultur- o medievetenskap</v>
      </c>
    </row>
    <row r="319" spans="1:3" ht="12.95" customHeight="1" x14ac:dyDescent="0.25">
      <c r="A319" s="271" t="s">
        <v>143</v>
      </c>
      <c r="B319" s="271">
        <v>1620</v>
      </c>
      <c r="C319" s="271" t="str">
        <f>VLOOKUP(B319,Orgenheter!$A$1:$B$213,2,0)</f>
        <v>Inst för språkstudier</v>
      </c>
    </row>
    <row r="320" spans="1:3" ht="12.95" customHeight="1" x14ac:dyDescent="0.25">
      <c r="A320" s="271" t="s">
        <v>93</v>
      </c>
      <c r="B320" s="271">
        <v>2193</v>
      </c>
      <c r="C320" s="271" t="str">
        <f>VLOOKUP(B320,Orgenheter!$A$1:$B$213,2,0)</f>
        <v xml:space="preserve">TUV </v>
      </c>
    </row>
    <row r="321" spans="1:3" x14ac:dyDescent="0.25">
      <c r="A321" s="271" t="s">
        <v>94</v>
      </c>
      <c r="B321" s="271">
        <v>2193</v>
      </c>
      <c r="C321" s="271" t="str">
        <f>VLOOKUP(B321,Orgenheter!$A$1:$B$213,2,0)</f>
        <v xml:space="preserve">TUV </v>
      </c>
    </row>
    <row r="322" spans="1:3" ht="12.95" customHeight="1" x14ac:dyDescent="0.25">
      <c r="A322" s="277" t="s">
        <v>392</v>
      </c>
      <c r="B322" s="271">
        <v>2193</v>
      </c>
      <c r="C322" s="271" t="str">
        <f>VLOOKUP(B322,Orgenheter!$A$1:$B$213,2,0)</f>
        <v xml:space="preserve">TUV </v>
      </c>
    </row>
    <row r="323" spans="1:3" ht="12.95" customHeight="1" x14ac:dyDescent="0.25">
      <c r="A323" s="333" t="s">
        <v>824</v>
      </c>
      <c r="B323" s="271">
        <v>1620</v>
      </c>
      <c r="C323" s="271" t="str">
        <f>VLOOKUP(B323,Orgenheter!$A$1:$B$213,2,0)</f>
        <v>Inst för språkstudier</v>
      </c>
    </row>
    <row r="324" spans="1:3" ht="12.95" customHeight="1" x14ac:dyDescent="0.25">
      <c r="A324" s="277" t="s">
        <v>819</v>
      </c>
      <c r="B324" s="271">
        <v>1620</v>
      </c>
      <c r="C324" s="271" t="str">
        <f>VLOOKUP(B324,Orgenheter!$A$1:$B$213,2,0)</f>
        <v>Inst för språkstudier</v>
      </c>
    </row>
    <row r="325" spans="1:3" ht="12.95" customHeight="1" x14ac:dyDescent="0.25">
      <c r="A325" s="333" t="s">
        <v>825</v>
      </c>
      <c r="B325" s="271">
        <v>1620</v>
      </c>
      <c r="C325" s="271" t="str">
        <f>VLOOKUP(B325,Orgenheter!$A$1:$B$213,2,0)</f>
        <v>Inst för språkstudier</v>
      </c>
    </row>
    <row r="326" spans="1:3" x14ac:dyDescent="0.25">
      <c r="A326" s="277" t="s">
        <v>818</v>
      </c>
      <c r="B326" s="271">
        <v>1620</v>
      </c>
      <c r="C326" s="271" t="str">
        <f>VLOOKUP(B326,Orgenheter!$A$1:$B$213,2,0)</f>
        <v>Inst för språkstudier</v>
      </c>
    </row>
    <row r="327" spans="1:3" x14ac:dyDescent="0.25">
      <c r="A327" s="277" t="s">
        <v>980</v>
      </c>
      <c r="B327" s="271">
        <v>1620</v>
      </c>
      <c r="C327" s="271" t="str">
        <f>VLOOKUP(B327,Orgenheter!$A$1:$B$213,2,0)</f>
        <v>Inst för språkstudier</v>
      </c>
    </row>
    <row r="328" spans="1:3" x14ac:dyDescent="0.25">
      <c r="A328" s="277" t="s">
        <v>981</v>
      </c>
      <c r="B328" s="271">
        <v>1620</v>
      </c>
      <c r="C328" s="271" t="str">
        <f>VLOOKUP(B328,Orgenheter!$A$1:$B$213,2,0)</f>
        <v>Inst för språkstudier</v>
      </c>
    </row>
    <row r="329" spans="1:3" x14ac:dyDescent="0.25">
      <c r="A329" s="277" t="s">
        <v>1104</v>
      </c>
      <c r="B329" s="271">
        <v>1620</v>
      </c>
      <c r="C329" s="271" t="str">
        <f>VLOOKUP(B329,Orgenheter!$A$1:$B$213,2,0)</f>
        <v>Inst för språkstudier</v>
      </c>
    </row>
    <row r="330" spans="1:3" ht="15.75" x14ac:dyDescent="0.25">
      <c r="A330" s="276" t="s">
        <v>1300</v>
      </c>
      <c r="B330" s="273">
        <v>1620</v>
      </c>
      <c r="C330" s="271" t="str">
        <f>VLOOKUP(B330,Orgenheter!$A$1:$B$213,2,0)</f>
        <v>Inst för språkstudier</v>
      </c>
    </row>
    <row r="331" spans="1:3" ht="15.75" x14ac:dyDescent="0.25">
      <c r="A331" s="275" t="s">
        <v>1301</v>
      </c>
      <c r="B331" s="333">
        <v>1620</v>
      </c>
      <c r="C331" s="271" t="str">
        <f>VLOOKUP(B331,Orgenheter!$A$1:$B$213,2,0)</f>
        <v>Inst för språkstudier</v>
      </c>
    </row>
    <row r="332" spans="1:3" ht="15" customHeight="1" x14ac:dyDescent="0.25">
      <c r="A332" s="297" t="s">
        <v>1556</v>
      </c>
      <c r="B332" s="271">
        <v>1620</v>
      </c>
      <c r="C332" s="271" t="str">
        <f>VLOOKUP(B332,Orgenheter!$A$1:$B$213,2,0)</f>
        <v>Inst för språkstudier</v>
      </c>
    </row>
    <row r="333" spans="1:3" ht="15" customHeight="1" x14ac:dyDescent="0.25">
      <c r="A333" s="297" t="s">
        <v>1661</v>
      </c>
      <c r="B333" s="271">
        <v>1620</v>
      </c>
      <c r="C333" s="271" t="str">
        <f>VLOOKUP(B333,Orgenheter!$A$1:$B$213,2,0)</f>
        <v>Inst för språkstudier</v>
      </c>
    </row>
    <row r="334" spans="1:3" x14ac:dyDescent="0.25">
      <c r="A334" s="277" t="s">
        <v>90</v>
      </c>
      <c r="B334" s="271">
        <v>5730</v>
      </c>
      <c r="C334" s="271" t="str">
        <f>VLOOKUP(B334,Orgenheter!$A$1:$B$213,2,0)</f>
        <v>Inst för MA och MA statistik</v>
      </c>
    </row>
    <row r="335" spans="1:3" x14ac:dyDescent="0.25">
      <c r="A335" s="271" t="s">
        <v>571</v>
      </c>
      <c r="B335" s="277">
        <v>5730</v>
      </c>
      <c r="C335" s="271" t="str">
        <f>VLOOKUP(B335,Orgenheter!$A$1:$B$213,2,0)</f>
        <v>Inst för MA och MA statistik</v>
      </c>
    </row>
    <row r="336" spans="1:3" x14ac:dyDescent="0.25">
      <c r="A336" s="271" t="s">
        <v>355</v>
      </c>
      <c r="B336" s="277">
        <v>5730</v>
      </c>
      <c r="C336" s="271" t="str">
        <f>VLOOKUP(B336,Orgenheter!$A$1:$B$213,2,0)</f>
        <v>Inst för MA och MA statistik</v>
      </c>
    </row>
    <row r="337" spans="1:3" x14ac:dyDescent="0.25">
      <c r="A337" s="277" t="s">
        <v>338</v>
      </c>
      <c r="B337" s="277">
        <v>5730</v>
      </c>
      <c r="C337" s="271" t="str">
        <f>VLOOKUP(B337,Orgenheter!$A$1:$B$213,2,0)</f>
        <v>Inst för MA och MA statistik</v>
      </c>
    </row>
    <row r="338" spans="1:3" ht="12.95" customHeight="1" x14ac:dyDescent="0.25">
      <c r="A338" s="275" t="s">
        <v>570</v>
      </c>
      <c r="B338" s="273">
        <v>5730</v>
      </c>
      <c r="C338" s="271" t="str">
        <f>VLOOKUP(B338,Orgenheter!$A$1:$B$213,2,0)</f>
        <v>Inst för MA och MA statistik</v>
      </c>
    </row>
    <row r="339" spans="1:3" ht="12.95" customHeight="1" x14ac:dyDescent="0.25">
      <c r="A339" s="275" t="s">
        <v>572</v>
      </c>
      <c r="B339" s="273">
        <v>5730</v>
      </c>
      <c r="C339" s="271" t="str">
        <f>VLOOKUP(B339,Orgenheter!$A$1:$B$213,2,0)</f>
        <v>Inst för MA och MA statistik</v>
      </c>
    </row>
    <row r="340" spans="1:3" ht="15.75" x14ac:dyDescent="0.25">
      <c r="A340" s="275" t="s">
        <v>573</v>
      </c>
      <c r="B340" s="273">
        <v>5730</v>
      </c>
      <c r="C340" s="271" t="str">
        <f>VLOOKUP(B340,Orgenheter!$A$1:$B$213,2,0)</f>
        <v>Inst för MA och MA statistik</v>
      </c>
    </row>
    <row r="341" spans="1:3" ht="12.95" customHeight="1" x14ac:dyDescent="0.25">
      <c r="A341" s="275" t="s">
        <v>588</v>
      </c>
      <c r="B341" s="273">
        <v>5730</v>
      </c>
      <c r="C341" s="271" t="str">
        <f>VLOOKUP(B341,Orgenheter!$A$1:$B$213,2,0)</f>
        <v>Inst för MA och MA statistik</v>
      </c>
    </row>
    <row r="342" spans="1:3" ht="12.95" customHeight="1" x14ac:dyDescent="0.25">
      <c r="A342" s="275" t="s">
        <v>589</v>
      </c>
      <c r="B342" s="273">
        <v>5730</v>
      </c>
      <c r="C342" s="271" t="str">
        <f>VLOOKUP(B342,Orgenheter!$A$1:$B$213,2,0)</f>
        <v>Inst för MA och MA statistik</v>
      </c>
    </row>
    <row r="343" spans="1:3" ht="12.95" customHeight="1" x14ac:dyDescent="0.25">
      <c r="A343" s="275" t="s">
        <v>590</v>
      </c>
      <c r="B343" s="273">
        <v>5730</v>
      </c>
      <c r="C343" s="271" t="str">
        <f>VLOOKUP(B343,Orgenheter!$A$1:$B$213,2,0)</f>
        <v>Inst för MA och MA statistik</v>
      </c>
    </row>
    <row r="344" spans="1:3" ht="12.95" customHeight="1" x14ac:dyDescent="0.25">
      <c r="A344" s="288" t="s">
        <v>643</v>
      </c>
      <c r="B344" s="271">
        <v>5730</v>
      </c>
      <c r="C344" s="271" t="str">
        <f>VLOOKUP(B344,Orgenheter!$A$1:$B$213,2,0)</f>
        <v>Inst för MA och MA statistik</v>
      </c>
    </row>
    <row r="345" spans="1:3" ht="12.95" customHeight="1" x14ac:dyDescent="0.25">
      <c r="A345" s="288" t="s">
        <v>644</v>
      </c>
      <c r="B345" s="271">
        <v>5730</v>
      </c>
      <c r="C345" s="271" t="str">
        <f>VLOOKUP(B345,Orgenheter!$A$1:$B$213,2,0)</f>
        <v>Inst för MA och MA statistik</v>
      </c>
    </row>
    <row r="346" spans="1:3" ht="12.95" customHeight="1" x14ac:dyDescent="0.25">
      <c r="A346" s="288" t="s">
        <v>639</v>
      </c>
      <c r="B346" s="271">
        <v>5730</v>
      </c>
      <c r="C346" s="271" t="str">
        <f>VLOOKUP(B346,Orgenheter!$A$1:$B$213,2,0)</f>
        <v>Inst för MA och MA statistik</v>
      </c>
    </row>
    <row r="347" spans="1:3" ht="12.95" customHeight="1" x14ac:dyDescent="0.25">
      <c r="A347" s="288" t="s">
        <v>645</v>
      </c>
      <c r="B347" s="271">
        <v>5730</v>
      </c>
      <c r="C347" s="271" t="str">
        <f>VLOOKUP(B347,Orgenheter!$A$1:$B$213,2,0)</f>
        <v>Inst för MA och MA statistik</v>
      </c>
    </row>
    <row r="348" spans="1:3" ht="12.95" customHeight="1" x14ac:dyDescent="0.25">
      <c r="A348" s="275" t="s">
        <v>930</v>
      </c>
      <c r="B348" s="273">
        <v>5730</v>
      </c>
      <c r="C348" s="271" t="str">
        <f>VLOOKUP(B348,Orgenheter!$A$1:$B$213,2,0)</f>
        <v>Inst för MA och MA statistik</v>
      </c>
    </row>
    <row r="349" spans="1:3" ht="12.95" customHeight="1" x14ac:dyDescent="0.25">
      <c r="A349" s="288" t="s">
        <v>966</v>
      </c>
      <c r="B349" s="271">
        <v>5730</v>
      </c>
      <c r="C349" s="271" t="str">
        <f>VLOOKUP(B349,Orgenheter!$A$1:$B$213,2,0)</f>
        <v>Inst för MA och MA statistik</v>
      </c>
    </row>
    <row r="350" spans="1:3" ht="12.95" customHeight="1" x14ac:dyDescent="0.25">
      <c r="A350" s="288" t="s">
        <v>1305</v>
      </c>
      <c r="B350" s="271">
        <v>5730</v>
      </c>
      <c r="C350" s="271" t="str">
        <f>VLOOKUP(B350,Orgenheter!$A$1:$B$213,2,0)</f>
        <v>Inst för MA och MA statistik</v>
      </c>
    </row>
    <row r="351" spans="1:3" ht="12.95" customHeight="1" x14ac:dyDescent="0.25">
      <c r="A351" s="288" t="s">
        <v>1095</v>
      </c>
      <c r="B351" s="271">
        <v>5730</v>
      </c>
      <c r="C351" s="271" t="str">
        <f>VLOOKUP(B351,Orgenheter!$A$1:$B$213,2,0)</f>
        <v>Inst för MA och MA statistik</v>
      </c>
    </row>
    <row r="352" spans="1:3" ht="12.95" customHeight="1" x14ac:dyDescent="0.25">
      <c r="A352" s="288" t="s">
        <v>1108</v>
      </c>
      <c r="B352" s="271">
        <v>5730</v>
      </c>
      <c r="C352" s="271" t="str">
        <f>VLOOKUP(B352,Orgenheter!$A$1:$B$213,2,0)</f>
        <v>Inst för MA och MA statistik</v>
      </c>
    </row>
    <row r="353" spans="1:3" x14ac:dyDescent="0.25">
      <c r="A353" s="288" t="s">
        <v>1344</v>
      </c>
      <c r="B353" s="271">
        <v>5730</v>
      </c>
      <c r="C353" s="271" t="str">
        <f>VLOOKUP(B353,Orgenheter!$A$1:$B$213,2,0)</f>
        <v>Inst för MA och MA statistik</v>
      </c>
    </row>
    <row r="354" spans="1:3" ht="12.95" customHeight="1" x14ac:dyDescent="0.25">
      <c r="A354" s="275" t="s">
        <v>1345</v>
      </c>
      <c r="B354" s="273">
        <v>5730</v>
      </c>
      <c r="C354" s="271" t="str">
        <f>VLOOKUP(B354,Orgenheter!$A$1:$B$213,2,0)</f>
        <v>Inst för MA och MA statistik</v>
      </c>
    </row>
    <row r="355" spans="1:3" ht="12.95" customHeight="1" x14ac:dyDescent="0.25">
      <c r="A355" s="275" t="s">
        <v>1289</v>
      </c>
      <c r="B355" s="273">
        <v>5730</v>
      </c>
      <c r="C355" s="271" t="str">
        <f>VLOOKUP(B355,Orgenheter!$A$1:$B$213,2,0)</f>
        <v>Inst för MA och MA statistik</v>
      </c>
    </row>
    <row r="356" spans="1:3" ht="12.95" customHeight="1" x14ac:dyDescent="0.25">
      <c r="A356" s="275" t="s">
        <v>1447</v>
      </c>
      <c r="B356" s="273">
        <v>5730</v>
      </c>
      <c r="C356" s="271" t="str">
        <f>VLOOKUP(B356,Orgenheter!$A$1:$B$213,2,0)</f>
        <v>Inst för MA och MA statistik</v>
      </c>
    </row>
    <row r="357" spans="1:3" ht="12.95" customHeight="1" x14ac:dyDescent="0.25">
      <c r="A357" s="275" t="s">
        <v>1346</v>
      </c>
      <c r="B357" s="273">
        <v>5730</v>
      </c>
      <c r="C357" s="271" t="str">
        <f>VLOOKUP(B357,Orgenheter!$A$1:$B$213,2,0)</f>
        <v>Inst för MA och MA statistik</v>
      </c>
    </row>
    <row r="358" spans="1:3" ht="12.95" customHeight="1" x14ac:dyDescent="0.25">
      <c r="A358" s="275" t="s">
        <v>1570</v>
      </c>
      <c r="B358" s="273">
        <v>5730</v>
      </c>
      <c r="C358" s="271" t="str">
        <f>VLOOKUP(B358,Orgenheter!$A$1:$B$213,2,0)</f>
        <v>Inst för MA och MA statistik</v>
      </c>
    </row>
    <row r="359" spans="1:3" ht="12.95" customHeight="1" x14ac:dyDescent="0.25">
      <c r="A359" s="416" t="s">
        <v>1859</v>
      </c>
      <c r="B359" s="417">
        <v>5730</v>
      </c>
      <c r="C359" s="271" t="str">
        <f>VLOOKUP(B359,Orgenheter!$A$1:$B$213,2,0)</f>
        <v>Inst för MA och MA statistik</v>
      </c>
    </row>
    <row r="360" spans="1:3" ht="12.95" customHeight="1" x14ac:dyDescent="0.25">
      <c r="A360" s="416" t="s">
        <v>1860</v>
      </c>
      <c r="B360" s="417">
        <v>5730</v>
      </c>
      <c r="C360" s="271" t="str">
        <f>VLOOKUP(B360,Orgenheter!$A$1:$B$213,2,0)</f>
        <v>Inst för MA och MA statistik</v>
      </c>
    </row>
    <row r="361" spans="1:3" ht="12.95" customHeight="1" x14ac:dyDescent="0.25">
      <c r="A361" s="416" t="s">
        <v>1861</v>
      </c>
      <c r="B361" s="417">
        <v>5730</v>
      </c>
      <c r="C361" s="271" t="str">
        <f>VLOOKUP(B361,Orgenheter!$A$1:$B$213,2,0)</f>
        <v>Inst för MA och MA statistik</v>
      </c>
    </row>
    <row r="362" spans="1:3" ht="12.95" customHeight="1" x14ac:dyDescent="0.25">
      <c r="A362" s="429" t="s">
        <v>1957</v>
      </c>
      <c r="B362" s="430">
        <v>5730</v>
      </c>
      <c r="C362" s="271" t="str">
        <f>VLOOKUP(B362,Orgenheter!$A$1:$B$213,2,0)</f>
        <v>Inst för MA och MA statistik</v>
      </c>
    </row>
    <row r="363" spans="1:3" ht="12.95" customHeight="1" x14ac:dyDescent="0.25">
      <c r="A363" s="429" t="s">
        <v>1958</v>
      </c>
      <c r="B363" s="430">
        <v>5730</v>
      </c>
      <c r="C363" s="271" t="str">
        <f>VLOOKUP(B363,Orgenheter!$A$1:$B$213,2,0)</f>
        <v>Inst för MA och MA statistik</v>
      </c>
    </row>
    <row r="364" spans="1:3" ht="12.95" customHeight="1" x14ac:dyDescent="0.25">
      <c r="A364" s="429" t="s">
        <v>1959</v>
      </c>
      <c r="B364" s="430">
        <v>5730</v>
      </c>
      <c r="C364" s="271" t="str">
        <f>VLOOKUP(B364,Orgenheter!$A$1:$B$213,2,0)</f>
        <v>Inst för MA och MA statistik</v>
      </c>
    </row>
    <row r="365" spans="1:3" ht="12.95" customHeight="1" x14ac:dyDescent="0.25">
      <c r="A365" s="429" t="s">
        <v>1941</v>
      </c>
      <c r="B365" s="430">
        <v>5730</v>
      </c>
      <c r="C365" s="271" t="str">
        <f>VLOOKUP(B365,Orgenheter!$A$1:$B$213,2,0)</f>
        <v>Inst för MA och MA statistik</v>
      </c>
    </row>
    <row r="366" spans="1:3" ht="12.95" customHeight="1" x14ac:dyDescent="0.25">
      <c r="A366" s="449" t="s">
        <v>1990</v>
      </c>
      <c r="B366" s="445">
        <v>5730</v>
      </c>
      <c r="C366" s="271" t="str">
        <f>VLOOKUP(B366,Orgenheter!$A$1:$B$213,2,0)</f>
        <v>Inst för MA och MA statistik</v>
      </c>
    </row>
    <row r="367" spans="1:3" ht="12.95" customHeight="1" x14ac:dyDescent="0.25">
      <c r="A367" s="416" t="s">
        <v>1908</v>
      </c>
      <c r="B367" s="417">
        <v>5730</v>
      </c>
      <c r="C367" s="271" t="str">
        <f>VLOOKUP(B367,Orgenheter!$A$1:$B$213,2,0)</f>
        <v>Inst för MA och MA statistik</v>
      </c>
    </row>
    <row r="368" spans="1:3" ht="12.95" customHeight="1" x14ac:dyDescent="0.25">
      <c r="A368" s="429" t="s">
        <v>1960</v>
      </c>
      <c r="B368" s="430">
        <v>5730</v>
      </c>
      <c r="C368" s="271" t="str">
        <f>VLOOKUP(B368,Orgenheter!$A$1:$B$213,2,0)</f>
        <v>Inst för MA och MA statistik</v>
      </c>
    </row>
    <row r="369" spans="1:3" ht="12.95" customHeight="1" x14ac:dyDescent="0.25">
      <c r="A369" s="449" t="s">
        <v>1991</v>
      </c>
      <c r="B369" s="430">
        <v>5730</v>
      </c>
      <c r="C369" s="271" t="str">
        <f>VLOOKUP(B369,Orgenheter!$A$1:$B$213,2,0)</f>
        <v>Inst för MA och MA statistik</v>
      </c>
    </row>
    <row r="370" spans="1:3" x14ac:dyDescent="0.25">
      <c r="A370" s="288" t="s">
        <v>1035</v>
      </c>
      <c r="B370" s="271">
        <v>5730</v>
      </c>
      <c r="C370" s="271" t="str">
        <f>VLOOKUP(B370,Orgenheter!$A$1:$B$213,2,0)</f>
        <v>Inst för MA och MA statistik</v>
      </c>
    </row>
    <row r="371" spans="1:3" x14ac:dyDescent="0.25">
      <c r="A371" s="297" t="s">
        <v>1262</v>
      </c>
      <c r="B371" s="271">
        <v>5730</v>
      </c>
      <c r="C371" s="271" t="str">
        <f>VLOOKUP(B371,Orgenheter!$A$1:$B$213,2,0)</f>
        <v>Inst för MA och MA statistik</v>
      </c>
    </row>
    <row r="372" spans="1:3" x14ac:dyDescent="0.25">
      <c r="A372" s="437" t="s">
        <v>1961</v>
      </c>
      <c r="B372" s="427">
        <v>5730</v>
      </c>
      <c r="C372" s="271" t="str">
        <f>VLOOKUP(B372,Orgenheter!$A$1:$B$213,2,0)</f>
        <v>Inst för MA och MA statistik</v>
      </c>
    </row>
    <row r="373" spans="1:3" ht="12.95" customHeight="1" x14ac:dyDescent="0.25">
      <c r="A373" s="271" t="s">
        <v>344</v>
      </c>
      <c r="B373" s="271">
        <v>5740</v>
      </c>
      <c r="C373" s="271" t="str">
        <f>VLOOKUP(B373,Orgenheter!$A$1:$B$213,2,0)</f>
        <v>NMD</v>
      </c>
    </row>
    <row r="374" spans="1:3" ht="12.95" customHeight="1" x14ac:dyDescent="0.25">
      <c r="A374" s="271" t="s">
        <v>345</v>
      </c>
      <c r="B374" s="271">
        <v>5740</v>
      </c>
      <c r="C374" s="271" t="str">
        <f>VLOOKUP(B374,Orgenheter!$A$1:$B$213,2,0)</f>
        <v>NMD</v>
      </c>
    </row>
    <row r="375" spans="1:3" ht="12.95" customHeight="1" x14ac:dyDescent="0.25">
      <c r="A375" s="271" t="s">
        <v>346</v>
      </c>
      <c r="B375" s="271">
        <v>5740</v>
      </c>
      <c r="C375" s="271" t="str">
        <f>VLOOKUP(B375,Orgenheter!$A$1:$B$213,2,0)</f>
        <v>NMD</v>
      </c>
    </row>
    <row r="376" spans="1:3" ht="12.95" customHeight="1" x14ac:dyDescent="0.25">
      <c r="A376" s="288" t="s">
        <v>652</v>
      </c>
      <c r="B376" s="271">
        <v>5740</v>
      </c>
      <c r="C376" s="271" t="str">
        <f>VLOOKUP(B376,Orgenheter!$A$1:$B$213,2,0)</f>
        <v>NMD</v>
      </c>
    </row>
    <row r="377" spans="1:3" ht="15.75" x14ac:dyDescent="0.25">
      <c r="A377" s="275" t="s">
        <v>499</v>
      </c>
      <c r="B377" s="273">
        <v>5740</v>
      </c>
      <c r="C377" s="271" t="str">
        <f>VLOOKUP(B377,Orgenheter!$A$1:$B$213,2,0)</f>
        <v>NMD</v>
      </c>
    </row>
    <row r="378" spans="1:3" ht="15.75" x14ac:dyDescent="0.25">
      <c r="A378" s="275" t="s">
        <v>500</v>
      </c>
      <c r="B378" s="273">
        <v>5740</v>
      </c>
      <c r="C378" s="271" t="str">
        <f>VLOOKUP(B378,Orgenheter!$A$1:$B$213,2,0)</f>
        <v>NMD</v>
      </c>
    </row>
    <row r="379" spans="1:3" x14ac:dyDescent="0.25">
      <c r="A379" s="288" t="s">
        <v>653</v>
      </c>
      <c r="B379" s="271">
        <v>5740</v>
      </c>
      <c r="C379" s="271" t="str">
        <f>VLOOKUP(B379,Orgenheter!$A$1:$B$213,2,0)</f>
        <v>NMD</v>
      </c>
    </row>
    <row r="380" spans="1:3" x14ac:dyDescent="0.25">
      <c r="A380" s="288" t="s">
        <v>654</v>
      </c>
      <c r="B380" s="271">
        <v>5740</v>
      </c>
      <c r="C380" s="271" t="str">
        <f>VLOOKUP(B380,Orgenheter!$A$1:$B$213,2,0)</f>
        <v>NMD</v>
      </c>
    </row>
    <row r="381" spans="1:3" ht="15.75" x14ac:dyDescent="0.25">
      <c r="A381" s="275" t="s">
        <v>576</v>
      </c>
      <c r="B381" s="273">
        <v>5740</v>
      </c>
      <c r="C381" s="271" t="str">
        <f>VLOOKUP(B381,Orgenheter!$A$1:$B$213,2,0)</f>
        <v>NMD</v>
      </c>
    </row>
    <row r="382" spans="1:3" ht="15.75" x14ac:dyDescent="0.25">
      <c r="A382" s="275" t="s">
        <v>578</v>
      </c>
      <c r="B382" s="273">
        <v>5740</v>
      </c>
      <c r="C382" s="271" t="str">
        <f>VLOOKUP(B382,Orgenheter!$A$1:$B$213,2,0)</f>
        <v>NMD</v>
      </c>
    </row>
    <row r="383" spans="1:3" ht="15.75" x14ac:dyDescent="0.25">
      <c r="A383" s="275" t="s">
        <v>591</v>
      </c>
      <c r="B383" s="273">
        <v>5740</v>
      </c>
      <c r="C383" s="271" t="str">
        <f>VLOOKUP(B383,Orgenheter!$A$1:$B$213,2,0)</f>
        <v>NMD</v>
      </c>
    </row>
    <row r="384" spans="1:3" ht="15.75" x14ac:dyDescent="0.25">
      <c r="A384" s="275" t="s">
        <v>577</v>
      </c>
      <c r="B384" s="273">
        <v>5740</v>
      </c>
      <c r="C384" s="271" t="str">
        <f>VLOOKUP(B384,Orgenheter!$A$1:$B$213,2,0)</f>
        <v>NMD</v>
      </c>
    </row>
    <row r="385" spans="1:3" ht="12.95" customHeight="1" x14ac:dyDescent="0.25">
      <c r="A385" s="275" t="s">
        <v>579</v>
      </c>
      <c r="B385" s="273">
        <v>5740</v>
      </c>
      <c r="C385" s="271" t="str">
        <f>VLOOKUP(B385,Orgenheter!$A$1:$B$213,2,0)</f>
        <v>NMD</v>
      </c>
    </row>
    <row r="386" spans="1:3" ht="12.95" customHeight="1" x14ac:dyDescent="0.25">
      <c r="A386" s="275" t="s">
        <v>592</v>
      </c>
      <c r="B386" s="273">
        <v>5740</v>
      </c>
      <c r="C386" s="271" t="str">
        <f>VLOOKUP(B386,Orgenheter!$A$1:$B$213,2,0)</f>
        <v>NMD</v>
      </c>
    </row>
    <row r="387" spans="1:3" ht="15.75" x14ac:dyDescent="0.25">
      <c r="A387" s="275" t="s">
        <v>898</v>
      </c>
      <c r="B387" s="273">
        <v>5740</v>
      </c>
      <c r="C387" s="271" t="str">
        <f>VLOOKUP(B387,Orgenheter!$A$1:$B$213,2,0)</f>
        <v>NMD</v>
      </c>
    </row>
    <row r="388" spans="1:3" ht="12.95" customHeight="1" x14ac:dyDescent="0.25">
      <c r="A388" s="275" t="s">
        <v>1109</v>
      </c>
      <c r="B388" s="273">
        <v>5740</v>
      </c>
      <c r="C388" s="271" t="str">
        <f>VLOOKUP(B388,Orgenheter!$A$1:$B$213,2,0)</f>
        <v>NMD</v>
      </c>
    </row>
    <row r="389" spans="1:3" ht="15.75" x14ac:dyDescent="0.25">
      <c r="A389" s="275" t="s">
        <v>1110</v>
      </c>
      <c r="B389" s="273">
        <v>5740</v>
      </c>
      <c r="C389" s="271" t="str">
        <f>VLOOKUP(B389,Orgenheter!$A$1:$B$213,2,0)</f>
        <v>NMD</v>
      </c>
    </row>
    <row r="390" spans="1:3" ht="12.95" customHeight="1" x14ac:dyDescent="0.25">
      <c r="A390" s="275" t="s">
        <v>1111</v>
      </c>
      <c r="B390" s="273">
        <v>5740</v>
      </c>
      <c r="C390" s="271" t="str">
        <f>VLOOKUP(B390,Orgenheter!$A$1:$B$213,2,0)</f>
        <v>NMD</v>
      </c>
    </row>
    <row r="391" spans="1:3" ht="12.95" customHeight="1" x14ac:dyDescent="0.25">
      <c r="A391" s="429" t="s">
        <v>1962</v>
      </c>
      <c r="B391" s="430">
        <v>5740</v>
      </c>
      <c r="C391" s="271" t="str">
        <f>VLOOKUP(B391,Orgenheter!$A$1:$B$213,2,0)</f>
        <v>NMD</v>
      </c>
    </row>
    <row r="392" spans="1:3" ht="12.95" customHeight="1" x14ac:dyDescent="0.25">
      <c r="A392" s="275" t="s">
        <v>1349</v>
      </c>
      <c r="B392" s="273">
        <v>5740</v>
      </c>
      <c r="C392" s="271" t="str">
        <f>VLOOKUP(B392,Orgenheter!$A$1:$B$213,2,0)</f>
        <v>NMD</v>
      </c>
    </row>
    <row r="393" spans="1:3" ht="12.95" customHeight="1" x14ac:dyDescent="0.25">
      <c r="A393" s="275" t="s">
        <v>1449</v>
      </c>
      <c r="B393" s="273">
        <v>5740</v>
      </c>
      <c r="C393" s="271" t="str">
        <f>VLOOKUP(B393,Orgenheter!$A$1:$B$213,2,0)</f>
        <v>NMD</v>
      </c>
    </row>
    <row r="394" spans="1:3" ht="12.95" customHeight="1" x14ac:dyDescent="0.25">
      <c r="A394" s="275" t="s">
        <v>1451</v>
      </c>
      <c r="B394" s="273">
        <v>5740</v>
      </c>
      <c r="C394" s="271" t="str">
        <f>VLOOKUP(B394,Orgenheter!$A$1:$B$213,2,0)</f>
        <v>NMD</v>
      </c>
    </row>
    <row r="395" spans="1:3" ht="12.95" customHeight="1" x14ac:dyDescent="0.25">
      <c r="A395" s="275" t="s">
        <v>1453</v>
      </c>
      <c r="B395" s="273">
        <v>5740</v>
      </c>
      <c r="C395" s="271" t="str">
        <f>VLOOKUP(B395,Orgenheter!$A$1:$B$213,2,0)</f>
        <v>NMD</v>
      </c>
    </row>
    <row r="396" spans="1:3" ht="12.95" customHeight="1" x14ac:dyDescent="0.25">
      <c r="A396" s="275" t="s">
        <v>1455</v>
      </c>
      <c r="B396" s="273">
        <v>5740</v>
      </c>
      <c r="C396" s="271" t="str">
        <f>VLOOKUP(B396,Orgenheter!$A$1:$B$213,2,0)</f>
        <v>NMD</v>
      </c>
    </row>
    <row r="397" spans="1:3" ht="12.95" customHeight="1" x14ac:dyDescent="0.25">
      <c r="A397" s="275" t="s">
        <v>1457</v>
      </c>
      <c r="B397" s="273">
        <v>5740</v>
      </c>
      <c r="C397" s="271" t="str">
        <f>VLOOKUP(B397,Orgenheter!$A$1:$B$213,2,0)</f>
        <v>NMD</v>
      </c>
    </row>
    <row r="398" spans="1:3" ht="15" customHeight="1" x14ac:dyDescent="0.25">
      <c r="A398" s="297" t="s">
        <v>1557</v>
      </c>
      <c r="B398" s="271">
        <v>5740</v>
      </c>
      <c r="C398" s="271" t="str">
        <f>VLOOKUP(B398,Orgenheter!$A$1:$B$213,2,0)</f>
        <v>NMD</v>
      </c>
    </row>
    <row r="399" spans="1:3" ht="15" customHeight="1" x14ac:dyDescent="0.25">
      <c r="A399" s="297" t="s">
        <v>1634</v>
      </c>
      <c r="B399" s="271">
        <v>5740</v>
      </c>
      <c r="C399" s="271" t="str">
        <f>VLOOKUP(B399,Orgenheter!$A$1:$B$213,2,0)</f>
        <v>NMD</v>
      </c>
    </row>
    <row r="400" spans="1:3" ht="15" customHeight="1" x14ac:dyDescent="0.25">
      <c r="A400" s="297" t="s">
        <v>1635</v>
      </c>
      <c r="B400" s="271">
        <v>5740</v>
      </c>
      <c r="C400" s="271" t="str">
        <f>VLOOKUP(B400,Orgenheter!$A$1:$B$213,2,0)</f>
        <v>NMD</v>
      </c>
    </row>
    <row r="401" spans="1:3" ht="15" customHeight="1" x14ac:dyDescent="0.25">
      <c r="A401" s="297" t="s">
        <v>1632</v>
      </c>
      <c r="B401" s="271">
        <v>5740</v>
      </c>
      <c r="C401" s="271" t="str">
        <f>VLOOKUP(B401,Orgenheter!$A$1:$B$213,2,0)</f>
        <v>NMD</v>
      </c>
    </row>
    <row r="402" spans="1:3" ht="12.95" customHeight="1" x14ac:dyDescent="0.25">
      <c r="A402" s="429" t="s">
        <v>1931</v>
      </c>
      <c r="B402" s="430">
        <v>5740</v>
      </c>
      <c r="C402" s="271" t="str">
        <f>VLOOKUP(B402,Orgenheter!$A$1:$B$213,2,0)</f>
        <v>NMD</v>
      </c>
    </row>
    <row r="403" spans="1:3" ht="12.95" customHeight="1" x14ac:dyDescent="0.25">
      <c r="A403" s="429" t="s">
        <v>1940</v>
      </c>
      <c r="B403" s="430">
        <v>5740</v>
      </c>
      <c r="C403" s="271" t="str">
        <f>VLOOKUP(B403,Orgenheter!$A$1:$B$213,2,0)</f>
        <v>NMD</v>
      </c>
    </row>
    <row r="404" spans="1:3" ht="12.95" customHeight="1" x14ac:dyDescent="0.25">
      <c r="A404" s="288" t="s">
        <v>640</v>
      </c>
      <c r="B404" s="271">
        <v>5730</v>
      </c>
      <c r="C404" s="271" t="str">
        <f>VLOOKUP(B404,Orgenheter!$A$1:$B$213,2,0)</f>
        <v>Inst för MA och MA statistik</v>
      </c>
    </row>
    <row r="405" spans="1:3" ht="12.95" customHeight="1" x14ac:dyDescent="0.25">
      <c r="A405" s="432" t="s">
        <v>1939</v>
      </c>
      <c r="B405" s="427">
        <v>5730</v>
      </c>
      <c r="C405" s="271" t="str">
        <f>VLOOKUP(B405,Orgenheter!$A$1:$B$213,2,0)</f>
        <v>Inst för MA och MA statistik</v>
      </c>
    </row>
    <row r="406" spans="1:3" ht="12.95" customHeight="1" x14ac:dyDescent="0.25">
      <c r="A406" s="450" t="s">
        <v>1992</v>
      </c>
      <c r="B406" s="446">
        <v>5730</v>
      </c>
      <c r="C406" s="271" t="str">
        <f>VLOOKUP(B406,Orgenheter!$A$1:$B$213,2,0)</f>
        <v>Inst för MA och MA statistik</v>
      </c>
    </row>
    <row r="407" spans="1:3" x14ac:dyDescent="0.25">
      <c r="A407" s="271" t="s">
        <v>335</v>
      </c>
      <c r="B407" s="271">
        <v>1650</v>
      </c>
      <c r="C407" s="271" t="str">
        <f>VLOOKUP(B407,Orgenheter!$A$1:$B$213,2,0)</f>
        <v xml:space="preserve">Estetiska ämnen               </v>
      </c>
    </row>
    <row r="408" spans="1:3" ht="15.75" x14ac:dyDescent="0.25">
      <c r="A408" s="327" t="s">
        <v>151</v>
      </c>
      <c r="B408" s="271">
        <v>1650</v>
      </c>
      <c r="C408" s="271" t="str">
        <f>VLOOKUP(B408,Orgenheter!$A$1:$B$213,2,0)</f>
        <v xml:space="preserve">Estetiska ämnen               </v>
      </c>
    </row>
    <row r="409" spans="1:3" x14ac:dyDescent="0.25">
      <c r="A409" s="271" t="s">
        <v>414</v>
      </c>
      <c r="B409" s="271">
        <v>1650</v>
      </c>
      <c r="C409" s="271" t="str">
        <f>VLOOKUP(B409,Orgenheter!$A$1:$B$213,2,0)</f>
        <v xml:space="preserve">Estetiska ämnen               </v>
      </c>
    </row>
    <row r="410" spans="1:3" ht="12.95" customHeight="1" x14ac:dyDescent="0.25">
      <c r="A410" s="271" t="s">
        <v>478</v>
      </c>
      <c r="B410" s="271">
        <v>1650</v>
      </c>
      <c r="C410" s="271" t="str">
        <f>VLOOKUP(B410,Orgenheter!$A$1:$B$213,2,0)</f>
        <v xml:space="preserve">Estetiska ämnen               </v>
      </c>
    </row>
    <row r="411" spans="1:3" x14ac:dyDescent="0.25">
      <c r="A411" s="289" t="s">
        <v>526</v>
      </c>
      <c r="B411" s="277">
        <v>1650</v>
      </c>
      <c r="C411" s="271" t="str">
        <f>VLOOKUP(B411,Orgenheter!$A$1:$B$213,2,0)</f>
        <v xml:space="preserve">Estetiska ämnen               </v>
      </c>
    </row>
    <row r="412" spans="1:3" x14ac:dyDescent="0.25">
      <c r="A412" s="289" t="s">
        <v>768</v>
      </c>
      <c r="B412" s="277">
        <v>1650</v>
      </c>
      <c r="C412" s="271" t="str">
        <f>VLOOKUP(B412,Orgenheter!$A$1:$B$213,2,0)</f>
        <v xml:space="preserve">Estetiska ämnen               </v>
      </c>
    </row>
    <row r="413" spans="1:3" x14ac:dyDescent="0.25">
      <c r="A413" s="288" t="s">
        <v>865</v>
      </c>
      <c r="B413" s="271">
        <v>1650</v>
      </c>
      <c r="C413" s="271" t="str">
        <f>VLOOKUP(B413,Orgenheter!$A$1:$B$213,2,0)</f>
        <v xml:space="preserve">Estetiska ämnen               </v>
      </c>
    </row>
    <row r="414" spans="1:3" ht="12.95" customHeight="1" x14ac:dyDescent="0.25">
      <c r="A414" s="271" t="s">
        <v>567</v>
      </c>
      <c r="B414" s="277">
        <v>1650</v>
      </c>
      <c r="C414" s="271" t="str">
        <f>VLOOKUP(B414,Orgenheter!$A$1:$B$213,2,0)</f>
        <v xml:space="preserve">Estetiska ämnen               </v>
      </c>
    </row>
    <row r="415" spans="1:3" ht="12.95" customHeight="1" x14ac:dyDescent="0.25">
      <c r="A415" s="288" t="s">
        <v>646</v>
      </c>
      <c r="B415" s="271">
        <v>1650</v>
      </c>
      <c r="C415" s="271" t="str">
        <f>VLOOKUP(B415,Orgenheter!$A$1:$B$213,2,0)</f>
        <v xml:space="preserve">Estetiska ämnen               </v>
      </c>
    </row>
    <row r="416" spans="1:3" ht="12.95" customHeight="1" x14ac:dyDescent="0.25">
      <c r="A416" s="332" t="s">
        <v>1126</v>
      </c>
      <c r="B416" s="277">
        <v>1650</v>
      </c>
      <c r="C416" s="271" t="str">
        <f>VLOOKUP(B416,Orgenheter!$A$1:$B$213,2,0)</f>
        <v xml:space="preserve">Estetiska ämnen               </v>
      </c>
    </row>
    <row r="417" spans="1:3" ht="12.95" customHeight="1" x14ac:dyDescent="0.25">
      <c r="A417" s="334" t="s">
        <v>1316</v>
      </c>
      <c r="B417" s="277">
        <v>1650</v>
      </c>
      <c r="C417" s="271" t="str">
        <f>VLOOKUP(B417,Orgenheter!$A$1:$B$213,2,0)</f>
        <v xml:space="preserve">Estetiska ämnen               </v>
      </c>
    </row>
    <row r="418" spans="1:3" ht="12.95" customHeight="1" x14ac:dyDescent="0.25">
      <c r="A418" s="334" t="s">
        <v>1318</v>
      </c>
      <c r="B418" s="277">
        <v>1650</v>
      </c>
      <c r="C418" s="271" t="str">
        <f>VLOOKUP(B418,Orgenheter!$A$1:$B$213,2,0)</f>
        <v xml:space="preserve">Estetiska ämnen               </v>
      </c>
    </row>
    <row r="419" spans="1:3" ht="12.95" customHeight="1" x14ac:dyDescent="0.25">
      <c r="A419" s="271" t="s">
        <v>1354</v>
      </c>
      <c r="B419" s="271">
        <v>1650</v>
      </c>
      <c r="C419" s="271" t="str">
        <f>VLOOKUP(B419,Orgenheter!$A$1:$B$213,2,0)</f>
        <v xml:space="preserve">Estetiska ämnen               </v>
      </c>
    </row>
    <row r="420" spans="1:3" ht="12.95" customHeight="1" x14ac:dyDescent="0.25">
      <c r="A420" s="271" t="s">
        <v>1355</v>
      </c>
      <c r="B420" s="271">
        <v>1650</v>
      </c>
      <c r="C420" s="271" t="str">
        <f>VLOOKUP(B420,Orgenheter!$A$1:$B$213,2,0)</f>
        <v xml:space="preserve">Estetiska ämnen               </v>
      </c>
    </row>
    <row r="421" spans="1:3" ht="12.95" customHeight="1" x14ac:dyDescent="0.25">
      <c r="A421" s="296" t="s">
        <v>1576</v>
      </c>
      <c r="B421" s="277">
        <v>1650</v>
      </c>
      <c r="C421" s="271" t="str">
        <f>VLOOKUP(B421,Orgenheter!$A$1:$B$213,2,0)</f>
        <v xml:space="preserve">Estetiska ämnen               </v>
      </c>
    </row>
    <row r="422" spans="1:3" ht="12.95" customHeight="1" x14ac:dyDescent="0.25">
      <c r="A422" s="296" t="s">
        <v>1578</v>
      </c>
      <c r="B422" s="277">
        <v>1650</v>
      </c>
      <c r="C422" s="271" t="str">
        <f>VLOOKUP(B422,Orgenheter!$A$1:$B$213,2,0)</f>
        <v xml:space="preserve">Estetiska ämnen               </v>
      </c>
    </row>
    <row r="423" spans="1:3" ht="12.95" customHeight="1" x14ac:dyDescent="0.25">
      <c r="A423" s="274" t="s">
        <v>1718</v>
      </c>
      <c r="B423" s="271">
        <v>1650</v>
      </c>
      <c r="C423" s="271" t="str">
        <f>VLOOKUP(B423,Orgenheter!$A$1:$B$213,2,0)</f>
        <v xml:space="preserve">Estetiska ämnen               </v>
      </c>
    </row>
    <row r="424" spans="1:3" ht="12.95" customHeight="1" x14ac:dyDescent="0.25">
      <c r="A424" s="274" t="s">
        <v>1914</v>
      </c>
      <c r="B424" s="415">
        <v>1650</v>
      </c>
      <c r="C424" s="271" t="str">
        <f>VLOOKUP(B424,Orgenheter!$A$1:$B$213,2,0)</f>
        <v xml:space="preserve">Estetiska ämnen               </v>
      </c>
    </row>
    <row r="425" spans="1:3" ht="12.95" customHeight="1" x14ac:dyDescent="0.25">
      <c r="A425" s="572" t="s">
        <v>2197</v>
      </c>
      <c r="B425" s="499">
        <v>1650</v>
      </c>
      <c r="C425" s="271" t="str">
        <f>VLOOKUP(B425,Orgenheter!$A$1:$B$213,2,0)</f>
        <v xml:space="preserve">Estetiska ämnen               </v>
      </c>
    </row>
    <row r="426" spans="1:3" ht="12.95" customHeight="1" x14ac:dyDescent="0.25">
      <c r="A426" s="572" t="s">
        <v>2198</v>
      </c>
      <c r="B426" s="499">
        <v>1650</v>
      </c>
      <c r="C426" s="271" t="str">
        <f>VLOOKUP(B426,Orgenheter!$A$1:$B$213,2,0)</f>
        <v xml:space="preserve">Estetiska ämnen               </v>
      </c>
    </row>
    <row r="427" spans="1:3" ht="12.95" customHeight="1" x14ac:dyDescent="0.25">
      <c r="A427" s="572" t="s">
        <v>2199</v>
      </c>
      <c r="B427" s="499">
        <v>1650</v>
      </c>
      <c r="C427" s="271" t="str">
        <f>VLOOKUP(B427,Orgenheter!$A$1:$B$213,2,0)</f>
        <v xml:space="preserve">Estetiska ämnen               </v>
      </c>
    </row>
    <row r="428" spans="1:3" x14ac:dyDescent="0.25">
      <c r="A428" s="39" t="s">
        <v>2100</v>
      </c>
      <c r="B428" s="271">
        <v>1650</v>
      </c>
      <c r="C428" s="271" t="str">
        <f>VLOOKUP(B428,Orgenheter!$A$1:$B$213,2,0)</f>
        <v xml:space="preserve">Estetiska ämnen               </v>
      </c>
    </row>
    <row r="429" spans="1:3" ht="12.95" customHeight="1" x14ac:dyDescent="0.25">
      <c r="A429" s="296" t="s">
        <v>2107</v>
      </c>
      <c r="B429" s="277">
        <v>1650</v>
      </c>
      <c r="C429" s="271" t="str">
        <f>VLOOKUP(B429,Orgenheter!$A$1:$B$213,2,0)</f>
        <v xml:space="preserve">Estetiska ämnen               </v>
      </c>
    </row>
    <row r="430" spans="1:3" ht="12.95" customHeight="1" x14ac:dyDescent="0.25">
      <c r="A430" s="277" t="s">
        <v>434</v>
      </c>
      <c r="B430" s="277">
        <v>2271</v>
      </c>
      <c r="C430" s="271" t="str">
        <f>VLOOKUP(B430,Orgenheter!$A$1:$B$213,2,0)</f>
        <v xml:space="preserve">Nationalekonomi               </v>
      </c>
    </row>
    <row r="431" spans="1:3" ht="12.95" customHeight="1" x14ac:dyDescent="0.25">
      <c r="A431" s="277" t="s">
        <v>1802</v>
      </c>
      <c r="B431" s="277">
        <v>5740</v>
      </c>
      <c r="C431" s="271" t="str">
        <f>VLOOKUP(B431,Orgenheter!$A$1:$B$213,2,0)</f>
        <v>NMD</v>
      </c>
    </row>
    <row r="432" spans="1:3" ht="12.95" customHeight="1" x14ac:dyDescent="0.25">
      <c r="A432" s="500" t="s">
        <v>2060</v>
      </c>
      <c r="B432" s="500">
        <v>5740</v>
      </c>
      <c r="C432" s="271" t="str">
        <f>VLOOKUP(B432,Orgenheter!$A$1:$B$213,2,0)</f>
        <v>NMD</v>
      </c>
    </row>
    <row r="433" spans="1:3" ht="12.95" customHeight="1" x14ac:dyDescent="0.25">
      <c r="A433" s="277" t="s">
        <v>1803</v>
      </c>
      <c r="B433" s="277">
        <v>5740</v>
      </c>
      <c r="C433" s="271" t="str">
        <f>VLOOKUP(B433,Orgenheter!$A$1:$B$213,2,0)</f>
        <v>NMD</v>
      </c>
    </row>
    <row r="434" spans="1:3" ht="12.95" customHeight="1" x14ac:dyDescent="0.25">
      <c r="A434" s="277" t="s">
        <v>1804</v>
      </c>
      <c r="B434" s="277">
        <v>5740</v>
      </c>
      <c r="C434" s="271" t="str">
        <f>VLOOKUP(B434,Orgenheter!$A$1:$B$213,2,0)</f>
        <v>NMD</v>
      </c>
    </row>
    <row r="435" spans="1:3" ht="12.95" customHeight="1" x14ac:dyDescent="0.25">
      <c r="A435" s="271" t="s">
        <v>103</v>
      </c>
      <c r="B435" s="271">
        <v>5740</v>
      </c>
      <c r="C435" s="271" t="str">
        <f>VLOOKUP(B435,Orgenheter!$A$1:$B$213,2,0)</f>
        <v>NMD</v>
      </c>
    </row>
    <row r="436" spans="1:3" ht="12.95" customHeight="1" x14ac:dyDescent="0.25">
      <c r="A436" s="288" t="s">
        <v>655</v>
      </c>
      <c r="B436" s="271">
        <v>5740</v>
      </c>
      <c r="C436" s="271" t="str">
        <f>VLOOKUP(B436,Orgenheter!$A$1:$B$213,2,0)</f>
        <v>NMD</v>
      </c>
    </row>
    <row r="437" spans="1:3" ht="12.95" customHeight="1" x14ac:dyDescent="0.25">
      <c r="A437" s="277" t="s">
        <v>866</v>
      </c>
      <c r="B437" s="271">
        <v>5740</v>
      </c>
      <c r="C437" s="271" t="str">
        <f>VLOOKUP(B437,Orgenheter!$A$1:$B$213,2,0)</f>
        <v>NMD</v>
      </c>
    </row>
    <row r="438" spans="1:3" ht="12.95" customHeight="1" x14ac:dyDescent="0.25">
      <c r="A438" s="277" t="s">
        <v>867</v>
      </c>
      <c r="B438" s="271">
        <v>5740</v>
      </c>
      <c r="C438" s="271" t="str">
        <f>VLOOKUP(B438,Orgenheter!$A$1:$B$213,2,0)</f>
        <v>NMD</v>
      </c>
    </row>
    <row r="439" spans="1:3" ht="12.95" customHeight="1" x14ac:dyDescent="0.25">
      <c r="A439" s="277" t="s">
        <v>896</v>
      </c>
      <c r="B439" s="271">
        <v>5740</v>
      </c>
      <c r="C439" s="271" t="str">
        <f>VLOOKUP(B439,Orgenheter!$A$1:$B$213,2,0)</f>
        <v>NMD</v>
      </c>
    </row>
    <row r="440" spans="1:3" ht="12.95" customHeight="1" x14ac:dyDescent="0.25">
      <c r="A440" s="277" t="s">
        <v>897</v>
      </c>
      <c r="B440" s="271">
        <v>5740</v>
      </c>
      <c r="C440" s="271" t="str">
        <f>VLOOKUP(B440,Orgenheter!$A$1:$B$213,2,0)</f>
        <v>NMD</v>
      </c>
    </row>
    <row r="441" spans="1:3" ht="12.95" customHeight="1" x14ac:dyDescent="0.25">
      <c r="A441" s="277" t="s">
        <v>1633</v>
      </c>
      <c r="B441" s="271">
        <v>5740</v>
      </c>
      <c r="C441" s="271" t="str">
        <f>VLOOKUP(B441,Orgenheter!$A$1:$B$213,2,0)</f>
        <v>NMD</v>
      </c>
    </row>
    <row r="442" spans="1:3" ht="12.95" customHeight="1" x14ac:dyDescent="0.25">
      <c r="A442" s="277" t="s">
        <v>1564</v>
      </c>
      <c r="B442" s="271">
        <v>5740</v>
      </c>
      <c r="C442" s="271" t="str">
        <f>VLOOKUP(B442,Orgenheter!$A$1:$B$213,2,0)</f>
        <v>NMD</v>
      </c>
    </row>
    <row r="443" spans="1:3" ht="12.95" customHeight="1" x14ac:dyDescent="0.25">
      <c r="A443" s="277" t="s">
        <v>1562</v>
      </c>
      <c r="B443" s="271">
        <v>5740</v>
      </c>
      <c r="C443" s="271" t="str">
        <f>VLOOKUP(B443,Orgenheter!$A$1:$B$213,2,0)</f>
        <v>NMD</v>
      </c>
    </row>
    <row r="444" spans="1:3" ht="12.95" customHeight="1" x14ac:dyDescent="0.25">
      <c r="A444" s="277" t="s">
        <v>1565</v>
      </c>
      <c r="B444" s="271">
        <v>5740</v>
      </c>
      <c r="C444" s="271" t="str">
        <f>VLOOKUP(B444,Orgenheter!$A$1:$B$213,2,0)</f>
        <v>NMD</v>
      </c>
    </row>
    <row r="445" spans="1:3" ht="12.95" customHeight="1" x14ac:dyDescent="0.25">
      <c r="A445" s="277" t="s">
        <v>1827</v>
      </c>
      <c r="B445" s="271">
        <v>5740</v>
      </c>
      <c r="C445" s="271" t="str">
        <f>VLOOKUP(B445,Orgenheter!$A$1:$B$213,2,0)</f>
        <v>NMD</v>
      </c>
    </row>
    <row r="446" spans="1:3" ht="12.95" customHeight="1" x14ac:dyDescent="0.25">
      <c r="A446" s="277" t="s">
        <v>1826</v>
      </c>
      <c r="B446" s="271">
        <v>5740</v>
      </c>
      <c r="C446" s="271" t="str">
        <f>VLOOKUP(B446,Orgenheter!$A$1:$B$213,2,0)</f>
        <v>NMD</v>
      </c>
    </row>
    <row r="447" spans="1:3" ht="15" customHeight="1" x14ac:dyDescent="0.25">
      <c r="A447" s="297" t="s">
        <v>1862</v>
      </c>
      <c r="B447" s="271">
        <v>5740</v>
      </c>
      <c r="C447" s="271" t="str">
        <f>VLOOKUP(B447,Orgenheter!$A$1:$B$213,2,0)</f>
        <v>NMD</v>
      </c>
    </row>
    <row r="448" spans="1:3" ht="15" customHeight="1" x14ac:dyDescent="0.25">
      <c r="A448" s="547" t="s">
        <v>2152</v>
      </c>
      <c r="B448" s="271">
        <v>5740</v>
      </c>
      <c r="C448" s="271" t="str">
        <f>VLOOKUP(B448,Orgenheter!$A$1:$B$213,2,0)</f>
        <v>NMD</v>
      </c>
    </row>
    <row r="449" spans="1:3" ht="12.95" customHeight="1" x14ac:dyDescent="0.25">
      <c r="A449" s="296" t="s">
        <v>868</v>
      </c>
      <c r="B449" s="271">
        <v>2180</v>
      </c>
      <c r="C449" s="271" t="str">
        <f>VLOOKUP(B449,Orgenheter!$A$1:$B$213,2,0)</f>
        <v xml:space="preserve">Pedagogik                     </v>
      </c>
    </row>
    <row r="450" spans="1:3" x14ac:dyDescent="0.25">
      <c r="A450" s="335" t="s">
        <v>436</v>
      </c>
      <c r="B450" s="271">
        <v>5740</v>
      </c>
      <c r="C450" s="271" t="str">
        <f>VLOOKUP(B450,Orgenheter!$A$1:$B$213,2,0)</f>
        <v>NMD</v>
      </c>
    </row>
    <row r="451" spans="1:3" x14ac:dyDescent="0.25">
      <c r="A451" s="335" t="s">
        <v>1036</v>
      </c>
      <c r="B451" s="271">
        <v>5740</v>
      </c>
      <c r="C451" s="271" t="str">
        <f>VLOOKUP(B451,Orgenheter!$A$1:$B$213,2,0)</f>
        <v>NMD</v>
      </c>
    </row>
    <row r="452" spans="1:3" ht="12.95" customHeight="1" x14ac:dyDescent="0.25">
      <c r="A452" s="329" t="s">
        <v>1037</v>
      </c>
      <c r="B452" s="271">
        <v>5740</v>
      </c>
      <c r="C452" s="271" t="str">
        <f>VLOOKUP(B452,Orgenheter!$A$1:$B$213,2,0)</f>
        <v>NMD</v>
      </c>
    </row>
    <row r="453" spans="1:3" ht="12.95" customHeight="1" x14ac:dyDescent="0.25">
      <c r="A453" s="271" t="s">
        <v>146</v>
      </c>
      <c r="B453" s="271">
        <v>5740</v>
      </c>
      <c r="C453" s="271" t="str">
        <f>VLOOKUP(B453,Orgenheter!$A$1:$B$213,2,0)</f>
        <v>NMD</v>
      </c>
    </row>
    <row r="454" spans="1:3" ht="12.95" customHeight="1" x14ac:dyDescent="0.25">
      <c r="A454" s="271" t="s">
        <v>147</v>
      </c>
      <c r="B454" s="271">
        <v>5740</v>
      </c>
      <c r="C454" s="271" t="str">
        <f>VLOOKUP(B454,Orgenheter!$A$1:$B$213,2,0)</f>
        <v>NMD</v>
      </c>
    </row>
    <row r="455" spans="1:3" ht="12.95" customHeight="1" x14ac:dyDescent="0.25">
      <c r="A455" s="271" t="s">
        <v>91</v>
      </c>
      <c r="B455" s="271">
        <v>2180</v>
      </c>
      <c r="C455" s="271" t="str">
        <f>VLOOKUP(B455,Orgenheter!$A$1:$B$213,2,0)</f>
        <v xml:space="preserve">Pedagogik                     </v>
      </c>
    </row>
    <row r="456" spans="1:3" ht="12.95" customHeight="1" x14ac:dyDescent="0.25">
      <c r="A456" s="271" t="s">
        <v>139</v>
      </c>
      <c r="B456" s="271">
        <v>2193</v>
      </c>
      <c r="C456" s="271" t="str">
        <f>VLOOKUP(B456,Orgenheter!$A$1:$B$213,2,0)</f>
        <v xml:space="preserve">TUV </v>
      </c>
    </row>
    <row r="457" spans="1:3" ht="12.95" customHeight="1" x14ac:dyDescent="0.25">
      <c r="A457" s="271" t="s">
        <v>140</v>
      </c>
      <c r="B457" s="271">
        <v>2193</v>
      </c>
      <c r="C457" s="271" t="str">
        <f>VLOOKUP(B457,Orgenheter!$A$1:$B$213,2,0)</f>
        <v xml:space="preserve">TUV </v>
      </c>
    </row>
    <row r="458" spans="1:3" x14ac:dyDescent="0.25">
      <c r="A458" s="271" t="s">
        <v>1038</v>
      </c>
      <c r="B458" s="271">
        <v>2180</v>
      </c>
      <c r="C458" s="271" t="str">
        <f>VLOOKUP(B458,Orgenheter!$A$1:$B$213,2,0)</f>
        <v xml:space="preserve">Pedagogik                     </v>
      </c>
    </row>
    <row r="459" spans="1:3" ht="15.75" x14ac:dyDescent="0.25">
      <c r="A459" s="275" t="s">
        <v>501</v>
      </c>
      <c r="B459" s="273">
        <v>1620</v>
      </c>
      <c r="C459" s="271" t="str">
        <f>VLOOKUP(B459,Orgenheter!$A$1:$B$213,2,0)</f>
        <v>Inst för språkstudier</v>
      </c>
    </row>
    <row r="460" spans="1:3" x14ac:dyDescent="0.25">
      <c r="A460" s="271" t="s">
        <v>129</v>
      </c>
      <c r="B460" s="271">
        <v>2180</v>
      </c>
      <c r="C460" s="271" t="str">
        <f>VLOOKUP(B460,Orgenheter!$A$1:$B$213,2,0)</f>
        <v xml:space="preserve">Pedagogik                     </v>
      </c>
    </row>
    <row r="461" spans="1:3" x14ac:dyDescent="0.25">
      <c r="A461" s="271" t="s">
        <v>334</v>
      </c>
      <c r="B461" s="271">
        <v>2180</v>
      </c>
      <c r="C461" s="271" t="str">
        <f>VLOOKUP(B461,Orgenheter!$A$1:$B$213,2,0)</f>
        <v xml:space="preserve">Pedagogik                     </v>
      </c>
    </row>
    <row r="462" spans="1:3" x14ac:dyDescent="0.25">
      <c r="A462" s="271" t="s">
        <v>121</v>
      </c>
      <c r="B462" s="271">
        <v>2193</v>
      </c>
      <c r="C462" s="271" t="str">
        <f>VLOOKUP(B462,Orgenheter!$A$1:$B$213,2,0)</f>
        <v xml:space="preserve">TUV </v>
      </c>
    </row>
    <row r="463" spans="1:3" x14ac:dyDescent="0.25">
      <c r="A463" s="277" t="s">
        <v>393</v>
      </c>
      <c r="B463" s="271">
        <v>5740</v>
      </c>
      <c r="C463" s="271" t="str">
        <f>VLOOKUP(B463,Orgenheter!$A$1:$B$213,2,0)</f>
        <v>NMD</v>
      </c>
    </row>
    <row r="464" spans="1:3" x14ac:dyDescent="0.25">
      <c r="A464" s="277" t="s">
        <v>369</v>
      </c>
      <c r="B464" s="271">
        <v>5740</v>
      </c>
      <c r="C464" s="271" t="str">
        <f>VLOOKUP(B464,Orgenheter!$A$1:$B$213,2,0)</f>
        <v>NMD</v>
      </c>
    </row>
    <row r="465" spans="1:3" x14ac:dyDescent="0.25">
      <c r="A465" s="277" t="s">
        <v>720</v>
      </c>
      <c r="B465" s="271">
        <v>2193</v>
      </c>
      <c r="C465" s="271" t="str">
        <f>VLOOKUP(B465,Orgenheter!$A$1:$B$213,2,0)</f>
        <v xml:space="preserve">TUV </v>
      </c>
    </row>
    <row r="466" spans="1:3" x14ac:dyDescent="0.25">
      <c r="A466" s="296" t="s">
        <v>370</v>
      </c>
      <c r="B466" s="271">
        <v>2180</v>
      </c>
      <c r="C466" s="271" t="str">
        <f>VLOOKUP(B466,Orgenheter!$A$1:$B$213,2,0)</f>
        <v xml:space="preserve">Pedagogik                     </v>
      </c>
    </row>
    <row r="467" spans="1:3" x14ac:dyDescent="0.25">
      <c r="A467" s="271" t="s">
        <v>593</v>
      </c>
      <c r="B467" s="271">
        <v>2193</v>
      </c>
      <c r="C467" s="271" t="str">
        <f>VLOOKUP(B467,Orgenheter!$A$1:$B$213,2,0)</f>
        <v xml:space="preserve">TUV </v>
      </c>
    </row>
    <row r="468" spans="1:3" x14ac:dyDescent="0.25">
      <c r="A468" s="271" t="s">
        <v>481</v>
      </c>
      <c r="B468" s="271">
        <v>2193</v>
      </c>
      <c r="C468" s="271" t="str">
        <f>VLOOKUP(B468,Orgenheter!$A$1:$B$213,2,0)</f>
        <v xml:space="preserve">TUV </v>
      </c>
    </row>
    <row r="469" spans="1:3" ht="12.95" customHeight="1" x14ac:dyDescent="0.25">
      <c r="A469" s="275" t="s">
        <v>502</v>
      </c>
      <c r="B469" s="273">
        <v>2193</v>
      </c>
      <c r="C469" s="271" t="str">
        <f>VLOOKUP(B469,Orgenheter!$A$1:$B$213,2,0)</f>
        <v xml:space="preserve">TUV </v>
      </c>
    </row>
    <row r="470" spans="1:3" ht="15.75" x14ac:dyDescent="0.25">
      <c r="A470" s="275" t="s">
        <v>594</v>
      </c>
      <c r="B470" s="333">
        <v>2193</v>
      </c>
      <c r="C470" s="271" t="str">
        <f>VLOOKUP(B470,Orgenheter!$A$1:$B$213,2,0)</f>
        <v xml:space="preserve">TUV </v>
      </c>
    </row>
    <row r="471" spans="1:3" ht="15.75" x14ac:dyDescent="0.25">
      <c r="A471" s="275" t="s">
        <v>503</v>
      </c>
      <c r="B471" s="273">
        <v>2193</v>
      </c>
      <c r="C471" s="271" t="str">
        <f>VLOOKUP(B471,Orgenheter!$A$1:$B$213,2,0)</f>
        <v xml:space="preserve">TUV </v>
      </c>
    </row>
    <row r="472" spans="1:3" ht="15.75" x14ac:dyDescent="0.25">
      <c r="A472" s="275" t="s">
        <v>595</v>
      </c>
      <c r="B472" s="333">
        <v>2193</v>
      </c>
      <c r="C472" s="271" t="str">
        <f>VLOOKUP(B472,Orgenheter!$A$1:$B$213,2,0)</f>
        <v xml:space="preserve">TUV </v>
      </c>
    </row>
    <row r="473" spans="1:3" ht="15.75" x14ac:dyDescent="0.25">
      <c r="A473" s="275" t="s">
        <v>596</v>
      </c>
      <c r="B473" s="333">
        <v>2193</v>
      </c>
      <c r="C473" s="271" t="str">
        <f>VLOOKUP(B473,Orgenheter!$A$1:$B$213,2,0)</f>
        <v xml:space="preserve">TUV </v>
      </c>
    </row>
    <row r="474" spans="1:3" ht="15.75" x14ac:dyDescent="0.25">
      <c r="A474" s="275" t="s">
        <v>597</v>
      </c>
      <c r="B474" s="333">
        <v>2193</v>
      </c>
      <c r="C474" s="271" t="str">
        <f>VLOOKUP(B474,Orgenheter!$A$1:$B$213,2,0)</f>
        <v xml:space="preserve">TUV </v>
      </c>
    </row>
    <row r="475" spans="1:3" ht="15.75" x14ac:dyDescent="0.25">
      <c r="A475" s="275" t="s">
        <v>869</v>
      </c>
      <c r="B475" s="333">
        <v>2193</v>
      </c>
      <c r="C475" s="271" t="str">
        <f>VLOOKUP(B475,Orgenheter!$A$1:$B$213,2,0)</f>
        <v xml:space="preserve">TUV </v>
      </c>
    </row>
    <row r="476" spans="1:3" ht="15.75" x14ac:dyDescent="0.25">
      <c r="A476" s="275" t="s">
        <v>870</v>
      </c>
      <c r="B476" s="333">
        <v>2193</v>
      </c>
      <c r="C476" s="271" t="str">
        <f>VLOOKUP(B476,Orgenheter!$A$1:$B$213,2,0)</f>
        <v xml:space="preserve">TUV </v>
      </c>
    </row>
    <row r="477" spans="1:3" ht="12.95" customHeight="1" x14ac:dyDescent="0.25">
      <c r="A477" s="275" t="s">
        <v>871</v>
      </c>
      <c r="B477" s="333">
        <v>2193</v>
      </c>
      <c r="C477" s="271" t="str">
        <f>VLOOKUP(B477,Orgenheter!$A$1:$B$213,2,0)</f>
        <v xml:space="preserve">TUV </v>
      </c>
    </row>
    <row r="478" spans="1:3" ht="15.75" x14ac:dyDescent="0.25">
      <c r="A478" s="275" t="s">
        <v>872</v>
      </c>
      <c r="B478" s="333">
        <v>2193</v>
      </c>
      <c r="C478" s="271" t="str">
        <f>VLOOKUP(B478,Orgenheter!$A$1:$B$213,2,0)</f>
        <v xml:space="preserve">TUV </v>
      </c>
    </row>
    <row r="479" spans="1:3" ht="15.75" x14ac:dyDescent="0.25">
      <c r="A479" s="275" t="s">
        <v>873</v>
      </c>
      <c r="B479" s="333">
        <v>2193</v>
      </c>
      <c r="C479" s="271" t="str">
        <f>VLOOKUP(B479,Orgenheter!$A$1:$B$213,2,0)</f>
        <v xml:space="preserve">TUV </v>
      </c>
    </row>
    <row r="480" spans="1:3" ht="15.75" x14ac:dyDescent="0.25">
      <c r="A480" s="275" t="s">
        <v>504</v>
      </c>
      <c r="B480" s="273">
        <v>2193</v>
      </c>
      <c r="C480" s="271" t="str">
        <f>VLOOKUP(B480,Orgenheter!$A$1:$B$213,2,0)</f>
        <v xml:space="preserve">TUV </v>
      </c>
    </row>
    <row r="481" spans="1:3" ht="15.75" x14ac:dyDescent="0.25">
      <c r="A481" s="275" t="s">
        <v>505</v>
      </c>
      <c r="B481" s="273">
        <v>2193</v>
      </c>
      <c r="C481" s="271" t="str">
        <f>VLOOKUP(B481,Orgenheter!$A$1:$B$213,2,0)</f>
        <v xml:space="preserve">TUV </v>
      </c>
    </row>
    <row r="482" spans="1:3" ht="12.95" customHeight="1" x14ac:dyDescent="0.25">
      <c r="A482" s="275" t="s">
        <v>506</v>
      </c>
      <c r="B482" s="273">
        <v>2193</v>
      </c>
      <c r="C482" s="271" t="str">
        <f>VLOOKUP(B482,Orgenheter!$A$1:$B$213,2,0)</f>
        <v xml:space="preserve">TUV </v>
      </c>
    </row>
    <row r="483" spans="1:3" ht="15.75" x14ac:dyDescent="0.25">
      <c r="A483" s="275" t="s">
        <v>507</v>
      </c>
      <c r="B483" s="273">
        <v>2193</v>
      </c>
      <c r="C483" s="271" t="str">
        <f>VLOOKUP(B483,Orgenheter!$A$1:$B$213,2,0)</f>
        <v xml:space="preserve">TUV </v>
      </c>
    </row>
    <row r="484" spans="1:3" ht="15.75" x14ac:dyDescent="0.25">
      <c r="A484" s="275" t="s">
        <v>508</v>
      </c>
      <c r="B484" s="273">
        <v>2193</v>
      </c>
      <c r="C484" s="271" t="str">
        <f>VLOOKUP(B484,Orgenheter!$A$1:$B$213,2,0)</f>
        <v xml:space="preserve">TUV </v>
      </c>
    </row>
    <row r="485" spans="1:3" ht="15.75" x14ac:dyDescent="0.25">
      <c r="A485" s="275" t="s">
        <v>509</v>
      </c>
      <c r="B485" s="273">
        <v>2193</v>
      </c>
      <c r="C485" s="271" t="str">
        <f>VLOOKUP(B485,Orgenheter!$A$1:$B$213,2,0)</f>
        <v xml:space="preserve">TUV </v>
      </c>
    </row>
    <row r="486" spans="1:3" ht="15.75" x14ac:dyDescent="0.25">
      <c r="A486" s="275" t="s">
        <v>598</v>
      </c>
      <c r="B486" s="333">
        <v>2193</v>
      </c>
      <c r="C486" s="271" t="str">
        <f>VLOOKUP(B486,Orgenheter!$A$1:$B$213,2,0)</f>
        <v xml:space="preserve">TUV </v>
      </c>
    </row>
    <row r="487" spans="1:3" ht="15.75" x14ac:dyDescent="0.25">
      <c r="A487" s="275" t="s">
        <v>599</v>
      </c>
      <c r="B487" s="333">
        <v>2193</v>
      </c>
      <c r="C487" s="271" t="str">
        <f>VLOOKUP(B487,Orgenheter!$A$1:$B$213,2,0)</f>
        <v xml:space="preserve">TUV </v>
      </c>
    </row>
    <row r="488" spans="1:3" ht="15.75" x14ac:dyDescent="0.25">
      <c r="A488" s="384" t="s">
        <v>874</v>
      </c>
      <c r="B488" s="333">
        <v>2193</v>
      </c>
      <c r="C488" s="271" t="str">
        <f>VLOOKUP(B488,Orgenheter!$A$1:$B$213,2,0)</f>
        <v xml:space="preserve">TUV </v>
      </c>
    </row>
    <row r="489" spans="1:3" ht="15.75" x14ac:dyDescent="0.25">
      <c r="A489" s="275" t="s">
        <v>875</v>
      </c>
      <c r="B489" s="333">
        <v>2193</v>
      </c>
      <c r="C489" s="271" t="str">
        <f>VLOOKUP(B489,Orgenheter!$A$1:$B$213,2,0)</f>
        <v xml:space="preserve">TUV </v>
      </c>
    </row>
    <row r="490" spans="1:3" ht="15.75" x14ac:dyDescent="0.25">
      <c r="A490" s="275" t="s">
        <v>1071</v>
      </c>
      <c r="B490" s="271">
        <v>2193</v>
      </c>
      <c r="C490" s="271" t="str">
        <f>VLOOKUP(B490,Orgenheter!$A$1:$B$213,2,0)</f>
        <v xml:space="preserve">TUV </v>
      </c>
    </row>
    <row r="491" spans="1:3" x14ac:dyDescent="0.25">
      <c r="A491" s="333" t="s">
        <v>637</v>
      </c>
      <c r="B491" s="271">
        <v>2180</v>
      </c>
      <c r="C491" s="271" t="str">
        <f>VLOOKUP(B491,Orgenheter!$A$1:$B$213,2,0)</f>
        <v xml:space="preserve">Pedagogik                     </v>
      </c>
    </row>
    <row r="492" spans="1:3" x14ac:dyDescent="0.25">
      <c r="A492" s="333" t="s">
        <v>632</v>
      </c>
      <c r="B492" s="271">
        <v>2180</v>
      </c>
      <c r="C492" s="271" t="str">
        <f>VLOOKUP(B492,Orgenheter!$A$1:$B$213,2,0)</f>
        <v xml:space="preserve">Pedagogik                     </v>
      </c>
    </row>
    <row r="493" spans="1:3" ht="15.75" x14ac:dyDescent="0.25">
      <c r="A493" s="275" t="s">
        <v>633</v>
      </c>
      <c r="B493" s="271">
        <v>2180</v>
      </c>
      <c r="C493" s="271" t="str">
        <f>VLOOKUP(B493,Orgenheter!$A$1:$B$213,2,0)</f>
        <v xml:space="preserve">Pedagogik                     </v>
      </c>
    </row>
    <row r="494" spans="1:3" x14ac:dyDescent="0.25">
      <c r="A494" s="333" t="s">
        <v>826</v>
      </c>
      <c r="B494" s="271">
        <v>2180</v>
      </c>
      <c r="C494" s="271" t="str">
        <f>VLOOKUP(B494,Orgenheter!$A$1:$B$213,2,0)</f>
        <v xml:space="preserve">Pedagogik                     </v>
      </c>
    </row>
    <row r="495" spans="1:3" x14ac:dyDescent="0.25">
      <c r="A495" s="333" t="s">
        <v>814</v>
      </c>
      <c r="B495" s="271">
        <v>5740</v>
      </c>
      <c r="C495" s="271" t="str">
        <f>VLOOKUP(B495,Orgenheter!$A$1:$B$213,2,0)</f>
        <v>NMD</v>
      </c>
    </row>
    <row r="496" spans="1:3" x14ac:dyDescent="0.25">
      <c r="A496" s="333" t="s">
        <v>815</v>
      </c>
      <c r="B496" s="271">
        <v>5740</v>
      </c>
      <c r="C496" s="271" t="str">
        <f>VLOOKUP(B496,Orgenheter!$A$1:$B$213,2,0)</f>
        <v>NMD</v>
      </c>
    </row>
    <row r="497" spans="1:3" x14ac:dyDescent="0.25">
      <c r="A497" s="333" t="s">
        <v>967</v>
      </c>
      <c r="B497" s="271">
        <v>2193</v>
      </c>
      <c r="C497" s="271" t="str">
        <f>VLOOKUP(B497,Orgenheter!$A$1:$B$213,2,0)</f>
        <v xml:space="preserve">TUV </v>
      </c>
    </row>
    <row r="498" spans="1:3" x14ac:dyDescent="0.25">
      <c r="A498" s="297" t="s">
        <v>911</v>
      </c>
      <c r="B498" s="271">
        <v>2193</v>
      </c>
      <c r="C498" s="271" t="str">
        <f>VLOOKUP(B498,Orgenheter!$A$1:$B$213,2,0)</f>
        <v xml:space="preserve">TUV </v>
      </c>
    </row>
    <row r="499" spans="1:3" x14ac:dyDescent="0.25">
      <c r="A499" s="297" t="s">
        <v>912</v>
      </c>
      <c r="B499" s="271">
        <v>2193</v>
      </c>
      <c r="C499" s="271" t="str">
        <f>VLOOKUP(B499,Orgenheter!$A$1:$B$213,2,0)</f>
        <v xml:space="preserve">TUV </v>
      </c>
    </row>
    <row r="500" spans="1:3" x14ac:dyDescent="0.25">
      <c r="A500" s="297" t="s">
        <v>937</v>
      </c>
      <c r="B500" s="271">
        <v>2180</v>
      </c>
      <c r="C500" s="271" t="str">
        <f>VLOOKUP(B500,Orgenheter!$A$1:$B$213,2,0)</f>
        <v xml:space="preserve">Pedagogik                     </v>
      </c>
    </row>
    <row r="501" spans="1:3" x14ac:dyDescent="0.25">
      <c r="A501" s="297" t="s">
        <v>1088</v>
      </c>
      <c r="B501" s="271">
        <v>2193</v>
      </c>
      <c r="C501" s="271" t="str">
        <f>VLOOKUP(B501,Orgenheter!$A$1:$B$213,2,0)</f>
        <v xml:space="preserve">TUV </v>
      </c>
    </row>
    <row r="502" spans="1:3" x14ac:dyDescent="0.25">
      <c r="A502" s="297" t="s">
        <v>968</v>
      </c>
      <c r="B502" s="271">
        <v>2193</v>
      </c>
      <c r="C502" s="271" t="str">
        <f>VLOOKUP(B502,Orgenheter!$A$1:$B$213,2,0)</f>
        <v xml:space="preserve">TUV </v>
      </c>
    </row>
    <row r="503" spans="1:3" x14ac:dyDescent="0.25">
      <c r="A503" s="297" t="s">
        <v>969</v>
      </c>
      <c r="B503" s="271">
        <v>2193</v>
      </c>
      <c r="C503" s="271" t="str">
        <f>VLOOKUP(B503,Orgenheter!$A$1:$B$213,2,0)</f>
        <v xml:space="preserve">TUV </v>
      </c>
    </row>
    <row r="504" spans="1:3" x14ac:dyDescent="0.25">
      <c r="A504" s="297" t="s">
        <v>976</v>
      </c>
      <c r="B504" s="271">
        <v>5740</v>
      </c>
      <c r="C504" s="271" t="str">
        <f>VLOOKUP(B504,Orgenheter!$A$1:$B$213,2,0)</f>
        <v>NMD</v>
      </c>
    </row>
    <row r="505" spans="1:3" x14ac:dyDescent="0.25">
      <c r="A505" s="297" t="s">
        <v>975</v>
      </c>
      <c r="B505" s="271">
        <v>5740</v>
      </c>
      <c r="C505" s="271" t="str">
        <f>VLOOKUP(B505,Orgenheter!$A$1:$B$213,2,0)</f>
        <v>NMD</v>
      </c>
    </row>
    <row r="506" spans="1:3" x14ac:dyDescent="0.25">
      <c r="A506" s="297" t="s">
        <v>970</v>
      </c>
      <c r="B506" s="271">
        <v>2180</v>
      </c>
      <c r="C506" s="271" t="str">
        <f>VLOOKUP(B506,Orgenheter!$A$1:$B$213,2,0)</f>
        <v xml:space="preserve">Pedagogik                     </v>
      </c>
    </row>
    <row r="507" spans="1:3" x14ac:dyDescent="0.25">
      <c r="A507" s="297" t="s">
        <v>1105</v>
      </c>
      <c r="B507" s="271">
        <v>2180</v>
      </c>
      <c r="C507" s="271" t="str">
        <f>VLOOKUP(B507,Orgenheter!$A$1:$B$213,2,0)</f>
        <v xml:space="preserve">Pedagogik                     </v>
      </c>
    </row>
    <row r="508" spans="1:3" ht="12.95" customHeight="1" x14ac:dyDescent="0.25">
      <c r="A508" s="271" t="s">
        <v>989</v>
      </c>
      <c r="B508" s="271">
        <v>5740</v>
      </c>
      <c r="C508" s="271" t="str">
        <f>VLOOKUP(B508,Orgenheter!$A$1:$B$213,2,0)</f>
        <v>NMD</v>
      </c>
    </row>
    <row r="509" spans="1:3" ht="12.95" customHeight="1" x14ac:dyDescent="0.25">
      <c r="A509" s="336" t="s">
        <v>1039</v>
      </c>
      <c r="B509" s="271">
        <v>5740</v>
      </c>
      <c r="C509" s="271" t="str">
        <f>VLOOKUP(B509,Orgenheter!$A$1:$B$213,2,0)</f>
        <v>NMD</v>
      </c>
    </row>
    <row r="510" spans="1:3" ht="12.95" customHeight="1" x14ac:dyDescent="0.25">
      <c r="A510" s="336" t="s">
        <v>1040</v>
      </c>
      <c r="B510" s="271">
        <v>5740</v>
      </c>
      <c r="C510" s="271" t="str">
        <f>VLOOKUP(B510,Orgenheter!$A$1:$B$213,2,0)</f>
        <v>NMD</v>
      </c>
    </row>
    <row r="511" spans="1:3" ht="12.95" customHeight="1" x14ac:dyDescent="0.25">
      <c r="A511" s="337" t="s">
        <v>984</v>
      </c>
      <c r="B511" s="271">
        <v>5740</v>
      </c>
      <c r="C511" s="271" t="str">
        <f>VLOOKUP(B511,Orgenheter!$A$1:$B$213,2,0)</f>
        <v>NMD</v>
      </c>
    </row>
    <row r="512" spans="1:3" ht="12.95" customHeight="1" x14ac:dyDescent="0.25">
      <c r="A512" s="337" t="s">
        <v>987</v>
      </c>
      <c r="B512" s="271">
        <v>5740</v>
      </c>
      <c r="C512" s="271" t="str">
        <f>VLOOKUP(B512,Orgenheter!$A$1:$B$213,2,0)</f>
        <v>NMD</v>
      </c>
    </row>
    <row r="513" spans="1:3" ht="12.95" customHeight="1" x14ac:dyDescent="0.25">
      <c r="A513" s="337" t="s">
        <v>998</v>
      </c>
      <c r="B513" s="271">
        <v>2193</v>
      </c>
      <c r="C513" s="271" t="str">
        <f>VLOOKUP(B513,Orgenheter!$A$1:$B$213,2,0)</f>
        <v xml:space="preserve">TUV </v>
      </c>
    </row>
    <row r="514" spans="1:3" ht="12.95" customHeight="1" x14ac:dyDescent="0.25">
      <c r="A514" s="337" t="s">
        <v>999</v>
      </c>
      <c r="B514" s="271">
        <v>2193</v>
      </c>
      <c r="C514" s="271" t="str">
        <f>VLOOKUP(B514,Orgenheter!$A$1:$B$213,2,0)</f>
        <v xml:space="preserve">TUV </v>
      </c>
    </row>
    <row r="515" spans="1:3" ht="12.95" customHeight="1" x14ac:dyDescent="0.25">
      <c r="A515" s="337" t="s">
        <v>1000</v>
      </c>
      <c r="B515" s="271">
        <v>2180</v>
      </c>
      <c r="C515" s="271" t="str">
        <f>VLOOKUP(B515,Orgenheter!$A$1:$B$213,2,0)</f>
        <v xml:space="preserve">Pedagogik                     </v>
      </c>
    </row>
    <row r="516" spans="1:3" ht="12.95" customHeight="1" x14ac:dyDescent="0.25">
      <c r="A516" s="337" t="s">
        <v>1001</v>
      </c>
      <c r="B516" s="271">
        <v>2180</v>
      </c>
      <c r="C516" s="271" t="str">
        <f>VLOOKUP(B516,Orgenheter!$A$1:$B$213,2,0)</f>
        <v xml:space="preserve">Pedagogik                     </v>
      </c>
    </row>
    <row r="517" spans="1:3" ht="12.95" customHeight="1" x14ac:dyDescent="0.25">
      <c r="A517" s="289" t="s">
        <v>1263</v>
      </c>
      <c r="B517" s="271">
        <v>5740</v>
      </c>
      <c r="C517" s="271" t="str">
        <f>VLOOKUP(B517,Orgenheter!$A$1:$B$213,2,0)</f>
        <v>NMD</v>
      </c>
    </row>
    <row r="518" spans="1:3" ht="12.95" customHeight="1" x14ac:dyDescent="0.25">
      <c r="A518" s="275" t="s">
        <v>1319</v>
      </c>
      <c r="B518" s="273">
        <v>5740</v>
      </c>
      <c r="C518" s="271" t="str">
        <f>VLOOKUP(B518,Orgenheter!$A$1:$B$213,2,0)</f>
        <v>NMD</v>
      </c>
    </row>
    <row r="519" spans="1:3" ht="12.95" customHeight="1" x14ac:dyDescent="0.25">
      <c r="A519" s="275" t="s">
        <v>1320</v>
      </c>
      <c r="B519" s="273">
        <v>5740</v>
      </c>
      <c r="C519" s="271" t="str">
        <f>VLOOKUP(B519,Orgenheter!$A$1:$B$213,2,0)</f>
        <v>NMD</v>
      </c>
    </row>
    <row r="520" spans="1:3" ht="12.95" customHeight="1" x14ac:dyDescent="0.25">
      <c r="A520" s="275" t="s">
        <v>1321</v>
      </c>
      <c r="B520" s="273">
        <v>5740</v>
      </c>
      <c r="C520" s="271" t="str">
        <f>VLOOKUP(B520,Orgenheter!$A$1:$B$213,2,0)</f>
        <v>NMD</v>
      </c>
    </row>
    <row r="521" spans="1:3" ht="12.95" customHeight="1" x14ac:dyDescent="0.25">
      <c r="A521" s="275" t="s">
        <v>1322</v>
      </c>
      <c r="B521" s="273">
        <v>5740</v>
      </c>
      <c r="C521" s="271" t="str">
        <f>VLOOKUP(B521,Orgenheter!$A$1:$B$213,2,0)</f>
        <v>NMD</v>
      </c>
    </row>
    <row r="522" spans="1:3" ht="12.95" customHeight="1" x14ac:dyDescent="0.25">
      <c r="A522" s="275" t="s">
        <v>1323</v>
      </c>
      <c r="B522" s="273">
        <v>5740</v>
      </c>
      <c r="C522" s="271" t="str">
        <f>VLOOKUP(B522,Orgenheter!$A$1:$B$213,2,0)</f>
        <v>NMD</v>
      </c>
    </row>
    <row r="523" spans="1:3" ht="12.95" customHeight="1" x14ac:dyDescent="0.25">
      <c r="A523" s="275" t="s">
        <v>1324</v>
      </c>
      <c r="B523" s="273">
        <v>5740</v>
      </c>
      <c r="C523" s="271" t="str">
        <f>VLOOKUP(B523,Orgenheter!$A$1:$B$213,2,0)</f>
        <v>NMD</v>
      </c>
    </row>
    <row r="524" spans="1:3" ht="12.95" customHeight="1" x14ac:dyDescent="0.25">
      <c r="A524" s="275" t="s">
        <v>1325</v>
      </c>
      <c r="B524" s="273">
        <v>5740</v>
      </c>
      <c r="C524" s="271" t="str">
        <f>VLOOKUP(B524,Orgenheter!$A$1:$B$213,2,0)</f>
        <v>NMD</v>
      </c>
    </row>
    <row r="525" spans="1:3" ht="12.95" customHeight="1" x14ac:dyDescent="0.25">
      <c r="A525" s="275" t="s">
        <v>1326</v>
      </c>
      <c r="B525" s="273">
        <v>5740</v>
      </c>
      <c r="C525" s="271" t="str">
        <f>VLOOKUP(B525,Orgenheter!$A$1:$B$213,2,0)</f>
        <v>NMD</v>
      </c>
    </row>
    <row r="526" spans="1:3" ht="12.95" customHeight="1" x14ac:dyDescent="0.25">
      <c r="A526" s="275" t="s">
        <v>1327</v>
      </c>
      <c r="B526" s="273">
        <v>5740</v>
      </c>
      <c r="C526" s="271" t="str">
        <f>VLOOKUP(B526,Orgenheter!$A$1:$B$213,2,0)</f>
        <v>NMD</v>
      </c>
    </row>
    <row r="527" spans="1:3" ht="12.95" customHeight="1" x14ac:dyDescent="0.25">
      <c r="A527" s="275" t="s">
        <v>1099</v>
      </c>
      <c r="B527" s="273">
        <v>2193</v>
      </c>
      <c r="C527" s="271" t="str">
        <f>VLOOKUP(B527,Orgenheter!$A$1:$B$213,2,0)</f>
        <v xml:space="preserve">TUV </v>
      </c>
    </row>
    <row r="528" spans="1:3" ht="12.95" customHeight="1" x14ac:dyDescent="0.25">
      <c r="A528" s="275" t="s">
        <v>1102</v>
      </c>
      <c r="B528" s="273">
        <v>2180</v>
      </c>
      <c r="C528" s="271" t="str">
        <f>VLOOKUP(B528,Orgenheter!$A$1:$B$213,2,0)</f>
        <v xml:space="preserve">Pedagogik                     </v>
      </c>
    </row>
    <row r="529" spans="1:3" ht="12.95" customHeight="1" x14ac:dyDescent="0.25">
      <c r="A529" s="275" t="s">
        <v>1100</v>
      </c>
      <c r="B529" s="273">
        <v>5740</v>
      </c>
      <c r="C529" s="271" t="str">
        <f>VLOOKUP(B529,Orgenheter!$A$1:$B$213,2,0)</f>
        <v>NMD</v>
      </c>
    </row>
    <row r="530" spans="1:3" ht="12.95" customHeight="1" x14ac:dyDescent="0.25">
      <c r="A530" s="275" t="s">
        <v>1101</v>
      </c>
      <c r="B530" s="273">
        <v>5740</v>
      </c>
      <c r="C530" s="271" t="str">
        <f>VLOOKUP(B530,Orgenheter!$A$1:$B$213,2,0)</f>
        <v>NMD</v>
      </c>
    </row>
    <row r="531" spans="1:3" ht="12.95" customHeight="1" x14ac:dyDescent="0.25">
      <c r="A531" s="275" t="s">
        <v>1115</v>
      </c>
      <c r="B531" s="273">
        <v>5740</v>
      </c>
      <c r="C531" s="271" t="str">
        <f>VLOOKUP(B531,Orgenheter!$A$1:$B$213,2,0)</f>
        <v>NMD</v>
      </c>
    </row>
    <row r="532" spans="1:3" ht="12.95" customHeight="1" x14ac:dyDescent="0.25">
      <c r="A532" s="275" t="s">
        <v>1103</v>
      </c>
      <c r="B532" s="273">
        <v>2193</v>
      </c>
      <c r="C532" s="271" t="str">
        <f>VLOOKUP(B532,Orgenheter!$A$1:$B$213,2,0)</f>
        <v xml:space="preserve">TUV </v>
      </c>
    </row>
    <row r="533" spans="1:3" ht="12.95" customHeight="1" x14ac:dyDescent="0.25">
      <c r="A533" s="275" t="s">
        <v>1403</v>
      </c>
      <c r="B533" s="333">
        <v>2193</v>
      </c>
      <c r="C533" s="271" t="str">
        <f>VLOOKUP(B533,Orgenheter!$A$1:$B$213,2,0)</f>
        <v xml:space="preserve">TUV </v>
      </c>
    </row>
    <row r="534" spans="1:3" ht="12.95" customHeight="1" x14ac:dyDescent="0.25">
      <c r="A534" s="275" t="s">
        <v>1404</v>
      </c>
      <c r="B534" s="333">
        <v>2193</v>
      </c>
      <c r="C534" s="271" t="str">
        <f>VLOOKUP(B534,Orgenheter!$A$1:$B$213,2,0)</f>
        <v xml:space="preserve">TUV </v>
      </c>
    </row>
    <row r="535" spans="1:3" ht="12.95" customHeight="1" x14ac:dyDescent="0.25">
      <c r="A535" s="275" t="s">
        <v>1405</v>
      </c>
      <c r="B535" s="333">
        <v>2193</v>
      </c>
      <c r="C535" s="271" t="str">
        <f>VLOOKUP(B535,Orgenheter!$A$1:$B$213,2,0)</f>
        <v xml:space="preserve">TUV </v>
      </c>
    </row>
    <row r="536" spans="1:3" ht="12.95" customHeight="1" x14ac:dyDescent="0.25">
      <c r="A536" s="275" t="s">
        <v>1406</v>
      </c>
      <c r="B536" s="333">
        <v>2180</v>
      </c>
      <c r="C536" s="271" t="str">
        <f>VLOOKUP(B536,Orgenheter!$A$1:$B$213,2,0)</f>
        <v xml:space="preserve">Pedagogik                     </v>
      </c>
    </row>
    <row r="537" spans="1:3" ht="12.95" customHeight="1" x14ac:dyDescent="0.25">
      <c r="A537" s="275" t="s">
        <v>1407</v>
      </c>
      <c r="B537" s="333">
        <v>2180</v>
      </c>
      <c r="C537" s="271" t="str">
        <f>VLOOKUP(B537,Orgenheter!$A$1:$B$213,2,0)</f>
        <v xml:space="preserve">Pedagogik                     </v>
      </c>
    </row>
    <row r="538" spans="1:3" ht="12.95" customHeight="1" x14ac:dyDescent="0.25">
      <c r="A538" s="275" t="s">
        <v>1413</v>
      </c>
      <c r="B538" s="333">
        <v>2180</v>
      </c>
      <c r="C538" s="271" t="str">
        <f>VLOOKUP(B538,Orgenheter!$A$1:$B$213,2,0)</f>
        <v xml:space="preserve">Pedagogik                     </v>
      </c>
    </row>
    <row r="539" spans="1:3" ht="12.95" customHeight="1" x14ac:dyDescent="0.25">
      <c r="A539" s="332" t="s">
        <v>1122</v>
      </c>
      <c r="B539" s="277">
        <v>5740</v>
      </c>
      <c r="C539" s="271" t="str">
        <f>VLOOKUP(B539,Orgenheter!$A$1:$B$213,2,0)</f>
        <v>NMD</v>
      </c>
    </row>
    <row r="540" spans="1:3" ht="15" customHeight="1" x14ac:dyDescent="0.25">
      <c r="A540" s="338" t="s">
        <v>1141</v>
      </c>
      <c r="B540" s="271">
        <v>2193</v>
      </c>
      <c r="C540" s="271" t="str">
        <f>VLOOKUP(B540,Orgenheter!$A$1:$B$213,2,0)</f>
        <v xml:space="preserve">TUV </v>
      </c>
    </row>
    <row r="541" spans="1:3" ht="15" customHeight="1" x14ac:dyDescent="0.25">
      <c r="A541" s="338" t="s">
        <v>1142</v>
      </c>
      <c r="B541" s="271">
        <v>2193</v>
      </c>
      <c r="C541" s="271" t="str">
        <f>VLOOKUP(B541,Orgenheter!$A$1:$B$213,2,0)</f>
        <v xml:space="preserve">TUV </v>
      </c>
    </row>
    <row r="542" spans="1:3" ht="15" customHeight="1" x14ac:dyDescent="0.25">
      <c r="A542" s="328" t="s">
        <v>1279</v>
      </c>
      <c r="B542" s="271">
        <v>2180</v>
      </c>
      <c r="C542" s="271" t="str">
        <f>VLOOKUP(B542,Orgenheter!$A$1:$B$213,2,0)</f>
        <v xml:space="preserve">Pedagogik                     </v>
      </c>
    </row>
    <row r="543" spans="1:3" ht="15" customHeight="1" x14ac:dyDescent="0.25">
      <c r="A543" s="328" t="s">
        <v>1280</v>
      </c>
      <c r="B543" s="271">
        <v>2180</v>
      </c>
      <c r="C543" s="271" t="str">
        <f>VLOOKUP(B543,Orgenheter!$A$1:$B$213,2,0)</f>
        <v xml:space="preserve">Pedagogik                     </v>
      </c>
    </row>
    <row r="544" spans="1:3" ht="15" customHeight="1" x14ac:dyDescent="0.25">
      <c r="A544" s="328" t="s">
        <v>1277</v>
      </c>
      <c r="B544" s="271">
        <v>2180</v>
      </c>
      <c r="C544" s="271" t="str">
        <f>VLOOKUP(B544,Orgenheter!$A$1:$B$213,2,0)</f>
        <v xml:space="preserve">Pedagogik                     </v>
      </c>
    </row>
    <row r="545" spans="1:3" ht="15" customHeight="1" x14ac:dyDescent="0.25">
      <c r="A545" s="328" t="s">
        <v>1278</v>
      </c>
      <c r="B545" s="271">
        <v>5740</v>
      </c>
      <c r="C545" s="271" t="str">
        <f>VLOOKUP(B545,Orgenheter!$A$1:$B$213,2,0)</f>
        <v>NMD</v>
      </c>
    </row>
    <row r="546" spans="1:3" ht="15" customHeight="1" x14ac:dyDescent="0.25">
      <c r="A546" s="328" t="s">
        <v>1328</v>
      </c>
      <c r="B546" s="271">
        <v>2193</v>
      </c>
      <c r="C546" s="271" t="str">
        <f>VLOOKUP(B546,Orgenheter!$A$1:$B$213,2,0)</f>
        <v xml:space="preserve">TUV </v>
      </c>
    </row>
    <row r="547" spans="1:3" ht="15" customHeight="1" x14ac:dyDescent="0.25">
      <c r="A547" s="328" t="s">
        <v>1330</v>
      </c>
      <c r="B547" s="271">
        <v>2193</v>
      </c>
      <c r="C547" s="271" t="str">
        <f>VLOOKUP(B547,Orgenheter!$A$1:$B$213,2,0)</f>
        <v xml:space="preserve">TUV </v>
      </c>
    </row>
    <row r="548" spans="1:3" ht="15" customHeight="1" x14ac:dyDescent="0.25">
      <c r="A548" s="328" t="s">
        <v>1362</v>
      </c>
      <c r="B548" s="271">
        <v>2180</v>
      </c>
      <c r="C548" s="271" t="str">
        <f>VLOOKUP(B548,Orgenheter!$A$1:$B$213,2,0)</f>
        <v xml:space="preserve">Pedagogik                     </v>
      </c>
    </row>
    <row r="549" spans="1:3" ht="15" customHeight="1" x14ac:dyDescent="0.25">
      <c r="A549" s="328" t="s">
        <v>1364</v>
      </c>
      <c r="B549" s="271">
        <v>2180</v>
      </c>
      <c r="C549" s="271" t="str">
        <f>VLOOKUP(B549,Orgenheter!$A$1:$B$213,2,0)</f>
        <v xml:space="preserve">Pedagogik                     </v>
      </c>
    </row>
    <row r="550" spans="1:3" ht="15" customHeight="1" x14ac:dyDescent="0.25">
      <c r="A550" s="328" t="s">
        <v>1363</v>
      </c>
      <c r="B550" s="271">
        <v>2180</v>
      </c>
      <c r="C550" s="271" t="str">
        <f>VLOOKUP(B550,Orgenheter!$A$1:$B$213,2,0)</f>
        <v xml:space="preserve">Pedagogik                     </v>
      </c>
    </row>
    <row r="551" spans="1:3" ht="15" customHeight="1" x14ac:dyDescent="0.25">
      <c r="A551" s="328" t="s">
        <v>1365</v>
      </c>
      <c r="B551" s="271">
        <v>2180</v>
      </c>
      <c r="C551" s="271" t="str">
        <f>VLOOKUP(B551,Orgenheter!$A$1:$B$213,2,0)</f>
        <v xml:space="preserve">Pedagogik                     </v>
      </c>
    </row>
    <row r="552" spans="1:3" ht="15" customHeight="1" x14ac:dyDescent="0.25">
      <c r="A552" s="328" t="s">
        <v>1530</v>
      </c>
      <c r="B552" s="271">
        <v>5740</v>
      </c>
      <c r="C552" s="271" t="str">
        <f>VLOOKUP(B552,Orgenheter!$A$1:$B$213,2,0)</f>
        <v>NMD</v>
      </c>
    </row>
    <row r="553" spans="1:3" ht="15" customHeight="1" x14ac:dyDescent="0.25">
      <c r="A553" s="328" t="s">
        <v>1531</v>
      </c>
      <c r="B553" s="271">
        <v>5740</v>
      </c>
      <c r="C553" s="271" t="str">
        <f>VLOOKUP(B553,Orgenheter!$A$1:$B$213,2,0)</f>
        <v>NMD</v>
      </c>
    </row>
    <row r="554" spans="1:3" ht="15" customHeight="1" x14ac:dyDescent="0.25">
      <c r="A554" s="328" t="s">
        <v>1532</v>
      </c>
      <c r="B554" s="271">
        <v>5740</v>
      </c>
      <c r="C554" s="271" t="str">
        <f>VLOOKUP(B554,Orgenheter!$A$1:$B$213,2,0)</f>
        <v>NMD</v>
      </c>
    </row>
    <row r="555" spans="1:3" ht="15" customHeight="1" x14ac:dyDescent="0.25">
      <c r="A555" s="328" t="s">
        <v>1431</v>
      </c>
      <c r="B555" s="271">
        <v>2180</v>
      </c>
      <c r="C555" s="271" t="str">
        <f>VLOOKUP(B555,Orgenheter!$A$1:$B$213,2,0)</f>
        <v xml:space="preserve">Pedagogik                     </v>
      </c>
    </row>
    <row r="556" spans="1:3" ht="15" customHeight="1" x14ac:dyDescent="0.25">
      <c r="A556" s="297" t="s">
        <v>1435</v>
      </c>
      <c r="B556" s="271">
        <v>2193</v>
      </c>
      <c r="C556" s="271" t="str">
        <f>VLOOKUP(B556,Orgenheter!$A$1:$B$213,2,0)</f>
        <v xml:space="preserve">TUV </v>
      </c>
    </row>
    <row r="557" spans="1:3" ht="15" customHeight="1" x14ac:dyDescent="0.25">
      <c r="A557" s="297" t="s">
        <v>1436</v>
      </c>
      <c r="B557" s="271">
        <v>2193</v>
      </c>
      <c r="C557" s="271" t="str">
        <f>VLOOKUP(B557,Orgenheter!$A$1:$B$213,2,0)</f>
        <v xml:space="preserve">TUV </v>
      </c>
    </row>
    <row r="558" spans="1:3" x14ac:dyDescent="0.25">
      <c r="A558" s="277" t="s">
        <v>1437</v>
      </c>
      <c r="B558" s="271">
        <v>5740</v>
      </c>
      <c r="C558" s="271" t="str">
        <f>VLOOKUP(B558,Orgenheter!$A$1:$B$213,2,0)</f>
        <v>NMD</v>
      </c>
    </row>
    <row r="559" spans="1:3" x14ac:dyDescent="0.25">
      <c r="A559" s="277" t="s">
        <v>1506</v>
      </c>
      <c r="B559" s="271">
        <v>2180</v>
      </c>
      <c r="C559" s="271" t="str">
        <f>VLOOKUP(B559,Orgenheter!$A$1:$B$213,2,0)</f>
        <v xml:space="preserve">Pedagogik                     </v>
      </c>
    </row>
    <row r="560" spans="1:3" x14ac:dyDescent="0.25">
      <c r="A560" s="277" t="s">
        <v>1477</v>
      </c>
      <c r="B560" s="271">
        <v>5740</v>
      </c>
      <c r="C560" s="271" t="str">
        <f>VLOOKUP(B560,Orgenheter!$A$1:$B$213,2,0)</f>
        <v>NMD</v>
      </c>
    </row>
    <row r="561" spans="1:3" x14ac:dyDescent="0.25">
      <c r="A561" s="277" t="s">
        <v>1507</v>
      </c>
      <c r="B561" s="271">
        <v>2193</v>
      </c>
      <c r="C561" s="271" t="str">
        <f>VLOOKUP(B561,Orgenheter!$A$1:$B$213,2,0)</f>
        <v xml:space="preserve">TUV </v>
      </c>
    </row>
    <row r="562" spans="1:3" x14ac:dyDescent="0.25">
      <c r="A562" s="426" t="s">
        <v>1920</v>
      </c>
      <c r="B562" s="427">
        <v>2193</v>
      </c>
      <c r="C562" s="271" t="str">
        <f>VLOOKUP(B562,Orgenheter!$A$1:$B$213,2,0)</f>
        <v xml:space="preserve">TUV </v>
      </c>
    </row>
    <row r="563" spans="1:3" x14ac:dyDescent="0.25">
      <c r="A563" s="277" t="s">
        <v>1473</v>
      </c>
      <c r="B563" s="271">
        <v>2180</v>
      </c>
      <c r="C563" s="271" t="str">
        <f>VLOOKUP(B563,Orgenheter!$A$1:$B$213,2,0)</f>
        <v xml:space="preserve">Pedagogik                     </v>
      </c>
    </row>
    <row r="564" spans="1:3" x14ac:dyDescent="0.25">
      <c r="A564" s="277" t="s">
        <v>1475</v>
      </c>
      <c r="B564" s="271">
        <v>5740</v>
      </c>
      <c r="C564" s="271" t="str">
        <f>VLOOKUP(B564,Orgenheter!$A$1:$B$213,2,0)</f>
        <v>NMD</v>
      </c>
    </row>
    <row r="565" spans="1:3" x14ac:dyDescent="0.25">
      <c r="A565" s="277" t="s">
        <v>1476</v>
      </c>
      <c r="B565" s="271">
        <v>5740</v>
      </c>
      <c r="C565" s="271" t="str">
        <f>VLOOKUP(B565,Orgenheter!$A$1:$B$213,2,0)</f>
        <v>NMD</v>
      </c>
    </row>
    <row r="566" spans="1:3" ht="15.75" x14ac:dyDescent="0.25">
      <c r="A566" s="275" t="s">
        <v>1466</v>
      </c>
      <c r="B566" s="271">
        <v>2180</v>
      </c>
      <c r="C566" s="271" t="str">
        <f>VLOOKUP(B566,Orgenheter!$A$1:$B$213,2,0)</f>
        <v xml:space="preserve">Pedagogik                     </v>
      </c>
    </row>
    <row r="567" spans="1:3" ht="15.75" x14ac:dyDescent="0.25">
      <c r="A567" s="275" t="s">
        <v>1518</v>
      </c>
      <c r="B567" s="271">
        <v>5740</v>
      </c>
      <c r="C567" s="271" t="str">
        <f>VLOOKUP(B567,Orgenheter!$A$1:$B$213,2,0)</f>
        <v>NMD</v>
      </c>
    </row>
    <row r="568" spans="1:3" ht="15" customHeight="1" x14ac:dyDescent="0.25">
      <c r="A568" s="297" t="s">
        <v>1529</v>
      </c>
      <c r="B568" s="271">
        <v>5740</v>
      </c>
      <c r="C568" s="271" t="str">
        <f>VLOOKUP(B568,Orgenheter!$A$1:$B$213,2,0)</f>
        <v>NMD</v>
      </c>
    </row>
    <row r="569" spans="1:3" ht="15" customHeight="1" x14ac:dyDescent="0.25">
      <c r="A569" s="297" t="s">
        <v>1605</v>
      </c>
      <c r="B569" s="271">
        <v>2193</v>
      </c>
      <c r="C569" s="271" t="str">
        <f>VLOOKUP(B569,Orgenheter!$A$1:$B$213,2,0)</f>
        <v xml:space="preserve">TUV </v>
      </c>
    </row>
    <row r="570" spans="1:3" ht="15" customHeight="1" x14ac:dyDescent="0.25">
      <c r="A570" s="297" t="s">
        <v>1608</v>
      </c>
      <c r="B570" s="271">
        <v>2193</v>
      </c>
      <c r="C570" s="271" t="str">
        <f>VLOOKUP(B570,Orgenheter!$A$1:$B$213,2,0)</f>
        <v xml:space="preserve">TUV </v>
      </c>
    </row>
    <row r="571" spans="1:3" ht="15" customHeight="1" x14ac:dyDescent="0.25">
      <c r="A571" s="297" t="s">
        <v>1561</v>
      </c>
      <c r="B571" s="271">
        <v>2193</v>
      </c>
      <c r="C571" s="271" t="str">
        <f>VLOOKUP(B571,Orgenheter!$A$1:$B$213,2,0)</f>
        <v xml:space="preserve">TUV </v>
      </c>
    </row>
    <row r="572" spans="1:3" ht="15" customHeight="1" x14ac:dyDescent="0.25">
      <c r="A572" s="297" t="s">
        <v>1558</v>
      </c>
      <c r="B572" s="271">
        <v>2193</v>
      </c>
      <c r="C572" s="271" t="str">
        <f>VLOOKUP(B572,Orgenheter!$A$1:$B$213,2,0)</f>
        <v xml:space="preserve">TUV </v>
      </c>
    </row>
    <row r="573" spans="1:3" ht="15" customHeight="1" x14ac:dyDescent="0.25">
      <c r="A573" s="297" t="s">
        <v>1550</v>
      </c>
      <c r="B573" s="271">
        <v>2180</v>
      </c>
      <c r="C573" s="271" t="str">
        <f>VLOOKUP(B573,Orgenheter!$A$1:$B$213,2,0)</f>
        <v xml:space="preserve">Pedagogik                     </v>
      </c>
    </row>
    <row r="574" spans="1:3" ht="15" customHeight="1" x14ac:dyDescent="0.25">
      <c r="A574" s="297" t="s">
        <v>1637</v>
      </c>
      <c r="B574" s="271">
        <v>2180</v>
      </c>
      <c r="C574" s="271" t="str">
        <f>VLOOKUP(B574,Orgenheter!$A$1:$B$213,2,0)</f>
        <v xml:space="preserve">Pedagogik                     </v>
      </c>
    </row>
    <row r="575" spans="1:3" ht="15" customHeight="1" x14ac:dyDescent="0.25">
      <c r="A575" s="297" t="s">
        <v>1567</v>
      </c>
      <c r="B575" s="271">
        <v>2180</v>
      </c>
      <c r="C575" s="271" t="str">
        <f>VLOOKUP(B575,Orgenheter!$A$1:$B$213,2,0)</f>
        <v xml:space="preserve">Pedagogik                     </v>
      </c>
    </row>
    <row r="576" spans="1:3" ht="15" customHeight="1" x14ac:dyDescent="0.25">
      <c r="A576" s="297" t="s">
        <v>1568</v>
      </c>
      <c r="B576" s="271">
        <v>2180</v>
      </c>
      <c r="C576" s="271" t="str">
        <f>VLOOKUP(B576,Orgenheter!$A$1:$B$213,2,0)</f>
        <v xml:space="preserve">Pedagogik                     </v>
      </c>
    </row>
    <row r="577" spans="1:3" ht="15" customHeight="1" x14ac:dyDescent="0.25">
      <c r="A577" s="297" t="s">
        <v>1669</v>
      </c>
      <c r="B577" s="271">
        <v>2180</v>
      </c>
      <c r="C577" s="271" t="str">
        <f>VLOOKUP(B577,Orgenheter!$A$1:$B$213,2,0)</f>
        <v xml:space="preserve">Pedagogik                     </v>
      </c>
    </row>
    <row r="578" spans="1:3" ht="15" customHeight="1" x14ac:dyDescent="0.25">
      <c r="A578" s="297" t="s">
        <v>1610</v>
      </c>
      <c r="B578" s="271">
        <v>2180</v>
      </c>
      <c r="C578" s="271" t="str">
        <f>VLOOKUP(B578,Orgenheter!$A$1:$B$213,2,0)</f>
        <v xml:space="preserve">Pedagogik                     </v>
      </c>
    </row>
    <row r="579" spans="1:3" ht="15" customHeight="1" x14ac:dyDescent="0.25">
      <c r="A579" s="297" t="s">
        <v>1563</v>
      </c>
      <c r="B579" s="271">
        <v>2193</v>
      </c>
      <c r="C579" s="271" t="str">
        <f>VLOOKUP(B579,Orgenheter!$A$1:$B$213,2,0)</f>
        <v xml:space="preserve">TUV </v>
      </c>
    </row>
    <row r="580" spans="1:3" ht="16.5" customHeight="1" x14ac:dyDescent="0.25">
      <c r="A580" s="297" t="s">
        <v>1566</v>
      </c>
      <c r="B580" s="271">
        <v>2193</v>
      </c>
      <c r="C580" s="271" t="str">
        <f>VLOOKUP(B580,Orgenheter!$A$1:$B$213,2,0)</f>
        <v xml:space="preserve">TUV </v>
      </c>
    </row>
    <row r="581" spans="1:3" ht="15" customHeight="1" x14ac:dyDescent="0.25">
      <c r="A581" s="297" t="s">
        <v>1580</v>
      </c>
      <c r="B581" s="271">
        <v>5740</v>
      </c>
      <c r="C581" s="271" t="str">
        <f>VLOOKUP(B581,Orgenheter!$A$1:$B$213,2,0)</f>
        <v>NMD</v>
      </c>
    </row>
    <row r="582" spans="1:3" ht="15" customHeight="1" x14ac:dyDescent="0.25">
      <c r="A582" s="297" t="s">
        <v>1579</v>
      </c>
      <c r="B582" s="271">
        <v>5740</v>
      </c>
      <c r="C582" s="271" t="str">
        <f>VLOOKUP(B582,Orgenheter!$A$1:$B$213,2,0)</f>
        <v>NMD</v>
      </c>
    </row>
    <row r="583" spans="1:3" ht="15" customHeight="1" x14ac:dyDescent="0.25">
      <c r="A583" s="297" t="s">
        <v>1569</v>
      </c>
      <c r="B583" s="271">
        <v>5740</v>
      </c>
      <c r="C583" s="271" t="str">
        <f>VLOOKUP(B583,Orgenheter!$A$1:$B$213,2,0)</f>
        <v>NMD</v>
      </c>
    </row>
    <row r="584" spans="1:3" ht="15" customHeight="1" x14ac:dyDescent="0.25">
      <c r="A584" s="297" t="s">
        <v>1560</v>
      </c>
      <c r="B584" s="271">
        <v>5740</v>
      </c>
      <c r="C584" s="271" t="str">
        <f>VLOOKUP(B584,Orgenheter!$A$1:$B$213,2,0)</f>
        <v>NMD</v>
      </c>
    </row>
    <row r="585" spans="1:3" ht="15" customHeight="1" x14ac:dyDescent="0.25">
      <c r="A585" s="297" t="s">
        <v>1686</v>
      </c>
      <c r="B585" s="271">
        <v>5740</v>
      </c>
      <c r="C585" s="271" t="str">
        <f>VLOOKUP(B585,Orgenheter!$A$1:$B$213,2,0)</f>
        <v>NMD</v>
      </c>
    </row>
    <row r="586" spans="1:3" ht="12.95" customHeight="1" x14ac:dyDescent="0.25">
      <c r="A586" s="271" t="s">
        <v>1690</v>
      </c>
      <c r="B586" s="271">
        <v>2193</v>
      </c>
      <c r="C586" s="271" t="str">
        <f>VLOOKUP(B586,Orgenheter!$A$1:$B$213,2,0)</f>
        <v xml:space="preserve">TUV </v>
      </c>
    </row>
    <row r="587" spans="1:3" ht="12.95" customHeight="1" x14ac:dyDescent="0.25">
      <c r="A587" s="274" t="s">
        <v>1719</v>
      </c>
      <c r="B587" s="271">
        <v>5740</v>
      </c>
      <c r="C587" s="271" t="str">
        <f>VLOOKUP(B587,Orgenheter!$A$1:$B$213,2,0)</f>
        <v>NMD</v>
      </c>
    </row>
    <row r="588" spans="1:3" ht="15" customHeight="1" x14ac:dyDescent="0.25">
      <c r="A588" s="245" t="s">
        <v>1692</v>
      </c>
      <c r="B588" s="271">
        <v>2193</v>
      </c>
      <c r="C588" s="271" t="str">
        <f>VLOOKUP(B588,Orgenheter!$A$1:$B$213,2,0)</f>
        <v xml:space="preserve">TUV </v>
      </c>
    </row>
    <row r="589" spans="1:3" x14ac:dyDescent="0.25">
      <c r="A589" s="245" t="s">
        <v>1693</v>
      </c>
      <c r="B589" s="271">
        <v>2193</v>
      </c>
      <c r="C589" s="271" t="str">
        <f>VLOOKUP(B589,Orgenheter!$A$1:$B$213,2,0)</f>
        <v xml:space="preserve">TUV </v>
      </c>
    </row>
    <row r="590" spans="1:3" ht="12.95" customHeight="1" x14ac:dyDescent="0.25">
      <c r="A590" s="271" t="s">
        <v>1696</v>
      </c>
      <c r="B590" s="271">
        <v>2193</v>
      </c>
      <c r="C590" s="271" t="str">
        <f>VLOOKUP(B590,Orgenheter!$A$1:$B$213,2,0)</f>
        <v xml:space="preserve">TUV </v>
      </c>
    </row>
    <row r="591" spans="1:3" ht="12.95" customHeight="1" x14ac:dyDescent="0.25">
      <c r="A591" s="274" t="s">
        <v>1720</v>
      </c>
      <c r="B591" s="271">
        <v>2193</v>
      </c>
      <c r="C591" s="271" t="str">
        <f>VLOOKUP(B591,Orgenheter!$A$1:$B$213,2,0)</f>
        <v xml:space="preserve">TUV </v>
      </c>
    </row>
    <row r="592" spans="1:3" ht="12.95" customHeight="1" x14ac:dyDescent="0.25">
      <c r="A592" s="18" t="s">
        <v>2125</v>
      </c>
      <c r="B592" s="271">
        <v>2193</v>
      </c>
      <c r="C592" s="271" t="str">
        <f>VLOOKUP(B592,Orgenheter!$A$1:$B$213,2,0)</f>
        <v xml:space="preserve">TUV </v>
      </c>
    </row>
    <row r="593" spans="1:3" ht="12.95" customHeight="1" x14ac:dyDescent="0.25">
      <c r="A593" s="18" t="s">
        <v>2126</v>
      </c>
      <c r="B593" s="271">
        <v>2193</v>
      </c>
      <c r="C593" s="271" t="str">
        <f>VLOOKUP(B593,Orgenheter!$A$1:$B$213,2,0)</f>
        <v xml:space="preserve">TUV </v>
      </c>
    </row>
    <row r="594" spans="1:3" ht="12.95" customHeight="1" x14ac:dyDescent="0.25">
      <c r="A594" s="271" t="s">
        <v>1710</v>
      </c>
      <c r="B594" s="271">
        <v>2180</v>
      </c>
      <c r="C594" s="271" t="str">
        <f>VLOOKUP(B594,Orgenheter!$A$1:$B$213,2,0)</f>
        <v xml:space="preserve">Pedagogik                     </v>
      </c>
    </row>
    <row r="595" spans="1:3" ht="15" customHeight="1" x14ac:dyDescent="0.25">
      <c r="A595" s="297" t="s">
        <v>1712</v>
      </c>
      <c r="B595" s="271">
        <v>2193</v>
      </c>
      <c r="C595" s="271" t="str">
        <f>VLOOKUP(B595,Orgenheter!$A$1:$B$213,2,0)</f>
        <v xml:space="preserve">TUV </v>
      </c>
    </row>
    <row r="596" spans="1:3" ht="15" customHeight="1" x14ac:dyDescent="0.25">
      <c r="A596" s="297" t="s">
        <v>1735</v>
      </c>
      <c r="B596" s="271">
        <v>2193</v>
      </c>
      <c r="C596" s="271" t="str">
        <f>VLOOKUP(B596,Orgenheter!$A$1:$B$213,2,0)</f>
        <v xml:space="preserve">TUV </v>
      </c>
    </row>
    <row r="597" spans="1:3" ht="15" customHeight="1" x14ac:dyDescent="0.25">
      <c r="A597" s="297" t="s">
        <v>1714</v>
      </c>
      <c r="B597" s="271">
        <v>2193</v>
      </c>
      <c r="C597" s="271" t="str">
        <f>VLOOKUP(B597,Orgenheter!$A$1:$B$213,2,0)</f>
        <v xml:space="preserve">TUV </v>
      </c>
    </row>
    <row r="598" spans="1:3" ht="15.75" x14ac:dyDescent="0.25">
      <c r="A598" s="275" t="s">
        <v>1705</v>
      </c>
      <c r="B598" s="333">
        <v>2193</v>
      </c>
      <c r="C598" s="271" t="str">
        <f>VLOOKUP(B598,Orgenheter!$A$1:$B$213,2,0)</f>
        <v xml:space="preserve">TUV </v>
      </c>
    </row>
    <row r="599" spans="1:3" ht="12.95" customHeight="1" x14ac:dyDescent="0.25">
      <c r="A599" s="275" t="s">
        <v>1707</v>
      </c>
      <c r="B599" s="333">
        <v>2193</v>
      </c>
      <c r="C599" s="271" t="str">
        <f>VLOOKUP(B599,Orgenheter!$A$1:$B$213,2,0)</f>
        <v xml:space="preserve">TUV </v>
      </c>
    </row>
    <row r="600" spans="1:3" ht="12.95" customHeight="1" x14ac:dyDescent="0.25">
      <c r="A600" s="275" t="s">
        <v>1791</v>
      </c>
      <c r="B600" s="333">
        <v>2193</v>
      </c>
      <c r="C600" s="271" t="str">
        <f>VLOOKUP(B600,Orgenheter!$A$1:$B$213,2,0)</f>
        <v xml:space="preserve">TUV </v>
      </c>
    </row>
    <row r="601" spans="1:3" ht="12.95" customHeight="1" x14ac:dyDescent="0.25">
      <c r="A601" s="275" t="s">
        <v>1745</v>
      </c>
      <c r="B601" s="333">
        <v>5740</v>
      </c>
      <c r="C601" s="271" t="str">
        <f>VLOOKUP(B601,Orgenheter!$A$1:$B$213,2,0)</f>
        <v>NMD</v>
      </c>
    </row>
    <row r="602" spans="1:3" ht="12.95" customHeight="1" x14ac:dyDescent="0.25">
      <c r="A602" s="275" t="s">
        <v>1733</v>
      </c>
      <c r="B602" s="333">
        <v>5740</v>
      </c>
      <c r="C602" s="271" t="str">
        <f>VLOOKUP(B602,Orgenheter!$A$1:$B$213,2,0)</f>
        <v>NMD</v>
      </c>
    </row>
    <row r="603" spans="1:3" ht="12.95" customHeight="1" x14ac:dyDescent="0.25">
      <c r="A603" s="275" t="s">
        <v>1732</v>
      </c>
      <c r="B603" s="333">
        <v>5740</v>
      </c>
      <c r="C603" s="271" t="str">
        <f>VLOOKUP(B603,Orgenheter!$A$1:$B$213,2,0)</f>
        <v>NMD</v>
      </c>
    </row>
    <row r="604" spans="1:3" ht="12.95" customHeight="1" x14ac:dyDescent="0.25">
      <c r="A604" s="275" t="s">
        <v>1788</v>
      </c>
      <c r="B604" s="333">
        <v>2193</v>
      </c>
      <c r="C604" s="271" t="str">
        <f>VLOOKUP(B604,Orgenheter!$A$1:$B$213,2,0)</f>
        <v xml:space="preserve">TUV </v>
      </c>
    </row>
    <row r="605" spans="1:3" ht="15" customHeight="1" x14ac:dyDescent="0.25">
      <c r="A605" s="62" t="s">
        <v>1863</v>
      </c>
      <c r="B605" s="271">
        <v>2193</v>
      </c>
      <c r="C605" s="271" t="str">
        <f>VLOOKUP(B605,Orgenheter!$A$1:$B$213,2,0)</f>
        <v xml:space="preserve">TUV </v>
      </c>
    </row>
    <row r="606" spans="1:3" ht="15" customHeight="1" x14ac:dyDescent="0.25">
      <c r="A606" s="420" t="s">
        <v>1864</v>
      </c>
      <c r="B606" s="415">
        <v>2193</v>
      </c>
      <c r="C606" s="271" t="str">
        <f>VLOOKUP(B606,Orgenheter!$A$1:$B$213,2,0)</f>
        <v xml:space="preserve">TUV </v>
      </c>
    </row>
    <row r="607" spans="1:3" ht="15" customHeight="1" x14ac:dyDescent="0.25">
      <c r="A607" s="420" t="s">
        <v>1865</v>
      </c>
      <c r="B607" s="415">
        <v>2193</v>
      </c>
      <c r="C607" s="271" t="str">
        <f>VLOOKUP(B607,Orgenheter!$A$1:$B$213,2,0)</f>
        <v xml:space="preserve">TUV </v>
      </c>
    </row>
    <row r="608" spans="1:3" ht="12.95" customHeight="1" x14ac:dyDescent="0.25">
      <c r="A608" s="277" t="s">
        <v>1905</v>
      </c>
      <c r="B608" s="271">
        <v>2193</v>
      </c>
      <c r="C608" s="271" t="str">
        <f>VLOOKUP(B608,Orgenheter!$A$1:$B$213,2,0)</f>
        <v xml:space="preserve">TUV </v>
      </c>
    </row>
    <row r="609" spans="1:3" ht="15" customHeight="1" x14ac:dyDescent="0.25">
      <c r="A609" s="328" t="s">
        <v>1887</v>
      </c>
      <c r="B609" s="271">
        <v>5740</v>
      </c>
      <c r="C609" s="271" t="str">
        <f>VLOOKUP(B609,Orgenheter!$A$1:$B$213,2,0)</f>
        <v>NMD</v>
      </c>
    </row>
    <row r="610" spans="1:3" ht="12.95" customHeight="1" x14ac:dyDescent="0.25">
      <c r="A610" s="275" t="s">
        <v>1885</v>
      </c>
      <c r="B610" s="273">
        <v>5740</v>
      </c>
      <c r="C610" s="271" t="str">
        <f>VLOOKUP(B610,Orgenheter!$A$1:$B$213,2,0)</f>
        <v>NMD</v>
      </c>
    </row>
    <row r="611" spans="1:3" ht="12.95" customHeight="1" x14ac:dyDescent="0.25">
      <c r="A611" s="275" t="s">
        <v>1886</v>
      </c>
      <c r="B611" s="273">
        <v>5740</v>
      </c>
      <c r="C611" s="271" t="str">
        <f>VLOOKUP(B611,Orgenheter!$A$1:$B$213,2,0)</f>
        <v>NMD</v>
      </c>
    </row>
    <row r="612" spans="1:3" ht="12.95" customHeight="1" x14ac:dyDescent="0.25">
      <c r="A612" s="416" t="s">
        <v>1909</v>
      </c>
      <c r="B612" s="417">
        <v>5740</v>
      </c>
      <c r="C612" s="271" t="str">
        <f>VLOOKUP(B612,Orgenheter!$A$1:$B$213,2,0)</f>
        <v>NMD</v>
      </c>
    </row>
    <row r="613" spans="1:3" ht="15" customHeight="1" x14ac:dyDescent="0.25">
      <c r="A613" s="328" t="s">
        <v>1889</v>
      </c>
      <c r="B613" s="271">
        <v>5740</v>
      </c>
      <c r="C613" s="271" t="str">
        <f>VLOOKUP(B613,Orgenheter!$A$1:$B$213,2,0)</f>
        <v>NMD</v>
      </c>
    </row>
    <row r="614" spans="1:3" ht="12.95" customHeight="1" x14ac:dyDescent="0.25">
      <c r="A614" s="326" t="s">
        <v>2068</v>
      </c>
      <c r="B614" s="271">
        <v>5740</v>
      </c>
      <c r="C614" s="271" t="str">
        <f>VLOOKUP(B614,Orgenheter!$A$1:$B$213,2,0)</f>
        <v>NMD</v>
      </c>
    </row>
    <row r="615" spans="1:3" ht="15" customHeight="1" x14ac:dyDescent="0.25">
      <c r="A615" s="434" t="s">
        <v>1963</v>
      </c>
      <c r="B615" s="427">
        <v>2180</v>
      </c>
      <c r="C615" s="271" t="str">
        <f>VLOOKUP(B615,Orgenheter!$A$1:$B$213,2,0)</f>
        <v xml:space="preserve">Pedagogik                     </v>
      </c>
    </row>
    <row r="616" spans="1:3" ht="15.75" x14ac:dyDescent="0.25">
      <c r="A616" s="275" t="s">
        <v>1964</v>
      </c>
      <c r="B616" s="273">
        <v>2180</v>
      </c>
      <c r="C616" s="271" t="str">
        <f>VLOOKUP(B616,Orgenheter!$A$1:$B$213,2,0)</f>
        <v xml:space="preserve">Pedagogik                     </v>
      </c>
    </row>
    <row r="617" spans="1:3" ht="12.95" customHeight="1" x14ac:dyDescent="0.25">
      <c r="A617" s="446" t="s">
        <v>2110</v>
      </c>
      <c r="B617" s="446">
        <v>2180</v>
      </c>
      <c r="C617" s="271" t="str">
        <f>VLOOKUP(B617,Orgenheter!$A$1:$B$213,2,0)</f>
        <v xml:space="preserve">Pedagogik                     </v>
      </c>
    </row>
    <row r="618" spans="1:3" ht="12.95" customHeight="1" x14ac:dyDescent="0.25">
      <c r="A618" s="328" t="s">
        <v>2104</v>
      </c>
      <c r="B618" s="446">
        <v>2180</v>
      </c>
      <c r="C618" s="271" t="str">
        <f>VLOOKUP(B618,Orgenheter!$A$1:$B$213,2,0)</f>
        <v xml:space="preserve">Pedagogik                     </v>
      </c>
    </row>
    <row r="619" spans="1:3" ht="12.95" customHeight="1" x14ac:dyDescent="0.25">
      <c r="A619" s="18" t="s">
        <v>2121</v>
      </c>
      <c r="B619" s="271">
        <v>2193</v>
      </c>
      <c r="C619" s="271" t="str">
        <f>VLOOKUP(B619,Orgenheter!$A$1:$B$213,2,0)</f>
        <v xml:space="preserve">TUV </v>
      </c>
    </row>
    <row r="620" spans="1:3" ht="12.95" customHeight="1" x14ac:dyDescent="0.25">
      <c r="A620" s="18" t="s">
        <v>2123</v>
      </c>
      <c r="B620" s="271">
        <v>2193</v>
      </c>
      <c r="C620" s="271" t="str">
        <f>VLOOKUP(B620,Orgenheter!$A$1:$B$213,2,0)</f>
        <v xml:space="preserve">TUV </v>
      </c>
    </row>
    <row r="621" spans="1:3" ht="12.95" customHeight="1" x14ac:dyDescent="0.25">
      <c r="A621" s="427" t="s">
        <v>2087</v>
      </c>
      <c r="B621" s="427">
        <v>5740</v>
      </c>
      <c r="C621" s="271" t="str">
        <f>VLOOKUP(B621,Orgenheter!$A$1:$B$213,2,0)</f>
        <v>NMD</v>
      </c>
    </row>
    <row r="622" spans="1:3" ht="12.95" customHeight="1" x14ac:dyDescent="0.25">
      <c r="A622" s="498" t="s">
        <v>2105</v>
      </c>
      <c r="B622" s="499">
        <v>2193</v>
      </c>
      <c r="C622" s="271" t="str">
        <f>VLOOKUP(B622,Orgenheter!$A$1:$B$213,2,0)</f>
        <v xml:space="preserve">TUV </v>
      </c>
    </row>
    <row r="623" spans="1:3" ht="15.75" x14ac:dyDescent="0.25">
      <c r="A623" s="495" t="s">
        <v>2085</v>
      </c>
      <c r="B623" s="496">
        <v>5740</v>
      </c>
      <c r="C623" s="271" t="str">
        <f>VLOOKUP(B623,Orgenheter!$A$1:$B$213,2,0)</f>
        <v>NMD</v>
      </c>
    </row>
    <row r="624" spans="1:3" ht="15.75" x14ac:dyDescent="0.25">
      <c r="A624" s="495" t="s">
        <v>2088</v>
      </c>
      <c r="B624" s="496">
        <v>5740</v>
      </c>
      <c r="C624" s="271" t="str">
        <f>VLOOKUP(B624,Orgenheter!$A$1:$B$213,2,0)</f>
        <v>NMD</v>
      </c>
    </row>
    <row r="625" spans="1:3" x14ac:dyDescent="0.25">
      <c r="A625" s="328" t="s">
        <v>472</v>
      </c>
      <c r="B625" s="271">
        <v>2180</v>
      </c>
      <c r="C625" s="271" t="str">
        <f>VLOOKUP(B625,Orgenheter!$A$1:$B$213,2,0)</f>
        <v xml:space="preserve">Pedagogik                     </v>
      </c>
    </row>
    <row r="626" spans="1:3" x14ac:dyDescent="0.25">
      <c r="A626" s="328" t="s">
        <v>600</v>
      </c>
      <c r="B626" s="271">
        <v>2180</v>
      </c>
      <c r="C626" s="271" t="str">
        <f>VLOOKUP(B626,Orgenheter!$A$1:$B$213,2,0)</f>
        <v xml:space="preserve">Pedagogik                     </v>
      </c>
    </row>
    <row r="627" spans="1:3" x14ac:dyDescent="0.25">
      <c r="A627" s="328" t="s">
        <v>823</v>
      </c>
      <c r="B627" s="271">
        <v>2180</v>
      </c>
      <c r="C627" s="271" t="str">
        <f>VLOOKUP(B627,Orgenheter!$A$1:$B$213,2,0)</f>
        <v xml:space="preserve">Pedagogik                     </v>
      </c>
    </row>
    <row r="628" spans="1:3" x14ac:dyDescent="0.25">
      <c r="A628" s="328" t="s">
        <v>835</v>
      </c>
      <c r="B628" s="271">
        <v>2180</v>
      </c>
      <c r="C628" s="271" t="str">
        <f>VLOOKUP(B628,Orgenheter!$A$1:$B$213,2,0)</f>
        <v xml:space="preserve">Pedagogik                     </v>
      </c>
    </row>
    <row r="629" spans="1:3" x14ac:dyDescent="0.25">
      <c r="A629" s="328" t="s">
        <v>836</v>
      </c>
      <c r="B629" s="271">
        <v>2180</v>
      </c>
      <c r="C629" s="271" t="str">
        <f>VLOOKUP(B629,Orgenheter!$A$1:$B$213,2,0)</f>
        <v xml:space="preserve">Pedagogik                     </v>
      </c>
    </row>
    <row r="630" spans="1:3" ht="12.95" customHeight="1" x14ac:dyDescent="0.25">
      <c r="A630" s="328" t="s">
        <v>837</v>
      </c>
      <c r="B630" s="271">
        <v>2180</v>
      </c>
      <c r="C630" s="271" t="str">
        <f>VLOOKUP(B630,Orgenheter!$A$1:$B$213,2,0)</f>
        <v xml:space="preserve">Pedagogik                     </v>
      </c>
    </row>
    <row r="631" spans="1:3" ht="12.95" customHeight="1" x14ac:dyDescent="0.25">
      <c r="A631" s="328" t="s">
        <v>838</v>
      </c>
      <c r="B631" s="271">
        <v>2180</v>
      </c>
      <c r="C631" s="271" t="str">
        <f>VLOOKUP(B631,Orgenheter!$A$1:$B$213,2,0)</f>
        <v xml:space="preserve">Pedagogik                     </v>
      </c>
    </row>
    <row r="632" spans="1:3" x14ac:dyDescent="0.25">
      <c r="A632" s="328" t="s">
        <v>839</v>
      </c>
      <c r="B632" s="271">
        <v>2180</v>
      </c>
      <c r="C632" s="271" t="str">
        <f>VLOOKUP(B632,Orgenheter!$A$1:$B$213,2,0)</f>
        <v xml:space="preserve">Pedagogik                     </v>
      </c>
    </row>
    <row r="633" spans="1:3" x14ac:dyDescent="0.25">
      <c r="A633" s="328" t="s">
        <v>840</v>
      </c>
      <c r="B633" s="271">
        <v>2180</v>
      </c>
      <c r="C633" s="271" t="str">
        <f>VLOOKUP(B633,Orgenheter!$A$1:$B$213,2,0)</f>
        <v xml:space="preserve">Pedagogik                     </v>
      </c>
    </row>
    <row r="634" spans="1:3" x14ac:dyDescent="0.25">
      <c r="A634" s="328" t="s">
        <v>876</v>
      </c>
      <c r="B634" s="271">
        <v>2180</v>
      </c>
      <c r="C634" s="271" t="str">
        <f>VLOOKUP(B634,Orgenheter!$A$1:$B$213,2,0)</f>
        <v xml:space="preserve">Pedagogik                     </v>
      </c>
    </row>
    <row r="635" spans="1:3" x14ac:dyDescent="0.25">
      <c r="A635" s="277" t="s">
        <v>394</v>
      </c>
      <c r="B635" s="277">
        <v>2200</v>
      </c>
      <c r="C635" s="271" t="str">
        <f>VLOOKUP(B635,Orgenheter!$A$1:$B$213,2,0)</f>
        <v xml:space="preserve">Inst för psykologi            </v>
      </c>
    </row>
    <row r="636" spans="1:3" x14ac:dyDescent="0.25">
      <c r="A636" s="277" t="s">
        <v>395</v>
      </c>
      <c r="B636" s="277">
        <v>2200</v>
      </c>
      <c r="C636" s="271" t="str">
        <f>VLOOKUP(B636,Orgenheter!$A$1:$B$213,2,0)</f>
        <v xml:space="preserve">Inst för psykologi            </v>
      </c>
    </row>
    <row r="637" spans="1:3" x14ac:dyDescent="0.25">
      <c r="A637" s="271" t="s">
        <v>142</v>
      </c>
      <c r="B637" s="271">
        <v>1630</v>
      </c>
      <c r="C637" s="271" t="str">
        <f>VLOOKUP(B637,Orgenheter!$A$1:$B$213,2,0)</f>
        <v>Inst för ide- o samhällsstudier</v>
      </c>
    </row>
    <row r="638" spans="1:3" x14ac:dyDescent="0.25">
      <c r="A638" s="271" t="s">
        <v>141</v>
      </c>
      <c r="B638" s="271">
        <v>1630</v>
      </c>
      <c r="C638" s="271" t="str">
        <f>VLOOKUP(B638,Orgenheter!$A$1:$B$213,2,0)</f>
        <v>Inst för ide- o samhällsstudier</v>
      </c>
    </row>
    <row r="639" spans="1:3" x14ac:dyDescent="0.25">
      <c r="A639" s="271" t="s">
        <v>96</v>
      </c>
      <c r="B639" s="271">
        <v>1630</v>
      </c>
      <c r="C639" s="271" t="str">
        <f>VLOOKUP(B639,Orgenheter!$A$1:$B$213,2,0)</f>
        <v>Inst för ide- o samhällsstudier</v>
      </c>
    </row>
    <row r="640" spans="1:3" x14ac:dyDescent="0.25">
      <c r="A640" s="271" t="s">
        <v>435</v>
      </c>
      <c r="B640" s="271">
        <v>1630</v>
      </c>
      <c r="C640" s="271" t="str">
        <f>VLOOKUP(B640,Orgenheter!$A$1:$B$213,2,0)</f>
        <v>Inst för ide- o samhällsstudier</v>
      </c>
    </row>
    <row r="641" spans="1:3" ht="15.75" x14ac:dyDescent="0.25">
      <c r="A641" s="275" t="s">
        <v>510</v>
      </c>
      <c r="B641" s="273">
        <v>1630</v>
      </c>
      <c r="C641" s="271" t="str">
        <f>VLOOKUP(B641,Orgenheter!$A$1:$B$213,2,0)</f>
        <v>Inst för ide- o samhällsstudier</v>
      </c>
    </row>
    <row r="642" spans="1:3" ht="15.75" x14ac:dyDescent="0.25">
      <c r="A642" s="275" t="s">
        <v>511</v>
      </c>
      <c r="B642" s="273">
        <v>1630</v>
      </c>
      <c r="C642" s="271" t="str">
        <f>VLOOKUP(B642,Orgenheter!$A$1:$B$213,2,0)</f>
        <v>Inst för ide- o samhällsstudier</v>
      </c>
    </row>
    <row r="643" spans="1:3" ht="15.75" x14ac:dyDescent="0.25">
      <c r="A643" s="275" t="s">
        <v>601</v>
      </c>
      <c r="B643" s="273">
        <v>1630</v>
      </c>
      <c r="C643" s="271" t="str">
        <f>VLOOKUP(B643,Orgenheter!$A$1:$B$213,2,0)</f>
        <v>Inst för ide- o samhällsstudier</v>
      </c>
    </row>
    <row r="644" spans="1:3" ht="15.75" x14ac:dyDescent="0.25">
      <c r="A644" s="275" t="s">
        <v>602</v>
      </c>
      <c r="B644" s="273">
        <v>1630</v>
      </c>
      <c r="C644" s="271" t="str">
        <f>VLOOKUP(B644,Orgenheter!$A$1:$B$213,2,0)</f>
        <v>Inst för ide- o samhällsstudier</v>
      </c>
    </row>
    <row r="645" spans="1:3" ht="15.75" x14ac:dyDescent="0.25">
      <c r="A645" s="275" t="s">
        <v>1041</v>
      </c>
      <c r="B645" s="273">
        <v>1630</v>
      </c>
      <c r="C645" s="271" t="str">
        <f>VLOOKUP(B645,Orgenheter!$A$1:$B$213,2,0)</f>
        <v>Inst för ide- o samhällsstudier</v>
      </c>
    </row>
    <row r="646" spans="1:3" ht="15.75" x14ac:dyDescent="0.25">
      <c r="A646" s="275" t="s">
        <v>1264</v>
      </c>
      <c r="B646" s="273">
        <v>1630</v>
      </c>
      <c r="C646" s="271" t="str">
        <f>VLOOKUP(B646,Orgenheter!$A$1:$B$213,2,0)</f>
        <v>Inst för ide- o samhällsstudier</v>
      </c>
    </row>
    <row r="647" spans="1:3" ht="15.75" x14ac:dyDescent="0.25">
      <c r="A647" s="275" t="s">
        <v>1265</v>
      </c>
      <c r="B647" s="273">
        <v>1630</v>
      </c>
      <c r="C647" s="271" t="str">
        <f>VLOOKUP(B647,Orgenheter!$A$1:$B$213,2,0)</f>
        <v>Inst för ide- o samhällsstudier</v>
      </c>
    </row>
    <row r="648" spans="1:3" x14ac:dyDescent="0.25">
      <c r="A648" s="271" t="s">
        <v>964</v>
      </c>
      <c r="B648" s="271">
        <v>1630</v>
      </c>
      <c r="C648" s="271" t="str">
        <f>VLOOKUP(B648,Orgenheter!$A$1:$B$213,2,0)</f>
        <v>Inst för ide- o samhällsstudier</v>
      </c>
    </row>
    <row r="649" spans="1:3" ht="15.75" x14ac:dyDescent="0.25">
      <c r="A649" s="327" t="s">
        <v>977</v>
      </c>
      <c r="B649" s="271">
        <v>1630</v>
      </c>
      <c r="C649" s="271" t="str">
        <f>VLOOKUP(B649,Orgenheter!$A$1:$B$213,2,0)</f>
        <v>Inst för ide- o samhällsstudier</v>
      </c>
    </row>
    <row r="650" spans="1:3" ht="15.75" x14ac:dyDescent="0.25">
      <c r="A650" s="327" t="s">
        <v>1555</v>
      </c>
      <c r="B650" s="271">
        <v>1630</v>
      </c>
      <c r="C650" s="271" t="str">
        <f>VLOOKUP(B650,Orgenheter!$A$1:$B$213,2,0)</f>
        <v>Inst för ide- o samhällsstudier</v>
      </c>
    </row>
    <row r="651" spans="1:3" ht="15.75" x14ac:dyDescent="0.25">
      <c r="A651" s="327" t="s">
        <v>1440</v>
      </c>
      <c r="B651" s="271">
        <v>1630</v>
      </c>
      <c r="C651" s="271" t="str">
        <f>VLOOKUP(B651,Orgenheter!$A$1:$B$213,2,0)</f>
        <v>Inst för ide- o samhällsstudier</v>
      </c>
    </row>
    <row r="652" spans="1:3" ht="12.95" customHeight="1" x14ac:dyDescent="0.25">
      <c r="A652" s="277" t="s">
        <v>1663</v>
      </c>
      <c r="B652" s="271">
        <v>1630</v>
      </c>
      <c r="C652" s="271" t="str">
        <f>VLOOKUP(B652,Orgenheter!$A$1:$B$213,2,0)</f>
        <v>Inst för ide- o samhällsstudier</v>
      </c>
    </row>
    <row r="653" spans="1:3" ht="12.95" customHeight="1" x14ac:dyDescent="0.25">
      <c r="A653" s="277" t="s">
        <v>1664</v>
      </c>
      <c r="B653" s="271">
        <v>1630</v>
      </c>
      <c r="C653" s="271" t="str">
        <f>VLOOKUP(B653,Orgenheter!$A$1:$B$213,2,0)</f>
        <v>Inst för ide- o samhällsstudier</v>
      </c>
    </row>
    <row r="654" spans="1:3" ht="12.95" customHeight="1" x14ac:dyDescent="0.25">
      <c r="A654" s="277" t="s">
        <v>1665</v>
      </c>
      <c r="B654" s="271">
        <v>1630</v>
      </c>
      <c r="C654" s="271" t="str">
        <f>VLOOKUP(B654,Orgenheter!$A$1:$B$213,2,0)</f>
        <v>Inst för ide- o samhällsstudier</v>
      </c>
    </row>
    <row r="655" spans="1:3" ht="12.95" customHeight="1" x14ac:dyDescent="0.25">
      <c r="A655" s="277" t="s">
        <v>1666</v>
      </c>
      <c r="B655" s="271">
        <v>1630</v>
      </c>
      <c r="C655" s="271" t="str">
        <f>VLOOKUP(B655,Orgenheter!$A$1:$B$213,2,0)</f>
        <v>Inst för ide- o samhällsstudier</v>
      </c>
    </row>
    <row r="656" spans="1:3" ht="12.95" customHeight="1" x14ac:dyDescent="0.25">
      <c r="A656" s="277" t="s">
        <v>1667</v>
      </c>
      <c r="B656" s="271">
        <v>1630</v>
      </c>
      <c r="C656" s="271" t="str">
        <f>VLOOKUP(B656,Orgenheter!$A$1:$B$213,2,0)</f>
        <v>Inst för ide- o samhällsstudier</v>
      </c>
    </row>
    <row r="657" spans="1:3" ht="12.95" customHeight="1" x14ac:dyDescent="0.25">
      <c r="A657" s="277" t="s">
        <v>1805</v>
      </c>
      <c r="B657" s="271">
        <v>1630</v>
      </c>
      <c r="C657" s="271" t="str">
        <f>VLOOKUP(B657,Orgenheter!$A$1:$B$213,2,0)</f>
        <v>Inst för ide- o samhällsstudier</v>
      </c>
    </row>
    <row r="658" spans="1:3" ht="12.95" customHeight="1" x14ac:dyDescent="0.25">
      <c r="A658" s="426" t="s">
        <v>1965</v>
      </c>
      <c r="B658" s="427">
        <v>1630</v>
      </c>
      <c r="C658" s="271" t="str">
        <f>VLOOKUP(B658,Orgenheter!$A$1:$B$213,2,0)</f>
        <v>Inst för ide- o samhällsstudier</v>
      </c>
    </row>
    <row r="659" spans="1:3" ht="12.95" customHeight="1" x14ac:dyDescent="0.25">
      <c r="A659" s="426" t="s">
        <v>1943</v>
      </c>
      <c r="B659" s="427">
        <v>1630</v>
      </c>
      <c r="C659" s="271" t="str">
        <f>VLOOKUP(B659,Orgenheter!$A$1:$B$213,2,0)</f>
        <v>Inst för ide- o samhällsstudier</v>
      </c>
    </row>
    <row r="660" spans="1:3" ht="12.95" customHeight="1" x14ac:dyDescent="0.25">
      <c r="A660" s="500" t="s">
        <v>2061</v>
      </c>
      <c r="B660" s="499">
        <v>1630</v>
      </c>
      <c r="C660" s="271" t="str">
        <f>VLOOKUP(B660,Orgenheter!$A$1:$B$213,2,0)</f>
        <v>Inst för ide- o samhällsstudier</v>
      </c>
    </row>
    <row r="661" spans="1:3" ht="12.95" customHeight="1" x14ac:dyDescent="0.25">
      <c r="A661" s="500" t="s">
        <v>2062</v>
      </c>
      <c r="B661" s="499">
        <v>1630</v>
      </c>
      <c r="C661" s="271" t="str">
        <f>VLOOKUP(B661,Orgenheter!$A$1:$B$213,2,0)</f>
        <v>Inst för ide- o samhällsstudier</v>
      </c>
    </row>
    <row r="662" spans="1:3" ht="12.95" customHeight="1" x14ac:dyDescent="0.25">
      <c r="A662" s="498" t="s">
        <v>2094</v>
      </c>
      <c r="B662" s="499">
        <v>1630</v>
      </c>
      <c r="C662" s="271" t="str">
        <f>VLOOKUP(B662,Orgenheter!$A$1:$B$213,2,0)</f>
        <v>Inst för ide- o samhällsstudier</v>
      </c>
    </row>
    <row r="663" spans="1:3" x14ac:dyDescent="0.25">
      <c r="A663" s="271" t="s">
        <v>877</v>
      </c>
      <c r="B663" s="271">
        <v>1620</v>
      </c>
      <c r="C663" s="271" t="str">
        <f>VLOOKUP(B663,Orgenheter!$A$1:$B$213,2,0)</f>
        <v>Inst för språkstudier</v>
      </c>
    </row>
    <row r="664" spans="1:3" x14ac:dyDescent="0.25">
      <c r="A664" s="271" t="s">
        <v>878</v>
      </c>
      <c r="B664" s="271">
        <v>1620</v>
      </c>
      <c r="C664" s="271" t="str">
        <f>VLOOKUP(B664,Orgenheter!$A$1:$B$213,2,0)</f>
        <v>Inst för språkstudier</v>
      </c>
    </row>
    <row r="665" spans="1:3" x14ac:dyDescent="0.25">
      <c r="A665" s="271" t="s">
        <v>1042</v>
      </c>
      <c r="B665" s="271">
        <v>1620</v>
      </c>
      <c r="C665" s="271" t="str">
        <f>VLOOKUP(B665,Orgenheter!$A$1:$B$213,2,0)</f>
        <v>Inst för språkstudier</v>
      </c>
    </row>
    <row r="666" spans="1:3" x14ac:dyDescent="0.25">
      <c r="A666" s="271" t="s">
        <v>1730</v>
      </c>
      <c r="B666" s="271">
        <v>1620</v>
      </c>
      <c r="C666" s="271" t="str">
        <f>VLOOKUP(B666,Orgenheter!$A$1:$B$213,2,0)</f>
        <v>Inst för språkstudier</v>
      </c>
    </row>
    <row r="667" spans="1:3" x14ac:dyDescent="0.25">
      <c r="A667" s="271" t="s">
        <v>1731</v>
      </c>
      <c r="B667" s="271">
        <v>1620</v>
      </c>
      <c r="C667" s="271" t="str">
        <f>VLOOKUP(B667,Orgenheter!$A$1:$B$213,2,0)</f>
        <v>Inst för språkstudier</v>
      </c>
    </row>
    <row r="668" spans="1:3" x14ac:dyDescent="0.25">
      <c r="A668" s="62" t="s">
        <v>1896</v>
      </c>
      <c r="B668" s="271">
        <v>1620</v>
      </c>
      <c r="C668" s="271" t="str">
        <f>VLOOKUP(B668,Orgenheter!$A$1:$B$213,2,0)</f>
        <v>Inst för språkstudier</v>
      </c>
    </row>
    <row r="669" spans="1:3" x14ac:dyDescent="0.25">
      <c r="A669" s="533" t="s">
        <v>2146</v>
      </c>
      <c r="B669" s="499">
        <v>1620</v>
      </c>
      <c r="C669" s="271" t="str">
        <f>VLOOKUP(B669,Orgenheter!$A$1:$B$213,2,0)</f>
        <v>Inst för språkstudier</v>
      </c>
    </row>
    <row r="670" spans="1:3" ht="15.75" x14ac:dyDescent="0.25">
      <c r="A670" s="327" t="s">
        <v>642</v>
      </c>
      <c r="B670" s="271">
        <v>1620</v>
      </c>
      <c r="C670" s="271" t="str">
        <f>VLOOKUP(B670,Orgenheter!$A$1:$B$213,2,0)</f>
        <v>Inst för språkstudier</v>
      </c>
    </row>
    <row r="671" spans="1:3" ht="15.75" x14ac:dyDescent="0.25">
      <c r="A671" s="327" t="s">
        <v>641</v>
      </c>
      <c r="B671" s="271">
        <v>1620</v>
      </c>
      <c r="C671" s="271" t="str">
        <f>VLOOKUP(B671,Orgenheter!$A$1:$B$213,2,0)</f>
        <v>Inst för språkstudier</v>
      </c>
    </row>
    <row r="672" spans="1:3" ht="15.75" x14ac:dyDescent="0.25">
      <c r="A672" s="327" t="s">
        <v>1266</v>
      </c>
      <c r="B672" s="271">
        <v>1620</v>
      </c>
      <c r="C672" s="271" t="str">
        <f>VLOOKUP(B672,Orgenheter!$A$1:$B$213,2,0)</f>
        <v>Inst för språkstudier</v>
      </c>
    </row>
    <row r="673" spans="1:3" ht="15.75" x14ac:dyDescent="0.25">
      <c r="A673" s="327" t="s">
        <v>1294</v>
      </c>
      <c r="B673" s="271">
        <v>1620</v>
      </c>
      <c r="C673" s="271" t="str">
        <f>VLOOKUP(B673,Orgenheter!$A$1:$B$213,2,0)</f>
        <v>Inst för språkstudier</v>
      </c>
    </row>
    <row r="674" spans="1:3" ht="12.95" customHeight="1" x14ac:dyDescent="0.25">
      <c r="A674" s="271" t="s">
        <v>1373</v>
      </c>
      <c r="B674" s="271">
        <v>1620</v>
      </c>
      <c r="C674" s="271" t="str">
        <f>VLOOKUP(B674,Orgenheter!$A$1:$B$213,2,0)</f>
        <v>Inst för språkstudier</v>
      </c>
    </row>
    <row r="675" spans="1:3" ht="12.95" customHeight="1" x14ac:dyDescent="0.25">
      <c r="A675" s="271" t="s">
        <v>1822</v>
      </c>
      <c r="B675" s="271">
        <v>1620</v>
      </c>
      <c r="C675" s="271" t="str">
        <f>VLOOKUP(B675,Orgenheter!$A$1:$B$213,2,0)</f>
        <v>Inst för språkstudier</v>
      </c>
    </row>
    <row r="676" spans="1:3" ht="12.95" customHeight="1" x14ac:dyDescent="0.25">
      <c r="A676" s="327" t="s">
        <v>1640</v>
      </c>
      <c r="B676" s="271">
        <v>1620</v>
      </c>
      <c r="C676" s="271" t="str">
        <f>VLOOKUP(B676,Orgenheter!$A$1:$B$213,2,0)</f>
        <v>Inst för språkstudier</v>
      </c>
    </row>
    <row r="677" spans="1:3" ht="12.95" customHeight="1" x14ac:dyDescent="0.25">
      <c r="A677" s="454" t="s">
        <v>2002</v>
      </c>
      <c r="B677" s="271">
        <v>1620</v>
      </c>
      <c r="C677" s="271" t="str">
        <f>VLOOKUP(B677,Orgenheter!$A$1:$B$213,2,0)</f>
        <v>Inst för språkstudier</v>
      </c>
    </row>
    <row r="678" spans="1:3" ht="12.95" customHeight="1" x14ac:dyDescent="0.25">
      <c r="A678" s="454" t="s">
        <v>2003</v>
      </c>
      <c r="B678" s="271">
        <v>1620</v>
      </c>
      <c r="C678" s="271" t="str">
        <f>VLOOKUP(B678,Orgenheter!$A$1:$B$213,2,0)</f>
        <v>Inst för språkstudier</v>
      </c>
    </row>
    <row r="679" spans="1:3" ht="12.95" customHeight="1" x14ac:dyDescent="0.25">
      <c r="A679" s="271" t="s">
        <v>2051</v>
      </c>
      <c r="B679" s="271">
        <v>1620</v>
      </c>
      <c r="C679" s="271" t="str">
        <f>VLOOKUP(B679,Orgenheter!$A$1:$B$213,2,0)</f>
        <v>Inst för språkstudier</v>
      </c>
    </row>
    <row r="680" spans="1:3" ht="12.95" customHeight="1" x14ac:dyDescent="0.25">
      <c r="A680" s="427" t="s">
        <v>2090</v>
      </c>
      <c r="B680" s="427">
        <v>1620</v>
      </c>
      <c r="C680" s="271" t="str">
        <f>VLOOKUP(B680,Orgenheter!$A$1:$B$213,2,0)</f>
        <v>Inst för språkstudier</v>
      </c>
    </row>
    <row r="681" spans="1:3" ht="12.95" customHeight="1" x14ac:dyDescent="0.25">
      <c r="A681" s="59" t="s">
        <v>2091</v>
      </c>
      <c r="B681" s="427">
        <v>1620</v>
      </c>
      <c r="C681" s="271" t="str">
        <f>VLOOKUP(B681,Orgenheter!$A$1:$B$213,2,0)</f>
        <v>Inst för språkstudier</v>
      </c>
    </row>
    <row r="682" spans="1:3" x14ac:dyDescent="0.25">
      <c r="A682" s="271" t="s">
        <v>138</v>
      </c>
      <c r="B682" s="271">
        <v>2340</v>
      </c>
      <c r="C682" s="271" t="str">
        <f>VLOOKUP(B682,Orgenheter!$A$1:$B$213,2,0)</f>
        <v xml:space="preserve">Statsvetenskap                </v>
      </c>
    </row>
    <row r="683" spans="1:3" ht="12.95" customHeight="1" x14ac:dyDescent="0.25">
      <c r="A683" s="271" t="s">
        <v>98</v>
      </c>
      <c r="B683" s="271">
        <v>2340</v>
      </c>
      <c r="C683" s="271" t="str">
        <f>VLOOKUP(B683,Orgenheter!$A$1:$B$213,2,0)</f>
        <v xml:space="preserve">Statsvetenskap                </v>
      </c>
    </row>
    <row r="684" spans="1:3" x14ac:dyDescent="0.25">
      <c r="A684" s="271" t="s">
        <v>97</v>
      </c>
      <c r="B684" s="271">
        <v>2340</v>
      </c>
      <c r="C684" s="271" t="str">
        <f>VLOOKUP(B684,Orgenheter!$A$1:$B$213,2,0)</f>
        <v xml:space="preserve">Statsvetenskap                </v>
      </c>
    </row>
    <row r="685" spans="1:3" ht="12.95" customHeight="1" x14ac:dyDescent="0.25">
      <c r="A685" s="275" t="s">
        <v>512</v>
      </c>
      <c r="B685" s="273">
        <v>2340</v>
      </c>
      <c r="C685" s="271" t="str">
        <f>VLOOKUP(B685,Orgenheter!$A$1:$B$213,2,0)</f>
        <v xml:space="preserve">Statsvetenskap                </v>
      </c>
    </row>
    <row r="686" spans="1:3" ht="12.95" customHeight="1" x14ac:dyDescent="0.25">
      <c r="A686" s="275" t="s">
        <v>513</v>
      </c>
      <c r="B686" s="273">
        <v>2340</v>
      </c>
      <c r="C686" s="271" t="str">
        <f>VLOOKUP(B686,Orgenheter!$A$1:$B$213,2,0)</f>
        <v xml:space="preserve">Statsvetenskap                </v>
      </c>
    </row>
    <row r="687" spans="1:3" ht="15.75" x14ac:dyDescent="0.25">
      <c r="A687" s="275" t="s">
        <v>603</v>
      </c>
      <c r="B687" s="273">
        <v>2340</v>
      </c>
      <c r="C687" s="271" t="str">
        <f>VLOOKUP(B687,Orgenheter!$A$1:$B$213,2,0)</f>
        <v xml:space="preserve">Statsvetenskap                </v>
      </c>
    </row>
    <row r="688" spans="1:3" ht="15.75" x14ac:dyDescent="0.25">
      <c r="A688" s="275" t="s">
        <v>1043</v>
      </c>
      <c r="B688" s="273">
        <v>2340</v>
      </c>
      <c r="C688" s="271" t="str">
        <f>VLOOKUP(B688,Orgenheter!$A$1:$B$213,2,0)</f>
        <v xml:space="preserve">Statsvetenskap                </v>
      </c>
    </row>
    <row r="689" spans="1:3" ht="15.75" x14ac:dyDescent="0.25">
      <c r="A689" s="275" t="s">
        <v>1044</v>
      </c>
      <c r="B689" s="273">
        <v>2340</v>
      </c>
      <c r="C689" s="271" t="str">
        <f>VLOOKUP(B689,Orgenheter!$A$1:$B$213,2,0)</f>
        <v xml:space="preserve">Statsvetenskap                </v>
      </c>
    </row>
    <row r="690" spans="1:3" ht="15.75" x14ac:dyDescent="0.25">
      <c r="A690" s="275" t="s">
        <v>1045</v>
      </c>
      <c r="B690" s="273">
        <v>2340</v>
      </c>
      <c r="C690" s="271" t="str">
        <f>VLOOKUP(B690,Orgenheter!$A$1:$B$213,2,0)</f>
        <v xml:space="preserve">Statsvetenskap                </v>
      </c>
    </row>
    <row r="691" spans="1:3" x14ac:dyDescent="0.25">
      <c r="A691" s="271" t="s">
        <v>80</v>
      </c>
      <c r="B691" s="271">
        <v>1650</v>
      </c>
      <c r="C691" s="271" t="str">
        <f>VLOOKUP(B691,Orgenheter!$A$1:$B$213,2,0)</f>
        <v xml:space="preserve">Estetiska ämnen               </v>
      </c>
    </row>
    <row r="692" spans="1:3" x14ac:dyDescent="0.25">
      <c r="A692" s="271" t="s">
        <v>68</v>
      </c>
      <c r="B692" s="271">
        <v>1650</v>
      </c>
      <c r="C692" s="271" t="str">
        <f>VLOOKUP(B692,Orgenheter!$A$1:$B$213,2,0)</f>
        <v xml:space="preserve">Estetiska ämnen               </v>
      </c>
    </row>
    <row r="693" spans="1:3" ht="15.75" x14ac:dyDescent="0.25">
      <c r="A693" s="327" t="s">
        <v>333</v>
      </c>
      <c r="B693" s="271">
        <v>1650</v>
      </c>
      <c r="C693" s="271" t="str">
        <f>VLOOKUP(B693,Orgenheter!$A$1:$B$213,2,0)</f>
        <v xml:space="preserve">Estetiska ämnen               </v>
      </c>
    </row>
    <row r="694" spans="1:3" x14ac:dyDescent="0.25">
      <c r="A694" s="271" t="s">
        <v>152</v>
      </c>
      <c r="B694" s="271">
        <v>1650</v>
      </c>
      <c r="C694" s="271" t="str">
        <f>VLOOKUP(B694,Orgenheter!$A$1:$B$213,2,0)</f>
        <v xml:space="preserve">Estetiska ämnen               </v>
      </c>
    </row>
    <row r="695" spans="1:3" ht="12.95" customHeight="1" x14ac:dyDescent="0.25">
      <c r="A695" s="271" t="s">
        <v>82</v>
      </c>
      <c r="B695" s="271">
        <v>1650</v>
      </c>
      <c r="C695" s="271" t="str">
        <f>VLOOKUP(B695,Orgenheter!$A$1:$B$213,2,0)</f>
        <v xml:space="preserve">Estetiska ämnen               </v>
      </c>
    </row>
    <row r="696" spans="1:3" x14ac:dyDescent="0.25">
      <c r="A696" s="271" t="s">
        <v>479</v>
      </c>
      <c r="B696" s="271">
        <v>1650</v>
      </c>
      <c r="C696" s="271" t="str">
        <f>VLOOKUP(B696,Orgenheter!$A$1:$B$213,2,0)</f>
        <v xml:space="preserve">Estetiska ämnen               </v>
      </c>
    </row>
    <row r="697" spans="1:3" x14ac:dyDescent="0.25">
      <c r="A697" s="288" t="s">
        <v>527</v>
      </c>
      <c r="B697" s="271">
        <v>1650</v>
      </c>
      <c r="C697" s="271" t="str">
        <f>VLOOKUP(B697,Orgenheter!$A$1:$B$213,2,0)</f>
        <v xml:space="preserve">Estetiska ämnen               </v>
      </c>
    </row>
    <row r="698" spans="1:3" ht="12.95" customHeight="1" x14ac:dyDescent="0.25">
      <c r="A698" s="288" t="s">
        <v>648</v>
      </c>
      <c r="B698" s="271">
        <v>1650</v>
      </c>
      <c r="C698" s="271" t="str">
        <f>VLOOKUP(B698,Orgenheter!$A$1:$B$213,2,0)</f>
        <v xml:space="preserve">Estetiska ämnen               </v>
      </c>
    </row>
    <row r="699" spans="1:3" ht="12.95" customHeight="1" x14ac:dyDescent="0.25">
      <c r="A699" s="288" t="s">
        <v>769</v>
      </c>
      <c r="B699" s="271">
        <v>1650</v>
      </c>
      <c r="C699" s="271" t="str">
        <f>VLOOKUP(B699,Orgenheter!$A$1:$B$213,2,0)</f>
        <v xml:space="preserve">Estetiska ämnen               </v>
      </c>
    </row>
    <row r="700" spans="1:3" ht="12.95" customHeight="1" x14ac:dyDescent="0.25">
      <c r="A700" s="288" t="s">
        <v>569</v>
      </c>
      <c r="B700" s="271">
        <v>1650</v>
      </c>
      <c r="C700" s="271" t="str">
        <f>VLOOKUP(B700,Orgenheter!$A$1:$B$213,2,0)</f>
        <v xml:space="preserve">Estetiska ämnen               </v>
      </c>
    </row>
    <row r="701" spans="1:3" ht="12.95" customHeight="1" x14ac:dyDescent="0.25">
      <c r="A701" s="288" t="s">
        <v>647</v>
      </c>
      <c r="B701" s="271">
        <v>1650</v>
      </c>
      <c r="C701" s="271" t="str">
        <f>VLOOKUP(B701,Orgenheter!$A$1:$B$213,2,0)</f>
        <v xml:space="preserve">Estetiska ämnen               </v>
      </c>
    </row>
    <row r="702" spans="1:3" ht="12.95" customHeight="1" x14ac:dyDescent="0.25">
      <c r="A702" s="288" t="s">
        <v>1124</v>
      </c>
      <c r="B702" s="277">
        <v>1650</v>
      </c>
      <c r="C702" s="271" t="str">
        <f>VLOOKUP(B702,Orgenheter!$A$1:$B$213,2,0)</f>
        <v xml:space="preserve">Estetiska ämnen               </v>
      </c>
    </row>
    <row r="703" spans="1:3" ht="12.95" customHeight="1" x14ac:dyDescent="0.25">
      <c r="A703" s="277" t="s">
        <v>1751</v>
      </c>
      <c r="B703" s="271">
        <v>1650</v>
      </c>
      <c r="C703" s="271" t="str">
        <f>VLOOKUP(B703,Orgenheter!$A$1:$B$213,2,0)</f>
        <v xml:space="preserve">Estetiska ämnen               </v>
      </c>
    </row>
    <row r="704" spans="1:3" ht="12.95" customHeight="1" x14ac:dyDescent="0.25">
      <c r="A704" s="288" t="s">
        <v>1619</v>
      </c>
      <c r="B704" s="277">
        <v>1650</v>
      </c>
      <c r="C704" s="271" t="str">
        <f>VLOOKUP(B704,Orgenheter!$A$1:$B$213,2,0)</f>
        <v xml:space="preserve">Estetiska ämnen               </v>
      </c>
    </row>
    <row r="705" spans="1:3" ht="12.95" customHeight="1" x14ac:dyDescent="0.25">
      <c r="A705" s="288" t="s">
        <v>1620</v>
      </c>
      <c r="B705" s="277">
        <v>1650</v>
      </c>
      <c r="C705" s="271" t="str">
        <f>VLOOKUP(B705,Orgenheter!$A$1:$B$213,2,0)</f>
        <v xml:space="preserve">Estetiska ämnen               </v>
      </c>
    </row>
    <row r="706" spans="1:3" ht="12.95" customHeight="1" x14ac:dyDescent="0.25">
      <c r="A706" s="288" t="s">
        <v>1616</v>
      </c>
      <c r="B706" s="277">
        <v>1650</v>
      </c>
      <c r="C706" s="271" t="str">
        <f>VLOOKUP(B706,Orgenheter!$A$1:$B$213,2,0)</f>
        <v xml:space="preserve">Estetiska ämnen               </v>
      </c>
    </row>
    <row r="707" spans="1:3" ht="12.95" customHeight="1" x14ac:dyDescent="0.25">
      <c r="A707" s="31" t="s">
        <v>1866</v>
      </c>
      <c r="B707" s="277">
        <v>1650</v>
      </c>
      <c r="C707" s="271" t="str">
        <f>VLOOKUP(B707,Orgenheter!$A$1:$B$213,2,0)</f>
        <v xml:space="preserve">Estetiska ämnen               </v>
      </c>
    </row>
    <row r="708" spans="1:3" ht="12.95" customHeight="1" x14ac:dyDescent="0.25">
      <c r="A708" s="277" t="s">
        <v>1877</v>
      </c>
      <c r="B708" s="271">
        <v>1650</v>
      </c>
      <c r="C708" s="271" t="str">
        <f>VLOOKUP(B708,Orgenheter!$A$1:$B$213,2,0)</f>
        <v xml:space="preserve">Estetiska ämnen               </v>
      </c>
    </row>
    <row r="709" spans="1:3" ht="12.95" customHeight="1" x14ac:dyDescent="0.25">
      <c r="A709" s="288" t="s">
        <v>1524</v>
      </c>
      <c r="B709" s="277">
        <v>1620</v>
      </c>
      <c r="C709" s="271" t="str">
        <f>VLOOKUP(B709,Orgenheter!$A$1:$B$213,2,0)</f>
        <v>Inst för språkstudier</v>
      </c>
    </row>
    <row r="710" spans="1:3" ht="12.95" customHeight="1" x14ac:dyDescent="0.25">
      <c r="A710" s="288" t="s">
        <v>1525</v>
      </c>
      <c r="B710" s="277">
        <v>1620</v>
      </c>
      <c r="C710" s="271" t="str">
        <f>VLOOKUP(B710,Orgenheter!$A$1:$B$213,2,0)</f>
        <v>Inst för språkstudier</v>
      </c>
    </row>
    <row r="711" spans="1:3" ht="12.95" customHeight="1" x14ac:dyDescent="0.25">
      <c r="A711" s="288" t="s">
        <v>1782</v>
      </c>
      <c r="B711" s="277">
        <v>1620</v>
      </c>
      <c r="C711" s="271" t="str">
        <f>VLOOKUP(B711,Orgenheter!$A$1:$B$213,2,0)</f>
        <v>Inst för språkstudier</v>
      </c>
    </row>
    <row r="712" spans="1:3" ht="12.95" customHeight="1" x14ac:dyDescent="0.25">
      <c r="A712" s="288" t="s">
        <v>1783</v>
      </c>
      <c r="B712" s="277">
        <v>1620</v>
      </c>
      <c r="C712" s="271" t="str">
        <f>VLOOKUP(B712,Orgenheter!$A$1:$B$213,2,0)</f>
        <v>Inst för språkstudier</v>
      </c>
    </row>
    <row r="713" spans="1:3" ht="12.95" customHeight="1" x14ac:dyDescent="0.25">
      <c r="A713" s="288" t="s">
        <v>1784</v>
      </c>
      <c r="B713" s="277">
        <v>1620</v>
      </c>
      <c r="C713" s="271" t="str">
        <f>VLOOKUP(B713,Orgenheter!$A$1:$B$213,2,0)</f>
        <v>Inst för språkstudier</v>
      </c>
    </row>
    <row r="714" spans="1:3" ht="12.95" customHeight="1" x14ac:dyDescent="0.25">
      <c r="A714" s="271" t="s">
        <v>1780</v>
      </c>
      <c r="B714" s="271">
        <v>1620</v>
      </c>
      <c r="C714" s="271" t="str">
        <f>VLOOKUP(B714,Orgenheter!$A$1:$B$213,2,0)</f>
        <v>Inst för språkstudier</v>
      </c>
    </row>
    <row r="715" spans="1:3" ht="12.95" customHeight="1" x14ac:dyDescent="0.25">
      <c r="A715" s="447" t="s">
        <v>2005</v>
      </c>
      <c r="B715" s="446">
        <v>2750</v>
      </c>
      <c r="C715" s="271" t="str">
        <f>VLOOKUP(B715,Orgenheter!$A$1:$B$213,2,0)</f>
        <v xml:space="preserve">Kostvetenskap                 </v>
      </c>
    </row>
    <row r="716" spans="1:3" ht="12.95" customHeight="1" x14ac:dyDescent="0.25">
      <c r="A716" s="446" t="s">
        <v>2006</v>
      </c>
      <c r="B716" s="446">
        <v>1620</v>
      </c>
      <c r="C716" s="271" t="str">
        <f>VLOOKUP(B716,Orgenheter!$A$1:$B$213,2,0)</f>
        <v>Inst för språkstudier</v>
      </c>
    </row>
    <row r="717" spans="1:3" x14ac:dyDescent="0.25">
      <c r="A717" s="288" t="s">
        <v>339</v>
      </c>
      <c r="B717" s="271">
        <v>2193</v>
      </c>
      <c r="C717" s="271" t="str">
        <f>VLOOKUP(B717,Orgenheter!$A$1:$B$213,2,0)</f>
        <v xml:space="preserve">TUV </v>
      </c>
    </row>
    <row r="718" spans="1:3" x14ac:dyDescent="0.25">
      <c r="A718" s="277" t="s">
        <v>372</v>
      </c>
      <c r="B718" s="271">
        <v>2193</v>
      </c>
      <c r="C718" s="271" t="str">
        <f>VLOOKUP(B718,Orgenheter!$A$1:$B$213,2,0)</f>
        <v xml:space="preserve">TUV </v>
      </c>
    </row>
    <row r="719" spans="1:3" ht="12.95" customHeight="1" x14ac:dyDescent="0.25">
      <c r="A719" s="275" t="s">
        <v>514</v>
      </c>
      <c r="B719" s="273">
        <v>2180</v>
      </c>
      <c r="C719" s="271" t="str">
        <f>VLOOKUP(B719,Orgenheter!$A$1:$B$213,2,0)</f>
        <v xml:space="preserve">Pedagogik                     </v>
      </c>
    </row>
    <row r="720" spans="1:3" ht="12.95" customHeight="1" x14ac:dyDescent="0.25">
      <c r="A720" s="275" t="s">
        <v>1276</v>
      </c>
      <c r="B720" s="273">
        <v>2180</v>
      </c>
      <c r="C720" s="271" t="str">
        <f>VLOOKUP(B720,Orgenheter!$A$1:$B$213,2,0)</f>
        <v xml:space="preserve">Pedagogik                     </v>
      </c>
    </row>
    <row r="721" spans="1:3" ht="12.95" customHeight="1" x14ac:dyDescent="0.25">
      <c r="A721" s="271" t="s">
        <v>1923</v>
      </c>
      <c r="B721" s="271">
        <v>2180</v>
      </c>
      <c r="C721" s="271" t="str">
        <f>VLOOKUP(B721,Orgenheter!$A$1:$B$213,2,0)</f>
        <v xml:space="preserve">Pedagogik                     </v>
      </c>
    </row>
    <row r="722" spans="1:3" ht="12.95" customHeight="1" x14ac:dyDescent="0.25">
      <c r="A722" s="271" t="s">
        <v>1926</v>
      </c>
      <c r="B722" s="271">
        <v>2180</v>
      </c>
      <c r="C722" s="271" t="str">
        <f>VLOOKUP(B722,Orgenheter!$A$1:$B$213,2,0)</f>
        <v xml:space="preserve">Pedagogik                     </v>
      </c>
    </row>
    <row r="723" spans="1:3" ht="12.95" customHeight="1" x14ac:dyDescent="0.25">
      <c r="A723" s="427" t="s">
        <v>1925</v>
      </c>
      <c r="B723" s="427">
        <v>2193</v>
      </c>
      <c r="C723" s="271" t="str">
        <f>VLOOKUP(B723,Orgenheter!$A$1:$B$213,2,0)</f>
        <v xml:space="preserve">TUV </v>
      </c>
    </row>
    <row r="724" spans="1:3" ht="12.95" customHeight="1" x14ac:dyDescent="0.25">
      <c r="A724" s="271" t="s">
        <v>2047</v>
      </c>
      <c r="B724" s="271">
        <v>2180</v>
      </c>
      <c r="C724" s="271" t="str">
        <f>VLOOKUP(B724,Orgenheter!$A$1:$B$213,2,0)</f>
        <v xml:space="preserve">Pedagogik                     </v>
      </c>
    </row>
    <row r="725" spans="1:3" ht="12.95" customHeight="1" x14ac:dyDescent="0.25">
      <c r="A725" s="275" t="s">
        <v>2049</v>
      </c>
      <c r="B725" s="273">
        <v>2180</v>
      </c>
      <c r="C725" s="271" t="str">
        <f>VLOOKUP(B725,Orgenheter!$A$1:$B$213,2,0)</f>
        <v xml:space="preserve">Pedagogik                     </v>
      </c>
    </row>
    <row r="726" spans="1:3" ht="12.95" customHeight="1" x14ac:dyDescent="0.25">
      <c r="A726" s="275" t="s">
        <v>2048</v>
      </c>
      <c r="B726" s="273">
        <v>2180</v>
      </c>
      <c r="C726" s="271" t="str">
        <f>VLOOKUP(B726,Orgenheter!$A$1:$B$213,2,0)</f>
        <v xml:space="preserve">Pedagogik                     </v>
      </c>
    </row>
    <row r="727" spans="1:3" ht="12.95" customHeight="1" x14ac:dyDescent="0.25">
      <c r="A727" s="453" t="s">
        <v>2101</v>
      </c>
      <c r="B727" s="446">
        <v>2193</v>
      </c>
      <c r="C727" s="271" t="str">
        <f>VLOOKUP(B727,Orgenheter!$A$1:$B$213,2,0)</f>
        <v xml:space="preserve">TUV </v>
      </c>
    </row>
    <row r="728" spans="1:3" ht="12.95" customHeight="1" x14ac:dyDescent="0.25">
      <c r="A728" s="495" t="s">
        <v>2050</v>
      </c>
      <c r="B728" s="496">
        <v>2193</v>
      </c>
      <c r="C728" s="271" t="str">
        <f>VLOOKUP(B728,Orgenheter!$A$1:$B$213,2,0)</f>
        <v xml:space="preserve">TUV </v>
      </c>
    </row>
    <row r="729" spans="1:3" ht="12.95" customHeight="1" x14ac:dyDescent="0.25">
      <c r="A729" s="31" t="s">
        <v>2076</v>
      </c>
      <c r="B729" s="427">
        <v>2180</v>
      </c>
      <c r="C729" s="271" t="str">
        <f>VLOOKUP(B729,Orgenheter!$A$1:$B$213,2,0)</f>
        <v xml:space="preserve">Pedagogik                     </v>
      </c>
    </row>
    <row r="730" spans="1:3" ht="12.95" customHeight="1" x14ac:dyDescent="0.25">
      <c r="A730" s="31" t="s">
        <v>2080</v>
      </c>
      <c r="B730" s="427">
        <v>2180</v>
      </c>
      <c r="C730" s="271" t="str">
        <f>VLOOKUP(B730,Orgenheter!$A$1:$B$213,2,0)</f>
        <v xml:space="preserve">Pedagogik                     </v>
      </c>
    </row>
    <row r="731" spans="1:3" ht="12.95" customHeight="1" x14ac:dyDescent="0.25">
      <c r="A731" s="31" t="s">
        <v>2078</v>
      </c>
      <c r="B731" s="427">
        <v>2180</v>
      </c>
      <c r="C731" s="271" t="str">
        <f>VLOOKUP(B731,Orgenheter!$A$1:$B$213,2,0)</f>
        <v xml:space="preserve">Pedagogik                     </v>
      </c>
    </row>
    <row r="732" spans="1:3" ht="12.95" customHeight="1" x14ac:dyDescent="0.25">
      <c r="A732" s="271" t="s">
        <v>101</v>
      </c>
      <c r="B732" s="271">
        <v>2340</v>
      </c>
      <c r="C732" s="271" t="str">
        <f>VLOOKUP(B732,Orgenheter!$A$1:$B$213,2,0)</f>
        <v xml:space="preserve">Statsvetenskap                </v>
      </c>
    </row>
    <row r="733" spans="1:3" ht="12.95" customHeight="1" x14ac:dyDescent="0.25">
      <c r="A733" s="277" t="s">
        <v>102</v>
      </c>
      <c r="B733" s="277">
        <v>2340</v>
      </c>
      <c r="C733" s="271" t="str">
        <f>VLOOKUP(B733,Orgenheter!$A$1:$B$213,2,0)</f>
        <v xml:space="preserve">Statsvetenskap                </v>
      </c>
    </row>
    <row r="734" spans="1:3" ht="12.95" customHeight="1" x14ac:dyDescent="0.25">
      <c r="A734" s="277" t="s">
        <v>128</v>
      </c>
      <c r="B734" s="277">
        <v>2340</v>
      </c>
      <c r="C734" s="271" t="str">
        <f>VLOOKUP(B734,Orgenheter!$A$1:$B$213,2,0)</f>
        <v xml:space="preserve">Statsvetenskap                </v>
      </c>
    </row>
    <row r="735" spans="1:3" ht="12.95" customHeight="1" x14ac:dyDescent="0.25">
      <c r="A735" s="277" t="s">
        <v>353</v>
      </c>
      <c r="B735" s="277">
        <v>2340</v>
      </c>
      <c r="C735" s="271" t="str">
        <f>VLOOKUP(B735,Orgenheter!$A$1:$B$213,2,0)</f>
        <v xml:space="preserve">Statsvetenskap                </v>
      </c>
    </row>
    <row r="736" spans="1:3" ht="12.95" customHeight="1" x14ac:dyDescent="0.25">
      <c r="A736" s="277" t="s">
        <v>127</v>
      </c>
      <c r="B736" s="277">
        <v>2340</v>
      </c>
      <c r="C736" s="271" t="str">
        <f>VLOOKUP(B736,Orgenheter!$A$1:$B$213,2,0)</f>
        <v xml:space="preserve">Statsvetenskap                </v>
      </c>
    </row>
    <row r="737" spans="1:3" ht="12.95" customHeight="1" x14ac:dyDescent="0.25">
      <c r="A737" s="271" t="s">
        <v>879</v>
      </c>
      <c r="B737" s="271">
        <v>2340</v>
      </c>
      <c r="C737" s="271" t="str">
        <f>VLOOKUP(B737,Orgenheter!$A$1:$B$213,2,0)</f>
        <v xml:space="preserve">Statsvetenskap                </v>
      </c>
    </row>
    <row r="738" spans="1:3" ht="12.95" customHeight="1" x14ac:dyDescent="0.25">
      <c r="A738" s="271" t="s">
        <v>515</v>
      </c>
      <c r="B738" s="271">
        <v>2340</v>
      </c>
      <c r="C738" s="271" t="str">
        <f>VLOOKUP(B738,Orgenheter!$A$1:$B$213,2,0)</f>
        <v xml:space="preserve">Statsvetenskap                </v>
      </c>
    </row>
    <row r="739" spans="1:3" ht="12.95" customHeight="1" x14ac:dyDescent="0.25">
      <c r="A739" s="508" t="s">
        <v>2200</v>
      </c>
      <c r="B739" s="499">
        <v>2340</v>
      </c>
      <c r="C739" s="271" t="str">
        <f>VLOOKUP(B739,Orgenheter!$A$1:$B$213,2,0)</f>
        <v xml:space="preserve">Statsvetenskap                </v>
      </c>
    </row>
    <row r="740" spans="1:3" ht="12.95" customHeight="1" x14ac:dyDescent="0.25">
      <c r="A740" s="508" t="s">
        <v>2201</v>
      </c>
      <c r="B740" s="499">
        <v>2340</v>
      </c>
      <c r="C740" s="271" t="str">
        <f>VLOOKUP(B740,Orgenheter!$A$1:$B$213,2,0)</f>
        <v xml:space="preserve">Statsvetenskap                </v>
      </c>
    </row>
    <row r="741" spans="1:3" ht="12.95" customHeight="1" x14ac:dyDescent="0.25">
      <c r="A741" s="271" t="s">
        <v>100</v>
      </c>
      <c r="B741" s="271">
        <v>1640</v>
      </c>
      <c r="C741" s="271" t="str">
        <f>VLOOKUP(B741,Orgenheter!$A$1:$B$213,2,0)</f>
        <v>Inst för kultur- o medievetenskap</v>
      </c>
    </row>
    <row r="742" spans="1:3" ht="12.95" customHeight="1" x14ac:dyDescent="0.25">
      <c r="A742" s="275" t="s">
        <v>516</v>
      </c>
      <c r="B742" s="273">
        <v>1620</v>
      </c>
      <c r="C742" s="271" t="str">
        <f>VLOOKUP(B742,Orgenheter!$A$1:$B$213,2,0)</f>
        <v>Inst för språkstudier</v>
      </c>
    </row>
    <row r="743" spans="1:3" ht="12.95" customHeight="1" x14ac:dyDescent="0.25">
      <c r="A743" s="275" t="s">
        <v>517</v>
      </c>
      <c r="B743" s="273">
        <v>1620</v>
      </c>
      <c r="C743" s="271" t="str">
        <f>VLOOKUP(B743,Orgenheter!$A$1:$B$213,2,0)</f>
        <v>Inst för språkstudier</v>
      </c>
    </row>
    <row r="744" spans="1:3" ht="12.95" customHeight="1" x14ac:dyDescent="0.25">
      <c r="A744" s="275" t="s">
        <v>518</v>
      </c>
      <c r="B744" s="273">
        <v>1620</v>
      </c>
      <c r="C744" s="271" t="str">
        <f>VLOOKUP(B744,Orgenheter!$A$1:$B$213,2,0)</f>
        <v>Inst för språkstudier</v>
      </c>
    </row>
    <row r="745" spans="1:3" ht="12.95" customHeight="1" x14ac:dyDescent="0.25">
      <c r="A745" s="275" t="s">
        <v>604</v>
      </c>
      <c r="B745" s="273">
        <v>1620</v>
      </c>
      <c r="C745" s="271" t="str">
        <f>VLOOKUP(B745,Orgenheter!$A$1:$B$213,2,0)</f>
        <v>Inst för språkstudier</v>
      </c>
    </row>
    <row r="746" spans="1:3" ht="15.75" x14ac:dyDescent="0.25">
      <c r="A746" s="275" t="s">
        <v>519</v>
      </c>
      <c r="B746" s="273">
        <v>1620</v>
      </c>
      <c r="C746" s="271" t="str">
        <f>VLOOKUP(B746,Orgenheter!$A$1:$B$213,2,0)</f>
        <v>Inst för språkstudier</v>
      </c>
    </row>
    <row r="747" spans="1:3" ht="15.75" x14ac:dyDescent="0.25">
      <c r="A747" s="275" t="s">
        <v>520</v>
      </c>
      <c r="B747" s="273">
        <v>1620</v>
      </c>
      <c r="C747" s="271" t="str">
        <f>VLOOKUP(B747,Orgenheter!$A$1:$B$213,2,0)</f>
        <v>Inst för språkstudier</v>
      </c>
    </row>
    <row r="748" spans="1:3" ht="12.95" customHeight="1" x14ac:dyDescent="0.25">
      <c r="A748" s="275" t="s">
        <v>605</v>
      </c>
      <c r="B748" s="273">
        <v>1620</v>
      </c>
      <c r="C748" s="271" t="str">
        <f>VLOOKUP(B748,Orgenheter!$A$1:$B$213,2,0)</f>
        <v>Inst för språkstudier</v>
      </c>
    </row>
    <row r="749" spans="1:3" ht="15.75" x14ac:dyDescent="0.25">
      <c r="A749" s="275" t="s">
        <v>521</v>
      </c>
      <c r="B749" s="273">
        <v>1620</v>
      </c>
      <c r="C749" s="271" t="str">
        <f>VLOOKUP(B749,Orgenheter!$A$1:$B$213,2,0)</f>
        <v>Inst för språkstudier</v>
      </c>
    </row>
    <row r="750" spans="1:3" ht="15.75" x14ac:dyDescent="0.25">
      <c r="A750" s="275" t="s">
        <v>606</v>
      </c>
      <c r="B750" s="273">
        <v>1620</v>
      </c>
      <c r="C750" s="271" t="str">
        <f>VLOOKUP(B750,Orgenheter!$A$1:$B$213,2,0)</f>
        <v>Inst för språkstudier</v>
      </c>
    </row>
    <row r="751" spans="1:3" x14ac:dyDescent="0.25">
      <c r="A751" s="288" t="s">
        <v>880</v>
      </c>
      <c r="B751" s="271">
        <v>1620</v>
      </c>
      <c r="C751" s="271" t="str">
        <f>VLOOKUP(B751,Orgenheter!$A$1:$B$213,2,0)</f>
        <v>Inst för språkstudier</v>
      </c>
    </row>
    <row r="752" spans="1:3" x14ac:dyDescent="0.25">
      <c r="A752" s="288" t="s">
        <v>881</v>
      </c>
      <c r="B752" s="271">
        <v>1620</v>
      </c>
      <c r="C752" s="271" t="str">
        <f>VLOOKUP(B752,Orgenheter!$A$1:$B$213,2,0)</f>
        <v>Inst för språkstudier</v>
      </c>
    </row>
    <row r="753" spans="1:3" x14ac:dyDescent="0.25">
      <c r="A753" s="288" t="s">
        <v>1046</v>
      </c>
      <c r="B753" s="271">
        <v>1620</v>
      </c>
      <c r="C753" s="271" t="str">
        <f>VLOOKUP(B753,Orgenheter!$A$1:$B$213,2,0)</f>
        <v>Inst för språkstudier</v>
      </c>
    </row>
    <row r="754" spans="1:3" ht="15.75" x14ac:dyDescent="0.25">
      <c r="A754" s="275" t="s">
        <v>939</v>
      </c>
      <c r="B754" s="333">
        <v>1620</v>
      </c>
      <c r="C754" s="271" t="str">
        <f>VLOOKUP(B754,Orgenheter!$A$1:$B$213,2,0)</f>
        <v>Inst för språkstudier</v>
      </c>
    </row>
    <row r="755" spans="1:3" ht="15.75" x14ac:dyDescent="0.25">
      <c r="A755" s="275" t="s">
        <v>1086</v>
      </c>
      <c r="B755" s="333">
        <v>1620</v>
      </c>
      <c r="C755" s="271" t="str">
        <f>VLOOKUP(B755,Orgenheter!$A$1:$B$213,2,0)</f>
        <v>Inst för språkstudier</v>
      </c>
    </row>
    <row r="756" spans="1:3" ht="15.75" x14ac:dyDescent="0.25">
      <c r="A756" s="275" t="s">
        <v>1072</v>
      </c>
      <c r="B756" s="333">
        <v>1620</v>
      </c>
      <c r="C756" s="271" t="str">
        <f>VLOOKUP(B756,Orgenheter!$A$1:$B$213,2,0)</f>
        <v>Inst för språkstudier</v>
      </c>
    </row>
    <row r="757" spans="1:3" ht="15.75" x14ac:dyDescent="0.25">
      <c r="A757" s="275" t="s">
        <v>1078</v>
      </c>
      <c r="B757" s="333">
        <v>1620</v>
      </c>
      <c r="C757" s="271" t="str">
        <f>VLOOKUP(B757,Orgenheter!$A$1:$B$213,2,0)</f>
        <v>Inst för språkstudier</v>
      </c>
    </row>
    <row r="758" spans="1:3" ht="15.75" x14ac:dyDescent="0.25">
      <c r="A758" s="275" t="s">
        <v>1823</v>
      </c>
      <c r="B758" s="333">
        <v>1620</v>
      </c>
      <c r="C758" s="271" t="str">
        <f>VLOOKUP(B758,Orgenheter!$A$1:$B$213,2,0)</f>
        <v>Inst för språkstudier</v>
      </c>
    </row>
    <row r="759" spans="1:3" ht="12.95" customHeight="1" x14ac:dyDescent="0.25">
      <c r="A759" s="271" t="s">
        <v>1375</v>
      </c>
      <c r="B759" s="271">
        <v>1620</v>
      </c>
      <c r="C759" s="271" t="str">
        <f>VLOOKUP(B759,Orgenheter!$A$1:$B$213,2,0)</f>
        <v>Inst för språkstudier</v>
      </c>
    </row>
    <row r="760" spans="1:3" ht="12.95" customHeight="1" x14ac:dyDescent="0.25">
      <c r="A760" s="271" t="s">
        <v>1376</v>
      </c>
      <c r="B760" s="271">
        <v>1620</v>
      </c>
      <c r="C760" s="271" t="str">
        <f>VLOOKUP(B760,Orgenheter!$A$1:$B$213,2,0)</f>
        <v>Inst för språkstudier</v>
      </c>
    </row>
    <row r="761" spans="1:3" ht="12.95" customHeight="1" x14ac:dyDescent="0.25">
      <c r="A761" s="271" t="s">
        <v>1378</v>
      </c>
      <c r="B761" s="271">
        <v>1620</v>
      </c>
      <c r="C761" s="271" t="str">
        <f>VLOOKUP(B761,Orgenheter!$A$1:$B$213,2,0)</f>
        <v>Inst för språkstudier</v>
      </c>
    </row>
    <row r="762" spans="1:3" ht="12.95" customHeight="1" x14ac:dyDescent="0.25">
      <c r="A762" s="271" t="s">
        <v>1638</v>
      </c>
      <c r="B762" s="271">
        <v>1620</v>
      </c>
      <c r="C762" s="271" t="str">
        <f>VLOOKUP(B762,Orgenheter!$A$1:$B$213,2,0)</f>
        <v>Inst för språkstudier</v>
      </c>
    </row>
    <row r="763" spans="1:3" ht="12.95" customHeight="1" x14ac:dyDescent="0.25">
      <c r="A763" s="271" t="s">
        <v>1824</v>
      </c>
      <c r="B763" s="271">
        <v>1620</v>
      </c>
      <c r="C763" s="271" t="str">
        <f>VLOOKUP(B763,Orgenheter!$A$1:$B$213,2,0)</f>
        <v>Inst för språkstudier</v>
      </c>
    </row>
    <row r="764" spans="1:3" ht="12.95" customHeight="1" x14ac:dyDescent="0.25">
      <c r="A764" s="271" t="s">
        <v>1639</v>
      </c>
      <c r="B764" s="271">
        <v>1620</v>
      </c>
      <c r="C764" s="271" t="str">
        <f>VLOOKUP(B764,Orgenheter!$A$1:$B$213,2,0)</f>
        <v>Inst för språkstudier</v>
      </c>
    </row>
    <row r="765" spans="1:3" ht="12.95" customHeight="1" x14ac:dyDescent="0.25">
      <c r="A765" s="271" t="s">
        <v>1825</v>
      </c>
      <c r="B765" s="271">
        <v>1620</v>
      </c>
      <c r="C765" s="271" t="str">
        <f>VLOOKUP(B765,Orgenheter!$A$1:$B$213,2,0)</f>
        <v>Inst för språkstudier</v>
      </c>
    </row>
    <row r="766" spans="1:3" x14ac:dyDescent="0.25">
      <c r="A766" s="245" t="s">
        <v>1898</v>
      </c>
      <c r="B766" s="333">
        <v>1620</v>
      </c>
      <c r="C766" s="271" t="str">
        <f>VLOOKUP(B766,Orgenheter!$A$1:$B$213,2,0)</f>
        <v>Inst för språkstudier</v>
      </c>
    </row>
    <row r="767" spans="1:3" x14ac:dyDescent="0.25">
      <c r="A767" s="245" t="s">
        <v>1897</v>
      </c>
      <c r="B767" s="273">
        <v>1620</v>
      </c>
      <c r="C767" s="271" t="str">
        <f>VLOOKUP(B767,Orgenheter!$A$1:$B$213,2,0)</f>
        <v>Inst för språkstudier</v>
      </c>
    </row>
    <row r="768" spans="1:3" ht="15.75" x14ac:dyDescent="0.25">
      <c r="A768" s="275" t="s">
        <v>1993</v>
      </c>
      <c r="B768" s="333">
        <v>1620</v>
      </c>
      <c r="C768" s="271" t="str">
        <f>VLOOKUP(B768,Orgenheter!$A$1:$B$213,2,0)</f>
        <v>Inst för språkstudier</v>
      </c>
    </row>
    <row r="769" spans="1:3" ht="15.75" x14ac:dyDescent="0.25">
      <c r="A769" s="495" t="s">
        <v>2202</v>
      </c>
      <c r="B769" s="574">
        <v>1620</v>
      </c>
      <c r="C769" s="271" t="str">
        <f>VLOOKUP(B769,Orgenheter!$A$1:$B$213,2,0)</f>
        <v>Inst för språkstudier</v>
      </c>
    </row>
    <row r="770" spans="1:3" ht="15.75" x14ac:dyDescent="0.25">
      <c r="A770" s="495" t="s">
        <v>2203</v>
      </c>
      <c r="B770" s="574">
        <v>1620</v>
      </c>
      <c r="C770" s="271" t="str">
        <f>VLOOKUP(B770,Orgenheter!$A$1:$B$213,2,0)</f>
        <v>Inst för språkstudier</v>
      </c>
    </row>
    <row r="771" spans="1:3" ht="15.75" x14ac:dyDescent="0.25">
      <c r="A771" s="275" t="s">
        <v>1994</v>
      </c>
      <c r="B771" s="333">
        <v>1620</v>
      </c>
      <c r="C771" s="271" t="str">
        <f>VLOOKUP(B771,Orgenheter!$A$1:$B$213,2,0)</f>
        <v>Inst för språkstudier</v>
      </c>
    </row>
    <row r="772" spans="1:3" ht="15.75" x14ac:dyDescent="0.25">
      <c r="A772" s="495" t="s">
        <v>2204</v>
      </c>
      <c r="B772" s="574">
        <v>1620</v>
      </c>
      <c r="C772" s="271" t="str">
        <f>VLOOKUP(B772,Orgenheter!$A$1:$B$213,2,0)</f>
        <v>Inst för språkstudier</v>
      </c>
    </row>
    <row r="773" spans="1:3" ht="15.75" x14ac:dyDescent="0.25">
      <c r="A773" s="495" t="s">
        <v>2205</v>
      </c>
      <c r="B773" s="574">
        <v>1620</v>
      </c>
      <c r="C773" s="271" t="str">
        <f>VLOOKUP(B773,Orgenheter!$A$1:$B$213,2,0)</f>
        <v>Inst för språkstudier</v>
      </c>
    </row>
    <row r="774" spans="1:3" ht="15.75" x14ac:dyDescent="0.25">
      <c r="A774" s="449" t="s">
        <v>1995</v>
      </c>
      <c r="B774" s="333">
        <v>1620</v>
      </c>
      <c r="C774" s="271" t="str">
        <f>VLOOKUP(B774,Orgenheter!$A$1:$B$213,2,0)</f>
        <v>Inst för språkstudier</v>
      </c>
    </row>
    <row r="775" spans="1:3" ht="15.75" x14ac:dyDescent="0.25">
      <c r="A775" s="449" t="s">
        <v>1996</v>
      </c>
      <c r="B775" s="333">
        <v>1620</v>
      </c>
      <c r="C775" s="271" t="str">
        <f>VLOOKUP(B775,Orgenheter!$A$1:$B$213,2,0)</f>
        <v>Inst för språkstudier</v>
      </c>
    </row>
    <row r="776" spans="1:3" ht="15.75" x14ac:dyDescent="0.25">
      <c r="A776" s="449" t="s">
        <v>1997</v>
      </c>
      <c r="B776" s="333">
        <v>1620</v>
      </c>
      <c r="C776" s="271" t="str">
        <f>VLOOKUP(B776,Orgenheter!$A$1:$B$213,2,0)</f>
        <v>Inst för språkstudier</v>
      </c>
    </row>
    <row r="777" spans="1:3" ht="15.75" x14ac:dyDescent="0.25">
      <c r="A777" s="449" t="s">
        <v>1998</v>
      </c>
      <c r="B777" s="333">
        <v>1620</v>
      </c>
      <c r="C777" s="271" t="str">
        <f>VLOOKUP(B777,Orgenheter!$A$1:$B$213,2,0)</f>
        <v>Inst för språkstudier</v>
      </c>
    </row>
    <row r="778" spans="1:3" ht="15.75" x14ac:dyDescent="0.25">
      <c r="A778" s="449" t="s">
        <v>1999</v>
      </c>
      <c r="B778" s="451">
        <v>1620</v>
      </c>
      <c r="C778" s="271" t="str">
        <f>VLOOKUP(B778,Orgenheter!$A$1:$B$213,2,0)</f>
        <v>Inst för språkstudier</v>
      </c>
    </row>
    <row r="779" spans="1:3" ht="15.75" x14ac:dyDescent="0.25">
      <c r="A779" s="495" t="s">
        <v>2131</v>
      </c>
      <c r="B779" s="451">
        <v>1620</v>
      </c>
      <c r="C779" s="271" t="str">
        <f>VLOOKUP(B779,Orgenheter!$A$1:$B$213,2,0)</f>
        <v>Inst för språkstudier</v>
      </c>
    </row>
    <row r="780" spans="1:3" ht="15.75" x14ac:dyDescent="0.25">
      <c r="A780" s="495" t="s">
        <v>2132</v>
      </c>
      <c r="B780" s="451">
        <v>1620</v>
      </c>
      <c r="C780" s="271" t="str">
        <f>VLOOKUP(B780,Orgenheter!$A$1:$B$213,2,0)</f>
        <v>Inst för språkstudier</v>
      </c>
    </row>
    <row r="781" spans="1:3" ht="12.95" customHeight="1" x14ac:dyDescent="0.25">
      <c r="A781" s="446" t="s">
        <v>2154</v>
      </c>
      <c r="B781" s="446">
        <v>1620</v>
      </c>
      <c r="C781" s="271" t="str">
        <f>VLOOKUP(B781,Orgenheter!$A$1:$B$213,2,0)</f>
        <v>Inst för språkstudier</v>
      </c>
    </row>
    <row r="782" spans="1:3" x14ac:dyDescent="0.25">
      <c r="A782" s="271" t="s">
        <v>148</v>
      </c>
      <c r="B782" s="271">
        <v>2193</v>
      </c>
      <c r="C782" s="271" t="str">
        <f>VLOOKUP(B782,Orgenheter!$A$1:$B$213,2,0)</f>
        <v xml:space="preserve">TUV </v>
      </c>
    </row>
    <row r="783" spans="1:3" ht="12.95" customHeight="1" x14ac:dyDescent="0.25">
      <c r="A783" s="271" t="s">
        <v>150</v>
      </c>
      <c r="B783" s="271">
        <v>2193</v>
      </c>
      <c r="C783" s="271" t="str">
        <f>VLOOKUP(B783,Orgenheter!$A$1:$B$213,2,0)</f>
        <v xml:space="preserve">TUV </v>
      </c>
    </row>
    <row r="784" spans="1:3" ht="12.95" customHeight="1" x14ac:dyDescent="0.25">
      <c r="A784" s="271" t="s">
        <v>354</v>
      </c>
      <c r="B784" s="271">
        <v>2180</v>
      </c>
      <c r="C784" s="271" t="str">
        <f>VLOOKUP(B784,Orgenheter!$A$1:$B$213,2,0)</f>
        <v xml:space="preserve">Pedagogik                     </v>
      </c>
    </row>
    <row r="785" spans="1:3" ht="12.95" customHeight="1" x14ac:dyDescent="0.25">
      <c r="A785" s="271" t="s">
        <v>341</v>
      </c>
      <c r="B785" s="271">
        <v>2193</v>
      </c>
      <c r="C785" s="271" t="str">
        <f>VLOOKUP(B785,Orgenheter!$A$1:$B$213,2,0)</f>
        <v xml:space="preserve">TUV </v>
      </c>
    </row>
    <row r="786" spans="1:3" ht="12.95" customHeight="1" x14ac:dyDescent="0.25">
      <c r="A786" s="271" t="s">
        <v>378</v>
      </c>
      <c r="B786" s="271">
        <v>2193</v>
      </c>
      <c r="C786" s="271" t="str">
        <f>VLOOKUP(B786,Orgenheter!$A$1:$B$213,2,0)</f>
        <v xml:space="preserve">TUV </v>
      </c>
    </row>
    <row r="787" spans="1:3" ht="12.95" customHeight="1" x14ac:dyDescent="0.25">
      <c r="A787" s="277" t="s">
        <v>396</v>
      </c>
      <c r="B787" s="271">
        <v>2193</v>
      </c>
      <c r="C787" s="271" t="str">
        <f>VLOOKUP(B787,Orgenheter!$A$1:$B$213,2,0)</f>
        <v xml:space="preserve">TUV </v>
      </c>
    </row>
    <row r="788" spans="1:3" ht="12.95" customHeight="1" x14ac:dyDescent="0.25">
      <c r="A788" s="271" t="s">
        <v>340</v>
      </c>
      <c r="B788" s="271">
        <v>2193</v>
      </c>
      <c r="C788" s="271" t="str">
        <f>VLOOKUP(B788,Orgenheter!$A$1:$B$213,2,0)</f>
        <v xml:space="preserve">TUV </v>
      </c>
    </row>
    <row r="789" spans="1:3" ht="12.95" customHeight="1" x14ac:dyDescent="0.25">
      <c r="A789" s="271" t="s">
        <v>1</v>
      </c>
      <c r="B789" s="271">
        <v>2193</v>
      </c>
      <c r="C789" s="271" t="str">
        <f>VLOOKUP(B789,Orgenheter!$A$1:$B$213,2,0)</f>
        <v xml:space="preserve">TUV </v>
      </c>
    </row>
    <row r="790" spans="1:3" ht="12.95" customHeight="1" x14ac:dyDescent="0.25">
      <c r="A790" s="271" t="s">
        <v>377</v>
      </c>
      <c r="B790" s="271">
        <v>2193</v>
      </c>
      <c r="C790" s="271" t="str">
        <f>VLOOKUP(B790,Orgenheter!$A$1:$B$213,2,0)</f>
        <v xml:space="preserve">TUV </v>
      </c>
    </row>
    <row r="791" spans="1:3" ht="12.95" customHeight="1" x14ac:dyDescent="0.25">
      <c r="A791" s="296" t="s">
        <v>607</v>
      </c>
      <c r="B791" s="271">
        <v>2193</v>
      </c>
      <c r="C791" s="271" t="str">
        <f>VLOOKUP(B791,Orgenheter!$A$1:$B$213,2,0)</f>
        <v xml:space="preserve">TUV </v>
      </c>
    </row>
    <row r="792" spans="1:3" ht="12.95" customHeight="1" x14ac:dyDescent="0.25">
      <c r="A792" s="296" t="s">
        <v>432</v>
      </c>
      <c r="B792" s="271">
        <v>2193</v>
      </c>
      <c r="C792" s="271" t="str">
        <f>VLOOKUP(B792,Orgenheter!$A$1:$B$213,2,0)</f>
        <v xml:space="preserve">TUV </v>
      </c>
    </row>
    <row r="793" spans="1:3" ht="15" customHeight="1" x14ac:dyDescent="0.25">
      <c r="A793" s="296" t="s">
        <v>892</v>
      </c>
      <c r="B793" s="271">
        <v>2193</v>
      </c>
      <c r="C793" s="271" t="str">
        <f>VLOOKUP(B793,Orgenheter!$A$1:$B$213,2,0)</f>
        <v xml:space="preserve">TUV </v>
      </c>
    </row>
    <row r="794" spans="1:3" ht="15" customHeight="1" x14ac:dyDescent="0.25">
      <c r="A794" s="296" t="s">
        <v>894</v>
      </c>
      <c r="B794" s="271">
        <v>2193</v>
      </c>
      <c r="C794" s="271" t="str">
        <f>VLOOKUP(B794,Orgenheter!$A$1:$B$213,2,0)</f>
        <v xml:space="preserve">TUV </v>
      </c>
    </row>
    <row r="795" spans="1:3" ht="15" customHeight="1" x14ac:dyDescent="0.25">
      <c r="A795" s="296" t="s">
        <v>895</v>
      </c>
      <c r="B795" s="271">
        <v>2193</v>
      </c>
      <c r="C795" s="271" t="str">
        <f>VLOOKUP(B795,Orgenheter!$A$1:$B$213,2,0)</f>
        <v xml:space="preserve">TUV </v>
      </c>
    </row>
    <row r="796" spans="1:3" ht="15" customHeight="1" x14ac:dyDescent="0.25">
      <c r="A796" s="296" t="s">
        <v>893</v>
      </c>
      <c r="B796" s="271">
        <v>2193</v>
      </c>
      <c r="C796" s="271" t="str">
        <f>VLOOKUP(B796,Orgenheter!$A$1:$B$213,2,0)</f>
        <v xml:space="preserve">TUV </v>
      </c>
    </row>
    <row r="797" spans="1:3" ht="15" customHeight="1" x14ac:dyDescent="0.25">
      <c r="A797" s="296" t="s">
        <v>891</v>
      </c>
      <c r="B797" s="271">
        <v>2180</v>
      </c>
      <c r="C797" s="271" t="str">
        <f>VLOOKUP(B797,Orgenheter!$A$1:$B$213,2,0)</f>
        <v xml:space="preserve">Pedagogik                     </v>
      </c>
    </row>
    <row r="798" spans="1:3" ht="15" customHeight="1" x14ac:dyDescent="0.25">
      <c r="A798" s="296" t="s">
        <v>933</v>
      </c>
      <c r="B798" s="271">
        <v>2193</v>
      </c>
      <c r="C798" s="271" t="str">
        <f>VLOOKUP(B798,Orgenheter!$A$1:$B$213,2,0)</f>
        <v xml:space="preserve">TUV </v>
      </c>
    </row>
    <row r="799" spans="1:3" ht="15" customHeight="1" x14ac:dyDescent="0.25">
      <c r="A799" s="296" t="s">
        <v>934</v>
      </c>
      <c r="B799" s="271">
        <v>2193</v>
      </c>
      <c r="C799" s="271" t="str">
        <f>VLOOKUP(B799,Orgenheter!$A$1:$B$213,2,0)</f>
        <v xml:space="preserve">TUV </v>
      </c>
    </row>
    <row r="800" spans="1:3" ht="15" customHeight="1" x14ac:dyDescent="0.25">
      <c r="A800" s="296" t="s">
        <v>935</v>
      </c>
      <c r="B800" s="271">
        <v>2193</v>
      </c>
      <c r="C800" s="271" t="str">
        <f>VLOOKUP(B800,Orgenheter!$A$1:$B$213,2,0)</f>
        <v xml:space="preserve">TUV </v>
      </c>
    </row>
    <row r="801" spans="1:3" ht="15" customHeight="1" x14ac:dyDescent="0.25">
      <c r="A801" s="296" t="s">
        <v>978</v>
      </c>
      <c r="B801" s="271">
        <v>2180</v>
      </c>
      <c r="C801" s="271" t="str">
        <f>VLOOKUP(B801,Orgenheter!$A$1:$B$213,2,0)</f>
        <v xml:space="preserve">Pedagogik                     </v>
      </c>
    </row>
    <row r="802" spans="1:3" ht="12.95" customHeight="1" x14ac:dyDescent="0.25">
      <c r="A802" s="271" t="s">
        <v>1343</v>
      </c>
      <c r="B802" s="271">
        <v>2193</v>
      </c>
      <c r="C802" s="271" t="str">
        <f>VLOOKUP(B802,Orgenheter!$A$1:$B$213,2,0)</f>
        <v xml:space="preserve">TUV </v>
      </c>
    </row>
    <row r="803" spans="1:3" ht="12.95" customHeight="1" x14ac:dyDescent="0.25">
      <c r="A803" s="271" t="s">
        <v>1604</v>
      </c>
      <c r="B803" s="271">
        <v>2193</v>
      </c>
      <c r="C803" s="271" t="str">
        <f>VLOOKUP(B803,Orgenheter!$A$1:$B$213,2,0)</f>
        <v xml:space="preserve">TUV </v>
      </c>
    </row>
    <row r="804" spans="1:3" ht="15" customHeight="1" x14ac:dyDescent="0.25">
      <c r="A804" s="288" t="s">
        <v>656</v>
      </c>
      <c r="B804" s="271">
        <v>5740</v>
      </c>
      <c r="C804" s="271" t="str">
        <f>VLOOKUP(B804,Orgenheter!$A$1:$B$213,2,0)</f>
        <v>NMD</v>
      </c>
    </row>
    <row r="805" spans="1:3" ht="15" customHeight="1" x14ac:dyDescent="0.25">
      <c r="A805" s="288" t="s">
        <v>938</v>
      </c>
      <c r="B805" s="271">
        <v>5740</v>
      </c>
      <c r="C805" s="271" t="str">
        <f>VLOOKUP(B805,Orgenheter!$A$1:$B$213,2,0)</f>
        <v>NMD</v>
      </c>
    </row>
    <row r="806" spans="1:3" ht="15" customHeight="1" x14ac:dyDescent="0.25">
      <c r="A806" s="288" t="s">
        <v>87</v>
      </c>
      <c r="B806" s="271">
        <v>1650</v>
      </c>
      <c r="C806" s="271" t="str">
        <f>VLOOKUP(B806,Orgenheter!$A$1:$B$213,2,0)</f>
        <v xml:space="preserve">Estetiska ämnen               </v>
      </c>
    </row>
    <row r="807" spans="1:3" ht="15" customHeight="1" x14ac:dyDescent="0.25">
      <c r="A807" s="288" t="s">
        <v>882</v>
      </c>
      <c r="B807" s="271">
        <v>1650</v>
      </c>
      <c r="C807" s="271" t="str">
        <f>VLOOKUP(B807,Orgenheter!$A$1:$B$213,2,0)</f>
        <v xml:space="preserve">Estetiska ämnen               </v>
      </c>
    </row>
    <row r="808" spans="1:3" ht="15" customHeight="1" x14ac:dyDescent="0.25">
      <c r="A808" s="271" t="s">
        <v>86</v>
      </c>
      <c r="B808" s="271">
        <v>1650</v>
      </c>
      <c r="C808" s="271" t="str">
        <f>VLOOKUP(B808,Orgenheter!$A$1:$B$213,2,0)</f>
        <v xml:space="preserve">Estetiska ämnen               </v>
      </c>
    </row>
    <row r="809" spans="1:3" ht="15" customHeight="1" x14ac:dyDescent="0.25">
      <c r="A809" s="271" t="s">
        <v>332</v>
      </c>
      <c r="B809" s="271">
        <v>1650</v>
      </c>
      <c r="C809" s="271" t="str">
        <f>VLOOKUP(B809,Orgenheter!$A$1:$B$213,2,0)</f>
        <v xml:space="preserve">Estetiska ämnen               </v>
      </c>
    </row>
    <row r="810" spans="1:3" ht="15" customHeight="1" x14ac:dyDescent="0.25">
      <c r="A810" s="271" t="s">
        <v>81</v>
      </c>
      <c r="B810" s="271">
        <v>1650</v>
      </c>
      <c r="C810" s="271" t="str">
        <f>VLOOKUP(B810,Orgenheter!$A$1:$B$213,2,0)</f>
        <v xml:space="preserve">Estetiska ämnen               </v>
      </c>
    </row>
    <row r="811" spans="1:3" ht="15" customHeight="1" x14ac:dyDescent="0.25">
      <c r="A811" s="271" t="s">
        <v>1047</v>
      </c>
      <c r="B811" s="271">
        <v>1650</v>
      </c>
      <c r="C811" s="271" t="str">
        <f>VLOOKUP(B811,Orgenheter!$A$1:$B$213,2,0)</f>
        <v xml:space="preserve">Estetiska ämnen               </v>
      </c>
    </row>
    <row r="812" spans="1:3" ht="15" customHeight="1" x14ac:dyDescent="0.25">
      <c r="A812" s="271" t="s">
        <v>480</v>
      </c>
      <c r="B812" s="271">
        <v>1650</v>
      </c>
      <c r="C812" s="271" t="str">
        <f>VLOOKUP(B812,Orgenheter!$A$1:$B$213,2,0)</f>
        <v xml:space="preserve">Estetiska ämnen               </v>
      </c>
    </row>
    <row r="813" spans="1:3" ht="15" customHeight="1" x14ac:dyDescent="0.25">
      <c r="A813" s="289" t="s">
        <v>528</v>
      </c>
      <c r="B813" s="277">
        <v>1650</v>
      </c>
      <c r="C813" s="271" t="str">
        <f>VLOOKUP(B813,Orgenheter!$A$1:$B$213,2,0)</f>
        <v xml:space="preserve">Estetiska ämnen               </v>
      </c>
    </row>
    <row r="814" spans="1:3" ht="15" customHeight="1" x14ac:dyDescent="0.25">
      <c r="A814" s="271" t="s">
        <v>568</v>
      </c>
      <c r="B814" s="277">
        <v>1650</v>
      </c>
      <c r="C814" s="271" t="str">
        <f>VLOOKUP(B814,Orgenheter!$A$1:$B$213,2,0)</f>
        <v xml:space="preserve">Estetiska ämnen               </v>
      </c>
    </row>
    <row r="815" spans="1:3" ht="15" customHeight="1" x14ac:dyDescent="0.25">
      <c r="A815" s="271" t="s">
        <v>522</v>
      </c>
      <c r="B815" s="271">
        <v>1650</v>
      </c>
      <c r="C815" s="271" t="str">
        <f>VLOOKUP(B815,Orgenheter!$A$1:$B$213,2,0)</f>
        <v xml:space="preserve">Estetiska ämnen               </v>
      </c>
    </row>
    <row r="816" spans="1:3" ht="15" customHeight="1" x14ac:dyDescent="0.25">
      <c r="A816" s="288" t="s">
        <v>649</v>
      </c>
      <c r="B816" s="271">
        <v>1650</v>
      </c>
      <c r="C816" s="271" t="str">
        <f>VLOOKUP(B816,Orgenheter!$A$1:$B$213,2,0)</f>
        <v xml:space="preserve">Estetiska ämnen               </v>
      </c>
    </row>
    <row r="817" spans="1:3" ht="15" customHeight="1" x14ac:dyDescent="0.25">
      <c r="A817" s="288" t="s">
        <v>650</v>
      </c>
      <c r="B817" s="271">
        <v>1650</v>
      </c>
      <c r="C817" s="271" t="str">
        <f>VLOOKUP(B817,Orgenheter!$A$1:$B$213,2,0)</f>
        <v xml:space="preserve">Estetiska ämnen               </v>
      </c>
    </row>
    <row r="818" spans="1:3" ht="15" customHeight="1" x14ac:dyDescent="0.25">
      <c r="A818" s="297" t="s">
        <v>833</v>
      </c>
      <c r="B818" s="271">
        <v>1650</v>
      </c>
      <c r="C818" s="271" t="str">
        <f>VLOOKUP(B818,Orgenheter!$A$1:$B$213,2,0)</f>
        <v xml:space="preserve">Estetiska ämnen               </v>
      </c>
    </row>
    <row r="819" spans="1:3" ht="12.95" customHeight="1" x14ac:dyDescent="0.25">
      <c r="A819" s="332" t="s">
        <v>1125</v>
      </c>
      <c r="B819" s="277">
        <v>1650</v>
      </c>
      <c r="C819" s="271" t="str">
        <f>VLOOKUP(B819,Orgenheter!$A$1:$B$213,2,0)</f>
        <v xml:space="preserve">Estetiska ämnen               </v>
      </c>
    </row>
    <row r="820" spans="1:3" ht="12.95" customHeight="1" x14ac:dyDescent="0.25">
      <c r="A820" s="532" t="s">
        <v>2127</v>
      </c>
      <c r="B820" s="500">
        <v>1650</v>
      </c>
      <c r="C820" s="271" t="str">
        <f>VLOOKUP(B820,Orgenheter!$A$1:$B$213,2,0)</f>
        <v xml:space="preserve">Estetiska ämnen               </v>
      </c>
    </row>
    <row r="821" spans="1:3" ht="12.95" customHeight="1" x14ac:dyDescent="0.25">
      <c r="A821" s="277" t="s">
        <v>1750</v>
      </c>
      <c r="B821" s="271">
        <v>1650</v>
      </c>
      <c r="C821" s="271" t="str">
        <f>VLOOKUP(B821,Orgenheter!$A$1:$B$213,2,0)</f>
        <v xml:space="preserve">Estetiska ämnen               </v>
      </c>
    </row>
    <row r="822" spans="1:3" ht="12.95" customHeight="1" x14ac:dyDescent="0.25">
      <c r="A822" s="274" t="s">
        <v>1722</v>
      </c>
      <c r="B822" s="271">
        <v>1650</v>
      </c>
      <c r="C822" s="271" t="str">
        <f>VLOOKUP(B822,Orgenheter!$A$1:$B$213,2,0)</f>
        <v xml:space="preserve">Estetiska ämnen               </v>
      </c>
    </row>
    <row r="823" spans="1:3" ht="12.95" customHeight="1" x14ac:dyDescent="0.25">
      <c r="A823" s="274" t="s">
        <v>1721</v>
      </c>
      <c r="B823" s="271">
        <v>1650</v>
      </c>
      <c r="C823" s="271" t="str">
        <f>VLOOKUP(B823,Orgenheter!$A$1:$B$213,2,0)</f>
        <v xml:space="preserve">Estetiska ämnen               </v>
      </c>
    </row>
    <row r="824" spans="1:3" ht="12.95" customHeight="1" x14ac:dyDescent="0.25">
      <c r="A824" s="277" t="s">
        <v>1752</v>
      </c>
      <c r="B824" s="271">
        <v>1650</v>
      </c>
      <c r="C824" s="271" t="str">
        <f>VLOOKUP(B824,Orgenheter!$A$1:$B$213,2,0)</f>
        <v xml:space="preserve">Estetiska ämnen               </v>
      </c>
    </row>
    <row r="825" spans="1:3" ht="12.95" customHeight="1" x14ac:dyDescent="0.25">
      <c r="A825" s="182" t="s">
        <v>2129</v>
      </c>
      <c r="B825" s="499">
        <v>1650</v>
      </c>
      <c r="C825" s="271" t="str">
        <f>VLOOKUP(B825,Orgenheter!$A$1:$B$213,2,0)</f>
        <v xml:space="preserve">Estetiska ämnen               </v>
      </c>
    </row>
    <row r="826" spans="1:3" ht="12.95" customHeight="1" x14ac:dyDescent="0.25">
      <c r="A826" s="245" t="s">
        <v>1867</v>
      </c>
      <c r="B826" s="271">
        <v>1650</v>
      </c>
      <c r="C826" s="271" t="str">
        <f>VLOOKUP(B826,Orgenheter!$A$1:$B$213,2,0)</f>
        <v xml:space="preserve">Estetiska ämnen               </v>
      </c>
    </row>
    <row r="827" spans="1:3" ht="12.95" customHeight="1" x14ac:dyDescent="0.25">
      <c r="A827" s="277" t="s">
        <v>1878</v>
      </c>
      <c r="B827" s="271">
        <v>1650</v>
      </c>
      <c r="C827" s="271" t="str">
        <f>VLOOKUP(B827,Orgenheter!$A$1:$B$213,2,0)</f>
        <v xml:space="preserve">Estetiska ämnen               </v>
      </c>
    </row>
    <row r="828" spans="1:3" ht="15" customHeight="1" x14ac:dyDescent="0.25">
      <c r="A828" s="326" t="s">
        <v>2108</v>
      </c>
      <c r="B828" s="271">
        <v>1650</v>
      </c>
      <c r="C828" s="271" t="str">
        <f>VLOOKUP(B828,Orgenheter!$A$1:$B$213,2,0)</f>
        <v xml:space="preserve">Estetiska ämnen               </v>
      </c>
    </row>
    <row r="829" spans="1:3" ht="15" customHeight="1" x14ac:dyDescent="0.25">
      <c r="A829" s="508" t="s">
        <v>2206</v>
      </c>
      <c r="B829" s="499">
        <v>1650</v>
      </c>
      <c r="C829" s="271" t="str">
        <f>VLOOKUP(B829,Orgenheter!$A$1:$B$213,2,0)</f>
        <v xml:space="preserve">Estetiska ämnen               </v>
      </c>
    </row>
    <row r="830" spans="1:3" ht="15" customHeight="1" x14ac:dyDescent="0.25">
      <c r="A830" s="297" t="s">
        <v>883</v>
      </c>
      <c r="B830" s="271">
        <v>1620</v>
      </c>
      <c r="C830" s="271" t="str">
        <f>VLOOKUP(B830,Orgenheter!$A$1:$B$213,2,0)</f>
        <v>Inst för språkstudier</v>
      </c>
    </row>
    <row r="831" spans="1:3" ht="15" customHeight="1" x14ac:dyDescent="0.25">
      <c r="A831" s="297" t="s">
        <v>884</v>
      </c>
      <c r="B831" s="271">
        <v>1620</v>
      </c>
      <c r="C831" s="271" t="str">
        <f>VLOOKUP(B831,Orgenheter!$A$1:$B$213,2,0)</f>
        <v>Inst för språkstudier</v>
      </c>
    </row>
    <row r="832" spans="1:3" ht="15" customHeight="1" x14ac:dyDescent="0.25">
      <c r="A832" s="297" t="s">
        <v>1048</v>
      </c>
      <c r="B832" s="271">
        <v>1620</v>
      </c>
      <c r="C832" s="271" t="str">
        <f>VLOOKUP(B832,Orgenheter!$A$1:$B$213,2,0)</f>
        <v>Inst för språkstudier</v>
      </c>
    </row>
    <row r="833" spans="1:3" ht="12.95" customHeight="1" x14ac:dyDescent="0.25">
      <c r="A833" s="271" t="s">
        <v>1689</v>
      </c>
      <c r="B833" s="271">
        <v>1620</v>
      </c>
      <c r="C833" s="271" t="str">
        <f>VLOOKUP(B833,Orgenheter!$A$1:$B$213,2,0)</f>
        <v>Inst för språkstudier</v>
      </c>
    </row>
    <row r="834" spans="1:3" ht="12.95" customHeight="1" x14ac:dyDescent="0.25">
      <c r="A834" s="245" t="s">
        <v>1899</v>
      </c>
      <c r="B834" s="271">
        <v>1620</v>
      </c>
      <c r="C834" s="271" t="str">
        <f>VLOOKUP(B834,Orgenheter!$A$1:$B$213,2,0)</f>
        <v>Inst för språkstudier</v>
      </c>
    </row>
    <row r="835" spans="1:3" ht="12.95" customHeight="1" x14ac:dyDescent="0.25">
      <c r="A835" s="245" t="s">
        <v>2147</v>
      </c>
      <c r="B835" s="271">
        <v>1620</v>
      </c>
      <c r="C835" s="271" t="str">
        <f>VLOOKUP(B835,Orgenheter!$A$1:$B$213,2,0)</f>
        <v>Inst för språkstudier</v>
      </c>
    </row>
    <row r="836" spans="1:3" ht="15" customHeight="1" x14ac:dyDescent="0.25">
      <c r="A836" s="297" t="s">
        <v>1527</v>
      </c>
      <c r="B836" s="271">
        <v>5740</v>
      </c>
      <c r="C836" s="271" t="str">
        <f>VLOOKUP(B836,Orgenheter!$A$1:$B$213,2,0)</f>
        <v>NMD</v>
      </c>
    </row>
    <row r="837" spans="1:3" ht="15" customHeight="1" x14ac:dyDescent="0.25">
      <c r="A837" s="297" t="s">
        <v>1537</v>
      </c>
      <c r="B837" s="271">
        <v>2193</v>
      </c>
      <c r="C837" s="271" t="str">
        <f>VLOOKUP(B837,Orgenheter!$A$1:$B$213,2,0)</f>
        <v xml:space="preserve">TUV </v>
      </c>
    </row>
    <row r="838" spans="1:3" ht="15" customHeight="1" x14ac:dyDescent="0.25">
      <c r="A838" s="297" t="s">
        <v>1538</v>
      </c>
      <c r="B838" s="271">
        <v>2193</v>
      </c>
      <c r="C838" s="271" t="str">
        <f>VLOOKUP(B838,Orgenheter!$A$1:$B$213,2,0)</f>
        <v xml:space="preserve">TUV </v>
      </c>
    </row>
    <row r="839" spans="1:3" ht="15" customHeight="1" x14ac:dyDescent="0.25">
      <c r="A839" s="297" t="s">
        <v>1539</v>
      </c>
      <c r="B839" s="271">
        <v>1650</v>
      </c>
      <c r="C839" s="271" t="str">
        <f>VLOOKUP(B839,Orgenheter!$A$1:$B$213,2,0)</f>
        <v xml:space="preserve">Estetiska ämnen               </v>
      </c>
    </row>
    <row r="840" spans="1:3" ht="15" customHeight="1" x14ac:dyDescent="0.25">
      <c r="A840" s="297" t="s">
        <v>1540</v>
      </c>
      <c r="B840" s="271">
        <v>2180</v>
      </c>
      <c r="C840" s="271" t="str">
        <f>VLOOKUP(B840,Orgenheter!$A$1:$B$213,2,0)</f>
        <v xml:space="preserve">Pedagogik                     </v>
      </c>
    </row>
    <row r="841" spans="1:3" ht="15" customHeight="1" x14ac:dyDescent="0.25">
      <c r="A841" s="297" t="s">
        <v>1526</v>
      </c>
      <c r="B841" s="271">
        <v>2180</v>
      </c>
      <c r="C841" s="271" t="str">
        <f>VLOOKUP(B841,Orgenheter!$A$1:$B$213,2,0)</f>
        <v xml:space="preserve">Pedagogik                     </v>
      </c>
    </row>
    <row r="842" spans="1:3" ht="15" customHeight="1" x14ac:dyDescent="0.25">
      <c r="A842" s="297" t="s">
        <v>1541</v>
      </c>
      <c r="B842" s="271">
        <v>2180</v>
      </c>
      <c r="C842" s="271" t="str">
        <f>VLOOKUP(B842,Orgenheter!$A$1:$B$213,2,0)</f>
        <v xml:space="preserve">Pedagogik                     </v>
      </c>
    </row>
    <row r="843" spans="1:3" ht="15" customHeight="1" x14ac:dyDescent="0.25">
      <c r="A843" s="271" t="s">
        <v>63</v>
      </c>
      <c r="B843" s="271">
        <v>2193</v>
      </c>
      <c r="C843" s="271" t="str">
        <f>VLOOKUP(B843,Orgenheter!$A$1:$B$213,2,0)</f>
        <v xml:space="preserve">TUV </v>
      </c>
    </row>
    <row r="844" spans="1:3" ht="15" customHeight="1" x14ac:dyDescent="0.25">
      <c r="A844" s="271" t="s">
        <v>64</v>
      </c>
      <c r="B844" s="271">
        <v>1650</v>
      </c>
      <c r="C844" s="271" t="str">
        <f>VLOOKUP(B844,Orgenheter!$A$1:$B$213,2,0)</f>
        <v xml:space="preserve">Estetiska ämnen               </v>
      </c>
    </row>
    <row r="845" spans="1:3" ht="15" customHeight="1" x14ac:dyDescent="0.25">
      <c r="A845" s="277" t="s">
        <v>397</v>
      </c>
      <c r="B845" s="277">
        <v>1650</v>
      </c>
      <c r="C845" s="271" t="str">
        <f>VLOOKUP(B845,Orgenheter!$A$1:$B$213,2,0)</f>
        <v xml:space="preserve">Estetiska ämnen               </v>
      </c>
    </row>
    <row r="846" spans="1:3" ht="15" customHeight="1" x14ac:dyDescent="0.25">
      <c r="A846" s="333" t="s">
        <v>371</v>
      </c>
      <c r="B846" s="277">
        <v>2193</v>
      </c>
      <c r="C846" s="271" t="str">
        <f>VLOOKUP(B846,Orgenheter!$A$1:$B$213,2,0)</f>
        <v xml:space="preserve">TUV </v>
      </c>
    </row>
    <row r="847" spans="1:3" ht="15" customHeight="1" x14ac:dyDescent="0.25">
      <c r="A847" s="271" t="s">
        <v>331</v>
      </c>
      <c r="B847" s="271">
        <v>6000</v>
      </c>
      <c r="C847" s="271" t="str">
        <f>VLOOKUP(B847,Orgenheter!$A$1:$B$213,2,0)</f>
        <v xml:space="preserve">Lärarutbildningarna gem       </v>
      </c>
    </row>
    <row r="848" spans="1:3" ht="15" customHeight="1" x14ac:dyDescent="0.25">
      <c r="A848" s="271"/>
      <c r="B848" s="271"/>
      <c r="C848" s="271">
        <f>VLOOKUP(B848,Orgenheter!$A$1:$B$213,2,0)</f>
        <v>0</v>
      </c>
    </row>
    <row r="849" spans="1:3" ht="15" customHeight="1" x14ac:dyDescent="0.25">
      <c r="A849" s="271"/>
      <c r="B849" s="271"/>
      <c r="C849" s="271">
        <f>VLOOKUP(B849,Orgenheter!$A$1:$B$213,2,0)</f>
        <v>0</v>
      </c>
    </row>
    <row r="850" spans="1:3" ht="15" customHeight="1" x14ac:dyDescent="0.25">
      <c r="A850" s="271"/>
      <c r="B850" s="271"/>
      <c r="C850" s="271">
        <f>VLOOKUP(B850,Orgenheter!$A$1:$B$213,2,0)</f>
        <v>0</v>
      </c>
    </row>
    <row r="851" spans="1:3" ht="15" customHeight="1" x14ac:dyDescent="0.25">
      <c r="A851" s="271"/>
      <c r="B851" s="271"/>
      <c r="C851" s="271">
        <f>VLOOKUP(B851,Orgenheter!$A$1:$B$213,2,0)</f>
        <v>0</v>
      </c>
    </row>
    <row r="852" spans="1:3" ht="15" customHeight="1" x14ac:dyDescent="0.25">
      <c r="A852" s="271"/>
      <c r="B852" s="271"/>
      <c r="C852" s="271">
        <f>VLOOKUP(B852,Orgenheter!$A$1:$B$213,2,0)</f>
        <v>0</v>
      </c>
    </row>
    <row r="853" spans="1:3" ht="15" customHeight="1" x14ac:dyDescent="0.25">
      <c r="A853" s="271"/>
      <c r="B853" s="271"/>
      <c r="C853" s="271">
        <f>VLOOKUP(B853,Orgenheter!$A$1:$B$213,2,0)</f>
        <v>0</v>
      </c>
    </row>
    <row r="854" spans="1:3" ht="15" customHeight="1" x14ac:dyDescent="0.25">
      <c r="A854" s="271"/>
      <c r="B854" s="271"/>
      <c r="C854" s="271">
        <f>VLOOKUP(B854,Orgenheter!$A$1:$B$213,2,0)</f>
        <v>0</v>
      </c>
    </row>
    <row r="855" spans="1:3" ht="15" customHeight="1" x14ac:dyDescent="0.25">
      <c r="A855" s="271"/>
      <c r="B855" s="271"/>
      <c r="C855" s="271">
        <f>VLOOKUP(B855,Orgenheter!$A$1:$B$213,2,0)</f>
        <v>0</v>
      </c>
    </row>
    <row r="856" spans="1:3" ht="15" customHeight="1" x14ac:dyDescent="0.25">
      <c r="A856" s="271"/>
      <c r="B856" s="271"/>
      <c r="C856" s="271">
        <f>VLOOKUP(B856,Orgenheter!$A$1:$B$213,2,0)</f>
        <v>0</v>
      </c>
    </row>
    <row r="857" spans="1:3" ht="15" customHeight="1" x14ac:dyDescent="0.25">
      <c r="A857" s="271"/>
      <c r="B857" s="271"/>
      <c r="C857" s="271">
        <f>VLOOKUP(B857,Orgenheter!$A$1:$B$213,2,0)</f>
        <v>0</v>
      </c>
    </row>
    <row r="858" spans="1:3" ht="15" customHeight="1" x14ac:dyDescent="0.25">
      <c r="A858" s="271"/>
      <c r="B858" s="271"/>
      <c r="C858" s="271">
        <f>VLOOKUP(B858,Orgenheter!$A$1:$B$213,2,0)</f>
        <v>0</v>
      </c>
    </row>
    <row r="859" spans="1:3" ht="15" customHeight="1" x14ac:dyDescent="0.25">
      <c r="A859" s="271"/>
      <c r="B859" s="271"/>
      <c r="C859" s="271">
        <f>VLOOKUP(B859,Orgenheter!$A$1:$B$213,2,0)</f>
        <v>0</v>
      </c>
    </row>
    <row r="860" spans="1:3" ht="15" customHeight="1" x14ac:dyDescent="0.25">
      <c r="A860" s="271"/>
      <c r="B860" s="271"/>
      <c r="C860" s="271">
        <f>VLOOKUP(B860,Orgenheter!$A$1:$B$213,2,0)</f>
        <v>0</v>
      </c>
    </row>
    <row r="861" spans="1:3" ht="15" customHeight="1" x14ac:dyDescent="0.25">
      <c r="A861" s="271"/>
      <c r="B861" s="271"/>
      <c r="C861" s="271">
        <f>VLOOKUP(B861,Orgenheter!$A$1:$B$213,2,0)</f>
        <v>0</v>
      </c>
    </row>
    <row r="862" spans="1:3" ht="15" customHeight="1" x14ac:dyDescent="0.25">
      <c r="A862" s="271"/>
      <c r="B862" s="271"/>
      <c r="C862" s="271">
        <f>VLOOKUP(B862,Orgenheter!$A$1:$B$213,2,0)</f>
        <v>0</v>
      </c>
    </row>
    <row r="863" spans="1:3" ht="15" customHeight="1" x14ac:dyDescent="0.25">
      <c r="A863" s="271"/>
      <c r="B863" s="271"/>
      <c r="C863" s="271">
        <f>VLOOKUP(B863,Orgenheter!$A$1:$B$213,2,0)</f>
        <v>0</v>
      </c>
    </row>
    <row r="864" spans="1:3" ht="15" customHeight="1" x14ac:dyDescent="0.25">
      <c r="A864" s="271"/>
      <c r="B864" s="271"/>
      <c r="C864" s="271">
        <f>VLOOKUP(B864,Orgenheter!$A$1:$B$213,2,0)</f>
        <v>0</v>
      </c>
    </row>
    <row r="865" spans="1:3" ht="15" customHeight="1" x14ac:dyDescent="0.25">
      <c r="A865" s="271"/>
      <c r="B865" s="271"/>
      <c r="C865" s="271">
        <f>VLOOKUP(B865,Orgenheter!$A$1:$B$213,2,0)</f>
        <v>0</v>
      </c>
    </row>
    <row r="866" spans="1:3" ht="15" customHeight="1" x14ac:dyDescent="0.25">
      <c r="A866" s="271"/>
      <c r="B866" s="271"/>
      <c r="C866" s="271">
        <f>VLOOKUP(B866,Orgenheter!$A$1:$B$213,2,0)</f>
        <v>0</v>
      </c>
    </row>
    <row r="867" spans="1:3" ht="15" customHeight="1" x14ac:dyDescent="0.25">
      <c r="A867" s="271"/>
      <c r="B867" s="271"/>
      <c r="C867" s="271">
        <f>VLOOKUP(B867,Orgenheter!$A$1:$B$213,2,0)</f>
        <v>0</v>
      </c>
    </row>
    <row r="868" spans="1:3" ht="15" customHeight="1" x14ac:dyDescent="0.25">
      <c r="A868" s="271"/>
      <c r="B868" s="271"/>
      <c r="C868" s="271">
        <f>VLOOKUP(B868,Orgenheter!$A$1:$B$213,2,0)</f>
        <v>0</v>
      </c>
    </row>
    <row r="869" spans="1:3" ht="15" customHeight="1" x14ac:dyDescent="0.25">
      <c r="A869" s="271"/>
      <c r="B869" s="271"/>
      <c r="C869" s="271">
        <f>VLOOKUP(B869,Orgenheter!$A$1:$B$213,2,0)</f>
        <v>0</v>
      </c>
    </row>
    <row r="870" spans="1:3" ht="15" customHeight="1" x14ac:dyDescent="0.25">
      <c r="A870" s="271"/>
      <c r="B870" s="271"/>
      <c r="C870" s="271">
        <f>VLOOKUP(B870,Orgenheter!$A$1:$B$213,2,0)</f>
        <v>0</v>
      </c>
    </row>
    <row r="871" spans="1:3" ht="15" customHeight="1" x14ac:dyDescent="0.25">
      <c r="A871" s="271"/>
      <c r="B871" s="271"/>
      <c r="C871" s="271">
        <f>VLOOKUP(B871,Orgenheter!$A$1:$B$213,2,0)</f>
        <v>0</v>
      </c>
    </row>
    <row r="872" spans="1:3" ht="15" customHeight="1" x14ac:dyDescent="0.25">
      <c r="A872" s="271"/>
      <c r="B872" s="271"/>
      <c r="C872" s="271">
        <f>VLOOKUP(B872,Orgenheter!$A$1:$B$213,2,0)</f>
        <v>0</v>
      </c>
    </row>
    <row r="873" spans="1:3" ht="15" customHeight="1" x14ac:dyDescent="0.25">
      <c r="A873" s="271"/>
      <c r="B873" s="271"/>
      <c r="C873" s="271">
        <f>VLOOKUP(B873,Orgenheter!$A$1:$B$213,2,0)</f>
        <v>0</v>
      </c>
    </row>
    <row r="874" spans="1:3" ht="15" customHeight="1" x14ac:dyDescent="0.25">
      <c r="A874" s="271"/>
      <c r="B874" s="271"/>
      <c r="C874" s="271">
        <f>VLOOKUP(B874,Orgenheter!$A$1:$B$213,2,0)</f>
        <v>0</v>
      </c>
    </row>
    <row r="875" spans="1:3" ht="15" customHeight="1" x14ac:dyDescent="0.25">
      <c r="A875" s="271"/>
      <c r="B875" s="271"/>
      <c r="C875" s="271">
        <f>VLOOKUP(B875,Orgenheter!$A$1:$B$213,2,0)</f>
        <v>0</v>
      </c>
    </row>
    <row r="876" spans="1:3" ht="15" customHeight="1" x14ac:dyDescent="0.25">
      <c r="A876" s="271"/>
      <c r="B876" s="271"/>
      <c r="C876" s="271">
        <f>VLOOKUP(B876,Orgenheter!$A$1:$B$213,2,0)</f>
        <v>0</v>
      </c>
    </row>
    <row r="877" spans="1:3" ht="15" customHeight="1" x14ac:dyDescent="0.25">
      <c r="A877" s="271"/>
      <c r="B877" s="271"/>
      <c r="C877" s="271">
        <f>VLOOKUP(B877,Orgenheter!$A$1:$B$213,2,0)</f>
        <v>0</v>
      </c>
    </row>
    <row r="878" spans="1:3" ht="15" customHeight="1" x14ac:dyDescent="0.25">
      <c r="A878" s="271"/>
      <c r="B878" s="271"/>
      <c r="C878" s="271">
        <f>VLOOKUP(B878,Orgenheter!$A$1:$B$213,2,0)</f>
        <v>0</v>
      </c>
    </row>
    <row r="879" spans="1:3" ht="15" customHeight="1" x14ac:dyDescent="0.25">
      <c r="A879" s="271"/>
      <c r="B879" s="271"/>
      <c r="C879" s="271">
        <f>VLOOKUP(B879,Orgenheter!$A$1:$B$213,2,0)</f>
        <v>0</v>
      </c>
    </row>
    <row r="880" spans="1:3" ht="15" customHeight="1" x14ac:dyDescent="0.25">
      <c r="A880" s="271"/>
      <c r="B880" s="271"/>
      <c r="C880" s="271">
        <f>VLOOKUP(B880,Orgenheter!$A$1:$B$213,2,0)</f>
        <v>0</v>
      </c>
    </row>
    <row r="881" spans="1:3" ht="15" customHeight="1" x14ac:dyDescent="0.25">
      <c r="A881" s="271"/>
      <c r="B881" s="271"/>
      <c r="C881" s="271">
        <f>VLOOKUP(B881,Orgenheter!$A$1:$B$213,2,0)</f>
        <v>0</v>
      </c>
    </row>
    <row r="882" spans="1:3" ht="15" customHeight="1" x14ac:dyDescent="0.25">
      <c r="A882" s="271"/>
      <c r="B882" s="271"/>
      <c r="C882" s="271">
        <f>VLOOKUP(B882,Orgenheter!$A$1:$B$213,2,0)</f>
        <v>0</v>
      </c>
    </row>
    <row r="883" spans="1:3" ht="15" customHeight="1" x14ac:dyDescent="0.25">
      <c r="A883" s="271"/>
      <c r="B883" s="271"/>
      <c r="C883" s="271">
        <f>VLOOKUP(B883,Orgenheter!$A$1:$B$213,2,0)</f>
        <v>0</v>
      </c>
    </row>
    <row r="884" spans="1:3" ht="15" customHeight="1" x14ac:dyDescent="0.25">
      <c r="A884" s="271"/>
      <c r="B884" s="271"/>
      <c r="C884" s="271">
        <f>VLOOKUP(B884,Orgenheter!$A$1:$B$213,2,0)</f>
        <v>0</v>
      </c>
    </row>
    <row r="885" spans="1:3" ht="15" customHeight="1" x14ac:dyDescent="0.25">
      <c r="A885" s="271"/>
      <c r="B885" s="271"/>
      <c r="C885" s="271">
        <f>VLOOKUP(B885,Orgenheter!$A$1:$B$213,2,0)</f>
        <v>0</v>
      </c>
    </row>
    <row r="886" spans="1:3" ht="15" customHeight="1" x14ac:dyDescent="0.25">
      <c r="A886" s="271"/>
      <c r="B886" s="271"/>
      <c r="C886" s="271">
        <f>VLOOKUP(B886,Orgenheter!$A$1:$B$213,2,0)</f>
        <v>0</v>
      </c>
    </row>
    <row r="887" spans="1:3" ht="15" customHeight="1" x14ac:dyDescent="0.25">
      <c r="A887" s="271"/>
      <c r="B887" s="271"/>
      <c r="C887" s="271">
        <f>VLOOKUP(B887,Orgenheter!$A$1:$B$213,2,0)</f>
        <v>0</v>
      </c>
    </row>
    <row r="888" spans="1:3" ht="15" customHeight="1" x14ac:dyDescent="0.25">
      <c r="A888" s="271"/>
      <c r="B888" s="271"/>
      <c r="C888" s="271">
        <f>VLOOKUP(B888,Orgenheter!$A$1:$B$213,2,0)</f>
        <v>0</v>
      </c>
    </row>
    <row r="889" spans="1:3" ht="15" customHeight="1" x14ac:dyDescent="0.25">
      <c r="A889" s="271"/>
      <c r="B889" s="271"/>
      <c r="C889" s="271">
        <f>VLOOKUP(B889,Orgenheter!$A$1:$B$213,2,0)</f>
        <v>0</v>
      </c>
    </row>
    <row r="890" spans="1:3" ht="15" customHeight="1" x14ac:dyDescent="0.25">
      <c r="A890" s="271"/>
      <c r="B890" s="271"/>
      <c r="C890" s="271">
        <f>VLOOKUP(B890,Orgenheter!$A$1:$B$213,2,0)</f>
        <v>0</v>
      </c>
    </row>
    <row r="891" spans="1:3" ht="15" customHeight="1" x14ac:dyDescent="0.25">
      <c r="A891" s="271"/>
      <c r="B891" s="271"/>
      <c r="C891" s="271">
        <f>VLOOKUP(B891,Orgenheter!$A$1:$B$213,2,0)</f>
        <v>0</v>
      </c>
    </row>
    <row r="892" spans="1:3" ht="15" customHeight="1" x14ac:dyDescent="0.25">
      <c r="A892" s="271"/>
      <c r="B892" s="271"/>
      <c r="C892" s="271">
        <f>VLOOKUP(B892,Orgenheter!$A$1:$B$213,2,0)</f>
        <v>0</v>
      </c>
    </row>
    <row r="893" spans="1:3" ht="15" customHeight="1" x14ac:dyDescent="0.25">
      <c r="A893" s="271"/>
      <c r="B893" s="271"/>
      <c r="C893" s="271">
        <f>VLOOKUP(B893,Orgenheter!$A$1:$B$213,2,0)</f>
        <v>0</v>
      </c>
    </row>
    <row r="894" spans="1:3" ht="15" customHeight="1" x14ac:dyDescent="0.25">
      <c r="A894" s="271"/>
      <c r="B894" s="271"/>
      <c r="C894" s="271">
        <f>VLOOKUP(B894,Orgenheter!$A$1:$B$213,2,0)</f>
        <v>0</v>
      </c>
    </row>
    <row r="895" spans="1:3" ht="15" customHeight="1" x14ac:dyDescent="0.25">
      <c r="A895" s="271"/>
      <c r="B895" s="271"/>
      <c r="C895" s="271">
        <f>VLOOKUP(B895,Orgenheter!$A$1:$B$213,2,0)</f>
        <v>0</v>
      </c>
    </row>
    <row r="896" spans="1:3" ht="15" customHeight="1" x14ac:dyDescent="0.25">
      <c r="A896" s="271"/>
      <c r="B896" s="271"/>
      <c r="C896" s="271">
        <f>VLOOKUP(B896,Orgenheter!$A$1:$B$213,2,0)</f>
        <v>0</v>
      </c>
    </row>
    <row r="897" spans="1:3" ht="15" customHeight="1" x14ac:dyDescent="0.25">
      <c r="A897" s="271"/>
      <c r="B897" s="271"/>
      <c r="C897" s="271">
        <f>VLOOKUP(B897,Orgenheter!$A$1:$B$213,2,0)</f>
        <v>0</v>
      </c>
    </row>
    <row r="898" spans="1:3" ht="15" customHeight="1" x14ac:dyDescent="0.25">
      <c r="A898" s="271"/>
      <c r="B898" s="271"/>
      <c r="C898" s="271">
        <f>VLOOKUP(B898,Orgenheter!$A$1:$B$213,2,0)</f>
        <v>0</v>
      </c>
    </row>
    <row r="899" spans="1:3" ht="15" customHeight="1" x14ac:dyDescent="0.25">
      <c r="A899" s="271"/>
      <c r="B899" s="271"/>
      <c r="C899" s="271">
        <f>VLOOKUP(B899,Orgenheter!$A$1:$B$213,2,0)</f>
        <v>0</v>
      </c>
    </row>
    <row r="900" spans="1:3" ht="15" customHeight="1" x14ac:dyDescent="0.25">
      <c r="A900" s="271"/>
      <c r="B900" s="271"/>
      <c r="C900" s="271">
        <f>VLOOKUP(B900,Orgenheter!$A$1:$B$213,2,0)</f>
        <v>0</v>
      </c>
    </row>
    <row r="901" spans="1:3" ht="15" customHeight="1" x14ac:dyDescent="0.25">
      <c r="A901" s="271"/>
      <c r="B901" s="271"/>
      <c r="C901" s="271">
        <f>VLOOKUP(B901,Orgenheter!$A$1:$B$213,2,0)</f>
        <v>0</v>
      </c>
    </row>
    <row r="902" spans="1:3" ht="15" customHeight="1" x14ac:dyDescent="0.25">
      <c r="A902" s="271"/>
      <c r="B902" s="271"/>
      <c r="C902" s="271">
        <f>VLOOKUP(B902,Orgenheter!$A$1:$B$213,2,0)</f>
        <v>0</v>
      </c>
    </row>
    <row r="903" spans="1:3" ht="15" customHeight="1" x14ac:dyDescent="0.25">
      <c r="A903" s="271"/>
      <c r="B903" s="271"/>
      <c r="C903" s="271">
        <f>VLOOKUP(B903,Orgenheter!$A$1:$B$213,2,0)</f>
        <v>0</v>
      </c>
    </row>
    <row r="904" spans="1:3" ht="15" customHeight="1" x14ac:dyDescent="0.25">
      <c r="A904" s="271"/>
      <c r="B904" s="271"/>
      <c r="C904" s="271">
        <f>VLOOKUP(B904,Orgenheter!$A$1:$B$213,2,0)</f>
        <v>0</v>
      </c>
    </row>
    <row r="905" spans="1:3" ht="15" customHeight="1" x14ac:dyDescent="0.25">
      <c r="A905" s="271"/>
      <c r="B905" s="271"/>
      <c r="C905" s="271">
        <f>VLOOKUP(B905,Orgenheter!$A$1:$B$213,2,0)</f>
        <v>0</v>
      </c>
    </row>
    <row r="906" spans="1:3" ht="15" customHeight="1" x14ac:dyDescent="0.25">
      <c r="A906" s="271"/>
      <c r="B906" s="271"/>
      <c r="C906" s="271">
        <f>VLOOKUP(B906,Orgenheter!$A$1:$B$213,2,0)</f>
        <v>0</v>
      </c>
    </row>
    <row r="907" spans="1:3" ht="15" customHeight="1" x14ac:dyDescent="0.25">
      <c r="A907" s="271"/>
      <c r="B907" s="271"/>
      <c r="C907" s="271">
        <f>VLOOKUP(B907,Orgenheter!$A$1:$B$213,2,0)</f>
        <v>0</v>
      </c>
    </row>
    <row r="908" spans="1:3" ht="15" customHeight="1" x14ac:dyDescent="0.25">
      <c r="A908" s="271"/>
      <c r="B908" s="271"/>
      <c r="C908" s="271">
        <f>VLOOKUP(B908,Orgenheter!$A$1:$B$213,2,0)</f>
        <v>0</v>
      </c>
    </row>
    <row r="909" spans="1:3" ht="15" customHeight="1" x14ac:dyDescent="0.25">
      <c r="A909" s="271"/>
      <c r="B909" s="271"/>
      <c r="C909" s="271">
        <f>VLOOKUP(B909,Orgenheter!$A$1:$B$213,2,0)</f>
        <v>0</v>
      </c>
    </row>
    <row r="910" spans="1:3" ht="15" customHeight="1" x14ac:dyDescent="0.25">
      <c r="A910" s="271"/>
      <c r="B910" s="271"/>
      <c r="C910" s="271">
        <f>VLOOKUP(B910,Orgenheter!$A$1:$B$213,2,0)</f>
        <v>0</v>
      </c>
    </row>
    <row r="911" spans="1:3" ht="15" customHeight="1" x14ac:dyDescent="0.25">
      <c r="A911" s="271"/>
      <c r="B911" s="271"/>
      <c r="C911" s="271">
        <f>VLOOKUP(B911,Orgenheter!$A$1:$B$213,2,0)</f>
        <v>0</v>
      </c>
    </row>
    <row r="912" spans="1:3" ht="15" customHeight="1" x14ac:dyDescent="0.25">
      <c r="A912" s="271"/>
      <c r="B912" s="271"/>
      <c r="C912" s="271">
        <f>VLOOKUP(B912,Orgenheter!$A$1:$B$213,2,0)</f>
        <v>0</v>
      </c>
    </row>
    <row r="913" spans="1:3" ht="15" customHeight="1" x14ac:dyDescent="0.25">
      <c r="A913" s="271"/>
      <c r="B913" s="271"/>
      <c r="C913" s="271">
        <f>VLOOKUP(B913,Orgenheter!$A$1:$B$213,2,0)</f>
        <v>0</v>
      </c>
    </row>
    <row r="914" spans="1:3" ht="15" customHeight="1" x14ac:dyDescent="0.25">
      <c r="A914" s="271"/>
      <c r="B914" s="271"/>
      <c r="C914" s="271">
        <f>VLOOKUP(B914,Orgenheter!$A$1:$B$213,2,0)</f>
        <v>0</v>
      </c>
    </row>
    <row r="915" spans="1:3" ht="15" customHeight="1" x14ac:dyDescent="0.25">
      <c r="A915" s="271"/>
      <c r="B915" s="271"/>
      <c r="C915" s="271">
        <f>VLOOKUP(B915,Orgenheter!$A$1:$B$213,2,0)</f>
        <v>0</v>
      </c>
    </row>
    <row r="916" spans="1:3" ht="15" customHeight="1" x14ac:dyDescent="0.25">
      <c r="A916" s="271"/>
      <c r="B916" s="271"/>
      <c r="C916" s="271">
        <f>VLOOKUP(B916,Orgenheter!$A$1:$B$213,2,0)</f>
        <v>0</v>
      </c>
    </row>
    <row r="917" spans="1:3" ht="15" customHeight="1" x14ac:dyDescent="0.25">
      <c r="A917" s="271"/>
      <c r="B917" s="271"/>
      <c r="C917" s="271">
        <f>VLOOKUP(B917,Orgenheter!$A$1:$B$213,2,0)</f>
        <v>0</v>
      </c>
    </row>
    <row r="918" spans="1:3" ht="15" customHeight="1" x14ac:dyDescent="0.25">
      <c r="A918" s="271"/>
      <c r="B918" s="271"/>
      <c r="C918" s="271">
        <f>VLOOKUP(B918,Orgenheter!$A$1:$B$213,2,0)</f>
        <v>0</v>
      </c>
    </row>
    <row r="919" spans="1:3" ht="15" customHeight="1" x14ac:dyDescent="0.25">
      <c r="A919" s="271"/>
      <c r="B919" s="271"/>
      <c r="C919" s="271">
        <f>VLOOKUP(B919,Orgenheter!$A$1:$B$213,2,0)</f>
        <v>0</v>
      </c>
    </row>
    <row r="920" spans="1:3" ht="15" customHeight="1" x14ac:dyDescent="0.25">
      <c r="A920" s="271"/>
      <c r="B920" s="271"/>
      <c r="C920" s="271">
        <f>VLOOKUP(B920,Orgenheter!$A$1:$B$213,2,0)</f>
        <v>0</v>
      </c>
    </row>
    <row r="921" spans="1:3" ht="15" customHeight="1" x14ac:dyDescent="0.25">
      <c r="A921" s="271"/>
      <c r="B921" s="271"/>
      <c r="C921" s="271">
        <f>VLOOKUP(B921,Orgenheter!$A$1:$B$213,2,0)</f>
        <v>0</v>
      </c>
    </row>
    <row r="922" spans="1:3" ht="15" customHeight="1" x14ac:dyDescent="0.25">
      <c r="A922" s="271"/>
      <c r="B922" s="271"/>
      <c r="C922" s="271">
        <f>VLOOKUP(B922,Orgenheter!$A$1:$B$213,2,0)</f>
        <v>0</v>
      </c>
    </row>
    <row r="923" spans="1:3" ht="15" customHeight="1" x14ac:dyDescent="0.25">
      <c r="A923" s="271"/>
      <c r="B923" s="271"/>
      <c r="C923" s="271">
        <f>VLOOKUP(B923,Orgenheter!$A$1:$B$213,2,0)</f>
        <v>0</v>
      </c>
    </row>
    <row r="924" spans="1:3" ht="15" customHeight="1" x14ac:dyDescent="0.25">
      <c r="A924" s="271"/>
      <c r="B924" s="271"/>
      <c r="C924" s="271">
        <f>VLOOKUP(B924,Orgenheter!$A$1:$B$213,2,0)</f>
        <v>0</v>
      </c>
    </row>
    <row r="925" spans="1:3" ht="15" customHeight="1" x14ac:dyDescent="0.25">
      <c r="A925" s="271"/>
      <c r="B925" s="271"/>
      <c r="C925" s="271">
        <f>VLOOKUP(B925,Orgenheter!$A$1:$B$213,2,0)</f>
        <v>0</v>
      </c>
    </row>
    <row r="926" spans="1:3" ht="15" customHeight="1" x14ac:dyDescent="0.25">
      <c r="A926" s="271"/>
      <c r="B926" s="271"/>
      <c r="C926" s="271">
        <f>VLOOKUP(B926,Orgenheter!$A$1:$B$213,2,0)</f>
        <v>0</v>
      </c>
    </row>
    <row r="927" spans="1:3" ht="15" customHeight="1" x14ac:dyDescent="0.25">
      <c r="A927" s="271"/>
      <c r="B927" s="271"/>
      <c r="C927" s="271">
        <f>VLOOKUP(B927,Orgenheter!$A$1:$B$213,2,0)</f>
        <v>0</v>
      </c>
    </row>
    <row r="928" spans="1:3" ht="15" customHeight="1" x14ac:dyDescent="0.25">
      <c r="A928" s="271"/>
      <c r="B928" s="271"/>
      <c r="C928" s="271">
        <f>VLOOKUP(B928,Orgenheter!$A$1:$B$213,2,0)</f>
        <v>0</v>
      </c>
    </row>
    <row r="929" spans="1:3" ht="15" customHeight="1" x14ac:dyDescent="0.25">
      <c r="A929" s="271"/>
      <c r="B929" s="271"/>
      <c r="C929" s="271">
        <f>VLOOKUP(B929,Orgenheter!$A$1:$B$213,2,0)</f>
        <v>0</v>
      </c>
    </row>
    <row r="930" spans="1:3" ht="15" customHeight="1" x14ac:dyDescent="0.25">
      <c r="A930" s="271"/>
      <c r="B930" s="271"/>
      <c r="C930" s="271">
        <f>VLOOKUP(B930,Orgenheter!$A$1:$B$213,2,0)</f>
        <v>0</v>
      </c>
    </row>
    <row r="931" spans="1:3" ht="15" customHeight="1" x14ac:dyDescent="0.25">
      <c r="A931" s="271"/>
      <c r="B931" s="271"/>
      <c r="C931" s="271">
        <f>VLOOKUP(B931,Orgenheter!$A$1:$B$213,2,0)</f>
        <v>0</v>
      </c>
    </row>
    <row r="932" spans="1:3" ht="15" customHeight="1" x14ac:dyDescent="0.25">
      <c r="A932" s="271"/>
      <c r="B932" s="271"/>
      <c r="C932" s="271">
        <f>VLOOKUP(B932,Orgenheter!$A$1:$B$213,2,0)</f>
        <v>0</v>
      </c>
    </row>
    <row r="933" spans="1:3" ht="15" customHeight="1" x14ac:dyDescent="0.25">
      <c r="A933" s="271"/>
      <c r="B933" s="271"/>
      <c r="C933" s="271">
        <f>VLOOKUP(B933,Orgenheter!$A$1:$B$213,2,0)</f>
        <v>0</v>
      </c>
    </row>
    <row r="934" spans="1:3" ht="15" customHeight="1" x14ac:dyDescent="0.25">
      <c r="A934" s="271"/>
      <c r="B934" s="271"/>
      <c r="C934" s="271">
        <f>VLOOKUP(B934,Orgenheter!$A$1:$B$213,2,0)</f>
        <v>0</v>
      </c>
    </row>
    <row r="935" spans="1:3" ht="15" customHeight="1" x14ac:dyDescent="0.25">
      <c r="A935" s="271"/>
      <c r="B935" s="271"/>
      <c r="C935" s="271">
        <f>VLOOKUP(B935,Orgenheter!$A$1:$B$213,2,0)</f>
        <v>0</v>
      </c>
    </row>
    <row r="936" spans="1:3" ht="15" customHeight="1" x14ac:dyDescent="0.25">
      <c r="A936" s="271"/>
      <c r="B936" s="271"/>
      <c r="C936" s="271">
        <f>VLOOKUP(B936,Orgenheter!$A$1:$B$213,2,0)</f>
        <v>0</v>
      </c>
    </row>
    <row r="937" spans="1:3" ht="15" customHeight="1" x14ac:dyDescent="0.25">
      <c r="A937" s="271"/>
      <c r="B937" s="271"/>
      <c r="C937" s="271">
        <f>VLOOKUP(B937,Orgenheter!$A$1:$B$213,2,0)</f>
        <v>0</v>
      </c>
    </row>
    <row r="938" spans="1:3" ht="15" customHeight="1" x14ac:dyDescent="0.25">
      <c r="A938" s="271"/>
      <c r="B938" s="271"/>
      <c r="C938" s="271">
        <f>VLOOKUP(B938,Orgenheter!$A$1:$B$213,2,0)</f>
        <v>0</v>
      </c>
    </row>
    <row r="939" spans="1:3" ht="15" customHeight="1" x14ac:dyDescent="0.25">
      <c r="A939" s="271"/>
      <c r="B939" s="271"/>
      <c r="C939" s="271">
        <f>VLOOKUP(B939,Orgenheter!$A$1:$B$213,2,0)</f>
        <v>0</v>
      </c>
    </row>
    <row r="940" spans="1:3" ht="15" customHeight="1" x14ac:dyDescent="0.25">
      <c r="A940" s="271"/>
      <c r="B940" s="271"/>
      <c r="C940" s="271">
        <f>VLOOKUP(B940,Orgenheter!$A$1:$B$213,2,0)</f>
        <v>0</v>
      </c>
    </row>
    <row r="941" spans="1:3" ht="15" customHeight="1" x14ac:dyDescent="0.25">
      <c r="A941" s="271"/>
      <c r="B941" s="271"/>
      <c r="C941" s="271">
        <f>VLOOKUP(B941,Orgenheter!$A$1:$B$213,2,0)</f>
        <v>0</v>
      </c>
    </row>
    <row r="942" spans="1:3" ht="15" customHeight="1" x14ac:dyDescent="0.25">
      <c r="A942" s="271"/>
      <c r="B942" s="271"/>
      <c r="C942" s="271">
        <f>VLOOKUP(B942,Orgenheter!$A$1:$B$213,2,0)</f>
        <v>0</v>
      </c>
    </row>
    <row r="943" spans="1:3" ht="15" customHeight="1" x14ac:dyDescent="0.25">
      <c r="A943" s="271"/>
      <c r="B943" s="271"/>
      <c r="C943" s="271">
        <f>VLOOKUP(B943,Orgenheter!$A$1:$B$213,2,0)</f>
        <v>0</v>
      </c>
    </row>
    <row r="944" spans="1:3" ht="15" customHeight="1" x14ac:dyDescent="0.25">
      <c r="A944" s="271"/>
      <c r="B944" s="271"/>
      <c r="C944" s="271">
        <f>VLOOKUP(B944,Orgenheter!$A$1:$B$213,2,0)</f>
        <v>0</v>
      </c>
    </row>
    <row r="945" spans="1:3" ht="15" customHeight="1" x14ac:dyDescent="0.25">
      <c r="A945" s="271"/>
      <c r="B945" s="271"/>
      <c r="C945" s="271">
        <f>VLOOKUP(B945,Orgenheter!$A$1:$B$213,2,0)</f>
        <v>0</v>
      </c>
    </row>
    <row r="946" spans="1:3" ht="15" customHeight="1" x14ac:dyDescent="0.25">
      <c r="A946" s="271"/>
      <c r="B946" s="271"/>
      <c r="C946" s="271">
        <f>VLOOKUP(B946,Orgenheter!$A$1:$B$213,2,0)</f>
        <v>0</v>
      </c>
    </row>
    <row r="947" spans="1:3" ht="15" customHeight="1" x14ac:dyDescent="0.25">
      <c r="A947" s="271"/>
      <c r="B947" s="271"/>
      <c r="C947" s="271">
        <f>VLOOKUP(B947,Orgenheter!$A$1:$B$213,2,0)</f>
        <v>0</v>
      </c>
    </row>
    <row r="948" spans="1:3" ht="15" customHeight="1" x14ac:dyDescent="0.25">
      <c r="A948" s="271"/>
      <c r="B948" s="271"/>
      <c r="C948" s="271">
        <f>VLOOKUP(B948,Orgenheter!$A$1:$B$213,2,0)</f>
        <v>0</v>
      </c>
    </row>
    <row r="949" spans="1:3" ht="15" customHeight="1" x14ac:dyDescent="0.25">
      <c r="A949" s="271"/>
      <c r="B949" s="271"/>
      <c r="C949" s="271">
        <f>VLOOKUP(B949,Orgenheter!$A$1:$B$213,2,0)</f>
        <v>0</v>
      </c>
    </row>
    <row r="950" spans="1:3" ht="15" customHeight="1" x14ac:dyDescent="0.25">
      <c r="A950" s="271"/>
      <c r="B950" s="271"/>
      <c r="C950" s="271">
        <f>VLOOKUP(B950,Orgenheter!$A$1:$B$213,2,0)</f>
        <v>0</v>
      </c>
    </row>
    <row r="951" spans="1:3" ht="15" customHeight="1" x14ac:dyDescent="0.25">
      <c r="A951" s="271"/>
      <c r="B951" s="271"/>
      <c r="C951" s="271">
        <f>VLOOKUP(B951,Orgenheter!$A$1:$B$213,2,0)</f>
        <v>0</v>
      </c>
    </row>
    <row r="952" spans="1:3" ht="15" customHeight="1" x14ac:dyDescent="0.25">
      <c r="A952" s="271"/>
      <c r="B952" s="271"/>
      <c r="C952" s="271">
        <f>VLOOKUP(B952,Orgenheter!$A$1:$B$213,2,0)</f>
        <v>0</v>
      </c>
    </row>
    <row r="953" spans="1:3" ht="15" customHeight="1" x14ac:dyDescent="0.25">
      <c r="A953" s="271"/>
      <c r="B953" s="271"/>
      <c r="C953" s="271">
        <f>VLOOKUP(B953,Orgenheter!$A$1:$B$213,2,0)</f>
        <v>0</v>
      </c>
    </row>
    <row r="954" spans="1:3" ht="15" customHeight="1" x14ac:dyDescent="0.25">
      <c r="A954" s="271"/>
      <c r="B954" s="271"/>
      <c r="C954" s="271">
        <f>VLOOKUP(B954,Orgenheter!$A$1:$B$213,2,0)</f>
        <v>0</v>
      </c>
    </row>
    <row r="955" spans="1:3" ht="15" customHeight="1" x14ac:dyDescent="0.25">
      <c r="A955" s="271"/>
      <c r="B955" s="271"/>
      <c r="C955" s="271">
        <f>VLOOKUP(B955,Orgenheter!$A$1:$B$213,2,0)</f>
        <v>0</v>
      </c>
    </row>
    <row r="956" spans="1:3" ht="15" customHeight="1" x14ac:dyDescent="0.25">
      <c r="A956" s="271"/>
      <c r="B956" s="271"/>
      <c r="C956" s="271">
        <f>VLOOKUP(B956,Orgenheter!$A$1:$B$213,2,0)</f>
        <v>0</v>
      </c>
    </row>
    <row r="957" spans="1:3" ht="15" customHeight="1" x14ac:dyDescent="0.25">
      <c r="A957" s="271"/>
      <c r="B957" s="271"/>
      <c r="C957" s="271">
        <f>VLOOKUP(B957,Orgenheter!$A$1:$B$213,2,0)</f>
        <v>0</v>
      </c>
    </row>
    <row r="958" spans="1:3" ht="15" customHeight="1" x14ac:dyDescent="0.25">
      <c r="A958" s="271"/>
      <c r="B958" s="271"/>
      <c r="C958" s="271">
        <f>VLOOKUP(B958,Orgenheter!$A$1:$B$213,2,0)</f>
        <v>0</v>
      </c>
    </row>
    <row r="959" spans="1:3" ht="15" customHeight="1" x14ac:dyDescent="0.25">
      <c r="A959" s="271"/>
      <c r="B959" s="271"/>
      <c r="C959" s="271">
        <f>VLOOKUP(B959,Orgenheter!$A$1:$B$213,2,0)</f>
        <v>0</v>
      </c>
    </row>
    <row r="960" spans="1:3" ht="15" customHeight="1" x14ac:dyDescent="0.25">
      <c r="A960" s="271"/>
      <c r="B960" s="271"/>
      <c r="C960" s="271">
        <f>VLOOKUP(B960,Orgenheter!$A$1:$B$213,2,0)</f>
        <v>0</v>
      </c>
    </row>
    <row r="961" spans="1:3" ht="15" customHeight="1" x14ac:dyDescent="0.25">
      <c r="A961" s="271"/>
      <c r="B961" s="271"/>
      <c r="C961" s="271">
        <f>VLOOKUP(B961,Orgenheter!$A$1:$B$213,2,0)</f>
        <v>0</v>
      </c>
    </row>
    <row r="962" spans="1:3" ht="15" customHeight="1" x14ac:dyDescent="0.25">
      <c r="A962" s="271"/>
      <c r="B962" s="271"/>
      <c r="C962" s="271">
        <f>VLOOKUP(B962,Orgenheter!$A$1:$B$213,2,0)</f>
        <v>0</v>
      </c>
    </row>
    <row r="963" spans="1:3" ht="15" customHeight="1" x14ac:dyDescent="0.25">
      <c r="A963" s="271"/>
      <c r="B963" s="271"/>
      <c r="C963" s="271">
        <f>VLOOKUP(B963,Orgenheter!$A$1:$B$213,2,0)</f>
        <v>0</v>
      </c>
    </row>
    <row r="964" spans="1:3" ht="15" customHeight="1" x14ac:dyDescent="0.25">
      <c r="A964" s="271"/>
      <c r="B964" s="271"/>
      <c r="C964" s="271">
        <f>VLOOKUP(B964,Orgenheter!$A$1:$B$213,2,0)</f>
        <v>0</v>
      </c>
    </row>
    <row r="965" spans="1:3" ht="15" customHeight="1" x14ac:dyDescent="0.25">
      <c r="A965" s="271"/>
      <c r="B965" s="271"/>
      <c r="C965" s="271">
        <f>VLOOKUP(B965,Orgenheter!$A$1:$B$213,2,0)</f>
        <v>0</v>
      </c>
    </row>
    <row r="966" spans="1:3" ht="15" customHeight="1" x14ac:dyDescent="0.25">
      <c r="A966" s="271"/>
      <c r="B966" s="271"/>
      <c r="C966" s="271">
        <f>VLOOKUP(B966,Orgenheter!$A$1:$B$213,2,0)</f>
        <v>0</v>
      </c>
    </row>
    <row r="967" spans="1:3" ht="15" customHeight="1" x14ac:dyDescent="0.25">
      <c r="A967" s="271"/>
      <c r="B967" s="271"/>
      <c r="C967" s="271">
        <f>VLOOKUP(B967,Orgenheter!$A$1:$B$213,2,0)</f>
        <v>0</v>
      </c>
    </row>
    <row r="968" spans="1:3" ht="15" customHeight="1" x14ac:dyDescent="0.25">
      <c r="A968" s="271"/>
      <c r="B968" s="271"/>
      <c r="C968" s="271">
        <f>VLOOKUP(B968,Orgenheter!$A$1:$B$213,2,0)</f>
        <v>0</v>
      </c>
    </row>
    <row r="969" spans="1:3" ht="15" customHeight="1" x14ac:dyDescent="0.25">
      <c r="A969" s="271"/>
      <c r="B969" s="271"/>
      <c r="C969" s="271">
        <f>VLOOKUP(B969,Orgenheter!$A$1:$B$213,2,0)</f>
        <v>0</v>
      </c>
    </row>
    <row r="970" spans="1:3" ht="15" customHeight="1" x14ac:dyDescent="0.25">
      <c r="A970" s="271"/>
      <c r="B970" s="271"/>
      <c r="C970" s="271">
        <f>VLOOKUP(B970,Orgenheter!$A$1:$B$213,2,0)</f>
        <v>0</v>
      </c>
    </row>
    <row r="971" spans="1:3" ht="15" customHeight="1" x14ac:dyDescent="0.25">
      <c r="A971" s="271"/>
      <c r="B971" s="271"/>
      <c r="C971" s="271">
        <f>VLOOKUP(B971,Orgenheter!$A$1:$B$213,2,0)</f>
        <v>0</v>
      </c>
    </row>
    <row r="972" spans="1:3" ht="15" customHeight="1" x14ac:dyDescent="0.25">
      <c r="A972" s="271"/>
      <c r="B972" s="271"/>
      <c r="C972" s="271">
        <f>VLOOKUP(B972,Orgenheter!$A$1:$B$213,2,0)</f>
        <v>0</v>
      </c>
    </row>
    <row r="973" spans="1:3" ht="15" customHeight="1" x14ac:dyDescent="0.25">
      <c r="A973" s="271"/>
      <c r="B973" s="271"/>
      <c r="C973" s="271">
        <f>VLOOKUP(B973,Orgenheter!$A$1:$B$213,2,0)</f>
        <v>0</v>
      </c>
    </row>
    <row r="974" spans="1:3" ht="15" customHeight="1" x14ac:dyDescent="0.25">
      <c r="A974" s="271"/>
      <c r="B974" s="271"/>
      <c r="C974" s="271">
        <f>VLOOKUP(B974,Orgenheter!$A$1:$B$213,2,0)</f>
        <v>0</v>
      </c>
    </row>
    <row r="975" spans="1:3" ht="15" customHeight="1" x14ac:dyDescent="0.25">
      <c r="A975" s="271"/>
      <c r="B975" s="271"/>
      <c r="C975" s="271">
        <f>VLOOKUP(B975,Orgenheter!$A$1:$B$213,2,0)</f>
        <v>0</v>
      </c>
    </row>
    <row r="976" spans="1:3" ht="15" customHeight="1" x14ac:dyDescent="0.25">
      <c r="A976" s="271"/>
      <c r="B976" s="271"/>
      <c r="C976" s="271">
        <f>VLOOKUP(B976,Orgenheter!$A$1:$B$213,2,0)</f>
        <v>0</v>
      </c>
    </row>
    <row r="977" spans="1:3" x14ac:dyDescent="0.25">
      <c r="A977" s="271"/>
      <c r="B977" s="271"/>
      <c r="C977" s="271">
        <f>VLOOKUP(B977,Orgenheter!$A$1:$B$213,2,0)</f>
        <v>0</v>
      </c>
    </row>
    <row r="978" spans="1:3" x14ac:dyDescent="0.25">
      <c r="A978" s="271"/>
      <c r="B978" s="271"/>
      <c r="C978" s="271">
        <f>VLOOKUP(B978,Orgenheter!$A$1:$B$213,2,0)</f>
        <v>0</v>
      </c>
    </row>
    <row r="979" spans="1:3" x14ac:dyDescent="0.25">
      <c r="A979" s="271"/>
      <c r="B979" s="271"/>
      <c r="C979" s="271">
        <f>VLOOKUP(B979,Orgenheter!$A$1:$B$213,2,0)</f>
        <v>0</v>
      </c>
    </row>
    <row r="980" spans="1:3" x14ac:dyDescent="0.25">
      <c r="A980" s="271"/>
      <c r="B980" s="271"/>
      <c r="C980" s="271">
        <f>VLOOKUP(B980,Orgenheter!$A$1:$B$213,2,0)</f>
        <v>0</v>
      </c>
    </row>
    <row r="981" spans="1:3" x14ac:dyDescent="0.25">
      <c r="A981" s="271"/>
      <c r="B981" s="271"/>
      <c r="C981" s="271">
        <f>VLOOKUP(B981,Orgenheter!$A$1:$B$213,2,0)</f>
        <v>0</v>
      </c>
    </row>
    <row r="982" spans="1:3" x14ac:dyDescent="0.25">
      <c r="A982" s="271"/>
      <c r="B982" s="271"/>
      <c r="C982" s="271">
        <f>VLOOKUP(B982,Orgenheter!$A$1:$B$213,2,0)</f>
        <v>0</v>
      </c>
    </row>
    <row r="983" spans="1:3" x14ac:dyDescent="0.25">
      <c r="A983" s="271"/>
      <c r="B983" s="271"/>
      <c r="C983" s="271">
        <f>VLOOKUP(B983,Orgenheter!$A$1:$B$213,2,0)</f>
        <v>0</v>
      </c>
    </row>
    <row r="984" spans="1:3" x14ac:dyDescent="0.25">
      <c r="A984" s="271"/>
      <c r="B984" s="271"/>
      <c r="C984" s="271">
        <f>VLOOKUP(B984,Orgenheter!$A$1:$B$213,2,0)</f>
        <v>0</v>
      </c>
    </row>
    <row r="985" spans="1:3" x14ac:dyDescent="0.25">
      <c r="A985" s="271"/>
      <c r="B985" s="271"/>
      <c r="C985" s="271">
        <f>VLOOKUP(B985,Orgenheter!$A$1:$B$213,2,0)</f>
        <v>0</v>
      </c>
    </row>
    <row r="986" spans="1:3" x14ac:dyDescent="0.25">
      <c r="A986" s="271"/>
      <c r="B986" s="271"/>
      <c r="C986" s="271">
        <f>VLOOKUP(B986,Orgenheter!$A$1:$B$213,2,0)</f>
        <v>0</v>
      </c>
    </row>
    <row r="987" spans="1:3" x14ac:dyDescent="0.25">
      <c r="A987" s="271"/>
      <c r="B987" s="271"/>
      <c r="C987" s="271">
        <f>VLOOKUP(B987,Orgenheter!$A$1:$B$213,2,0)</f>
        <v>0</v>
      </c>
    </row>
    <row r="988" spans="1:3" x14ac:dyDescent="0.25">
      <c r="A988" s="271"/>
      <c r="B988" s="271"/>
      <c r="C988" s="271">
        <f>VLOOKUP(B988,Orgenheter!$A$1:$B$213,2,0)</f>
        <v>0</v>
      </c>
    </row>
    <row r="989" spans="1:3" x14ac:dyDescent="0.25">
      <c r="A989" s="271"/>
      <c r="B989" s="271"/>
      <c r="C989" s="271">
        <f>VLOOKUP(B989,Orgenheter!$A$1:$B$213,2,0)</f>
        <v>0</v>
      </c>
    </row>
    <row r="990" spans="1:3" x14ac:dyDescent="0.25">
      <c r="A990" s="271"/>
      <c r="B990" s="271"/>
      <c r="C990" s="271">
        <f>VLOOKUP(B990,Orgenheter!$A$1:$B$213,2,0)</f>
        <v>0</v>
      </c>
    </row>
    <row r="991" spans="1:3" x14ac:dyDescent="0.25">
      <c r="C991" s="325">
        <f>VLOOKUP(B991,Orgenheter!$A$1:$B$213,2,0)</f>
        <v>0</v>
      </c>
    </row>
    <row r="992" spans="1:3" x14ac:dyDescent="0.25">
      <c r="C992" s="61">
        <f>VLOOKUP(B992,Orgenheter!$A$1:$B$213,2,0)</f>
        <v>0</v>
      </c>
    </row>
    <row r="993" spans="3:3" x14ac:dyDescent="0.25">
      <c r="C993" s="61">
        <f>VLOOKUP(B993,Orgenheter!$A$1:$B$213,2,0)</f>
        <v>0</v>
      </c>
    </row>
    <row r="994" spans="3:3" x14ac:dyDescent="0.25">
      <c r="C994" s="61">
        <f>VLOOKUP(B994,Orgenheter!$A$1:$B$213,2,0)</f>
        <v>0</v>
      </c>
    </row>
    <row r="995" spans="3:3" x14ac:dyDescent="0.25">
      <c r="C995" s="61">
        <f>VLOOKUP(B995,Orgenheter!$A$1:$B$213,2,0)</f>
        <v>0</v>
      </c>
    </row>
    <row r="996" spans="3:3" x14ac:dyDescent="0.25">
      <c r="C996" s="61">
        <f>VLOOKUP(B996,Orgenheter!$A$1:$B$213,2,0)</f>
        <v>0</v>
      </c>
    </row>
    <row r="997" spans="3:3" x14ac:dyDescent="0.25">
      <c r="C997" s="61">
        <f>VLOOKUP(B997,Orgenheter!$A$1:$B$213,2,0)</f>
        <v>0</v>
      </c>
    </row>
    <row r="998" spans="3:3" x14ac:dyDescent="0.25">
      <c r="C998" s="61">
        <f>VLOOKUP(B998,Orgenheter!$A$1:$B$213,2,0)</f>
        <v>0</v>
      </c>
    </row>
    <row r="999" spans="3:3" x14ac:dyDescent="0.25">
      <c r="C999" s="61">
        <f>VLOOKUP(B999,Orgenheter!$A$1:$B$213,2,0)</f>
        <v>0</v>
      </c>
    </row>
    <row r="1000" spans="3:3" x14ac:dyDescent="0.25">
      <c r="C1000" s="61">
        <f>VLOOKUP(B1000,Orgenheter!$A$1:$B$213,2,0)</f>
        <v>0</v>
      </c>
    </row>
    <row r="1001" spans="3:3" x14ac:dyDescent="0.25">
      <c r="C1001" s="61">
        <f>VLOOKUP(B1001,Orgenheter!$A$1:$B$213,2,0)</f>
        <v>0</v>
      </c>
    </row>
    <row r="1002" spans="3:3" x14ac:dyDescent="0.25">
      <c r="C1002" s="61">
        <f>VLOOKUP(B1002,Orgenheter!$A$1:$B$213,2,0)</f>
        <v>0</v>
      </c>
    </row>
    <row r="1003" spans="3:3" x14ac:dyDescent="0.25">
      <c r="C1003" s="61">
        <f>VLOOKUP(B1003,Orgenheter!$A$1:$B$213,2,0)</f>
        <v>0</v>
      </c>
    </row>
    <row r="1004" spans="3:3" x14ac:dyDescent="0.25">
      <c r="C1004" s="61">
        <f>VLOOKUP(B1004,Orgenheter!$A$1:$B$213,2,0)</f>
        <v>0</v>
      </c>
    </row>
    <row r="1005" spans="3:3" x14ac:dyDescent="0.25">
      <c r="C1005" s="61">
        <f>VLOOKUP(B1005,Orgenheter!$A$1:$B$213,2,0)</f>
        <v>0</v>
      </c>
    </row>
    <row r="1006" spans="3:3" x14ac:dyDescent="0.25">
      <c r="C1006" s="61">
        <f>VLOOKUP(B1006,Orgenheter!$A$1:$B$213,2,0)</f>
        <v>0</v>
      </c>
    </row>
    <row r="1007" spans="3:3" x14ac:dyDescent="0.25">
      <c r="C1007" s="61">
        <f>VLOOKUP(B1007,Orgenheter!$A$1:$B$213,2,0)</f>
        <v>0</v>
      </c>
    </row>
    <row r="1008" spans="3:3" x14ac:dyDescent="0.25">
      <c r="C1008" s="61">
        <f>VLOOKUP(B1008,Orgenheter!$A$1:$B$213,2,0)</f>
        <v>0</v>
      </c>
    </row>
    <row r="1009" spans="3:3" x14ac:dyDescent="0.25">
      <c r="C1009" s="61">
        <f>VLOOKUP(B1009,Orgenheter!$A$1:$B$213,2,0)</f>
        <v>0</v>
      </c>
    </row>
    <row r="1010" spans="3:3" x14ac:dyDescent="0.25">
      <c r="C1010" s="61">
        <f>VLOOKUP(B1010,Orgenheter!$A$1:$B$213,2,0)</f>
        <v>0</v>
      </c>
    </row>
    <row r="1011" spans="3:3" x14ac:dyDescent="0.25">
      <c r="C1011" s="61">
        <f>VLOOKUP(B1011,Orgenheter!$A$1:$B$213,2,0)</f>
        <v>0</v>
      </c>
    </row>
    <row r="1012" spans="3:3" x14ac:dyDescent="0.25">
      <c r="C1012" s="61">
        <f>VLOOKUP(B1012,Orgenheter!$A$1:$B$213,2,0)</f>
        <v>0</v>
      </c>
    </row>
    <row r="1013" spans="3:3" x14ac:dyDescent="0.25">
      <c r="C1013" s="61">
        <f>VLOOKUP(B1013,Orgenheter!$A$1:$B$213,2,0)</f>
        <v>0</v>
      </c>
    </row>
    <row r="1014" spans="3:3" x14ac:dyDescent="0.25">
      <c r="C1014" s="61">
        <f>VLOOKUP(B1014,Orgenheter!$A$1:$B$213,2,0)</f>
        <v>0</v>
      </c>
    </row>
    <row r="1015" spans="3:3" x14ac:dyDescent="0.25">
      <c r="C1015" s="61">
        <f>VLOOKUP(B1015,Orgenheter!$A$1:$B$213,2,0)</f>
        <v>0</v>
      </c>
    </row>
    <row r="1016" spans="3:3" x14ac:dyDescent="0.25">
      <c r="C1016" s="61">
        <f>VLOOKUP(B1016,Orgenheter!$A$1:$B$213,2,0)</f>
        <v>0</v>
      </c>
    </row>
    <row r="1017" spans="3:3" x14ac:dyDescent="0.25">
      <c r="C1017" s="61">
        <f>VLOOKUP(B1017,Orgenheter!$A$1:$B$213,2,0)</f>
        <v>0</v>
      </c>
    </row>
    <row r="1018" spans="3:3" x14ac:dyDescent="0.25">
      <c r="C1018" s="61">
        <f>VLOOKUP(B1018,Orgenheter!$A$1:$B$213,2,0)</f>
        <v>0</v>
      </c>
    </row>
    <row r="1019" spans="3:3" x14ac:dyDescent="0.25">
      <c r="C1019" s="61">
        <f>VLOOKUP(B1019,Orgenheter!$A$1:$B$213,2,0)</f>
        <v>0</v>
      </c>
    </row>
    <row r="1020" spans="3:3" x14ac:dyDescent="0.25">
      <c r="C1020" s="61">
        <f>VLOOKUP(B1020,Orgenheter!$A$1:$B$213,2,0)</f>
        <v>0</v>
      </c>
    </row>
    <row r="1021" spans="3:3" x14ac:dyDescent="0.25">
      <c r="C1021" s="61">
        <f>VLOOKUP(B1021,Orgenheter!$A$1:$B$213,2,0)</f>
        <v>0</v>
      </c>
    </row>
    <row r="1022" spans="3:3" x14ac:dyDescent="0.25">
      <c r="C1022" s="61">
        <f>VLOOKUP(B1022,Orgenheter!$A$1:$B$213,2,0)</f>
        <v>0</v>
      </c>
    </row>
    <row r="1023" spans="3:3" x14ac:dyDescent="0.25">
      <c r="C1023" s="61">
        <f>VLOOKUP(B1023,Orgenheter!$A$1:$B$213,2,0)</f>
        <v>0</v>
      </c>
    </row>
    <row r="1024" spans="3:3" x14ac:dyDescent="0.25">
      <c r="C1024" s="61">
        <f>VLOOKUP(B1024,Orgenheter!$A$1:$B$213,2,0)</f>
        <v>0</v>
      </c>
    </row>
    <row r="1025" spans="3:3" x14ac:dyDescent="0.25">
      <c r="C1025" s="61">
        <f>VLOOKUP(B1025,Orgenheter!$A$1:$B$213,2,0)</f>
        <v>0</v>
      </c>
    </row>
    <row r="1026" spans="3:3" x14ac:dyDescent="0.25">
      <c r="C1026" s="61">
        <f>VLOOKUP(B1026,Orgenheter!$A$1:$B$213,2,0)</f>
        <v>0</v>
      </c>
    </row>
    <row r="1027" spans="3:3" x14ac:dyDescent="0.25">
      <c r="C1027" s="61">
        <f>VLOOKUP(B1027,Orgenheter!$A$1:$B$213,2,0)</f>
        <v>0</v>
      </c>
    </row>
  </sheetData>
  <sheetProtection sheet="1" objects="1" scenarios="1"/>
  <autoFilter ref="A1:C882">
    <sortState ref="A2:C497">
      <sortCondition ref="A1:A497"/>
    </sortState>
  </autoFilter>
  <sortState ref="A2:C439">
    <sortCondition ref="A2:A439"/>
  </sortState>
  <phoneticPr fontId="42" type="noConversion"/>
  <printOptions horizontalCentered="1" gridLines="1"/>
  <pageMargins left="0.55118110236220474" right="0.55118110236220474" top="0.19685039370078741" bottom="0.47244094488188981" header="0.51181102362204722" footer="7.874015748031496E-2"/>
  <pageSetup paperSize="9" orientation="portrait" r:id="rId1"/>
  <headerFooter alignWithMargins="0">
    <oddFooter>Sida &amp;P av &amp;N</oddFooter>
  </headerFooter>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4:D378"/>
  <sheetViews>
    <sheetView zoomScaleNormal="100" workbookViewId="0">
      <selection activeCell="A2" sqref="A2"/>
    </sheetView>
  </sheetViews>
  <sheetFormatPr defaultColWidth="8.85546875" defaultRowHeight="15" x14ac:dyDescent="0.25"/>
  <cols>
    <col min="1" max="1" width="15.140625" customWidth="1"/>
    <col min="2" max="3" width="7.42578125" customWidth="1"/>
    <col min="4" max="4" width="23" bestFit="1" customWidth="1"/>
    <col min="5" max="6" width="23.85546875" customWidth="1"/>
    <col min="7" max="7" width="23.140625" customWidth="1"/>
    <col min="8" max="8" width="13.140625" customWidth="1"/>
  </cols>
  <sheetData>
    <row r="4" spans="1:4" x14ac:dyDescent="0.25">
      <c r="A4" s="391"/>
      <c r="B4" s="392" t="s">
        <v>4</v>
      </c>
      <c r="C4" s="393"/>
      <c r="D4" s="394"/>
    </row>
    <row r="5" spans="1:4" x14ac:dyDescent="0.25">
      <c r="A5" s="392" t="s">
        <v>59</v>
      </c>
      <c r="B5" s="391" t="s">
        <v>445</v>
      </c>
      <c r="C5" s="395" t="s">
        <v>446</v>
      </c>
      <c r="D5" s="396" t="s">
        <v>851</v>
      </c>
    </row>
    <row r="6" spans="1:4" x14ac:dyDescent="0.25">
      <c r="A6" s="391" t="s">
        <v>1010</v>
      </c>
      <c r="B6" s="397">
        <v>2.25</v>
      </c>
      <c r="C6" s="398">
        <v>1.9124999999999999</v>
      </c>
      <c r="D6" s="399">
        <v>159430.72499999998</v>
      </c>
    </row>
    <row r="7" spans="1:4" x14ac:dyDescent="0.25">
      <c r="A7" s="400" t="s">
        <v>1572</v>
      </c>
      <c r="B7" s="401">
        <v>0.25</v>
      </c>
      <c r="C7" s="272">
        <v>0.21249999999999999</v>
      </c>
      <c r="D7" s="402">
        <v>17714.525000000001</v>
      </c>
    </row>
    <row r="8" spans="1:4" x14ac:dyDescent="0.25">
      <c r="A8" s="400" t="s">
        <v>1553</v>
      </c>
      <c r="B8" s="401">
        <v>2</v>
      </c>
      <c r="C8" s="272">
        <v>1.7</v>
      </c>
      <c r="D8" s="402">
        <v>141716.20000000001</v>
      </c>
    </row>
    <row r="9" spans="1:4" x14ac:dyDescent="0.25">
      <c r="A9" s="400" t="s">
        <v>2046</v>
      </c>
      <c r="B9" s="401">
        <v>2.5</v>
      </c>
      <c r="C9" s="272">
        <v>2.125</v>
      </c>
      <c r="D9" s="402">
        <v>177145.25</v>
      </c>
    </row>
    <row r="10" spans="1:4" x14ac:dyDescent="0.25">
      <c r="A10" s="400" t="s">
        <v>2045</v>
      </c>
      <c r="B10" s="401">
        <v>3</v>
      </c>
      <c r="C10" s="272">
        <v>2.5499999999999998</v>
      </c>
      <c r="D10" s="402">
        <v>212574.3</v>
      </c>
    </row>
    <row r="11" spans="1:4" x14ac:dyDescent="0.25">
      <c r="A11" s="400" t="s">
        <v>1011</v>
      </c>
      <c r="B11" s="401">
        <v>0.1</v>
      </c>
      <c r="C11" s="272">
        <v>8.5000000000000006E-2</v>
      </c>
      <c r="D11" s="402">
        <v>7085.81</v>
      </c>
    </row>
    <row r="12" spans="1:4" x14ac:dyDescent="0.25">
      <c r="A12" s="400" t="s">
        <v>1132</v>
      </c>
      <c r="B12" s="401">
        <v>0.1</v>
      </c>
      <c r="C12" s="272">
        <v>8.5000000000000006E-2</v>
      </c>
      <c r="D12" s="402">
        <v>7085.81</v>
      </c>
    </row>
    <row r="13" spans="1:4" x14ac:dyDescent="0.25">
      <c r="A13" s="400" t="s">
        <v>348</v>
      </c>
      <c r="B13" s="401">
        <v>0.625</v>
      </c>
      <c r="C13" s="272">
        <v>0.53125</v>
      </c>
      <c r="D13" s="402">
        <v>44286.3125</v>
      </c>
    </row>
    <row r="14" spans="1:4" x14ac:dyDescent="0.25">
      <c r="A14" s="400" t="s">
        <v>1505</v>
      </c>
      <c r="B14" s="401">
        <v>0.25</v>
      </c>
      <c r="C14" s="272">
        <v>0.21249999999999999</v>
      </c>
      <c r="D14" s="402">
        <v>17714.525000000001</v>
      </c>
    </row>
    <row r="15" spans="1:4" x14ac:dyDescent="0.25">
      <c r="A15" s="400" t="s">
        <v>945</v>
      </c>
      <c r="B15" s="401">
        <v>0.15</v>
      </c>
      <c r="C15" s="272">
        <v>0.1275</v>
      </c>
      <c r="D15" s="402">
        <v>10628.715</v>
      </c>
    </row>
    <row r="16" spans="1:4" x14ac:dyDescent="0.25">
      <c r="A16" s="400" t="s">
        <v>1574</v>
      </c>
      <c r="B16" s="401">
        <v>0.2</v>
      </c>
      <c r="C16" s="272">
        <v>0.17</v>
      </c>
      <c r="D16" s="402">
        <v>14171.62</v>
      </c>
    </row>
    <row r="17" spans="1:4" x14ac:dyDescent="0.25">
      <c r="A17" s="400" t="s">
        <v>1797</v>
      </c>
      <c r="B17" s="401">
        <v>0.1</v>
      </c>
      <c r="C17" s="272">
        <v>8.5000000000000006E-2</v>
      </c>
      <c r="D17" s="402">
        <v>7085.81</v>
      </c>
    </row>
    <row r="18" spans="1:4" x14ac:dyDescent="0.25">
      <c r="A18" s="400" t="s">
        <v>1798</v>
      </c>
      <c r="B18" s="401">
        <v>0.1</v>
      </c>
      <c r="C18" s="272">
        <v>8.5000000000000006E-2</v>
      </c>
      <c r="D18" s="402">
        <v>7085.81</v>
      </c>
    </row>
    <row r="19" spans="1:4" x14ac:dyDescent="0.25">
      <c r="A19" s="400" t="s">
        <v>1588</v>
      </c>
      <c r="B19" s="401">
        <v>0.05</v>
      </c>
      <c r="C19" s="272">
        <v>4.2500000000000003E-2</v>
      </c>
      <c r="D19" s="402">
        <v>3542.9050000000002</v>
      </c>
    </row>
    <row r="20" spans="1:4" x14ac:dyDescent="0.25">
      <c r="A20" s="400" t="s">
        <v>2142</v>
      </c>
      <c r="B20" s="401">
        <v>0.25</v>
      </c>
      <c r="C20" s="272">
        <v>0.21249999999999999</v>
      </c>
      <c r="D20" s="402">
        <v>17714.525000000001</v>
      </c>
    </row>
    <row r="21" spans="1:4" x14ac:dyDescent="0.25">
      <c r="A21" s="400" t="s">
        <v>2143</v>
      </c>
      <c r="B21" s="401">
        <v>0.25</v>
      </c>
      <c r="C21" s="272">
        <v>0.21249999999999999</v>
      </c>
      <c r="D21" s="402">
        <v>17714.525000000001</v>
      </c>
    </row>
    <row r="22" spans="1:4" x14ac:dyDescent="0.25">
      <c r="A22" s="400" t="s">
        <v>2111</v>
      </c>
      <c r="B22" s="401">
        <v>7.4999999999999997E-2</v>
      </c>
      <c r="C22" s="272">
        <v>6.3750000000000001E-2</v>
      </c>
      <c r="D22" s="402">
        <v>5314.3575000000001</v>
      </c>
    </row>
    <row r="23" spans="1:4" x14ac:dyDescent="0.25">
      <c r="A23" s="400" t="s">
        <v>1016</v>
      </c>
      <c r="B23" s="401">
        <v>0.25</v>
      </c>
      <c r="C23" s="272">
        <v>0.21249999999999999</v>
      </c>
      <c r="D23" s="402">
        <v>17714.525000000001</v>
      </c>
    </row>
    <row r="24" spans="1:4" x14ac:dyDescent="0.25">
      <c r="A24" s="400" t="s">
        <v>1799</v>
      </c>
      <c r="B24" s="401">
        <v>0.5</v>
      </c>
      <c r="C24" s="272">
        <v>0.42499999999999999</v>
      </c>
      <c r="D24" s="402">
        <v>35429.050000000003</v>
      </c>
    </row>
    <row r="25" spans="1:4" x14ac:dyDescent="0.25">
      <c r="A25" s="400" t="s">
        <v>1850</v>
      </c>
      <c r="B25" s="401">
        <v>0.125</v>
      </c>
      <c r="C25" s="272">
        <v>0.10625</v>
      </c>
      <c r="D25" s="402">
        <v>8857.2625000000007</v>
      </c>
    </row>
    <row r="26" spans="1:4" x14ac:dyDescent="0.25">
      <c r="A26" s="400" t="s">
        <v>1851</v>
      </c>
      <c r="B26" s="401">
        <v>0.125</v>
      </c>
      <c r="C26" s="272">
        <v>0.10625</v>
      </c>
      <c r="D26" s="402">
        <v>8857.2625000000007</v>
      </c>
    </row>
    <row r="27" spans="1:4" x14ac:dyDescent="0.25">
      <c r="A27" s="400" t="s">
        <v>1017</v>
      </c>
      <c r="B27" s="401">
        <v>0.5</v>
      </c>
      <c r="C27" s="272">
        <v>0.42499999999999999</v>
      </c>
      <c r="D27" s="402">
        <v>35429.050000000003</v>
      </c>
    </row>
    <row r="28" spans="1:4" x14ac:dyDescent="0.25">
      <c r="A28" s="400" t="s">
        <v>2145</v>
      </c>
      <c r="B28" s="401">
        <v>1</v>
      </c>
      <c r="C28" s="272">
        <v>0.85</v>
      </c>
      <c r="D28" s="402">
        <v>70858.100000000006</v>
      </c>
    </row>
    <row r="29" spans="1:4" x14ac:dyDescent="0.25">
      <c r="A29" s="400" t="s">
        <v>1852</v>
      </c>
      <c r="B29" s="401">
        <v>1.25</v>
      </c>
      <c r="C29" s="272">
        <v>1.0625</v>
      </c>
      <c r="D29" s="402">
        <v>88572.625</v>
      </c>
    </row>
    <row r="30" spans="1:4" x14ac:dyDescent="0.25">
      <c r="A30" s="400" t="s">
        <v>1951</v>
      </c>
      <c r="B30" s="401">
        <v>0.25</v>
      </c>
      <c r="C30" s="272">
        <v>0.21249999999999999</v>
      </c>
      <c r="D30" s="402">
        <v>17714.525000000001</v>
      </c>
    </row>
    <row r="31" spans="1:4" x14ac:dyDescent="0.25">
      <c r="A31" s="400" t="s">
        <v>2113</v>
      </c>
      <c r="B31" s="401">
        <v>0.5</v>
      </c>
      <c r="C31" s="272">
        <v>0.42499999999999999</v>
      </c>
      <c r="D31" s="402">
        <v>35429.050000000003</v>
      </c>
    </row>
    <row r="32" spans="1:4" x14ac:dyDescent="0.25">
      <c r="A32" s="400" t="s">
        <v>2115</v>
      </c>
      <c r="B32" s="401">
        <v>0.25</v>
      </c>
      <c r="C32" s="272">
        <v>0.21249999999999999</v>
      </c>
      <c r="D32" s="402">
        <v>17714.525000000001</v>
      </c>
    </row>
    <row r="33" spans="1:4" x14ac:dyDescent="0.25">
      <c r="A33" s="400" t="s">
        <v>2189</v>
      </c>
      <c r="B33" s="401">
        <v>0.125</v>
      </c>
      <c r="C33" s="272">
        <v>0.10625</v>
      </c>
      <c r="D33" s="402">
        <v>8857.2625000000007</v>
      </c>
    </row>
    <row r="34" spans="1:4" x14ac:dyDescent="0.25">
      <c r="A34" s="400" t="s">
        <v>1478</v>
      </c>
      <c r="B34" s="401">
        <v>1.125</v>
      </c>
      <c r="C34" s="272">
        <v>0.95624999999999993</v>
      </c>
      <c r="D34" s="402">
        <v>79715.362499999988</v>
      </c>
    </row>
    <row r="35" spans="1:4" x14ac:dyDescent="0.25">
      <c r="A35" s="400" t="s">
        <v>1953</v>
      </c>
      <c r="B35" s="401">
        <v>1.125</v>
      </c>
      <c r="C35" s="272">
        <v>0.95624999999999993</v>
      </c>
      <c r="D35" s="402">
        <v>53968.612500000003</v>
      </c>
    </row>
    <row r="36" spans="1:4" x14ac:dyDescent="0.25">
      <c r="A36" s="400" t="s">
        <v>1942</v>
      </c>
      <c r="B36" s="401">
        <v>0.75</v>
      </c>
      <c r="C36" s="272">
        <v>0.63749999999999996</v>
      </c>
      <c r="D36" s="402">
        <v>53143.574999999997</v>
      </c>
    </row>
    <row r="37" spans="1:4" x14ac:dyDescent="0.25">
      <c r="A37" s="400" t="s">
        <v>1933</v>
      </c>
      <c r="B37" s="401">
        <v>2.5</v>
      </c>
      <c r="C37" s="272">
        <v>2.125</v>
      </c>
      <c r="D37" s="402">
        <v>177145.25</v>
      </c>
    </row>
    <row r="38" spans="1:4" x14ac:dyDescent="0.25">
      <c r="A38" s="400" t="s">
        <v>1489</v>
      </c>
      <c r="B38" s="401">
        <v>1</v>
      </c>
      <c r="C38" s="272">
        <v>0.85</v>
      </c>
      <c r="D38" s="402">
        <v>70858.100000000006</v>
      </c>
    </row>
    <row r="39" spans="1:4" x14ac:dyDescent="0.25">
      <c r="A39" s="400" t="s">
        <v>1490</v>
      </c>
      <c r="B39" s="401">
        <v>1</v>
      </c>
      <c r="C39" s="272">
        <v>0.85</v>
      </c>
      <c r="D39" s="402">
        <v>70858.100000000006</v>
      </c>
    </row>
    <row r="40" spans="1:4" x14ac:dyDescent="0.25">
      <c r="A40" s="400" t="s">
        <v>1989</v>
      </c>
      <c r="B40" s="401">
        <v>0.125</v>
      </c>
      <c r="C40" s="272">
        <v>0.10625</v>
      </c>
      <c r="D40" s="402">
        <v>8857.2625000000007</v>
      </c>
    </row>
    <row r="41" spans="1:4" x14ac:dyDescent="0.25">
      <c r="A41" s="400" t="s">
        <v>487</v>
      </c>
      <c r="B41" s="401">
        <v>19</v>
      </c>
      <c r="C41" s="272">
        <v>16.099999999999998</v>
      </c>
      <c r="D41" s="402">
        <v>713840.3</v>
      </c>
    </row>
    <row r="42" spans="1:4" x14ac:dyDescent="0.25">
      <c r="A42" s="400" t="s">
        <v>1728</v>
      </c>
      <c r="B42" s="401">
        <v>12.5</v>
      </c>
      <c r="C42" s="272">
        <v>10.575000000000001</v>
      </c>
      <c r="D42" s="402">
        <v>469361.97500000003</v>
      </c>
    </row>
    <row r="43" spans="1:4" x14ac:dyDescent="0.25">
      <c r="A43" s="400" t="s">
        <v>1729</v>
      </c>
      <c r="B43" s="401">
        <v>16</v>
      </c>
      <c r="C43" s="272">
        <v>13.6</v>
      </c>
      <c r="D43" s="402">
        <v>601792.80000000005</v>
      </c>
    </row>
    <row r="44" spans="1:4" x14ac:dyDescent="0.25">
      <c r="A44" s="400" t="s">
        <v>1895</v>
      </c>
      <c r="B44" s="401">
        <v>1.2</v>
      </c>
      <c r="C44" s="272">
        <v>1.02</v>
      </c>
      <c r="D44" s="402">
        <v>57566.520000000004</v>
      </c>
    </row>
    <row r="45" spans="1:4" x14ac:dyDescent="0.25">
      <c r="A45" s="400" t="s">
        <v>1912</v>
      </c>
      <c r="B45" s="401">
        <v>5.875</v>
      </c>
      <c r="C45" s="272">
        <v>4.9937499999999995</v>
      </c>
      <c r="D45" s="402">
        <v>220970.79375000001</v>
      </c>
    </row>
    <row r="46" spans="1:4" x14ac:dyDescent="0.25">
      <c r="A46" s="400" t="s">
        <v>1913</v>
      </c>
      <c r="B46" s="401">
        <v>3.25</v>
      </c>
      <c r="C46" s="272">
        <v>2.7624999999999997</v>
      </c>
      <c r="D46" s="402">
        <v>122239.16250000001</v>
      </c>
    </row>
    <row r="47" spans="1:4" x14ac:dyDescent="0.25">
      <c r="A47" s="400" t="s">
        <v>1985</v>
      </c>
      <c r="B47" s="401">
        <v>5.125</v>
      </c>
      <c r="C47" s="272">
        <v>4.3562500000000002</v>
      </c>
      <c r="D47" s="402">
        <v>192761.75625000001</v>
      </c>
    </row>
    <row r="48" spans="1:4" x14ac:dyDescent="0.25">
      <c r="A48" s="400" t="s">
        <v>1986</v>
      </c>
      <c r="B48" s="401">
        <v>2.625</v>
      </c>
      <c r="C48" s="272">
        <v>2.2312499999999997</v>
      </c>
      <c r="D48" s="402">
        <v>98731.631250000006</v>
      </c>
    </row>
    <row r="49" spans="1:4" x14ac:dyDescent="0.25">
      <c r="A49" s="400" t="s">
        <v>1987</v>
      </c>
      <c r="B49" s="401">
        <v>7</v>
      </c>
      <c r="C49" s="272">
        <v>5.95</v>
      </c>
      <c r="D49" s="402">
        <v>263284.34999999998</v>
      </c>
    </row>
    <row r="50" spans="1:4" x14ac:dyDescent="0.25">
      <c r="A50" s="400" t="s">
        <v>2155</v>
      </c>
      <c r="B50" s="401">
        <v>3.375</v>
      </c>
      <c r="C50" s="272">
        <v>2.7</v>
      </c>
      <c r="D50" s="402">
        <v>124278.97500000001</v>
      </c>
    </row>
    <row r="51" spans="1:4" x14ac:dyDescent="0.25">
      <c r="A51" s="400" t="s">
        <v>65</v>
      </c>
      <c r="B51" s="401">
        <v>3.75</v>
      </c>
      <c r="C51" s="272">
        <v>3</v>
      </c>
      <c r="D51" s="402">
        <v>138087.75</v>
      </c>
    </row>
    <row r="52" spans="1:4" x14ac:dyDescent="0.25">
      <c r="A52" s="400" t="s">
        <v>400</v>
      </c>
      <c r="B52" s="401">
        <v>4.25</v>
      </c>
      <c r="C52" s="272">
        <v>3.4000000000000004</v>
      </c>
      <c r="D52" s="402">
        <v>557290.6</v>
      </c>
    </row>
    <row r="53" spans="1:4" x14ac:dyDescent="0.25">
      <c r="A53" s="400" t="s">
        <v>582</v>
      </c>
      <c r="B53" s="401">
        <v>1</v>
      </c>
      <c r="C53" s="272">
        <v>0.85</v>
      </c>
      <c r="D53" s="402">
        <v>165412.1</v>
      </c>
    </row>
    <row r="54" spans="1:4" x14ac:dyDescent="0.25">
      <c r="A54" s="400" t="s">
        <v>1021</v>
      </c>
      <c r="B54" s="401">
        <v>3.375</v>
      </c>
      <c r="C54" s="272">
        <v>2.8687499999999999</v>
      </c>
      <c r="D54" s="402">
        <v>161905.83749999999</v>
      </c>
    </row>
    <row r="55" spans="1:4" x14ac:dyDescent="0.25">
      <c r="A55" s="400" t="s">
        <v>1022</v>
      </c>
      <c r="B55" s="401">
        <v>2.125</v>
      </c>
      <c r="C55" s="272">
        <v>1.7874999999999999</v>
      </c>
      <c r="D55" s="402">
        <v>79629.862500000017</v>
      </c>
    </row>
    <row r="56" spans="1:4" x14ac:dyDescent="0.25">
      <c r="A56" s="400" t="s">
        <v>1370</v>
      </c>
      <c r="B56" s="401">
        <v>5.5</v>
      </c>
      <c r="C56" s="272">
        <v>4.6749999999999998</v>
      </c>
      <c r="D56" s="402">
        <v>263846.55000000005</v>
      </c>
    </row>
    <row r="57" spans="1:4" x14ac:dyDescent="0.25">
      <c r="A57" s="400" t="s">
        <v>1371</v>
      </c>
      <c r="B57" s="401">
        <v>5.75</v>
      </c>
      <c r="C57" s="272">
        <v>4.8875000000000002</v>
      </c>
      <c r="D57" s="402">
        <v>275839.57500000001</v>
      </c>
    </row>
    <row r="58" spans="1:4" x14ac:dyDescent="0.25">
      <c r="A58" s="400" t="s">
        <v>1372</v>
      </c>
      <c r="B58" s="401">
        <v>4.25</v>
      </c>
      <c r="C58" s="272">
        <v>3.6124999999999998</v>
      </c>
      <c r="D58" s="402">
        <v>229113.67499999999</v>
      </c>
    </row>
    <row r="59" spans="1:4" x14ac:dyDescent="0.25">
      <c r="A59" s="400" t="s">
        <v>1559</v>
      </c>
      <c r="B59" s="401">
        <v>10.125</v>
      </c>
      <c r="C59" s="272">
        <v>8.6062499999999993</v>
      </c>
      <c r="D59" s="402">
        <v>567335.13749999995</v>
      </c>
    </row>
    <row r="60" spans="1:4" x14ac:dyDescent="0.25">
      <c r="A60" s="400" t="s">
        <v>1461</v>
      </c>
      <c r="B60" s="401">
        <v>1.75</v>
      </c>
      <c r="C60" s="272">
        <v>1.4875</v>
      </c>
      <c r="D60" s="402">
        <v>98057.925000000003</v>
      </c>
    </row>
    <row r="61" spans="1:4" x14ac:dyDescent="0.25">
      <c r="A61" s="400" t="s">
        <v>1703</v>
      </c>
      <c r="B61" s="401">
        <v>1.5</v>
      </c>
      <c r="C61" s="272">
        <v>1.2749999999999999</v>
      </c>
      <c r="D61" s="402">
        <v>84049.65</v>
      </c>
    </row>
    <row r="62" spans="1:4" x14ac:dyDescent="0.25">
      <c r="A62" s="400" t="s">
        <v>1709</v>
      </c>
      <c r="B62" s="401">
        <v>0.25</v>
      </c>
      <c r="C62" s="272">
        <v>0.21249999999999999</v>
      </c>
      <c r="D62" s="402">
        <v>11993.025</v>
      </c>
    </row>
    <row r="63" spans="1:4" x14ac:dyDescent="0.25">
      <c r="A63" s="400" t="s">
        <v>1820</v>
      </c>
      <c r="B63" s="401">
        <v>8.25</v>
      </c>
      <c r="C63" s="272">
        <v>6.6000000000000005</v>
      </c>
      <c r="D63" s="402">
        <v>1341134.8500000001</v>
      </c>
    </row>
    <row r="64" spans="1:4" x14ac:dyDescent="0.25">
      <c r="A64" s="400" t="s">
        <v>1881</v>
      </c>
      <c r="B64" s="401">
        <v>0.625</v>
      </c>
      <c r="C64" s="272">
        <v>0.5</v>
      </c>
      <c r="D64" s="402">
        <v>23014.625</v>
      </c>
    </row>
    <row r="65" spans="1:4" x14ac:dyDescent="0.25">
      <c r="A65" s="400" t="s">
        <v>1879</v>
      </c>
      <c r="B65" s="401">
        <v>0.5</v>
      </c>
      <c r="C65" s="272">
        <v>0.4</v>
      </c>
      <c r="D65" s="402">
        <v>81280.899999999994</v>
      </c>
    </row>
    <row r="66" spans="1:4" x14ac:dyDescent="0.25">
      <c r="A66" s="400" t="s">
        <v>2001</v>
      </c>
      <c r="B66" s="401">
        <v>0.625</v>
      </c>
      <c r="C66" s="272">
        <v>0.5</v>
      </c>
      <c r="D66" s="402">
        <v>23014.625</v>
      </c>
    </row>
    <row r="67" spans="1:4" x14ac:dyDescent="0.25">
      <c r="A67" s="400" t="s">
        <v>2190</v>
      </c>
      <c r="B67" s="401">
        <v>2.5</v>
      </c>
      <c r="C67" s="272">
        <v>2</v>
      </c>
      <c r="D67" s="402">
        <v>406404.5</v>
      </c>
    </row>
    <row r="68" spans="1:4" x14ac:dyDescent="0.25">
      <c r="A68" s="400" t="s">
        <v>2117</v>
      </c>
      <c r="B68" s="401">
        <v>2</v>
      </c>
      <c r="C68" s="272">
        <v>1.6</v>
      </c>
      <c r="D68" s="402">
        <v>325123.59999999998</v>
      </c>
    </row>
    <row r="69" spans="1:4" x14ac:dyDescent="0.25">
      <c r="A69" s="400" t="s">
        <v>2064</v>
      </c>
      <c r="B69" s="401">
        <v>3.5</v>
      </c>
      <c r="C69" s="272">
        <v>2.9749999999999996</v>
      </c>
      <c r="D69" s="402">
        <v>578942.35</v>
      </c>
    </row>
    <row r="70" spans="1:4" x14ac:dyDescent="0.25">
      <c r="A70" s="400" t="s">
        <v>2065</v>
      </c>
      <c r="B70" s="401">
        <v>3.5</v>
      </c>
      <c r="C70" s="272">
        <v>2.9749999999999996</v>
      </c>
      <c r="D70" s="402">
        <v>578942.35</v>
      </c>
    </row>
    <row r="71" spans="1:4" x14ac:dyDescent="0.25">
      <c r="A71" s="400" t="s">
        <v>2054</v>
      </c>
      <c r="B71" s="401">
        <v>21</v>
      </c>
      <c r="C71" s="272">
        <v>17.849999999999998</v>
      </c>
      <c r="D71" s="402">
        <v>1176695.0999999999</v>
      </c>
    </row>
    <row r="72" spans="1:4" x14ac:dyDescent="0.25">
      <c r="A72" s="400" t="s">
        <v>2066</v>
      </c>
      <c r="B72" s="401">
        <v>0.2</v>
      </c>
      <c r="C72" s="272">
        <v>0.17</v>
      </c>
      <c r="D72" s="402">
        <v>9594.42</v>
      </c>
    </row>
    <row r="73" spans="1:4" x14ac:dyDescent="0.25">
      <c r="A73" s="400" t="s">
        <v>2067</v>
      </c>
      <c r="B73" s="401">
        <v>0.4</v>
      </c>
      <c r="C73" s="272">
        <v>0.34</v>
      </c>
      <c r="D73" s="402">
        <v>19188.84</v>
      </c>
    </row>
    <row r="74" spans="1:4" x14ac:dyDescent="0.25">
      <c r="A74" s="400" t="s">
        <v>2098</v>
      </c>
      <c r="B74" s="401">
        <v>1.875</v>
      </c>
      <c r="C74" s="272">
        <v>1.5</v>
      </c>
      <c r="D74" s="402">
        <v>69043.875</v>
      </c>
    </row>
    <row r="75" spans="1:4" x14ac:dyDescent="0.25">
      <c r="A75" s="400" t="s">
        <v>2093</v>
      </c>
      <c r="B75" s="401">
        <v>8</v>
      </c>
      <c r="C75" s="272">
        <v>6.7999999999999989</v>
      </c>
      <c r="D75" s="402">
        <v>1323296.7999999998</v>
      </c>
    </row>
    <row r="76" spans="1:4" x14ac:dyDescent="0.25">
      <c r="A76" s="400" t="s">
        <v>2118</v>
      </c>
      <c r="B76" s="401">
        <v>0.5</v>
      </c>
      <c r="C76" s="272">
        <v>0.4</v>
      </c>
      <c r="D76" s="402">
        <v>81280.899999999994</v>
      </c>
    </row>
    <row r="77" spans="1:4" x14ac:dyDescent="0.25">
      <c r="A77" s="400" t="s">
        <v>2103</v>
      </c>
      <c r="B77" s="401">
        <v>1.875</v>
      </c>
      <c r="C77" s="272">
        <v>1.5</v>
      </c>
      <c r="D77" s="402">
        <v>69043.875</v>
      </c>
    </row>
    <row r="78" spans="1:4" x14ac:dyDescent="0.25">
      <c r="A78" s="400" t="s">
        <v>2052</v>
      </c>
      <c r="B78" s="401">
        <v>2.5</v>
      </c>
      <c r="C78" s="272">
        <v>2.125</v>
      </c>
      <c r="D78" s="402">
        <v>413530.25</v>
      </c>
    </row>
    <row r="79" spans="1:4" x14ac:dyDescent="0.25">
      <c r="A79" s="400" t="s">
        <v>2102</v>
      </c>
      <c r="B79" s="401">
        <v>0.5</v>
      </c>
      <c r="C79" s="272">
        <v>0.4</v>
      </c>
      <c r="D79" s="402">
        <v>81280.899999999994</v>
      </c>
    </row>
    <row r="80" spans="1:4" x14ac:dyDescent="0.25">
      <c r="A80" s="400" t="s">
        <v>2116</v>
      </c>
      <c r="B80" s="401">
        <v>1</v>
      </c>
      <c r="C80" s="272">
        <v>0.85</v>
      </c>
      <c r="D80" s="402">
        <v>165412.1</v>
      </c>
    </row>
    <row r="81" spans="1:4" x14ac:dyDescent="0.25">
      <c r="A81" s="400" t="s">
        <v>2191</v>
      </c>
      <c r="B81" s="401">
        <v>4</v>
      </c>
      <c r="C81" s="272">
        <v>3.2</v>
      </c>
      <c r="D81" s="402">
        <v>524508.80000000005</v>
      </c>
    </row>
    <row r="82" spans="1:4" x14ac:dyDescent="0.25">
      <c r="A82" s="400" t="s">
        <v>2119</v>
      </c>
      <c r="B82" s="401">
        <v>1</v>
      </c>
      <c r="C82" s="272">
        <v>0.8</v>
      </c>
      <c r="D82" s="402">
        <v>36823.4</v>
      </c>
    </row>
    <row r="83" spans="1:4" x14ac:dyDescent="0.25">
      <c r="A83" s="400" t="s">
        <v>2192</v>
      </c>
      <c r="B83" s="401">
        <v>1</v>
      </c>
      <c r="C83" s="272">
        <v>0.8</v>
      </c>
      <c r="D83" s="402">
        <v>36823.4</v>
      </c>
    </row>
    <row r="84" spans="1:4" x14ac:dyDescent="0.25">
      <c r="A84" s="400" t="s">
        <v>1481</v>
      </c>
      <c r="B84" s="401">
        <v>0.375</v>
      </c>
      <c r="C84" s="272">
        <v>0.31874999999999998</v>
      </c>
      <c r="D84" s="402">
        <v>26571.787499999999</v>
      </c>
    </row>
    <row r="85" spans="1:4" x14ac:dyDescent="0.25">
      <c r="A85" s="400" t="s">
        <v>1727</v>
      </c>
      <c r="B85" s="401">
        <v>4.375</v>
      </c>
      <c r="C85" s="272">
        <v>3.5812499999999998</v>
      </c>
      <c r="D85" s="402">
        <v>305218.36250000005</v>
      </c>
    </row>
    <row r="86" spans="1:4" x14ac:dyDescent="0.25">
      <c r="A86" s="400" t="s">
        <v>1855</v>
      </c>
      <c r="B86" s="401">
        <v>0.25</v>
      </c>
      <c r="C86" s="272">
        <v>0.21249999999999999</v>
      </c>
      <c r="D86" s="402">
        <v>17714.525000000001</v>
      </c>
    </row>
    <row r="87" spans="1:4" x14ac:dyDescent="0.25">
      <c r="A87" s="400" t="s">
        <v>1495</v>
      </c>
      <c r="B87" s="401">
        <v>0.75</v>
      </c>
      <c r="C87" s="272">
        <v>0.625</v>
      </c>
      <c r="D87" s="402">
        <v>52708.5</v>
      </c>
    </row>
    <row r="88" spans="1:4" x14ac:dyDescent="0.25">
      <c r="A88" s="400" t="s">
        <v>1496</v>
      </c>
      <c r="B88" s="401">
        <v>0.75</v>
      </c>
      <c r="C88" s="272">
        <v>0.625</v>
      </c>
      <c r="D88" s="402">
        <v>52708.5</v>
      </c>
    </row>
    <row r="89" spans="1:4" x14ac:dyDescent="0.25">
      <c r="A89" s="400" t="s">
        <v>1935</v>
      </c>
      <c r="B89" s="401">
        <v>0.75</v>
      </c>
      <c r="C89" s="272">
        <v>0.63749999999999996</v>
      </c>
      <c r="D89" s="402">
        <v>53143.574999999997</v>
      </c>
    </row>
    <row r="90" spans="1:4" x14ac:dyDescent="0.25">
      <c r="A90" s="400" t="s">
        <v>1856</v>
      </c>
      <c r="B90" s="401">
        <v>0.875</v>
      </c>
      <c r="C90" s="272">
        <v>0.73749999999999993</v>
      </c>
      <c r="D90" s="402">
        <v>61783.299999999996</v>
      </c>
    </row>
    <row r="91" spans="1:4" x14ac:dyDescent="0.25">
      <c r="A91" s="400" t="s">
        <v>1936</v>
      </c>
      <c r="B91" s="401">
        <v>0.75</v>
      </c>
      <c r="C91" s="272">
        <v>0.63749999999999996</v>
      </c>
      <c r="D91" s="402">
        <v>53143.574999999997</v>
      </c>
    </row>
    <row r="92" spans="1:4" x14ac:dyDescent="0.25">
      <c r="A92" s="400" t="s">
        <v>2055</v>
      </c>
      <c r="B92" s="401">
        <v>0.625</v>
      </c>
      <c r="C92" s="272">
        <v>0.53125</v>
      </c>
      <c r="D92" s="402">
        <v>44286.3125</v>
      </c>
    </row>
    <row r="93" spans="1:4" x14ac:dyDescent="0.25">
      <c r="A93" s="400" t="s">
        <v>1468</v>
      </c>
      <c r="B93" s="401">
        <v>2</v>
      </c>
      <c r="C93" s="272">
        <v>1.7</v>
      </c>
      <c r="D93" s="402">
        <v>75224.100000000006</v>
      </c>
    </row>
    <row r="94" spans="1:4" x14ac:dyDescent="0.25">
      <c r="A94" s="400" t="s">
        <v>1519</v>
      </c>
      <c r="B94" s="401">
        <v>4.125</v>
      </c>
      <c r="C94" s="272">
        <v>3.5062500000000001</v>
      </c>
      <c r="D94" s="402">
        <v>197884.91250000001</v>
      </c>
    </row>
    <row r="95" spans="1:4" x14ac:dyDescent="0.25">
      <c r="A95" s="400" t="s">
        <v>1955</v>
      </c>
      <c r="B95" s="401">
        <v>1.5</v>
      </c>
      <c r="C95" s="272">
        <v>1.2749999999999999</v>
      </c>
      <c r="D95" s="402">
        <v>71958.149999999994</v>
      </c>
    </row>
    <row r="96" spans="1:4" x14ac:dyDescent="0.25">
      <c r="A96" s="400" t="s">
        <v>1938</v>
      </c>
      <c r="B96" s="401">
        <v>12</v>
      </c>
      <c r="C96" s="272">
        <v>10.199999999999999</v>
      </c>
      <c r="D96" s="402">
        <v>451344.6</v>
      </c>
    </row>
    <row r="97" spans="1:4" x14ac:dyDescent="0.25">
      <c r="A97" s="400" t="s">
        <v>2056</v>
      </c>
      <c r="B97" s="401">
        <v>12.5</v>
      </c>
      <c r="C97" s="272">
        <v>10.625</v>
      </c>
      <c r="D97" s="402">
        <v>470150.625</v>
      </c>
    </row>
    <row r="98" spans="1:4" x14ac:dyDescent="0.25">
      <c r="A98" s="400" t="s">
        <v>2057</v>
      </c>
      <c r="B98" s="401">
        <v>12</v>
      </c>
      <c r="C98" s="272">
        <v>10.199999999999999</v>
      </c>
      <c r="D98" s="402">
        <v>451344.6</v>
      </c>
    </row>
    <row r="99" spans="1:4" x14ac:dyDescent="0.25">
      <c r="A99" s="400" t="s">
        <v>1548</v>
      </c>
      <c r="B99" s="401">
        <v>7.875</v>
      </c>
      <c r="C99" s="272">
        <v>6.6937499999999996</v>
      </c>
      <c r="D99" s="402">
        <v>296194.89374999999</v>
      </c>
    </row>
    <row r="100" spans="1:4" x14ac:dyDescent="0.25">
      <c r="A100" s="400" t="s">
        <v>1474</v>
      </c>
      <c r="B100" s="401">
        <v>2.5</v>
      </c>
      <c r="C100" s="272">
        <v>2.1124999999999998</v>
      </c>
      <c r="D100" s="402">
        <v>139746.17500000002</v>
      </c>
    </row>
    <row r="101" spans="1:4" x14ac:dyDescent="0.25">
      <c r="A101" s="400" t="s">
        <v>1464</v>
      </c>
      <c r="B101" s="401">
        <v>4.75</v>
      </c>
      <c r="C101" s="272">
        <v>4.0125000000000002</v>
      </c>
      <c r="D101" s="402">
        <v>265484.07500000001</v>
      </c>
    </row>
    <row r="102" spans="1:4" x14ac:dyDescent="0.25">
      <c r="A102" s="400" t="s">
        <v>1577</v>
      </c>
      <c r="B102" s="401">
        <v>14.5</v>
      </c>
      <c r="C102" s="272">
        <v>12.225</v>
      </c>
      <c r="D102" s="402">
        <v>1538905.075</v>
      </c>
    </row>
    <row r="103" spans="1:4" x14ac:dyDescent="0.25">
      <c r="A103" s="400" t="s">
        <v>1821</v>
      </c>
      <c r="B103" s="401">
        <v>11.5</v>
      </c>
      <c r="C103" s="272">
        <v>9.6749999999999989</v>
      </c>
      <c r="D103" s="402">
        <v>1219858.2249999999</v>
      </c>
    </row>
    <row r="104" spans="1:4" x14ac:dyDescent="0.25">
      <c r="A104" s="400" t="s">
        <v>2193</v>
      </c>
      <c r="B104" s="401">
        <v>0.375</v>
      </c>
      <c r="C104" s="272">
        <v>0.30000000000000004</v>
      </c>
      <c r="D104" s="402">
        <v>13808.775000000001</v>
      </c>
    </row>
    <row r="105" spans="1:4" x14ac:dyDescent="0.25">
      <c r="A105" s="400" t="s">
        <v>586</v>
      </c>
      <c r="B105" s="401">
        <v>12.5</v>
      </c>
      <c r="C105" s="272">
        <v>10.6</v>
      </c>
      <c r="D105" s="402">
        <v>1328573.2</v>
      </c>
    </row>
    <row r="106" spans="1:4" x14ac:dyDescent="0.25">
      <c r="A106" s="400" t="s">
        <v>1695</v>
      </c>
      <c r="B106" s="401">
        <v>2.375</v>
      </c>
      <c r="C106" s="272">
        <v>1.9000000000000001</v>
      </c>
      <c r="D106" s="402">
        <v>87455.574999999997</v>
      </c>
    </row>
    <row r="107" spans="1:4" x14ac:dyDescent="0.25">
      <c r="A107" s="400" t="s">
        <v>1694</v>
      </c>
      <c r="B107" s="401">
        <v>3.75</v>
      </c>
      <c r="C107" s="272">
        <v>3</v>
      </c>
      <c r="D107" s="402">
        <v>138087.75</v>
      </c>
    </row>
    <row r="108" spans="1:4" x14ac:dyDescent="0.25">
      <c r="A108" s="400" t="s">
        <v>1492</v>
      </c>
      <c r="B108" s="401">
        <v>0.375</v>
      </c>
      <c r="C108" s="272">
        <v>0.31874999999999998</v>
      </c>
      <c r="D108" s="402">
        <v>26571.787499999999</v>
      </c>
    </row>
    <row r="109" spans="1:4" x14ac:dyDescent="0.25">
      <c r="A109" s="400" t="s">
        <v>1493</v>
      </c>
      <c r="B109" s="401">
        <v>0.25</v>
      </c>
      <c r="C109" s="272">
        <v>0.21249999999999999</v>
      </c>
      <c r="D109" s="402">
        <v>17714.525000000001</v>
      </c>
    </row>
    <row r="110" spans="1:4" x14ac:dyDescent="0.25">
      <c r="A110" s="400" t="s">
        <v>2058</v>
      </c>
      <c r="B110" s="401">
        <v>1.25</v>
      </c>
      <c r="C110" s="272">
        <v>1.0625</v>
      </c>
      <c r="D110" s="402">
        <v>57404.453125</v>
      </c>
    </row>
    <row r="111" spans="1:4" x14ac:dyDescent="0.25">
      <c r="A111" s="400" t="s">
        <v>1857</v>
      </c>
      <c r="B111" s="401">
        <v>0.75</v>
      </c>
      <c r="C111" s="272">
        <v>0.63749999999999996</v>
      </c>
      <c r="D111" s="402">
        <v>28209.037499999999</v>
      </c>
    </row>
    <row r="112" spans="1:4" x14ac:dyDescent="0.25">
      <c r="A112" s="400" t="s">
        <v>1858</v>
      </c>
      <c r="B112" s="401">
        <v>1.5</v>
      </c>
      <c r="C112" s="272">
        <v>1.2749999999999999</v>
      </c>
      <c r="D112" s="402">
        <v>68885.34375</v>
      </c>
    </row>
    <row r="113" spans="1:4" x14ac:dyDescent="0.25">
      <c r="A113" s="400" t="s">
        <v>1934</v>
      </c>
      <c r="B113" s="401">
        <v>0.75</v>
      </c>
      <c r="C113" s="272">
        <v>0.63749999999999996</v>
      </c>
      <c r="D113" s="402">
        <v>40676.306250000001</v>
      </c>
    </row>
    <row r="114" spans="1:4" x14ac:dyDescent="0.25">
      <c r="A114" s="400" t="s">
        <v>1937</v>
      </c>
      <c r="B114" s="401">
        <v>0.75</v>
      </c>
      <c r="C114" s="272">
        <v>0.63749999999999996</v>
      </c>
      <c r="D114" s="402">
        <v>28209.037499999999</v>
      </c>
    </row>
    <row r="115" spans="1:4" x14ac:dyDescent="0.25">
      <c r="A115" s="400" t="s">
        <v>2059</v>
      </c>
      <c r="B115" s="401">
        <v>0.625</v>
      </c>
      <c r="C115" s="272">
        <v>0.53125</v>
      </c>
      <c r="D115" s="402">
        <v>23507.53125</v>
      </c>
    </row>
    <row r="116" spans="1:4" x14ac:dyDescent="0.25">
      <c r="A116" s="400" t="s">
        <v>1311</v>
      </c>
      <c r="B116" s="401">
        <v>5.5</v>
      </c>
      <c r="C116" s="272">
        <v>4.4000000000000004</v>
      </c>
      <c r="D116" s="402">
        <v>202528.7</v>
      </c>
    </row>
    <row r="117" spans="1:4" x14ac:dyDescent="0.25">
      <c r="A117" s="400" t="s">
        <v>1443</v>
      </c>
      <c r="B117" s="401">
        <v>0.375</v>
      </c>
      <c r="C117" s="272">
        <v>0.31874999999999998</v>
      </c>
      <c r="D117" s="402">
        <v>14104.518749999999</v>
      </c>
    </row>
    <row r="118" spans="1:4" x14ac:dyDescent="0.25">
      <c r="A118" s="400" t="s">
        <v>2084</v>
      </c>
      <c r="B118" s="401">
        <v>17.5</v>
      </c>
      <c r="C118" s="272">
        <v>14</v>
      </c>
      <c r="D118" s="402">
        <v>1209561.5</v>
      </c>
    </row>
    <row r="119" spans="1:4" x14ac:dyDescent="0.25">
      <c r="A119" s="400" t="s">
        <v>2194</v>
      </c>
      <c r="B119" s="401">
        <v>7</v>
      </c>
      <c r="C119" s="272">
        <v>5.6000000000000005</v>
      </c>
      <c r="D119" s="402">
        <v>483824.6</v>
      </c>
    </row>
    <row r="120" spans="1:4" x14ac:dyDescent="0.25">
      <c r="A120" s="400" t="s">
        <v>2195</v>
      </c>
      <c r="B120" s="401">
        <v>14.5</v>
      </c>
      <c r="C120" s="272">
        <v>11.600000000000001</v>
      </c>
      <c r="D120" s="402">
        <v>1002208.1000000001</v>
      </c>
    </row>
    <row r="121" spans="1:4" x14ac:dyDescent="0.25">
      <c r="A121" s="400" t="s">
        <v>2196</v>
      </c>
      <c r="B121" s="401">
        <v>1.75</v>
      </c>
      <c r="C121" s="272">
        <v>1.4000000000000001</v>
      </c>
      <c r="D121" s="402">
        <v>120956.15</v>
      </c>
    </row>
    <row r="122" spans="1:4" x14ac:dyDescent="0.25">
      <c r="A122" s="400" t="s">
        <v>2158</v>
      </c>
      <c r="B122" s="401">
        <v>3.625</v>
      </c>
      <c r="C122" s="272">
        <v>2.9000000000000004</v>
      </c>
      <c r="D122" s="402">
        <v>250552.02500000002</v>
      </c>
    </row>
    <row r="123" spans="1:4" x14ac:dyDescent="0.25">
      <c r="A123" s="400" t="s">
        <v>2159</v>
      </c>
      <c r="B123" s="401">
        <v>1.75</v>
      </c>
      <c r="C123" s="272">
        <v>1.4000000000000001</v>
      </c>
      <c r="D123" s="402">
        <v>165167.625</v>
      </c>
    </row>
    <row r="124" spans="1:4" x14ac:dyDescent="0.25">
      <c r="A124" s="400" t="s">
        <v>1691</v>
      </c>
      <c r="B124" s="401">
        <v>2.25</v>
      </c>
      <c r="C124" s="272">
        <v>1.8</v>
      </c>
      <c r="D124" s="402">
        <v>82852.649999999994</v>
      </c>
    </row>
    <row r="125" spans="1:4" x14ac:dyDescent="0.25">
      <c r="A125" s="400" t="s">
        <v>1828</v>
      </c>
      <c r="B125" s="401">
        <v>5.5833300000000001</v>
      </c>
      <c r="C125" s="272">
        <v>4.4666640000000006</v>
      </c>
      <c r="D125" s="402">
        <v>205597.19392200001</v>
      </c>
    </row>
    <row r="126" spans="1:4" x14ac:dyDescent="0.25">
      <c r="A126" s="400" t="s">
        <v>1829</v>
      </c>
      <c r="B126" s="401">
        <v>1.75</v>
      </c>
      <c r="C126" s="272">
        <v>1.4000000000000001</v>
      </c>
      <c r="D126" s="402">
        <v>64440.95</v>
      </c>
    </row>
    <row r="127" spans="1:4" x14ac:dyDescent="0.25">
      <c r="A127" s="400" t="s">
        <v>1950</v>
      </c>
      <c r="B127" s="401">
        <v>8.25</v>
      </c>
      <c r="C127" s="272">
        <v>7.0125000000000002</v>
      </c>
      <c r="D127" s="402">
        <v>310299.41249999998</v>
      </c>
    </row>
    <row r="128" spans="1:4" x14ac:dyDescent="0.25">
      <c r="A128" s="400" t="s">
        <v>470</v>
      </c>
      <c r="B128" s="401">
        <v>13.33334</v>
      </c>
      <c r="C128" s="272">
        <v>11.333339</v>
      </c>
      <c r="D128" s="402">
        <v>718788.35939400003</v>
      </c>
    </row>
    <row r="129" spans="1:4" x14ac:dyDescent="0.25">
      <c r="A129" s="400" t="s">
        <v>471</v>
      </c>
      <c r="B129" s="401">
        <v>16.5</v>
      </c>
      <c r="C129" s="272">
        <v>14.024999999999999</v>
      </c>
      <c r="D129" s="402">
        <v>889500.15</v>
      </c>
    </row>
    <row r="130" spans="1:4" x14ac:dyDescent="0.25">
      <c r="A130" s="400" t="s">
        <v>864</v>
      </c>
      <c r="B130" s="401">
        <v>7</v>
      </c>
      <c r="C130" s="272">
        <v>5.95</v>
      </c>
      <c r="D130" s="402">
        <v>263284.34999999998</v>
      </c>
    </row>
    <row r="131" spans="1:4" x14ac:dyDescent="0.25">
      <c r="A131" s="400" t="s">
        <v>1143</v>
      </c>
      <c r="B131" s="401">
        <v>38.125</v>
      </c>
      <c r="C131" s="272">
        <v>32.40625</v>
      </c>
      <c r="D131" s="402">
        <v>2055284.4374999998</v>
      </c>
    </row>
    <row r="132" spans="1:4" x14ac:dyDescent="0.25">
      <c r="A132" s="400" t="s">
        <v>1145</v>
      </c>
      <c r="B132" s="401">
        <v>36.75</v>
      </c>
      <c r="C132" s="272">
        <v>31.237500000000001</v>
      </c>
      <c r="D132" s="402">
        <v>1981159.425</v>
      </c>
    </row>
    <row r="133" spans="1:4" x14ac:dyDescent="0.25">
      <c r="A133" s="400" t="s">
        <v>819</v>
      </c>
      <c r="B133" s="401">
        <v>2.9</v>
      </c>
      <c r="C133" s="272">
        <v>2.4649999999999999</v>
      </c>
      <c r="D133" s="402">
        <v>139119.09</v>
      </c>
    </row>
    <row r="134" spans="1:4" x14ac:dyDescent="0.25">
      <c r="A134" s="400" t="s">
        <v>818</v>
      </c>
      <c r="B134" s="401">
        <v>3.4</v>
      </c>
      <c r="C134" s="272">
        <v>2.8899999999999997</v>
      </c>
      <c r="D134" s="402">
        <v>163105.13999999998</v>
      </c>
    </row>
    <row r="135" spans="1:4" x14ac:dyDescent="0.25">
      <c r="A135" s="400" t="s">
        <v>1300</v>
      </c>
      <c r="B135" s="401">
        <v>4.5</v>
      </c>
      <c r="C135" s="272">
        <v>3.8249999999999997</v>
      </c>
      <c r="D135" s="402">
        <v>215874.45</v>
      </c>
    </row>
    <row r="136" spans="1:4" x14ac:dyDescent="0.25">
      <c r="A136" s="400" t="s">
        <v>1301</v>
      </c>
      <c r="B136" s="401">
        <v>4.125</v>
      </c>
      <c r="C136" s="272">
        <v>3.5062500000000001</v>
      </c>
      <c r="D136" s="402">
        <v>197884.91250000001</v>
      </c>
    </row>
    <row r="137" spans="1:4" x14ac:dyDescent="0.25">
      <c r="A137" s="400" t="s">
        <v>1556</v>
      </c>
      <c r="B137" s="401">
        <v>21.25</v>
      </c>
      <c r="C137" s="272">
        <v>18.0625</v>
      </c>
      <c r="D137" s="402">
        <v>799256.0625</v>
      </c>
    </row>
    <row r="138" spans="1:4" x14ac:dyDescent="0.25">
      <c r="A138" s="400" t="s">
        <v>1661</v>
      </c>
      <c r="B138" s="401">
        <v>3.125</v>
      </c>
      <c r="C138" s="272">
        <v>2.65625</v>
      </c>
      <c r="D138" s="402">
        <v>117537.65625</v>
      </c>
    </row>
    <row r="139" spans="1:4" x14ac:dyDescent="0.25">
      <c r="A139" s="400" t="s">
        <v>1305</v>
      </c>
      <c r="B139" s="401">
        <v>2.625</v>
      </c>
      <c r="C139" s="272">
        <v>2.2312499999999997</v>
      </c>
      <c r="D139" s="402">
        <v>125926.76250000001</v>
      </c>
    </row>
    <row r="140" spans="1:4" x14ac:dyDescent="0.25">
      <c r="A140" s="400" t="s">
        <v>1289</v>
      </c>
      <c r="B140" s="401">
        <v>2.5</v>
      </c>
      <c r="C140" s="272">
        <v>2.1124999999999998</v>
      </c>
      <c r="D140" s="402">
        <v>176710.17499999999</v>
      </c>
    </row>
    <row r="141" spans="1:4" x14ac:dyDescent="0.25">
      <c r="A141" s="400" t="s">
        <v>1447</v>
      </c>
      <c r="B141" s="401">
        <v>5.125</v>
      </c>
      <c r="C141" s="272">
        <v>4.3562500000000002</v>
      </c>
      <c r="D141" s="402">
        <v>363147.76250000001</v>
      </c>
    </row>
    <row r="142" spans="1:4" x14ac:dyDescent="0.25">
      <c r="A142" s="400" t="s">
        <v>1346</v>
      </c>
      <c r="B142" s="401">
        <v>3.25</v>
      </c>
      <c r="C142" s="272">
        <v>2.7624999999999997</v>
      </c>
      <c r="D142" s="402">
        <v>230288.82500000001</v>
      </c>
    </row>
    <row r="143" spans="1:4" x14ac:dyDescent="0.25">
      <c r="A143" s="400" t="s">
        <v>1859</v>
      </c>
      <c r="B143" s="401">
        <v>2.25</v>
      </c>
      <c r="C143" s="272">
        <v>1.8687499999999999</v>
      </c>
      <c r="D143" s="402">
        <v>157907.96249999999</v>
      </c>
    </row>
    <row r="144" spans="1:4" x14ac:dyDescent="0.25">
      <c r="A144" s="400" t="s">
        <v>1860</v>
      </c>
      <c r="B144" s="401">
        <v>1.5</v>
      </c>
      <c r="C144" s="272">
        <v>1.25</v>
      </c>
      <c r="D144" s="402">
        <v>105417</v>
      </c>
    </row>
    <row r="145" spans="1:4" x14ac:dyDescent="0.25">
      <c r="A145" s="400" t="s">
        <v>1861</v>
      </c>
      <c r="B145" s="401">
        <v>2</v>
      </c>
      <c r="C145" s="272">
        <v>1.6625000000000001</v>
      </c>
      <c r="D145" s="402">
        <v>140410.97500000001</v>
      </c>
    </row>
    <row r="146" spans="1:4" x14ac:dyDescent="0.25">
      <c r="A146" s="400" t="s">
        <v>1957</v>
      </c>
      <c r="B146" s="401">
        <v>3.25</v>
      </c>
      <c r="C146" s="272">
        <v>2.7062499999999998</v>
      </c>
      <c r="D146" s="402">
        <v>228330.98750000002</v>
      </c>
    </row>
    <row r="147" spans="1:4" x14ac:dyDescent="0.25">
      <c r="A147" s="400" t="s">
        <v>1958</v>
      </c>
      <c r="B147" s="401">
        <v>2.5</v>
      </c>
      <c r="C147" s="272">
        <v>2.1</v>
      </c>
      <c r="D147" s="402">
        <v>176275.1</v>
      </c>
    </row>
    <row r="148" spans="1:4" x14ac:dyDescent="0.25">
      <c r="A148" s="400" t="s">
        <v>1959</v>
      </c>
      <c r="B148" s="401">
        <v>2.5</v>
      </c>
      <c r="C148" s="272">
        <v>2.09375</v>
      </c>
      <c r="D148" s="402">
        <v>176057.5625</v>
      </c>
    </row>
    <row r="149" spans="1:4" x14ac:dyDescent="0.25">
      <c r="A149" s="400" t="s">
        <v>1941</v>
      </c>
      <c r="B149" s="401">
        <v>1.625</v>
      </c>
      <c r="C149" s="272">
        <v>1.35625</v>
      </c>
      <c r="D149" s="402">
        <v>114274.26249999998</v>
      </c>
    </row>
    <row r="150" spans="1:4" x14ac:dyDescent="0.25">
      <c r="A150" s="400" t="s">
        <v>1990</v>
      </c>
      <c r="B150" s="401">
        <v>0.5</v>
      </c>
      <c r="C150" s="272">
        <v>0.42499999999999999</v>
      </c>
      <c r="D150" s="402">
        <v>35429.050000000003</v>
      </c>
    </row>
    <row r="151" spans="1:4" x14ac:dyDescent="0.25">
      <c r="A151" s="400" t="s">
        <v>1908</v>
      </c>
      <c r="B151" s="401">
        <v>2</v>
      </c>
      <c r="C151" s="272">
        <v>1.6749999999999998</v>
      </c>
      <c r="D151" s="402">
        <v>140846.04999999999</v>
      </c>
    </row>
    <row r="152" spans="1:4" x14ac:dyDescent="0.25">
      <c r="A152" s="400" t="s">
        <v>1960</v>
      </c>
      <c r="B152" s="401">
        <v>1.6</v>
      </c>
      <c r="C152" s="272">
        <v>1.36</v>
      </c>
      <c r="D152" s="402">
        <v>76755.360000000001</v>
      </c>
    </row>
    <row r="153" spans="1:4" x14ac:dyDescent="0.25">
      <c r="A153" s="400" t="s">
        <v>1991</v>
      </c>
      <c r="B153" s="401">
        <v>0.25</v>
      </c>
      <c r="C153" s="272">
        <v>0.21249999999999999</v>
      </c>
      <c r="D153" s="402">
        <v>17714.525000000001</v>
      </c>
    </row>
    <row r="154" spans="1:4" x14ac:dyDescent="0.25">
      <c r="A154" s="400" t="s">
        <v>1962</v>
      </c>
      <c r="B154" s="401">
        <v>0.625</v>
      </c>
      <c r="C154" s="272">
        <v>0.52500000000000002</v>
      </c>
      <c r="D154" s="402">
        <v>44068.775000000001</v>
      </c>
    </row>
    <row r="155" spans="1:4" x14ac:dyDescent="0.25">
      <c r="A155" s="400" t="s">
        <v>1349</v>
      </c>
      <c r="B155" s="401">
        <v>5.75</v>
      </c>
      <c r="C155" s="272">
        <v>4.8875000000000002</v>
      </c>
      <c r="D155" s="402">
        <v>407434.07500000001</v>
      </c>
    </row>
    <row r="156" spans="1:4" x14ac:dyDescent="0.25">
      <c r="A156" s="400" t="s">
        <v>1449</v>
      </c>
      <c r="B156" s="401">
        <v>5.25</v>
      </c>
      <c r="C156" s="272">
        <v>4.4624999999999995</v>
      </c>
      <c r="D156" s="402">
        <v>372005.02500000002</v>
      </c>
    </row>
    <row r="157" spans="1:4" x14ac:dyDescent="0.25">
      <c r="A157" s="400" t="s">
        <v>1451</v>
      </c>
      <c r="B157" s="401">
        <v>4</v>
      </c>
      <c r="C157" s="272">
        <v>3.4</v>
      </c>
      <c r="D157" s="402">
        <v>283432.40000000002</v>
      </c>
    </row>
    <row r="158" spans="1:4" x14ac:dyDescent="0.25">
      <c r="A158" s="400" t="s">
        <v>1453</v>
      </c>
      <c r="B158" s="401">
        <v>2.625</v>
      </c>
      <c r="C158" s="272">
        <v>2.2312499999999997</v>
      </c>
      <c r="D158" s="402">
        <v>186002.51250000001</v>
      </c>
    </row>
    <row r="159" spans="1:4" x14ac:dyDescent="0.25">
      <c r="A159" s="400" t="s">
        <v>1455</v>
      </c>
      <c r="B159" s="401">
        <v>2.75</v>
      </c>
      <c r="C159" s="272">
        <v>2.3374999999999999</v>
      </c>
      <c r="D159" s="402">
        <v>194859.77499999999</v>
      </c>
    </row>
    <row r="160" spans="1:4" x14ac:dyDescent="0.25">
      <c r="A160" s="400" t="s">
        <v>1457</v>
      </c>
      <c r="B160" s="401">
        <v>3.5</v>
      </c>
      <c r="C160" s="272">
        <v>2.9750000000000001</v>
      </c>
      <c r="D160" s="402">
        <v>248003.35</v>
      </c>
    </row>
    <row r="161" spans="1:4" x14ac:dyDescent="0.25">
      <c r="A161" s="400" t="s">
        <v>1557</v>
      </c>
      <c r="B161" s="401">
        <v>10.375</v>
      </c>
      <c r="C161" s="272">
        <v>8.8187499999999996</v>
      </c>
      <c r="D161" s="402">
        <v>735152.78749999998</v>
      </c>
    </row>
    <row r="162" spans="1:4" x14ac:dyDescent="0.25">
      <c r="A162" s="400" t="s">
        <v>1634</v>
      </c>
      <c r="B162" s="401">
        <v>1</v>
      </c>
      <c r="C162" s="272">
        <v>0.8</v>
      </c>
      <c r="D162" s="402">
        <v>69117.8</v>
      </c>
    </row>
    <row r="163" spans="1:4" x14ac:dyDescent="0.25">
      <c r="A163" s="400" t="s">
        <v>1635</v>
      </c>
      <c r="B163" s="401">
        <v>1.25</v>
      </c>
      <c r="C163" s="272">
        <v>1</v>
      </c>
      <c r="D163" s="402">
        <v>86397.25</v>
      </c>
    </row>
    <row r="164" spans="1:4" x14ac:dyDescent="0.25">
      <c r="A164" s="400" t="s">
        <v>1632</v>
      </c>
      <c r="B164" s="401">
        <v>2.5</v>
      </c>
      <c r="C164" s="272">
        <v>2.0249999999999999</v>
      </c>
      <c r="D164" s="402">
        <v>173664.65000000002</v>
      </c>
    </row>
    <row r="165" spans="1:4" x14ac:dyDescent="0.25">
      <c r="A165" s="400" t="s">
        <v>1931</v>
      </c>
      <c r="B165" s="401">
        <v>1.875</v>
      </c>
      <c r="C165" s="272">
        <v>1.5687500000000001</v>
      </c>
      <c r="D165" s="402">
        <v>131988.78750000001</v>
      </c>
    </row>
    <row r="166" spans="1:4" x14ac:dyDescent="0.25">
      <c r="A166" s="400" t="s">
        <v>1940</v>
      </c>
      <c r="B166" s="401">
        <v>1.625</v>
      </c>
      <c r="C166" s="272">
        <v>1.3625</v>
      </c>
      <c r="D166" s="402">
        <v>114491.8</v>
      </c>
    </row>
    <row r="167" spans="1:4" x14ac:dyDescent="0.25">
      <c r="A167" s="400" t="s">
        <v>1939</v>
      </c>
      <c r="B167" s="401">
        <v>1.625</v>
      </c>
      <c r="C167" s="272">
        <v>1.3625</v>
      </c>
      <c r="D167" s="402">
        <v>114491.8</v>
      </c>
    </row>
    <row r="168" spans="1:4" x14ac:dyDescent="0.25">
      <c r="A168" s="400" t="s">
        <v>1992</v>
      </c>
      <c r="B168" s="401">
        <v>0.5</v>
      </c>
      <c r="C168" s="272">
        <v>0.41249999999999998</v>
      </c>
      <c r="D168" s="402">
        <v>34993.975000000006</v>
      </c>
    </row>
    <row r="169" spans="1:4" x14ac:dyDescent="0.25">
      <c r="A169" s="400" t="s">
        <v>414</v>
      </c>
      <c r="B169" s="401">
        <v>1</v>
      </c>
      <c r="C169" s="272">
        <v>0.8</v>
      </c>
      <c r="D169" s="402">
        <v>151939.6</v>
      </c>
    </row>
    <row r="170" spans="1:4" x14ac:dyDescent="0.25">
      <c r="A170" s="400" t="s">
        <v>526</v>
      </c>
      <c r="B170" s="401">
        <v>2.25</v>
      </c>
      <c r="C170" s="272">
        <v>1.8</v>
      </c>
      <c r="D170" s="402">
        <v>341864.1</v>
      </c>
    </row>
    <row r="171" spans="1:4" x14ac:dyDescent="0.25">
      <c r="A171" s="400" t="s">
        <v>768</v>
      </c>
      <c r="B171" s="401">
        <v>2.5</v>
      </c>
      <c r="C171" s="272">
        <v>2.125</v>
      </c>
      <c r="D171" s="402">
        <v>387823.625</v>
      </c>
    </row>
    <row r="172" spans="1:4" x14ac:dyDescent="0.25">
      <c r="A172" s="400" t="s">
        <v>865</v>
      </c>
      <c r="B172" s="401">
        <v>1.5</v>
      </c>
      <c r="C172" s="272">
        <v>1.2749999999999999</v>
      </c>
      <c r="D172" s="402">
        <v>232694.17499999999</v>
      </c>
    </row>
    <row r="173" spans="1:4" x14ac:dyDescent="0.25">
      <c r="A173" s="400" t="s">
        <v>646</v>
      </c>
      <c r="B173" s="401">
        <v>1.25</v>
      </c>
      <c r="C173" s="272">
        <v>1</v>
      </c>
      <c r="D173" s="402">
        <v>189924.5</v>
      </c>
    </row>
    <row r="174" spans="1:4" x14ac:dyDescent="0.25">
      <c r="A174" s="400" t="s">
        <v>1578</v>
      </c>
      <c r="B174" s="401">
        <v>2.5</v>
      </c>
      <c r="C174" s="272">
        <v>2.125</v>
      </c>
      <c r="D174" s="402">
        <v>387823.625</v>
      </c>
    </row>
    <row r="175" spans="1:4" x14ac:dyDescent="0.25">
      <c r="A175" s="400" t="s">
        <v>2197</v>
      </c>
      <c r="B175" s="401">
        <v>1.5</v>
      </c>
      <c r="C175" s="272">
        <v>1.2000000000000002</v>
      </c>
      <c r="D175" s="402">
        <v>227909.40000000002</v>
      </c>
    </row>
    <row r="176" spans="1:4" x14ac:dyDescent="0.25">
      <c r="A176" s="400" t="s">
        <v>2198</v>
      </c>
      <c r="B176" s="401">
        <v>3.5</v>
      </c>
      <c r="C176" s="272">
        <v>2.8000000000000003</v>
      </c>
      <c r="D176" s="402">
        <v>531788.6</v>
      </c>
    </row>
    <row r="177" spans="1:4" x14ac:dyDescent="0.25">
      <c r="A177" s="400" t="s">
        <v>2199</v>
      </c>
      <c r="B177" s="401">
        <v>1</v>
      </c>
      <c r="C177" s="272">
        <v>0.81250000000000011</v>
      </c>
      <c r="D177" s="402">
        <v>152737.0625</v>
      </c>
    </row>
    <row r="178" spans="1:4" x14ac:dyDescent="0.25">
      <c r="A178" s="400" t="s">
        <v>2100</v>
      </c>
      <c r="B178" s="401">
        <v>2</v>
      </c>
      <c r="C178" s="272">
        <v>1.7</v>
      </c>
      <c r="D178" s="402">
        <v>310258.90000000002</v>
      </c>
    </row>
    <row r="179" spans="1:4" x14ac:dyDescent="0.25">
      <c r="A179" s="400" t="s">
        <v>2107</v>
      </c>
      <c r="B179" s="401">
        <v>2</v>
      </c>
      <c r="C179" s="272">
        <v>1.7</v>
      </c>
      <c r="D179" s="402">
        <v>310258.90000000002</v>
      </c>
    </row>
    <row r="180" spans="1:4" x14ac:dyDescent="0.25">
      <c r="A180" s="400" t="s">
        <v>434</v>
      </c>
      <c r="B180" s="401">
        <v>3.75</v>
      </c>
      <c r="C180" s="272">
        <v>3.1875</v>
      </c>
      <c r="D180" s="402">
        <v>141045.1875</v>
      </c>
    </row>
    <row r="181" spans="1:4" x14ac:dyDescent="0.25">
      <c r="A181" s="400" t="s">
        <v>1802</v>
      </c>
      <c r="B181" s="401">
        <v>0.1</v>
      </c>
      <c r="C181" s="272">
        <v>8.5000000000000006E-2</v>
      </c>
      <c r="D181" s="402">
        <v>4797.21</v>
      </c>
    </row>
    <row r="182" spans="1:4" x14ac:dyDescent="0.25">
      <c r="A182" s="400" t="s">
        <v>2060</v>
      </c>
      <c r="B182" s="401">
        <v>0.375</v>
      </c>
      <c r="C182" s="272">
        <v>0.31874999999999998</v>
      </c>
      <c r="D182" s="402">
        <v>26571.787499999999</v>
      </c>
    </row>
    <row r="183" spans="1:4" x14ac:dyDescent="0.25">
      <c r="A183" s="400" t="s">
        <v>1803</v>
      </c>
      <c r="B183" s="401">
        <v>0.25</v>
      </c>
      <c r="C183" s="272">
        <v>0.20624999999999999</v>
      </c>
      <c r="D183" s="402">
        <v>17496.987500000003</v>
      </c>
    </row>
    <row r="184" spans="1:4" x14ac:dyDescent="0.25">
      <c r="A184" s="400" t="s">
        <v>1804</v>
      </c>
      <c r="B184" s="401">
        <v>0.25</v>
      </c>
      <c r="C184" s="272">
        <v>0.20624999999999999</v>
      </c>
      <c r="D184" s="402">
        <v>17496.987500000003</v>
      </c>
    </row>
    <row r="185" spans="1:4" x14ac:dyDescent="0.25">
      <c r="A185" s="400" t="s">
        <v>1564</v>
      </c>
      <c r="B185" s="401">
        <v>3.25</v>
      </c>
      <c r="C185" s="272">
        <v>2.7624999999999997</v>
      </c>
      <c r="D185" s="402">
        <v>230288.82500000001</v>
      </c>
    </row>
    <row r="186" spans="1:4" x14ac:dyDescent="0.25">
      <c r="A186" s="400" t="s">
        <v>1562</v>
      </c>
      <c r="B186" s="401">
        <v>9.75</v>
      </c>
      <c r="C186" s="272">
        <v>8.2874999999999996</v>
      </c>
      <c r="D186" s="402">
        <v>690866.47499999998</v>
      </c>
    </row>
    <row r="187" spans="1:4" x14ac:dyDescent="0.25">
      <c r="A187" s="400" t="s">
        <v>1565</v>
      </c>
      <c r="B187" s="401">
        <v>5.5</v>
      </c>
      <c r="C187" s="272">
        <v>4.6749999999999998</v>
      </c>
      <c r="D187" s="402">
        <v>389719.55</v>
      </c>
    </row>
    <row r="188" spans="1:4" x14ac:dyDescent="0.25">
      <c r="A188" s="400" t="s">
        <v>1826</v>
      </c>
      <c r="B188" s="401">
        <v>0.375</v>
      </c>
      <c r="C188" s="272">
        <v>0.30000000000000004</v>
      </c>
      <c r="D188" s="402">
        <v>25919.175000000003</v>
      </c>
    </row>
    <row r="189" spans="1:4" x14ac:dyDescent="0.25">
      <c r="A189" s="400" t="s">
        <v>1862</v>
      </c>
      <c r="B189" s="401">
        <v>13.25</v>
      </c>
      <c r="C189" s="272">
        <v>11.262499999999999</v>
      </c>
      <c r="D189" s="402">
        <v>938869.82499999995</v>
      </c>
    </row>
    <row r="190" spans="1:4" x14ac:dyDescent="0.25">
      <c r="A190" s="400" t="s">
        <v>2152</v>
      </c>
      <c r="B190" s="401">
        <v>2.125</v>
      </c>
      <c r="C190" s="272">
        <v>1.7000000000000002</v>
      </c>
      <c r="D190" s="402">
        <v>146875.32500000001</v>
      </c>
    </row>
    <row r="191" spans="1:4" x14ac:dyDescent="0.25">
      <c r="A191" s="400" t="s">
        <v>140</v>
      </c>
      <c r="B191" s="401">
        <v>18.5</v>
      </c>
      <c r="C191" s="272">
        <v>15.725</v>
      </c>
      <c r="D191" s="402">
        <v>695822.92500000005</v>
      </c>
    </row>
    <row r="192" spans="1:4" x14ac:dyDescent="0.25">
      <c r="A192" s="400" t="s">
        <v>506</v>
      </c>
      <c r="B192" s="401">
        <v>3.125</v>
      </c>
      <c r="C192" s="272">
        <v>2.65625</v>
      </c>
      <c r="D192" s="402">
        <v>117537.65625</v>
      </c>
    </row>
    <row r="193" spans="1:4" x14ac:dyDescent="0.25">
      <c r="A193" s="400" t="s">
        <v>875</v>
      </c>
      <c r="B193" s="401">
        <v>6</v>
      </c>
      <c r="C193" s="272">
        <v>5.0999999999999996</v>
      </c>
      <c r="D193" s="402">
        <v>225672.3</v>
      </c>
    </row>
    <row r="194" spans="1:4" x14ac:dyDescent="0.25">
      <c r="A194" s="400" t="s">
        <v>826</v>
      </c>
      <c r="B194" s="401">
        <v>10.75</v>
      </c>
      <c r="C194" s="272">
        <v>9.1374999999999993</v>
      </c>
      <c r="D194" s="402">
        <v>579522.82499999995</v>
      </c>
    </row>
    <row r="195" spans="1:4" x14ac:dyDescent="0.25">
      <c r="A195" s="400" t="s">
        <v>967</v>
      </c>
      <c r="B195" s="401">
        <v>2.25</v>
      </c>
      <c r="C195" s="272">
        <v>1.8</v>
      </c>
      <c r="D195" s="402">
        <v>82852.649999999994</v>
      </c>
    </row>
    <row r="196" spans="1:4" x14ac:dyDescent="0.25">
      <c r="A196" s="400" t="s">
        <v>911</v>
      </c>
      <c r="B196" s="401">
        <v>4.3333300000000001</v>
      </c>
      <c r="C196" s="272">
        <v>3.6833304999999998</v>
      </c>
      <c r="D196" s="402">
        <v>233605.92030300002</v>
      </c>
    </row>
    <row r="197" spans="1:4" x14ac:dyDescent="0.25">
      <c r="A197" s="400" t="s">
        <v>912</v>
      </c>
      <c r="B197" s="401">
        <v>2.0833300000000001</v>
      </c>
      <c r="C197" s="272">
        <v>1.7708305</v>
      </c>
      <c r="D197" s="402">
        <v>112310.445303</v>
      </c>
    </row>
    <row r="198" spans="1:4" x14ac:dyDescent="0.25">
      <c r="A198" s="400" t="s">
        <v>1088</v>
      </c>
      <c r="B198" s="401">
        <v>0.25</v>
      </c>
      <c r="C198" s="272">
        <v>0.2</v>
      </c>
      <c r="D198" s="402">
        <v>9205.85</v>
      </c>
    </row>
    <row r="199" spans="1:4" x14ac:dyDescent="0.25">
      <c r="A199" s="400" t="s">
        <v>1105</v>
      </c>
      <c r="B199" s="401">
        <v>9.5</v>
      </c>
      <c r="C199" s="272">
        <v>8.0749999999999993</v>
      </c>
      <c r="D199" s="402">
        <v>357314.47499999998</v>
      </c>
    </row>
    <row r="200" spans="1:4" x14ac:dyDescent="0.25">
      <c r="A200" s="400" t="s">
        <v>1122</v>
      </c>
      <c r="B200" s="401">
        <v>1.25</v>
      </c>
      <c r="C200" s="272">
        <v>1.0250000000000001</v>
      </c>
      <c r="D200" s="402">
        <v>87267.400000000009</v>
      </c>
    </row>
    <row r="201" spans="1:4" x14ac:dyDescent="0.25">
      <c r="A201" s="400" t="s">
        <v>1141</v>
      </c>
      <c r="B201" s="401">
        <v>7.8</v>
      </c>
      <c r="C201" s="272">
        <v>6.63</v>
      </c>
      <c r="D201" s="402">
        <v>420490.98</v>
      </c>
    </row>
    <row r="202" spans="1:4" x14ac:dyDescent="0.25">
      <c r="A202" s="400" t="s">
        <v>1142</v>
      </c>
      <c r="B202" s="401">
        <v>1.8</v>
      </c>
      <c r="C202" s="272">
        <v>1.53</v>
      </c>
      <c r="D202" s="402">
        <v>86349.78</v>
      </c>
    </row>
    <row r="203" spans="1:4" x14ac:dyDescent="0.25">
      <c r="A203" s="400" t="s">
        <v>1279</v>
      </c>
      <c r="B203" s="401">
        <v>14.7</v>
      </c>
      <c r="C203" s="272">
        <v>12.494999999999999</v>
      </c>
      <c r="D203" s="402">
        <v>792463.77</v>
      </c>
    </row>
    <row r="204" spans="1:4" x14ac:dyDescent="0.25">
      <c r="A204" s="400" t="s">
        <v>1280</v>
      </c>
      <c r="B204" s="401">
        <v>3.5750000000000002</v>
      </c>
      <c r="C204" s="272">
        <v>3.0387500000000003</v>
      </c>
      <c r="D204" s="402">
        <v>171500.25750000001</v>
      </c>
    </row>
    <row r="205" spans="1:4" x14ac:dyDescent="0.25">
      <c r="A205" s="400" t="s">
        <v>1277</v>
      </c>
      <c r="B205" s="401">
        <v>38.625</v>
      </c>
      <c r="C205" s="272">
        <v>32.831249999999997</v>
      </c>
      <c r="D205" s="402">
        <v>2082238.9875</v>
      </c>
    </row>
    <row r="206" spans="1:4" x14ac:dyDescent="0.25">
      <c r="A206" s="400" t="s">
        <v>1362</v>
      </c>
      <c r="B206" s="401">
        <v>2.875</v>
      </c>
      <c r="C206" s="272">
        <v>2.3000000000000003</v>
      </c>
      <c r="D206" s="402">
        <v>128405.89500000002</v>
      </c>
    </row>
    <row r="207" spans="1:4" x14ac:dyDescent="0.25">
      <c r="A207" s="400" t="s">
        <v>1364</v>
      </c>
      <c r="B207" s="401">
        <v>4.75</v>
      </c>
      <c r="C207" s="272">
        <v>3.8000000000000003</v>
      </c>
      <c r="D207" s="402">
        <v>174911.15</v>
      </c>
    </row>
    <row r="208" spans="1:4" x14ac:dyDescent="0.25">
      <c r="A208" s="400" t="s">
        <v>1363</v>
      </c>
      <c r="B208" s="401">
        <v>8.625</v>
      </c>
      <c r="C208" s="272">
        <v>6.9</v>
      </c>
      <c r="D208" s="402">
        <v>317601.82500000001</v>
      </c>
    </row>
    <row r="209" spans="1:4" x14ac:dyDescent="0.25">
      <c r="A209" s="400" t="s">
        <v>1365</v>
      </c>
      <c r="B209" s="401">
        <v>2</v>
      </c>
      <c r="C209" s="272">
        <v>1.6</v>
      </c>
      <c r="D209" s="402">
        <v>73646.8</v>
      </c>
    </row>
    <row r="210" spans="1:4" x14ac:dyDescent="0.25">
      <c r="A210" s="400" t="s">
        <v>1530</v>
      </c>
      <c r="B210" s="401">
        <v>1.06667</v>
      </c>
      <c r="C210" s="272">
        <v>0.90666950000000002</v>
      </c>
      <c r="D210" s="402">
        <v>75582.209526999999</v>
      </c>
    </row>
    <row r="211" spans="1:4" x14ac:dyDescent="0.25">
      <c r="A211" s="400" t="s">
        <v>1531</v>
      </c>
      <c r="B211" s="401">
        <v>1.6</v>
      </c>
      <c r="C211" s="272">
        <v>1.36</v>
      </c>
      <c r="D211" s="402">
        <v>113372.96</v>
      </c>
    </row>
    <row r="212" spans="1:4" x14ac:dyDescent="0.25">
      <c r="A212" s="400" t="s">
        <v>1532</v>
      </c>
      <c r="B212" s="401">
        <v>1.3333299999999999</v>
      </c>
      <c r="C212" s="272">
        <v>1.1333304999999998</v>
      </c>
      <c r="D212" s="402">
        <v>94477.230472999989</v>
      </c>
    </row>
    <row r="213" spans="1:4" x14ac:dyDescent="0.25">
      <c r="A213" s="400" t="s">
        <v>1431</v>
      </c>
      <c r="B213" s="401">
        <v>4.875</v>
      </c>
      <c r="C213" s="272">
        <v>4.1437499999999998</v>
      </c>
      <c r="D213" s="402">
        <v>233863.98750000002</v>
      </c>
    </row>
    <row r="214" spans="1:4" x14ac:dyDescent="0.25">
      <c r="A214" s="400" t="s">
        <v>1435</v>
      </c>
      <c r="B214" s="401">
        <v>16</v>
      </c>
      <c r="C214" s="272">
        <v>13.6</v>
      </c>
      <c r="D214" s="402">
        <v>601792.80000000005</v>
      </c>
    </row>
    <row r="215" spans="1:4" x14ac:dyDescent="0.25">
      <c r="A215" s="400" t="s">
        <v>1436</v>
      </c>
      <c r="B215" s="401">
        <v>5.4166699999999999</v>
      </c>
      <c r="C215" s="272">
        <v>4.6041694999999994</v>
      </c>
      <c r="D215" s="402">
        <v>203732.06287349999</v>
      </c>
    </row>
    <row r="216" spans="1:4" x14ac:dyDescent="0.25">
      <c r="A216" s="400" t="s">
        <v>1506</v>
      </c>
      <c r="B216" s="401">
        <v>1.875</v>
      </c>
      <c r="C216" s="272">
        <v>1.59375</v>
      </c>
      <c r="D216" s="402">
        <v>89947.6875</v>
      </c>
    </row>
    <row r="217" spans="1:4" x14ac:dyDescent="0.25">
      <c r="A217" s="400" t="s">
        <v>1477</v>
      </c>
      <c r="B217" s="401">
        <v>4.2583299999999999</v>
      </c>
      <c r="C217" s="272">
        <v>3.4066640000000001</v>
      </c>
      <c r="D217" s="402">
        <v>294326.401274</v>
      </c>
    </row>
    <row r="218" spans="1:4" x14ac:dyDescent="0.25">
      <c r="A218" s="400" t="s">
        <v>1507</v>
      </c>
      <c r="B218" s="401">
        <v>3.125</v>
      </c>
      <c r="C218" s="272">
        <v>2.65625</v>
      </c>
      <c r="D218" s="402">
        <v>149912.8125</v>
      </c>
    </row>
    <row r="219" spans="1:4" x14ac:dyDescent="0.25">
      <c r="A219" s="400" t="s">
        <v>1920</v>
      </c>
      <c r="B219" s="401">
        <v>5.2666700000000004</v>
      </c>
      <c r="C219" s="272">
        <v>4.2133360000000009</v>
      </c>
      <c r="D219" s="402">
        <v>193936.69607800001</v>
      </c>
    </row>
    <row r="220" spans="1:4" x14ac:dyDescent="0.25">
      <c r="A220" s="400" t="s">
        <v>1473</v>
      </c>
      <c r="B220" s="401">
        <v>9.25</v>
      </c>
      <c r="C220" s="272">
        <v>7.8624999999999998</v>
      </c>
      <c r="D220" s="402">
        <v>443741.92499999999</v>
      </c>
    </row>
    <row r="221" spans="1:4" x14ac:dyDescent="0.25">
      <c r="A221" s="400" t="s">
        <v>1475</v>
      </c>
      <c r="B221" s="401">
        <v>22.625</v>
      </c>
      <c r="C221" s="272">
        <v>19.231249999999999</v>
      </c>
      <c r="D221" s="402">
        <v>1603164.5125</v>
      </c>
    </row>
    <row r="222" spans="1:4" x14ac:dyDescent="0.25">
      <c r="A222" s="400" t="s">
        <v>1476</v>
      </c>
      <c r="B222" s="401">
        <v>12.75</v>
      </c>
      <c r="C222" s="272">
        <v>10.8375</v>
      </c>
      <c r="D222" s="402">
        <v>903440.77500000002</v>
      </c>
    </row>
    <row r="223" spans="1:4" x14ac:dyDescent="0.25">
      <c r="A223" s="400" t="s">
        <v>1466</v>
      </c>
      <c r="B223" s="401">
        <v>7.5</v>
      </c>
      <c r="C223" s="272">
        <v>6.375</v>
      </c>
      <c r="D223" s="402">
        <v>396748.57499999995</v>
      </c>
    </row>
    <row r="224" spans="1:4" x14ac:dyDescent="0.25">
      <c r="A224" s="400" t="s">
        <v>1529</v>
      </c>
      <c r="B224" s="401">
        <v>6</v>
      </c>
      <c r="C224" s="272">
        <v>5.0999999999999996</v>
      </c>
      <c r="D224" s="402">
        <v>323454.59999999998</v>
      </c>
    </row>
    <row r="225" spans="1:4" x14ac:dyDescent="0.25">
      <c r="A225" s="400" t="s">
        <v>1605</v>
      </c>
      <c r="B225" s="401">
        <v>6.875</v>
      </c>
      <c r="C225" s="272">
        <v>5.84375</v>
      </c>
      <c r="D225" s="402">
        <v>370625.0625</v>
      </c>
    </row>
    <row r="226" spans="1:4" x14ac:dyDescent="0.25">
      <c r="A226" s="400" t="s">
        <v>1608</v>
      </c>
      <c r="B226" s="401">
        <v>5.75</v>
      </c>
      <c r="C226" s="272">
        <v>4.8874999999999993</v>
      </c>
      <c r="D226" s="402">
        <v>309977.32499999995</v>
      </c>
    </row>
    <row r="227" spans="1:4" x14ac:dyDescent="0.25">
      <c r="A227" s="400" t="s">
        <v>1561</v>
      </c>
      <c r="B227" s="401">
        <v>10</v>
      </c>
      <c r="C227" s="272">
        <v>8.5</v>
      </c>
      <c r="D227" s="402">
        <v>539091</v>
      </c>
    </row>
    <row r="228" spans="1:4" x14ac:dyDescent="0.25">
      <c r="A228" s="400" t="s">
        <v>1558</v>
      </c>
      <c r="B228" s="401">
        <v>7.3</v>
      </c>
      <c r="C228" s="272">
        <v>6.2050000000000001</v>
      </c>
      <c r="D228" s="402">
        <v>393536.43</v>
      </c>
    </row>
    <row r="229" spans="1:4" x14ac:dyDescent="0.25">
      <c r="A229" s="400" t="s">
        <v>1550</v>
      </c>
      <c r="B229" s="401">
        <v>7.1666600000000003</v>
      </c>
      <c r="C229" s="272">
        <v>6.079161</v>
      </c>
      <c r="D229" s="402">
        <v>385988.36560600001</v>
      </c>
    </row>
    <row r="230" spans="1:4" x14ac:dyDescent="0.25">
      <c r="A230" s="400" t="s">
        <v>1637</v>
      </c>
      <c r="B230" s="401">
        <v>8.8333333333333339</v>
      </c>
      <c r="C230" s="272">
        <v>7.5083333333333329</v>
      </c>
      <c r="D230" s="402">
        <v>476197.05</v>
      </c>
    </row>
    <row r="231" spans="1:4" x14ac:dyDescent="0.25">
      <c r="A231" s="400" t="s">
        <v>1567</v>
      </c>
      <c r="B231" s="401">
        <v>2</v>
      </c>
      <c r="C231" s="272">
        <v>1.7</v>
      </c>
      <c r="D231" s="402">
        <v>107818.2</v>
      </c>
    </row>
    <row r="232" spans="1:4" x14ac:dyDescent="0.25">
      <c r="A232" s="400" t="s">
        <v>1568</v>
      </c>
      <c r="B232" s="401">
        <v>9.6</v>
      </c>
      <c r="C232" s="272">
        <v>8.16</v>
      </c>
      <c r="D232" s="402">
        <v>517527.36</v>
      </c>
    </row>
    <row r="233" spans="1:4" x14ac:dyDescent="0.25">
      <c r="A233" s="400" t="s">
        <v>1669</v>
      </c>
      <c r="B233" s="401">
        <v>13.466659999999999</v>
      </c>
      <c r="C233" s="272">
        <v>11.446660999999999</v>
      </c>
      <c r="D233" s="402">
        <v>725975.52060599986</v>
      </c>
    </row>
    <row r="234" spans="1:4" x14ac:dyDescent="0.25">
      <c r="A234" s="400" t="s">
        <v>1610</v>
      </c>
      <c r="B234" s="401">
        <v>6</v>
      </c>
      <c r="C234" s="272">
        <v>5.0999999999999996</v>
      </c>
      <c r="D234" s="402">
        <v>323454.59999999998</v>
      </c>
    </row>
    <row r="235" spans="1:4" x14ac:dyDescent="0.25">
      <c r="A235" s="400" t="s">
        <v>1563</v>
      </c>
      <c r="B235" s="401">
        <v>6.5</v>
      </c>
      <c r="C235" s="272">
        <v>5.5249999999999995</v>
      </c>
      <c r="D235" s="402">
        <v>244478.32500000001</v>
      </c>
    </row>
    <row r="236" spans="1:4" x14ac:dyDescent="0.25">
      <c r="A236" s="400" t="s">
        <v>1566</v>
      </c>
      <c r="B236" s="401">
        <v>2.75</v>
      </c>
      <c r="C236" s="272">
        <v>2.3374999999999999</v>
      </c>
      <c r="D236" s="402">
        <v>131923.27499999999</v>
      </c>
    </row>
    <row r="237" spans="1:4" x14ac:dyDescent="0.25">
      <c r="A237" s="400" t="s">
        <v>1580</v>
      </c>
      <c r="B237" s="401">
        <v>18.524999999999999</v>
      </c>
      <c r="C237" s="272">
        <v>15.74625</v>
      </c>
      <c r="D237" s="402">
        <v>888683.15249999997</v>
      </c>
    </row>
    <row r="238" spans="1:4" x14ac:dyDescent="0.25">
      <c r="A238" s="400" t="s">
        <v>1579</v>
      </c>
      <c r="B238" s="401">
        <v>10.25</v>
      </c>
      <c r="C238" s="272">
        <v>8.7125000000000004</v>
      </c>
      <c r="D238" s="402">
        <v>552568.27500000002</v>
      </c>
    </row>
    <row r="239" spans="1:4" x14ac:dyDescent="0.25">
      <c r="A239" s="400" t="s">
        <v>1569</v>
      </c>
      <c r="B239" s="401">
        <v>15.033339999999999</v>
      </c>
      <c r="C239" s="272">
        <v>12.778338999999999</v>
      </c>
      <c r="D239" s="402">
        <v>810433.82939399988</v>
      </c>
    </row>
    <row r="240" spans="1:4" x14ac:dyDescent="0.25">
      <c r="A240" s="400" t="s">
        <v>1560</v>
      </c>
      <c r="B240" s="401">
        <v>10.1</v>
      </c>
      <c r="C240" s="272">
        <v>8.5849999999999991</v>
      </c>
      <c r="D240" s="402">
        <v>544481.90999999992</v>
      </c>
    </row>
    <row r="241" spans="1:4" x14ac:dyDescent="0.25">
      <c r="A241" s="400" t="s">
        <v>1686</v>
      </c>
      <c r="B241" s="401">
        <v>18.149999999999999</v>
      </c>
      <c r="C241" s="272">
        <v>15.427499999999998</v>
      </c>
      <c r="D241" s="402">
        <v>978450.16499999992</v>
      </c>
    </row>
    <row r="242" spans="1:4" x14ac:dyDescent="0.25">
      <c r="A242" s="400" t="s">
        <v>1692</v>
      </c>
      <c r="B242" s="401">
        <v>0.25</v>
      </c>
      <c r="C242" s="272">
        <v>0.2</v>
      </c>
      <c r="D242" s="402">
        <v>9205.85</v>
      </c>
    </row>
    <row r="243" spans="1:4" x14ac:dyDescent="0.25">
      <c r="A243" s="400" t="s">
        <v>1693</v>
      </c>
      <c r="B243" s="401">
        <v>1</v>
      </c>
      <c r="C243" s="272">
        <v>0.8</v>
      </c>
      <c r="D243" s="402">
        <v>36823.4</v>
      </c>
    </row>
    <row r="244" spans="1:4" x14ac:dyDescent="0.25">
      <c r="A244" s="400" t="s">
        <v>1696</v>
      </c>
      <c r="B244" s="401">
        <v>3.25</v>
      </c>
      <c r="C244" s="272">
        <v>2.6</v>
      </c>
      <c r="D244" s="402">
        <v>119676.05</v>
      </c>
    </row>
    <row r="245" spans="1:4" x14ac:dyDescent="0.25">
      <c r="A245" s="400" t="s">
        <v>1720</v>
      </c>
      <c r="B245" s="401">
        <v>6</v>
      </c>
      <c r="C245" s="272">
        <v>4.8000000000000007</v>
      </c>
      <c r="D245" s="402">
        <v>220940.40000000002</v>
      </c>
    </row>
    <row r="246" spans="1:4" x14ac:dyDescent="0.25">
      <c r="A246" s="400" t="s">
        <v>2125</v>
      </c>
      <c r="B246" s="401">
        <v>1.125</v>
      </c>
      <c r="C246" s="272">
        <v>0.9</v>
      </c>
      <c r="D246" s="402">
        <v>41426.324999999997</v>
      </c>
    </row>
    <row r="247" spans="1:4" x14ac:dyDescent="0.25">
      <c r="A247" s="400" t="s">
        <v>2126</v>
      </c>
      <c r="B247" s="401">
        <v>1.625</v>
      </c>
      <c r="C247" s="272">
        <v>1.3</v>
      </c>
      <c r="D247" s="402">
        <v>59838.025000000001</v>
      </c>
    </row>
    <row r="248" spans="1:4" x14ac:dyDescent="0.25">
      <c r="A248" s="400" t="s">
        <v>1710</v>
      </c>
      <c r="B248" s="401">
        <v>0.41666999999999998</v>
      </c>
      <c r="C248" s="272">
        <v>0.35416949999999997</v>
      </c>
      <c r="D248" s="402">
        <v>19988.534907000001</v>
      </c>
    </row>
    <row r="249" spans="1:4" x14ac:dyDescent="0.25">
      <c r="A249" s="400" t="s">
        <v>1712</v>
      </c>
      <c r="B249" s="401">
        <v>2</v>
      </c>
      <c r="C249" s="272">
        <v>1.7</v>
      </c>
      <c r="D249" s="402">
        <v>75224.100000000006</v>
      </c>
    </row>
    <row r="250" spans="1:4" x14ac:dyDescent="0.25">
      <c r="A250" s="400" t="s">
        <v>1735</v>
      </c>
      <c r="B250" s="401">
        <v>10.5</v>
      </c>
      <c r="C250" s="272">
        <v>8.9249999999999989</v>
      </c>
      <c r="D250" s="402">
        <v>503707.04999999993</v>
      </c>
    </row>
    <row r="251" spans="1:4" x14ac:dyDescent="0.25">
      <c r="A251" s="400" t="s">
        <v>1714</v>
      </c>
      <c r="B251" s="401">
        <v>12.16667</v>
      </c>
      <c r="C251" s="272">
        <v>10.3416695</v>
      </c>
      <c r="D251" s="402">
        <v>457613.40037349996</v>
      </c>
    </row>
    <row r="252" spans="1:4" x14ac:dyDescent="0.25">
      <c r="A252" s="400" t="s">
        <v>1705</v>
      </c>
      <c r="B252" s="401">
        <v>9.35</v>
      </c>
      <c r="C252" s="272">
        <v>7.9474999999999998</v>
      </c>
      <c r="D252" s="402">
        <v>448539.13500000001</v>
      </c>
    </row>
    <row r="253" spans="1:4" x14ac:dyDescent="0.25">
      <c r="A253" s="400" t="s">
        <v>1707</v>
      </c>
      <c r="B253" s="401">
        <v>10.625</v>
      </c>
      <c r="C253" s="272">
        <v>9.03125</v>
      </c>
      <c r="D253" s="402">
        <v>509703.5625</v>
      </c>
    </row>
    <row r="254" spans="1:4" x14ac:dyDescent="0.25">
      <c r="A254" s="400" t="s">
        <v>1791</v>
      </c>
      <c r="B254" s="401">
        <v>21</v>
      </c>
      <c r="C254" s="272">
        <v>17.849999999999998</v>
      </c>
      <c r="D254" s="402">
        <v>789853.05</v>
      </c>
    </row>
    <row r="255" spans="1:4" x14ac:dyDescent="0.25">
      <c r="A255" s="400" t="s">
        <v>1745</v>
      </c>
      <c r="B255" s="401">
        <v>5.75</v>
      </c>
      <c r="C255" s="272">
        <v>4.8875000000000002</v>
      </c>
      <c r="D255" s="402">
        <v>309977.32500000001</v>
      </c>
    </row>
    <row r="256" spans="1:4" x14ac:dyDescent="0.25">
      <c r="A256" s="400" t="s">
        <v>1733</v>
      </c>
      <c r="B256" s="401">
        <v>15</v>
      </c>
      <c r="C256" s="272">
        <v>12.75</v>
      </c>
      <c r="D256" s="402">
        <v>719581.5</v>
      </c>
    </row>
    <row r="257" spans="1:4" x14ac:dyDescent="0.25">
      <c r="A257" s="400" t="s">
        <v>1732</v>
      </c>
      <c r="B257" s="401">
        <v>9.375</v>
      </c>
      <c r="C257" s="272">
        <v>7.96875</v>
      </c>
      <c r="D257" s="402">
        <v>449738.4375</v>
      </c>
    </row>
    <row r="258" spans="1:4" x14ac:dyDescent="0.25">
      <c r="A258" s="400" t="s">
        <v>1788</v>
      </c>
      <c r="B258" s="401">
        <v>2.625</v>
      </c>
      <c r="C258" s="272">
        <v>2.2312499999999997</v>
      </c>
      <c r="D258" s="402">
        <v>125926.76249999998</v>
      </c>
    </row>
    <row r="259" spans="1:4" x14ac:dyDescent="0.25">
      <c r="A259" s="400" t="s">
        <v>1863</v>
      </c>
      <c r="B259" s="401">
        <v>21.25</v>
      </c>
      <c r="C259" s="272">
        <v>18.0625</v>
      </c>
      <c r="D259" s="402">
        <v>799256.0625</v>
      </c>
    </row>
    <row r="260" spans="1:4" x14ac:dyDescent="0.25">
      <c r="A260" s="400" t="s">
        <v>1864</v>
      </c>
      <c r="B260" s="401">
        <v>10.625</v>
      </c>
      <c r="C260" s="272">
        <v>9.03125</v>
      </c>
      <c r="D260" s="402">
        <v>572784.1875</v>
      </c>
    </row>
    <row r="261" spans="1:4" x14ac:dyDescent="0.25">
      <c r="A261" s="400" t="s">
        <v>1865</v>
      </c>
      <c r="B261" s="401">
        <v>2.75</v>
      </c>
      <c r="C261" s="272">
        <v>2.3374999999999999</v>
      </c>
      <c r="D261" s="402">
        <v>148250.02499999999</v>
      </c>
    </row>
    <row r="262" spans="1:4" x14ac:dyDescent="0.25">
      <c r="A262" s="400" t="s">
        <v>1887</v>
      </c>
      <c r="B262" s="401">
        <v>11.3</v>
      </c>
      <c r="C262" s="272">
        <v>9.6050000000000004</v>
      </c>
      <c r="D262" s="402">
        <v>609172.82999999996</v>
      </c>
    </row>
    <row r="263" spans="1:4" x14ac:dyDescent="0.25">
      <c r="A263" s="400" t="s">
        <v>1885</v>
      </c>
      <c r="B263" s="401">
        <v>3.375</v>
      </c>
      <c r="C263" s="272">
        <v>2.8687499999999999</v>
      </c>
      <c r="D263" s="402">
        <v>181943.21249999999</v>
      </c>
    </row>
    <row r="264" spans="1:4" x14ac:dyDescent="0.25">
      <c r="A264" s="400" t="s">
        <v>1886</v>
      </c>
      <c r="B264" s="401">
        <v>6</v>
      </c>
      <c r="C264" s="272">
        <v>5.0999999999999996</v>
      </c>
      <c r="D264" s="402">
        <v>323454.59999999998</v>
      </c>
    </row>
    <row r="265" spans="1:4" x14ac:dyDescent="0.25">
      <c r="A265" s="400" t="s">
        <v>1909</v>
      </c>
      <c r="B265" s="401">
        <v>6.625</v>
      </c>
      <c r="C265" s="272">
        <v>5.6312499999999996</v>
      </c>
      <c r="D265" s="402">
        <v>357147.78749999998</v>
      </c>
    </row>
    <row r="266" spans="1:4" x14ac:dyDescent="0.25">
      <c r="A266" s="400" t="s">
        <v>1889</v>
      </c>
      <c r="B266" s="401">
        <v>2.5750000000000002</v>
      </c>
      <c r="C266" s="272">
        <v>2.1887499999999998</v>
      </c>
      <c r="D266" s="402">
        <v>123528.15749999999</v>
      </c>
    </row>
    <row r="267" spans="1:4" x14ac:dyDescent="0.25">
      <c r="A267" s="400" t="s">
        <v>2068</v>
      </c>
      <c r="B267" s="401">
        <v>0.4</v>
      </c>
      <c r="C267" s="272">
        <v>0.34</v>
      </c>
      <c r="D267" s="402">
        <v>19188.84</v>
      </c>
    </row>
    <row r="268" spans="1:4" x14ac:dyDescent="0.25">
      <c r="A268" s="400" t="s">
        <v>1963</v>
      </c>
      <c r="B268" s="401">
        <v>1.5</v>
      </c>
      <c r="C268" s="272">
        <v>1.2749999999999999</v>
      </c>
      <c r="D268" s="402">
        <v>71958.149999999994</v>
      </c>
    </row>
    <row r="269" spans="1:4" x14ac:dyDescent="0.25">
      <c r="A269" s="400" t="s">
        <v>1964</v>
      </c>
      <c r="B269" s="401">
        <v>0.7</v>
      </c>
      <c r="C269" s="272">
        <v>0.59499999999999997</v>
      </c>
      <c r="D269" s="402">
        <v>33580.47</v>
      </c>
    </row>
    <row r="270" spans="1:4" x14ac:dyDescent="0.25">
      <c r="A270" s="400" t="s">
        <v>2110</v>
      </c>
      <c r="B270" s="401">
        <v>2.75</v>
      </c>
      <c r="C270" s="272">
        <v>2.2000000000000002</v>
      </c>
      <c r="D270" s="402">
        <v>101264.35</v>
      </c>
    </row>
    <row r="271" spans="1:4" x14ac:dyDescent="0.25">
      <c r="A271" s="400" t="s">
        <v>2104</v>
      </c>
      <c r="B271" s="401">
        <v>0.125</v>
      </c>
      <c r="C271" s="272">
        <v>0.1</v>
      </c>
      <c r="D271" s="402">
        <v>4602.9250000000002</v>
      </c>
    </row>
    <row r="272" spans="1:4" x14ac:dyDescent="0.25">
      <c r="A272" s="400" t="s">
        <v>2121</v>
      </c>
      <c r="B272" s="401">
        <v>25.5</v>
      </c>
      <c r="C272" s="272">
        <v>20.400000000000002</v>
      </c>
      <c r="D272" s="402">
        <v>938996.7</v>
      </c>
    </row>
    <row r="273" spans="1:4" x14ac:dyDescent="0.25">
      <c r="A273" s="400" t="s">
        <v>2123</v>
      </c>
      <c r="B273" s="401">
        <v>9.75</v>
      </c>
      <c r="C273" s="272">
        <v>7.8000000000000007</v>
      </c>
      <c r="D273" s="402">
        <v>359028.15</v>
      </c>
    </row>
    <row r="274" spans="1:4" x14ac:dyDescent="0.25">
      <c r="A274" s="400" t="s">
        <v>2087</v>
      </c>
      <c r="B274" s="401">
        <v>2.25</v>
      </c>
      <c r="C274" s="272">
        <v>1.9124999999999999</v>
      </c>
      <c r="D274" s="402">
        <v>159430.72499999998</v>
      </c>
    </row>
    <row r="275" spans="1:4" x14ac:dyDescent="0.25">
      <c r="A275" s="400" t="s">
        <v>2085</v>
      </c>
      <c r="B275" s="401">
        <v>4.75</v>
      </c>
      <c r="C275" s="272">
        <v>4.0374999999999996</v>
      </c>
      <c r="D275" s="402">
        <v>336575.97499999998</v>
      </c>
    </row>
    <row r="276" spans="1:4" x14ac:dyDescent="0.25">
      <c r="A276" s="400" t="s">
        <v>2088</v>
      </c>
      <c r="B276" s="401">
        <v>2</v>
      </c>
      <c r="C276" s="272">
        <v>1.7</v>
      </c>
      <c r="D276" s="402">
        <v>141716.20000000001</v>
      </c>
    </row>
    <row r="277" spans="1:4" x14ac:dyDescent="0.25">
      <c r="A277" s="400" t="s">
        <v>600</v>
      </c>
      <c r="B277" s="401">
        <v>11</v>
      </c>
      <c r="C277" s="272">
        <v>9.35</v>
      </c>
      <c r="D277" s="402">
        <v>593000.10000000009</v>
      </c>
    </row>
    <row r="278" spans="1:4" x14ac:dyDescent="0.25">
      <c r="A278" s="400" t="s">
        <v>1555</v>
      </c>
      <c r="B278" s="401">
        <v>1.5</v>
      </c>
      <c r="C278" s="272">
        <v>1.2749999999999999</v>
      </c>
      <c r="D278" s="402">
        <v>56418.074999999997</v>
      </c>
    </row>
    <row r="279" spans="1:4" x14ac:dyDescent="0.25">
      <c r="A279" s="400" t="s">
        <v>1805</v>
      </c>
      <c r="B279" s="401">
        <v>0.75</v>
      </c>
      <c r="C279" s="272">
        <v>0.63749999999999996</v>
      </c>
      <c r="D279" s="402">
        <v>35979.074999999997</v>
      </c>
    </row>
    <row r="280" spans="1:4" x14ac:dyDescent="0.25">
      <c r="A280" s="400" t="s">
        <v>1965</v>
      </c>
      <c r="B280" s="401">
        <v>0.3</v>
      </c>
      <c r="C280" s="272">
        <v>0.255</v>
      </c>
      <c r="D280" s="402">
        <v>14391.630000000001</v>
      </c>
    </row>
    <row r="281" spans="1:4" x14ac:dyDescent="0.25">
      <c r="A281" s="400" t="s">
        <v>1943</v>
      </c>
      <c r="B281" s="401">
        <v>7</v>
      </c>
      <c r="C281" s="272">
        <v>5.9499999999999993</v>
      </c>
      <c r="D281" s="402">
        <v>263284.35000000003</v>
      </c>
    </row>
    <row r="282" spans="1:4" x14ac:dyDescent="0.25">
      <c r="A282" s="400" t="s">
        <v>2061</v>
      </c>
      <c r="B282" s="401">
        <v>7.5</v>
      </c>
      <c r="C282" s="272">
        <v>6.375</v>
      </c>
      <c r="D282" s="402">
        <v>282090.375</v>
      </c>
    </row>
    <row r="283" spans="1:4" x14ac:dyDescent="0.25">
      <c r="A283" s="400" t="s">
        <v>2062</v>
      </c>
      <c r="B283" s="401">
        <v>6.5</v>
      </c>
      <c r="C283" s="272">
        <v>5.5249999999999995</v>
      </c>
      <c r="D283" s="402">
        <v>244478.32500000001</v>
      </c>
    </row>
    <row r="284" spans="1:4" x14ac:dyDescent="0.25">
      <c r="A284" s="400" t="s">
        <v>2094</v>
      </c>
      <c r="B284" s="401">
        <v>5</v>
      </c>
      <c r="C284" s="272">
        <v>4.25</v>
      </c>
      <c r="D284" s="402">
        <v>188060.25</v>
      </c>
    </row>
    <row r="285" spans="1:4" x14ac:dyDescent="0.25">
      <c r="A285" s="400" t="s">
        <v>877</v>
      </c>
      <c r="B285" s="401">
        <v>2.5</v>
      </c>
      <c r="C285" s="272">
        <v>2.1</v>
      </c>
      <c r="D285" s="402">
        <v>93635.8</v>
      </c>
    </row>
    <row r="286" spans="1:4" x14ac:dyDescent="0.25">
      <c r="A286" s="400" t="s">
        <v>1730</v>
      </c>
      <c r="B286" s="401">
        <v>1.5</v>
      </c>
      <c r="C286" s="272">
        <v>1.2749999999999999</v>
      </c>
      <c r="D286" s="402">
        <v>56418.074999999997</v>
      </c>
    </row>
    <row r="287" spans="1:4" x14ac:dyDescent="0.25">
      <c r="A287" s="400" t="s">
        <v>1896</v>
      </c>
      <c r="B287" s="401">
        <v>0.1</v>
      </c>
      <c r="C287" s="272">
        <v>8.5000000000000006E-2</v>
      </c>
      <c r="D287" s="402">
        <v>4797.21</v>
      </c>
    </row>
    <row r="288" spans="1:4" x14ac:dyDescent="0.25">
      <c r="A288" s="400" t="s">
        <v>2146</v>
      </c>
      <c r="B288" s="401">
        <v>2.5</v>
      </c>
      <c r="C288" s="272">
        <v>2.1</v>
      </c>
      <c r="D288" s="402">
        <v>93635.8</v>
      </c>
    </row>
    <row r="289" spans="1:4" x14ac:dyDescent="0.25">
      <c r="A289" s="400" t="s">
        <v>1266</v>
      </c>
      <c r="B289" s="401">
        <v>6</v>
      </c>
      <c r="C289" s="272">
        <v>5.0999999999999996</v>
      </c>
      <c r="D289" s="402">
        <v>225672.3</v>
      </c>
    </row>
    <row r="290" spans="1:4" x14ac:dyDescent="0.25">
      <c r="A290" s="400" t="s">
        <v>1294</v>
      </c>
      <c r="B290" s="401">
        <v>6.5</v>
      </c>
      <c r="C290" s="272">
        <v>5.5249999999999995</v>
      </c>
      <c r="D290" s="402">
        <v>244478.32500000001</v>
      </c>
    </row>
    <row r="291" spans="1:4" x14ac:dyDescent="0.25">
      <c r="A291" s="400" t="s">
        <v>1822</v>
      </c>
      <c r="B291" s="401">
        <v>0.5</v>
      </c>
      <c r="C291" s="272">
        <v>0.4</v>
      </c>
      <c r="D291" s="402">
        <v>18411.7</v>
      </c>
    </row>
    <row r="292" spans="1:4" x14ac:dyDescent="0.25">
      <c r="A292" s="400" t="s">
        <v>2002</v>
      </c>
      <c r="B292" s="401">
        <v>2.875</v>
      </c>
      <c r="C292" s="272">
        <v>2.3000000000000003</v>
      </c>
      <c r="D292" s="402">
        <v>105867.27499999999</v>
      </c>
    </row>
    <row r="293" spans="1:4" x14ac:dyDescent="0.25">
      <c r="A293" s="400" t="s">
        <v>2003</v>
      </c>
      <c r="B293" s="401">
        <v>0.25</v>
      </c>
      <c r="C293" s="272">
        <v>0.2</v>
      </c>
      <c r="D293" s="402">
        <v>9205.85</v>
      </c>
    </row>
    <row r="294" spans="1:4" x14ac:dyDescent="0.25">
      <c r="A294" s="400" t="s">
        <v>2051</v>
      </c>
      <c r="B294" s="401">
        <v>8.5</v>
      </c>
      <c r="C294" s="272">
        <v>7.2249999999999996</v>
      </c>
      <c r="D294" s="402">
        <v>319702.42499999999</v>
      </c>
    </row>
    <row r="295" spans="1:4" x14ac:dyDescent="0.25">
      <c r="A295" s="400" t="s">
        <v>2090</v>
      </c>
      <c r="B295" s="401">
        <v>4.25</v>
      </c>
      <c r="C295" s="272">
        <v>3.6124999999999998</v>
      </c>
      <c r="D295" s="402">
        <v>159851.21249999999</v>
      </c>
    </row>
    <row r="296" spans="1:4" x14ac:dyDescent="0.25">
      <c r="A296" s="400" t="s">
        <v>2091</v>
      </c>
      <c r="B296" s="401">
        <v>1</v>
      </c>
      <c r="C296" s="272">
        <v>0.85</v>
      </c>
      <c r="D296" s="402">
        <v>37612.050000000003</v>
      </c>
    </row>
    <row r="297" spans="1:4" x14ac:dyDescent="0.25">
      <c r="A297" s="400" t="s">
        <v>512</v>
      </c>
      <c r="B297" s="401">
        <v>11</v>
      </c>
      <c r="C297" s="272">
        <v>9.35</v>
      </c>
      <c r="D297" s="402">
        <v>413732.55</v>
      </c>
    </row>
    <row r="298" spans="1:4" x14ac:dyDescent="0.25">
      <c r="A298" s="400" t="s">
        <v>513</v>
      </c>
      <c r="B298" s="401">
        <v>9</v>
      </c>
      <c r="C298" s="272">
        <v>7.6499999999999995</v>
      </c>
      <c r="D298" s="402">
        <v>338508.45</v>
      </c>
    </row>
    <row r="299" spans="1:4" x14ac:dyDescent="0.25">
      <c r="A299" s="400" t="s">
        <v>603</v>
      </c>
      <c r="B299" s="401">
        <v>6.5</v>
      </c>
      <c r="C299" s="272">
        <v>5.5249999999999995</v>
      </c>
      <c r="D299" s="402">
        <v>244478.32500000001</v>
      </c>
    </row>
    <row r="300" spans="1:4" x14ac:dyDescent="0.25">
      <c r="A300" s="400" t="s">
        <v>1043</v>
      </c>
      <c r="B300" s="401">
        <v>7.25</v>
      </c>
      <c r="C300" s="272">
        <v>6.1624999999999996</v>
      </c>
      <c r="D300" s="402">
        <v>272687.36249999999</v>
      </c>
    </row>
    <row r="301" spans="1:4" x14ac:dyDescent="0.25">
      <c r="A301" s="400" t="s">
        <v>1044</v>
      </c>
      <c r="B301" s="401">
        <v>8.625</v>
      </c>
      <c r="C301" s="272">
        <v>7.3249999999999993</v>
      </c>
      <c r="D301" s="402">
        <v>464786.07499999995</v>
      </c>
    </row>
    <row r="302" spans="1:4" x14ac:dyDescent="0.25">
      <c r="A302" s="400" t="s">
        <v>569</v>
      </c>
      <c r="B302" s="401">
        <v>3.5</v>
      </c>
      <c r="C302" s="272">
        <v>2.8000000000000003</v>
      </c>
      <c r="D302" s="402">
        <v>241912.3</v>
      </c>
    </row>
    <row r="303" spans="1:4" x14ac:dyDescent="0.25">
      <c r="A303" s="400" t="s">
        <v>647</v>
      </c>
      <c r="B303" s="401">
        <v>2.75</v>
      </c>
      <c r="C303" s="272">
        <v>2.2000000000000002</v>
      </c>
      <c r="D303" s="402">
        <v>190073.95</v>
      </c>
    </row>
    <row r="304" spans="1:4" x14ac:dyDescent="0.25">
      <c r="A304" s="400" t="s">
        <v>1751</v>
      </c>
      <c r="B304" s="401">
        <v>11.25</v>
      </c>
      <c r="C304" s="272">
        <v>9</v>
      </c>
      <c r="D304" s="402">
        <v>777575.25</v>
      </c>
    </row>
    <row r="305" spans="1:4" x14ac:dyDescent="0.25">
      <c r="A305" s="400" t="s">
        <v>1619</v>
      </c>
      <c r="B305" s="401">
        <v>2.75</v>
      </c>
      <c r="C305" s="272">
        <v>2.2374999999999998</v>
      </c>
      <c r="D305" s="402">
        <v>191379.17499999999</v>
      </c>
    </row>
    <row r="306" spans="1:4" x14ac:dyDescent="0.25">
      <c r="A306" s="400" t="s">
        <v>1616</v>
      </c>
      <c r="B306" s="401">
        <v>1.75</v>
      </c>
      <c r="C306" s="272">
        <v>1.4000000000000001</v>
      </c>
      <c r="D306" s="402">
        <v>120956.15</v>
      </c>
    </row>
    <row r="307" spans="1:4" x14ac:dyDescent="0.25">
      <c r="A307" s="400" t="s">
        <v>1923</v>
      </c>
      <c r="B307" s="401">
        <v>10.75</v>
      </c>
      <c r="C307" s="272">
        <v>9.1374999999999993</v>
      </c>
      <c r="D307" s="402">
        <v>404329.53749999998</v>
      </c>
    </row>
    <row r="308" spans="1:4" x14ac:dyDescent="0.25">
      <c r="A308" s="400" t="s">
        <v>1926</v>
      </c>
      <c r="B308" s="401">
        <v>9.75</v>
      </c>
      <c r="C308" s="272">
        <v>8.2562499999999996</v>
      </c>
      <c r="D308" s="402">
        <v>366224.58125000005</v>
      </c>
    </row>
    <row r="309" spans="1:4" x14ac:dyDescent="0.25">
      <c r="A309" s="400" t="s">
        <v>1925</v>
      </c>
      <c r="B309" s="401">
        <v>18.5</v>
      </c>
      <c r="C309" s="272">
        <v>15.724999999999998</v>
      </c>
      <c r="D309" s="402">
        <v>1266664.105</v>
      </c>
    </row>
    <row r="310" spans="1:4" x14ac:dyDescent="0.25">
      <c r="A310" s="400" t="s">
        <v>2047</v>
      </c>
      <c r="B310" s="401">
        <v>15</v>
      </c>
      <c r="C310" s="272">
        <v>12.731250000000001</v>
      </c>
      <c r="D310" s="402">
        <v>563885.00624999998</v>
      </c>
    </row>
    <row r="311" spans="1:4" x14ac:dyDescent="0.25">
      <c r="A311" s="400" t="s">
        <v>2049</v>
      </c>
      <c r="B311" s="401">
        <v>0.75</v>
      </c>
      <c r="C311" s="272">
        <v>0.63749999999999996</v>
      </c>
      <c r="D311" s="402">
        <v>28209.037499999999</v>
      </c>
    </row>
    <row r="312" spans="1:4" x14ac:dyDescent="0.25">
      <c r="A312" s="400" t="s">
        <v>2048</v>
      </c>
      <c r="B312" s="401">
        <v>0.75</v>
      </c>
      <c r="C312" s="272">
        <v>0.63749999999999996</v>
      </c>
      <c r="D312" s="402">
        <v>28209.037499999999</v>
      </c>
    </row>
    <row r="313" spans="1:4" x14ac:dyDescent="0.25">
      <c r="A313" s="400" t="s">
        <v>2101</v>
      </c>
      <c r="B313" s="401">
        <v>14.25</v>
      </c>
      <c r="C313" s="272">
        <v>11.4</v>
      </c>
      <c r="D313" s="402">
        <v>524733.44999999995</v>
      </c>
    </row>
    <row r="314" spans="1:4" x14ac:dyDescent="0.25">
      <c r="A314" s="400" t="s">
        <v>2050</v>
      </c>
      <c r="B314" s="401">
        <v>4.875</v>
      </c>
      <c r="C314" s="272">
        <v>4.1437499999999998</v>
      </c>
      <c r="D314" s="402">
        <v>183358.74374999999</v>
      </c>
    </row>
    <row r="315" spans="1:4" x14ac:dyDescent="0.25">
      <c r="A315" s="400" t="s">
        <v>2076</v>
      </c>
      <c r="B315" s="401">
        <v>7.875</v>
      </c>
      <c r="C315" s="272">
        <v>6.6937499999999996</v>
      </c>
      <c r="D315" s="402">
        <v>296194.89374999999</v>
      </c>
    </row>
    <row r="316" spans="1:4" x14ac:dyDescent="0.25">
      <c r="A316" s="400" t="s">
        <v>2080</v>
      </c>
      <c r="B316" s="401">
        <v>0.75</v>
      </c>
      <c r="C316" s="272">
        <v>0.63749999999999996</v>
      </c>
      <c r="D316" s="402">
        <v>28209.037499999999</v>
      </c>
    </row>
    <row r="317" spans="1:4" x14ac:dyDescent="0.25">
      <c r="A317" s="400" t="s">
        <v>2078</v>
      </c>
      <c r="B317" s="401">
        <v>9.25</v>
      </c>
      <c r="C317" s="272">
        <v>7.8624999999999998</v>
      </c>
      <c r="D317" s="402">
        <v>347911.46250000002</v>
      </c>
    </row>
    <row r="318" spans="1:4" x14ac:dyDescent="0.25">
      <c r="A318" s="400" t="s">
        <v>101</v>
      </c>
      <c r="B318" s="401">
        <v>11.25</v>
      </c>
      <c r="C318" s="272">
        <v>9.5625</v>
      </c>
      <c r="D318" s="402">
        <v>423135.5625</v>
      </c>
    </row>
    <row r="319" spans="1:4" x14ac:dyDescent="0.25">
      <c r="A319" s="400" t="s">
        <v>102</v>
      </c>
      <c r="B319" s="401">
        <v>5.5</v>
      </c>
      <c r="C319" s="272">
        <v>4.6749999999999998</v>
      </c>
      <c r="D319" s="402">
        <v>206866.27499999999</v>
      </c>
    </row>
    <row r="320" spans="1:4" x14ac:dyDescent="0.25">
      <c r="A320" s="400" t="s">
        <v>2200</v>
      </c>
      <c r="B320" s="401">
        <v>0.625</v>
      </c>
      <c r="C320" s="272">
        <v>0.5</v>
      </c>
      <c r="D320" s="402">
        <v>23014.625</v>
      </c>
    </row>
    <row r="321" spans="1:4" x14ac:dyDescent="0.25">
      <c r="A321" s="400" t="s">
        <v>2201</v>
      </c>
      <c r="B321" s="401">
        <v>0.375</v>
      </c>
      <c r="C321" s="272">
        <v>0.30000000000000004</v>
      </c>
      <c r="D321" s="402">
        <v>13808.775000000001</v>
      </c>
    </row>
    <row r="322" spans="1:4" x14ac:dyDescent="0.25">
      <c r="A322" s="400" t="s">
        <v>516</v>
      </c>
      <c r="B322" s="401">
        <v>13.5</v>
      </c>
      <c r="C322" s="272">
        <v>11.475</v>
      </c>
      <c r="D322" s="402">
        <v>507762.67499999999</v>
      </c>
    </row>
    <row r="323" spans="1:4" x14ac:dyDescent="0.25">
      <c r="A323" s="400" t="s">
        <v>517</v>
      </c>
      <c r="B323" s="401">
        <v>11.75</v>
      </c>
      <c r="C323" s="272">
        <v>9.9874999999999989</v>
      </c>
      <c r="D323" s="402">
        <v>441941.58750000002</v>
      </c>
    </row>
    <row r="324" spans="1:4" x14ac:dyDescent="0.25">
      <c r="A324" s="400" t="s">
        <v>518</v>
      </c>
      <c r="B324" s="401">
        <v>4.75</v>
      </c>
      <c r="C324" s="272">
        <v>4.0374999999999996</v>
      </c>
      <c r="D324" s="402">
        <v>178657.23749999999</v>
      </c>
    </row>
    <row r="325" spans="1:4" x14ac:dyDescent="0.25">
      <c r="A325" s="400" t="s">
        <v>604</v>
      </c>
      <c r="B325" s="401">
        <v>4</v>
      </c>
      <c r="C325" s="272">
        <v>3.4</v>
      </c>
      <c r="D325" s="402">
        <v>150448.20000000001</v>
      </c>
    </row>
    <row r="326" spans="1:4" x14ac:dyDescent="0.25">
      <c r="A326" s="400" t="s">
        <v>519</v>
      </c>
      <c r="B326" s="401">
        <v>6.75</v>
      </c>
      <c r="C326" s="272">
        <v>5.7374999999999998</v>
      </c>
      <c r="D326" s="402">
        <v>253881.33749999999</v>
      </c>
    </row>
    <row r="327" spans="1:4" x14ac:dyDescent="0.25">
      <c r="A327" s="400" t="s">
        <v>520</v>
      </c>
      <c r="B327" s="401">
        <v>2.75</v>
      </c>
      <c r="C327" s="272">
        <v>2.3374999999999999</v>
      </c>
      <c r="D327" s="402">
        <v>103433.1375</v>
      </c>
    </row>
    <row r="328" spans="1:4" x14ac:dyDescent="0.25">
      <c r="A328" s="400" t="s">
        <v>605</v>
      </c>
      <c r="B328" s="401">
        <v>3.5</v>
      </c>
      <c r="C328" s="272">
        <v>2.9750000000000001</v>
      </c>
      <c r="D328" s="402">
        <v>131642.17499999999</v>
      </c>
    </row>
    <row r="329" spans="1:4" x14ac:dyDescent="0.25">
      <c r="A329" s="400" t="s">
        <v>521</v>
      </c>
      <c r="B329" s="401">
        <v>13</v>
      </c>
      <c r="C329" s="272">
        <v>11.049999999999999</v>
      </c>
      <c r="D329" s="402">
        <v>488956.65</v>
      </c>
    </row>
    <row r="330" spans="1:4" x14ac:dyDescent="0.25">
      <c r="A330" s="400" t="s">
        <v>606</v>
      </c>
      <c r="B330" s="401">
        <v>7</v>
      </c>
      <c r="C330" s="272">
        <v>5.95</v>
      </c>
      <c r="D330" s="402">
        <v>263284.34999999998</v>
      </c>
    </row>
    <row r="331" spans="1:4" x14ac:dyDescent="0.25">
      <c r="A331" s="400" t="s">
        <v>1897</v>
      </c>
      <c r="B331" s="401">
        <v>0.8</v>
      </c>
      <c r="C331" s="272">
        <v>0.68</v>
      </c>
      <c r="D331" s="402">
        <v>38377.68</v>
      </c>
    </row>
    <row r="332" spans="1:4" x14ac:dyDescent="0.25">
      <c r="A332" s="400" t="s">
        <v>1993</v>
      </c>
      <c r="B332" s="401">
        <v>3</v>
      </c>
      <c r="C332" s="272">
        <v>2.4000000000000004</v>
      </c>
      <c r="D332" s="402">
        <v>110470.20000000001</v>
      </c>
    </row>
    <row r="333" spans="1:4" x14ac:dyDescent="0.25">
      <c r="A333" s="400" t="s">
        <v>2202</v>
      </c>
      <c r="B333" s="401">
        <v>1</v>
      </c>
      <c r="C333" s="272">
        <v>0.8</v>
      </c>
      <c r="D333" s="402">
        <v>36823.4</v>
      </c>
    </row>
    <row r="334" spans="1:4" x14ac:dyDescent="0.25">
      <c r="A334" s="400" t="s">
        <v>2203</v>
      </c>
      <c r="B334" s="401">
        <v>1.75</v>
      </c>
      <c r="C334" s="272">
        <v>1.4000000000000001</v>
      </c>
      <c r="D334" s="402">
        <v>64440.95</v>
      </c>
    </row>
    <row r="335" spans="1:4" x14ac:dyDescent="0.25">
      <c r="A335" s="400" t="s">
        <v>1994</v>
      </c>
      <c r="B335" s="401">
        <v>1.5</v>
      </c>
      <c r="C335" s="272">
        <v>1.2000000000000002</v>
      </c>
      <c r="D335" s="402">
        <v>55235.100000000006</v>
      </c>
    </row>
    <row r="336" spans="1:4" x14ac:dyDescent="0.25">
      <c r="A336" s="400" t="s">
        <v>2204</v>
      </c>
      <c r="B336" s="401">
        <v>0.375</v>
      </c>
      <c r="C336" s="272">
        <v>0.30000000000000004</v>
      </c>
      <c r="D336" s="402">
        <v>13808.775000000001</v>
      </c>
    </row>
    <row r="337" spans="1:4" x14ac:dyDescent="0.25">
      <c r="A337" s="400" t="s">
        <v>2205</v>
      </c>
      <c r="B337" s="401">
        <v>0.25</v>
      </c>
      <c r="C337" s="272">
        <v>0.2</v>
      </c>
      <c r="D337" s="402">
        <v>9205.85</v>
      </c>
    </row>
    <row r="338" spans="1:4" x14ac:dyDescent="0.25">
      <c r="A338" s="400" t="s">
        <v>1995</v>
      </c>
      <c r="B338" s="401">
        <v>0.75</v>
      </c>
      <c r="C338" s="272">
        <v>0.60000000000000009</v>
      </c>
      <c r="D338" s="402">
        <v>27617.550000000003</v>
      </c>
    </row>
    <row r="339" spans="1:4" x14ac:dyDescent="0.25">
      <c r="A339" s="400" t="s">
        <v>1996</v>
      </c>
      <c r="B339" s="401">
        <v>1.5</v>
      </c>
      <c r="C339" s="272">
        <v>1.2000000000000002</v>
      </c>
      <c r="D339" s="402">
        <v>55235.100000000006</v>
      </c>
    </row>
    <row r="340" spans="1:4" x14ac:dyDescent="0.25">
      <c r="A340" s="400" t="s">
        <v>1997</v>
      </c>
      <c r="B340" s="401">
        <v>13.5</v>
      </c>
      <c r="C340" s="272">
        <v>11.475</v>
      </c>
      <c r="D340" s="402">
        <v>507762.67499999999</v>
      </c>
    </row>
    <row r="341" spans="1:4" x14ac:dyDescent="0.25">
      <c r="A341" s="400" t="s">
        <v>1998</v>
      </c>
      <c r="B341" s="401">
        <v>8.5</v>
      </c>
      <c r="C341" s="272">
        <v>7.2249999999999996</v>
      </c>
      <c r="D341" s="402">
        <v>319702.42499999999</v>
      </c>
    </row>
    <row r="342" spans="1:4" x14ac:dyDescent="0.25">
      <c r="A342" s="400" t="s">
        <v>1999</v>
      </c>
      <c r="B342" s="401">
        <v>3.5</v>
      </c>
      <c r="C342" s="272">
        <v>2.9750000000000001</v>
      </c>
      <c r="D342" s="402">
        <v>131642.17499999999</v>
      </c>
    </row>
    <row r="343" spans="1:4" x14ac:dyDescent="0.25">
      <c r="A343" s="400" t="s">
        <v>2131</v>
      </c>
      <c r="B343" s="401">
        <v>3.75</v>
      </c>
      <c r="C343" s="272">
        <v>3</v>
      </c>
      <c r="D343" s="402">
        <v>138087.75</v>
      </c>
    </row>
    <row r="344" spans="1:4" x14ac:dyDescent="0.25">
      <c r="A344" s="400" t="s">
        <v>2132</v>
      </c>
      <c r="B344" s="401">
        <v>4</v>
      </c>
      <c r="C344" s="272">
        <v>3.2</v>
      </c>
      <c r="D344" s="402">
        <v>147293.6</v>
      </c>
    </row>
    <row r="345" spans="1:4" x14ac:dyDescent="0.25">
      <c r="A345" s="400" t="s">
        <v>2154</v>
      </c>
      <c r="B345" s="401">
        <v>3</v>
      </c>
      <c r="C345" s="272">
        <v>2.4000000000000004</v>
      </c>
      <c r="D345" s="402">
        <v>110470.20000000001</v>
      </c>
    </row>
    <row r="346" spans="1:4" x14ac:dyDescent="0.25">
      <c r="A346" s="400" t="s">
        <v>148</v>
      </c>
      <c r="B346" s="401">
        <v>14.75</v>
      </c>
      <c r="C346" s="272">
        <v>12.5375</v>
      </c>
      <c r="D346" s="402">
        <v>668560.27</v>
      </c>
    </row>
    <row r="347" spans="1:4" x14ac:dyDescent="0.25">
      <c r="A347" s="400" t="s">
        <v>150</v>
      </c>
      <c r="B347" s="401">
        <v>6.25</v>
      </c>
      <c r="C347" s="272">
        <v>5.3125</v>
      </c>
      <c r="D347" s="402">
        <v>235075.3125</v>
      </c>
    </row>
    <row r="348" spans="1:4" x14ac:dyDescent="0.25">
      <c r="A348" s="400" t="s">
        <v>378</v>
      </c>
      <c r="B348" s="401">
        <v>6.8333300000000001</v>
      </c>
      <c r="C348" s="272">
        <v>5.8083305000000003</v>
      </c>
      <c r="D348" s="402">
        <v>257015.5496265</v>
      </c>
    </row>
    <row r="349" spans="1:4" x14ac:dyDescent="0.25">
      <c r="A349" s="400" t="s">
        <v>396</v>
      </c>
      <c r="B349" s="401">
        <v>18.25</v>
      </c>
      <c r="C349" s="272">
        <v>15.512499999999999</v>
      </c>
      <c r="D349" s="402">
        <v>897592.57874999987</v>
      </c>
    </row>
    <row r="350" spans="1:4" x14ac:dyDescent="0.25">
      <c r="A350" s="400" t="s">
        <v>892</v>
      </c>
      <c r="B350" s="401">
        <v>8.25</v>
      </c>
      <c r="C350" s="272">
        <v>7.0125000000000002</v>
      </c>
      <c r="D350" s="402">
        <v>310299.41249999998</v>
      </c>
    </row>
    <row r="351" spans="1:4" x14ac:dyDescent="0.25">
      <c r="A351" s="400" t="s">
        <v>894</v>
      </c>
      <c r="B351" s="401">
        <v>9.8333399999999997</v>
      </c>
      <c r="C351" s="272">
        <v>8.3583389999999991</v>
      </c>
      <c r="D351" s="402">
        <v>445707.14884079993</v>
      </c>
    </row>
    <row r="352" spans="1:4" x14ac:dyDescent="0.25">
      <c r="A352" s="400" t="s">
        <v>895</v>
      </c>
      <c r="B352" s="401">
        <v>12.29167</v>
      </c>
      <c r="C352" s="272">
        <v>10.447919499999999</v>
      </c>
      <c r="D352" s="402">
        <v>462314.90662349999</v>
      </c>
    </row>
    <row r="353" spans="1:4" x14ac:dyDescent="0.25">
      <c r="A353" s="400" t="s">
        <v>893</v>
      </c>
      <c r="B353" s="401">
        <v>7.5</v>
      </c>
      <c r="C353" s="272">
        <v>6.375</v>
      </c>
      <c r="D353" s="402">
        <v>513512.47499999998</v>
      </c>
    </row>
    <row r="354" spans="1:4" x14ac:dyDescent="0.25">
      <c r="A354" s="400" t="s">
        <v>891</v>
      </c>
      <c r="B354" s="401">
        <v>5.5</v>
      </c>
      <c r="C354" s="272">
        <v>4.6749999999999998</v>
      </c>
      <c r="D354" s="402">
        <v>206866.27499999999</v>
      </c>
    </row>
    <row r="355" spans="1:4" x14ac:dyDescent="0.25">
      <c r="A355" s="400" t="s">
        <v>933</v>
      </c>
      <c r="B355" s="401">
        <v>6.875</v>
      </c>
      <c r="C355" s="272">
        <v>5.5</v>
      </c>
      <c r="D355" s="402">
        <v>253160.875</v>
      </c>
    </row>
    <row r="356" spans="1:4" x14ac:dyDescent="0.25">
      <c r="A356" s="400" t="s">
        <v>934</v>
      </c>
      <c r="B356" s="401">
        <v>4</v>
      </c>
      <c r="C356" s="272">
        <v>3.2</v>
      </c>
      <c r="D356" s="402">
        <v>147293.6</v>
      </c>
    </row>
    <row r="357" spans="1:4" x14ac:dyDescent="0.25">
      <c r="A357" s="400" t="s">
        <v>935</v>
      </c>
      <c r="B357" s="401">
        <v>4.8333300000000001</v>
      </c>
      <c r="C357" s="272">
        <v>3.8666640000000001</v>
      </c>
      <c r="D357" s="402">
        <v>177979.64392200002</v>
      </c>
    </row>
    <row r="358" spans="1:4" x14ac:dyDescent="0.25">
      <c r="A358" s="400" t="s">
        <v>978</v>
      </c>
      <c r="B358" s="401">
        <v>3.875</v>
      </c>
      <c r="C358" s="272">
        <v>3.2937499999999997</v>
      </c>
      <c r="D358" s="402">
        <v>145746.69375000001</v>
      </c>
    </row>
    <row r="359" spans="1:4" x14ac:dyDescent="0.25">
      <c r="A359" s="400" t="s">
        <v>1343</v>
      </c>
      <c r="B359" s="401">
        <v>13</v>
      </c>
      <c r="C359" s="272">
        <v>11.049999999999999</v>
      </c>
      <c r="D359" s="402">
        <v>714593.19750000001</v>
      </c>
    </row>
    <row r="360" spans="1:4" x14ac:dyDescent="0.25">
      <c r="A360" s="400" t="s">
        <v>1604</v>
      </c>
      <c r="B360" s="401">
        <v>6.75</v>
      </c>
      <c r="C360" s="272">
        <v>5.7374999999999998</v>
      </c>
      <c r="D360" s="402">
        <v>253881.33749999999</v>
      </c>
    </row>
    <row r="361" spans="1:4" x14ac:dyDescent="0.25">
      <c r="A361" s="400" t="s">
        <v>568</v>
      </c>
      <c r="B361" s="401">
        <v>5.5</v>
      </c>
      <c r="C361" s="272">
        <v>4.4000000000000004</v>
      </c>
      <c r="D361" s="402">
        <v>380147.9</v>
      </c>
    </row>
    <row r="362" spans="1:4" x14ac:dyDescent="0.25">
      <c r="A362" s="400" t="s">
        <v>522</v>
      </c>
      <c r="B362" s="401">
        <v>1</v>
      </c>
      <c r="C362" s="272">
        <v>0.85</v>
      </c>
      <c r="D362" s="402">
        <v>70858.100000000006</v>
      </c>
    </row>
    <row r="363" spans="1:4" x14ac:dyDescent="0.25">
      <c r="A363" s="400" t="s">
        <v>649</v>
      </c>
      <c r="B363" s="401">
        <v>2.75</v>
      </c>
      <c r="C363" s="272">
        <v>2.2000000000000002</v>
      </c>
      <c r="D363" s="402">
        <v>190073.95</v>
      </c>
    </row>
    <row r="364" spans="1:4" x14ac:dyDescent="0.25">
      <c r="A364" s="400" t="s">
        <v>1125</v>
      </c>
      <c r="B364" s="401">
        <v>1</v>
      </c>
      <c r="C364" s="272">
        <v>0.8</v>
      </c>
      <c r="D364" s="402">
        <v>69117.8</v>
      </c>
    </row>
    <row r="365" spans="1:4" x14ac:dyDescent="0.25">
      <c r="A365" s="400" t="s">
        <v>2127</v>
      </c>
      <c r="B365" s="401">
        <v>6.75</v>
      </c>
      <c r="C365" s="272">
        <v>5.4</v>
      </c>
      <c r="D365" s="402">
        <v>466545.15</v>
      </c>
    </row>
    <row r="366" spans="1:4" x14ac:dyDescent="0.25">
      <c r="A366" s="400" t="s">
        <v>1750</v>
      </c>
      <c r="B366" s="401">
        <v>16.75</v>
      </c>
      <c r="C366" s="272">
        <v>13.4</v>
      </c>
      <c r="D366" s="402">
        <v>1157723.1499999999</v>
      </c>
    </row>
    <row r="367" spans="1:4" x14ac:dyDescent="0.25">
      <c r="A367" s="400" t="s">
        <v>1722</v>
      </c>
      <c r="B367" s="401">
        <v>1.5</v>
      </c>
      <c r="C367" s="272">
        <v>1.2000000000000002</v>
      </c>
      <c r="D367" s="402">
        <v>103676.70000000001</v>
      </c>
    </row>
    <row r="368" spans="1:4" x14ac:dyDescent="0.25">
      <c r="A368" s="400" t="s">
        <v>1721</v>
      </c>
      <c r="B368" s="401">
        <v>1.5</v>
      </c>
      <c r="C368" s="272">
        <v>1.2000000000000002</v>
      </c>
      <c r="D368" s="402">
        <v>103676.70000000001</v>
      </c>
    </row>
    <row r="369" spans="1:4" x14ac:dyDescent="0.25">
      <c r="A369" s="400" t="s">
        <v>1752</v>
      </c>
      <c r="B369" s="401">
        <v>1.375</v>
      </c>
      <c r="C369" s="272">
        <v>1.1000000000000001</v>
      </c>
      <c r="D369" s="402">
        <v>95036.975000000006</v>
      </c>
    </row>
    <row r="370" spans="1:4" x14ac:dyDescent="0.25">
      <c r="A370" s="400" t="s">
        <v>2129</v>
      </c>
      <c r="B370" s="401">
        <v>1.5</v>
      </c>
      <c r="C370" s="272">
        <v>1.2000000000000002</v>
      </c>
      <c r="D370" s="402">
        <v>55235.100000000006</v>
      </c>
    </row>
    <row r="371" spans="1:4" x14ac:dyDescent="0.25">
      <c r="A371" s="400" t="s">
        <v>1867</v>
      </c>
      <c r="B371" s="401">
        <v>2</v>
      </c>
      <c r="C371" s="272">
        <v>1.7</v>
      </c>
      <c r="D371" s="402">
        <v>141716.20000000001</v>
      </c>
    </row>
    <row r="372" spans="1:4" x14ac:dyDescent="0.25">
      <c r="A372" s="400" t="s">
        <v>2108</v>
      </c>
      <c r="B372" s="401">
        <v>1</v>
      </c>
      <c r="C372" s="272">
        <v>0.85</v>
      </c>
      <c r="D372" s="402">
        <v>70858.100000000006</v>
      </c>
    </row>
    <row r="373" spans="1:4" x14ac:dyDescent="0.25">
      <c r="A373" s="400" t="s">
        <v>2206</v>
      </c>
      <c r="B373" s="401">
        <v>1</v>
      </c>
      <c r="C373" s="272">
        <v>0.8</v>
      </c>
      <c r="D373" s="402">
        <v>69117.8</v>
      </c>
    </row>
    <row r="374" spans="1:4" x14ac:dyDescent="0.25">
      <c r="A374" s="400" t="s">
        <v>1048</v>
      </c>
      <c r="B374" s="401">
        <v>1</v>
      </c>
      <c r="C374" s="272">
        <v>0.82499999999999996</v>
      </c>
      <c r="D374" s="402">
        <v>37217.725000000006</v>
      </c>
    </row>
    <row r="375" spans="1:4" x14ac:dyDescent="0.25">
      <c r="A375" s="400" t="s">
        <v>1689</v>
      </c>
      <c r="B375" s="401">
        <v>0.125</v>
      </c>
      <c r="C375" s="272">
        <v>0.1</v>
      </c>
      <c r="D375" s="402">
        <v>4602.9250000000002</v>
      </c>
    </row>
    <row r="376" spans="1:4" x14ac:dyDescent="0.25">
      <c r="A376" s="400" t="s">
        <v>1899</v>
      </c>
      <c r="B376" s="401">
        <v>0.1</v>
      </c>
      <c r="C376" s="272">
        <v>8.5000000000000006E-2</v>
      </c>
      <c r="D376" s="402">
        <v>4797.21</v>
      </c>
    </row>
    <row r="377" spans="1:4" x14ac:dyDescent="0.25">
      <c r="A377" s="400" t="s">
        <v>63</v>
      </c>
      <c r="B377" s="401">
        <v>0.25</v>
      </c>
      <c r="C377" s="272">
        <v>0.21249999999999999</v>
      </c>
      <c r="D377" s="402">
        <v>13477.275</v>
      </c>
    </row>
    <row r="378" spans="1:4" x14ac:dyDescent="0.25">
      <c r="A378" s="403" t="s">
        <v>772</v>
      </c>
      <c r="B378" s="404">
        <v>1858.2500033333333</v>
      </c>
      <c r="C378" s="405">
        <v>1562.4341698333328</v>
      </c>
      <c r="D378" s="406">
        <v>100232255.19467176</v>
      </c>
    </row>
  </sheetData>
  <sheetProtection sheet="1" objects="1" scenarios="1"/>
  <printOptions horizontalCentered="1" gridLines="1"/>
  <pageMargins left="0.70866141732283472" right="0.70866141732283472" top="0.35433070866141736" bottom="0.35433070866141736" header="0.31496062992125984" footer="0.11811023622047245"/>
  <pageSetup paperSize="9" orientation="portrait" r:id="rId2"/>
  <headerFooter>
    <oddFooter>Sida &amp;P av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11"/>
  <sheetViews>
    <sheetView zoomScaleNormal="100" workbookViewId="0"/>
  </sheetViews>
  <sheetFormatPr defaultRowHeight="15" x14ac:dyDescent="0.25"/>
  <cols>
    <col min="1" max="1" width="17.5703125" customWidth="1"/>
    <col min="2" max="2" width="51.42578125" customWidth="1"/>
    <col min="3" max="3" width="29.42578125" customWidth="1"/>
    <col min="4" max="4" width="34.85546875" customWidth="1"/>
    <col min="5" max="5" width="10.85546875" bestFit="1" customWidth="1"/>
  </cols>
  <sheetData>
    <row r="3" spans="1:5" x14ac:dyDescent="0.25">
      <c r="A3" s="63" t="s">
        <v>59</v>
      </c>
      <c r="B3" s="63" t="s">
        <v>158</v>
      </c>
      <c r="C3" s="63" t="s">
        <v>2</v>
      </c>
      <c r="D3" s="63" t="s">
        <v>326</v>
      </c>
      <c r="E3" s="63" t="s">
        <v>10</v>
      </c>
    </row>
    <row r="4" spans="1:5" x14ac:dyDescent="0.25">
      <c r="A4" t="s">
        <v>1559</v>
      </c>
      <c r="B4" t="s">
        <v>1592</v>
      </c>
      <c r="C4" t="s">
        <v>11</v>
      </c>
      <c r="D4" t="s">
        <v>192</v>
      </c>
      <c r="E4" s="52">
        <v>0.2</v>
      </c>
    </row>
    <row r="5" spans="1:5" x14ac:dyDescent="0.25">
      <c r="D5" t="s">
        <v>1121</v>
      </c>
      <c r="E5" s="52">
        <v>0.2</v>
      </c>
    </row>
    <row r="6" spans="1:5" x14ac:dyDescent="0.25">
      <c r="A6" t="s">
        <v>2054</v>
      </c>
      <c r="B6" t="s">
        <v>1420</v>
      </c>
      <c r="C6" t="s">
        <v>11</v>
      </c>
      <c r="D6" t="s">
        <v>192</v>
      </c>
      <c r="E6" s="52">
        <v>0.1</v>
      </c>
    </row>
    <row r="7" spans="1:5" x14ac:dyDescent="0.25">
      <c r="D7" t="s">
        <v>1121</v>
      </c>
      <c r="E7" s="52">
        <v>0.1</v>
      </c>
    </row>
    <row r="8" spans="1:5" x14ac:dyDescent="0.25">
      <c r="A8" t="s">
        <v>2057</v>
      </c>
      <c r="B8" t="s">
        <v>2072</v>
      </c>
      <c r="C8" t="s">
        <v>172</v>
      </c>
      <c r="D8" t="s">
        <v>199</v>
      </c>
      <c r="E8" s="52">
        <v>0.25</v>
      </c>
    </row>
    <row r="9" spans="1:5" x14ac:dyDescent="0.25">
      <c r="A9" t="s">
        <v>1577</v>
      </c>
      <c r="B9" t="s">
        <v>1593</v>
      </c>
      <c r="C9" t="s">
        <v>192</v>
      </c>
      <c r="D9" t="s">
        <v>242</v>
      </c>
      <c r="E9" s="52">
        <v>0.25</v>
      </c>
    </row>
    <row r="10" spans="1:5" x14ac:dyDescent="0.25">
      <c r="D10" t="s">
        <v>205</v>
      </c>
      <c r="E10" s="52">
        <v>0.15</v>
      </c>
    </row>
    <row r="11" spans="1:5" x14ac:dyDescent="0.25">
      <c r="A11" t="s">
        <v>1821</v>
      </c>
      <c r="B11" t="s">
        <v>1831</v>
      </c>
      <c r="C11" t="s">
        <v>192</v>
      </c>
      <c r="D11" t="s">
        <v>813</v>
      </c>
      <c r="E11" s="52">
        <v>0.16666666666666666</v>
      </c>
    </row>
    <row r="12" spans="1:5" x14ac:dyDescent="0.25">
      <c r="A12" t="s">
        <v>586</v>
      </c>
      <c r="B12" t="s">
        <v>677</v>
      </c>
      <c r="C12" t="s">
        <v>192</v>
      </c>
      <c r="D12" t="s">
        <v>242</v>
      </c>
      <c r="E12" s="52">
        <v>0.25</v>
      </c>
    </row>
    <row r="13" spans="1:5" x14ac:dyDescent="0.25">
      <c r="A13" t="s">
        <v>1857</v>
      </c>
      <c r="B13" t="s">
        <v>1814</v>
      </c>
      <c r="C13" t="s">
        <v>2096</v>
      </c>
      <c r="D13" t="s">
        <v>164</v>
      </c>
      <c r="E13" s="52">
        <v>0.5</v>
      </c>
    </row>
    <row r="14" spans="1:5" x14ac:dyDescent="0.25">
      <c r="A14" t="s">
        <v>1934</v>
      </c>
      <c r="B14" t="s">
        <v>1817</v>
      </c>
      <c r="C14" t="s">
        <v>2096</v>
      </c>
      <c r="D14" t="s">
        <v>164</v>
      </c>
      <c r="E14" s="52">
        <v>0.5</v>
      </c>
    </row>
    <row r="15" spans="1:5" x14ac:dyDescent="0.25">
      <c r="A15" t="s">
        <v>1950</v>
      </c>
      <c r="B15" t="s">
        <v>1172</v>
      </c>
      <c r="C15" t="s">
        <v>176</v>
      </c>
      <c r="D15" t="s">
        <v>461</v>
      </c>
      <c r="E15" s="52">
        <v>0.5</v>
      </c>
    </row>
    <row r="16" spans="1:5" x14ac:dyDescent="0.25">
      <c r="A16" t="s">
        <v>470</v>
      </c>
      <c r="B16" t="s">
        <v>473</v>
      </c>
      <c r="C16" t="s">
        <v>172</v>
      </c>
      <c r="D16" t="s">
        <v>173</v>
      </c>
      <c r="E16" s="52">
        <v>0.5</v>
      </c>
    </row>
    <row r="17" spans="1:5" x14ac:dyDescent="0.25">
      <c r="A17" t="s">
        <v>471</v>
      </c>
      <c r="B17" t="s">
        <v>474</v>
      </c>
      <c r="C17" t="s">
        <v>172</v>
      </c>
      <c r="D17" t="s">
        <v>194</v>
      </c>
      <c r="E17" s="52">
        <v>0.2</v>
      </c>
    </row>
    <row r="18" spans="1:5" x14ac:dyDescent="0.25">
      <c r="D18" t="s">
        <v>200</v>
      </c>
      <c r="E18" s="52">
        <v>0.05</v>
      </c>
    </row>
    <row r="19" spans="1:5" x14ac:dyDescent="0.25">
      <c r="A19" t="s">
        <v>864</v>
      </c>
      <c r="B19" t="s">
        <v>1173</v>
      </c>
      <c r="C19" t="s">
        <v>172</v>
      </c>
      <c r="D19" t="s">
        <v>192</v>
      </c>
      <c r="E19" s="52">
        <v>0.5</v>
      </c>
    </row>
    <row r="20" spans="1:5" x14ac:dyDescent="0.25">
      <c r="D20" t="s">
        <v>2096</v>
      </c>
      <c r="E20" s="52">
        <v>0.16666666666666666</v>
      </c>
    </row>
    <row r="21" spans="1:5" x14ac:dyDescent="0.25">
      <c r="A21" t="s">
        <v>1143</v>
      </c>
      <c r="B21" t="s">
        <v>1129</v>
      </c>
      <c r="C21" t="s">
        <v>172</v>
      </c>
      <c r="D21" t="s">
        <v>192</v>
      </c>
      <c r="E21" s="52">
        <v>0.13333333333333333</v>
      </c>
    </row>
    <row r="22" spans="1:5" x14ac:dyDescent="0.25">
      <c r="D22" t="s">
        <v>200</v>
      </c>
      <c r="E22" s="52">
        <v>0.2</v>
      </c>
    </row>
    <row r="23" spans="1:5" x14ac:dyDescent="0.25">
      <c r="A23" t="s">
        <v>1145</v>
      </c>
      <c r="B23" t="s">
        <v>1130</v>
      </c>
      <c r="C23" t="s">
        <v>172</v>
      </c>
      <c r="D23" t="s">
        <v>173</v>
      </c>
      <c r="E23" s="52">
        <v>0.46666666666666667</v>
      </c>
    </row>
    <row r="24" spans="1:5" x14ac:dyDescent="0.25">
      <c r="A24" t="s">
        <v>819</v>
      </c>
      <c r="B24" t="s">
        <v>621</v>
      </c>
      <c r="C24" t="s">
        <v>176</v>
      </c>
      <c r="D24" t="s">
        <v>461</v>
      </c>
      <c r="E24" s="52">
        <v>0.33333333333333331</v>
      </c>
    </row>
    <row r="25" spans="1:5" x14ac:dyDescent="0.25">
      <c r="A25" t="s">
        <v>818</v>
      </c>
      <c r="B25" t="s">
        <v>620</v>
      </c>
      <c r="C25" t="s">
        <v>176</v>
      </c>
      <c r="D25" t="s">
        <v>461</v>
      </c>
      <c r="E25" s="52">
        <v>0.33333333333333331</v>
      </c>
    </row>
    <row r="26" spans="1:5" x14ac:dyDescent="0.25">
      <c r="A26" t="s">
        <v>1556</v>
      </c>
      <c r="B26" t="s">
        <v>1585</v>
      </c>
      <c r="C26" t="s">
        <v>176</v>
      </c>
      <c r="D26" t="s">
        <v>1121</v>
      </c>
      <c r="E26" s="52">
        <v>0.2</v>
      </c>
    </row>
    <row r="27" spans="1:5" x14ac:dyDescent="0.25">
      <c r="A27" t="s">
        <v>1661</v>
      </c>
      <c r="B27" t="s">
        <v>1662</v>
      </c>
      <c r="C27" t="s">
        <v>176</v>
      </c>
      <c r="D27" t="s">
        <v>1121</v>
      </c>
      <c r="E27" s="52">
        <v>0.33333333333333331</v>
      </c>
    </row>
    <row r="28" spans="1:5" x14ac:dyDescent="0.25">
      <c r="A28" t="s">
        <v>1451</v>
      </c>
      <c r="B28" t="s">
        <v>1452</v>
      </c>
      <c r="C28" t="s">
        <v>461</v>
      </c>
      <c r="D28" t="s">
        <v>166</v>
      </c>
      <c r="E28" s="52">
        <v>0.33333333333333331</v>
      </c>
    </row>
    <row r="29" spans="1:5" x14ac:dyDescent="0.25">
      <c r="A29" t="s">
        <v>1455</v>
      </c>
      <c r="B29" t="s">
        <v>1456</v>
      </c>
      <c r="C29" t="s">
        <v>461</v>
      </c>
      <c r="D29" t="s">
        <v>166</v>
      </c>
      <c r="E29" s="52">
        <v>0.33333333333333331</v>
      </c>
    </row>
    <row r="30" spans="1:5" x14ac:dyDescent="0.25">
      <c r="A30" t="s">
        <v>1457</v>
      </c>
      <c r="B30" t="s">
        <v>1458</v>
      </c>
      <c r="C30" t="s">
        <v>461</v>
      </c>
      <c r="D30" t="s">
        <v>166</v>
      </c>
      <c r="E30" s="52">
        <v>0.33333333333333331</v>
      </c>
    </row>
    <row r="31" spans="1:5" x14ac:dyDescent="0.25">
      <c r="A31" t="s">
        <v>1557</v>
      </c>
      <c r="B31" t="s">
        <v>1417</v>
      </c>
      <c r="C31" t="s">
        <v>461</v>
      </c>
      <c r="D31" t="s">
        <v>1121</v>
      </c>
      <c r="E31" s="52">
        <v>0.26666666666666666</v>
      </c>
    </row>
    <row r="32" spans="1:5" x14ac:dyDescent="0.25">
      <c r="A32" t="s">
        <v>1862</v>
      </c>
      <c r="B32" t="s">
        <v>1875</v>
      </c>
      <c r="C32" t="s">
        <v>461</v>
      </c>
      <c r="D32" t="s">
        <v>1121</v>
      </c>
      <c r="E32" s="52">
        <v>0.2</v>
      </c>
    </row>
    <row r="33" spans="1:5" x14ac:dyDescent="0.25">
      <c r="A33" t="s">
        <v>506</v>
      </c>
      <c r="B33" t="s">
        <v>555</v>
      </c>
      <c r="C33" t="s">
        <v>1121</v>
      </c>
      <c r="D33" t="s">
        <v>11</v>
      </c>
      <c r="E33" s="52">
        <v>0.4</v>
      </c>
    </row>
    <row r="34" spans="1:5" x14ac:dyDescent="0.25">
      <c r="A34" t="s">
        <v>826</v>
      </c>
      <c r="B34" t="s">
        <v>1194</v>
      </c>
      <c r="C34" t="s">
        <v>192</v>
      </c>
      <c r="D34" t="s">
        <v>1121</v>
      </c>
      <c r="E34" s="52">
        <v>0.4</v>
      </c>
    </row>
    <row r="35" spans="1:5" x14ac:dyDescent="0.25">
      <c r="A35" t="s">
        <v>911</v>
      </c>
      <c r="B35" t="s">
        <v>1249</v>
      </c>
      <c r="C35" t="s">
        <v>1121</v>
      </c>
      <c r="D35" t="s">
        <v>192</v>
      </c>
      <c r="E35" s="52">
        <v>0.4</v>
      </c>
    </row>
    <row r="36" spans="1:5" x14ac:dyDescent="0.25">
      <c r="A36" t="s">
        <v>912</v>
      </c>
      <c r="B36" t="s">
        <v>1250</v>
      </c>
      <c r="C36" t="s">
        <v>1121</v>
      </c>
      <c r="D36" t="s">
        <v>192</v>
      </c>
      <c r="E36" s="52">
        <v>0.4</v>
      </c>
    </row>
    <row r="37" spans="1:5" x14ac:dyDescent="0.25">
      <c r="A37" t="s">
        <v>1141</v>
      </c>
      <c r="B37" t="s">
        <v>1219</v>
      </c>
      <c r="C37" t="s">
        <v>1121</v>
      </c>
      <c r="D37" t="s">
        <v>197</v>
      </c>
      <c r="E37" s="52">
        <v>0.25</v>
      </c>
    </row>
    <row r="38" spans="1:5" x14ac:dyDescent="0.25">
      <c r="A38" t="s">
        <v>1279</v>
      </c>
      <c r="B38" t="s">
        <v>1284</v>
      </c>
      <c r="C38" t="s">
        <v>192</v>
      </c>
      <c r="D38" t="s">
        <v>197</v>
      </c>
      <c r="E38" s="52">
        <v>0.25</v>
      </c>
    </row>
    <row r="39" spans="1:5" x14ac:dyDescent="0.25">
      <c r="A39" t="s">
        <v>1277</v>
      </c>
      <c r="B39" t="s">
        <v>1283</v>
      </c>
      <c r="C39" t="s">
        <v>192</v>
      </c>
      <c r="D39" t="s">
        <v>194</v>
      </c>
      <c r="E39" s="52">
        <v>0.4</v>
      </c>
    </row>
    <row r="40" spans="1:5" x14ac:dyDescent="0.25">
      <c r="A40" t="s">
        <v>1435</v>
      </c>
      <c r="B40" t="s">
        <v>1415</v>
      </c>
      <c r="C40" t="s">
        <v>1121</v>
      </c>
      <c r="D40" t="s">
        <v>192</v>
      </c>
      <c r="E40" s="52">
        <v>0.2</v>
      </c>
    </row>
    <row r="41" spans="1:5" x14ac:dyDescent="0.25">
      <c r="A41" t="s">
        <v>1473</v>
      </c>
      <c r="B41" t="s">
        <v>1472</v>
      </c>
      <c r="C41" t="s">
        <v>192</v>
      </c>
      <c r="D41" t="s">
        <v>1121</v>
      </c>
      <c r="E41" s="52">
        <v>0.5</v>
      </c>
    </row>
    <row r="42" spans="1:5" x14ac:dyDescent="0.25">
      <c r="A42" t="s">
        <v>1529</v>
      </c>
      <c r="B42" t="s">
        <v>1544</v>
      </c>
      <c r="C42" t="s">
        <v>461</v>
      </c>
      <c r="D42" t="s">
        <v>192</v>
      </c>
      <c r="E42" s="52">
        <v>0.26666666666666666</v>
      </c>
    </row>
    <row r="43" spans="1:5" x14ac:dyDescent="0.25">
      <c r="D43" t="s">
        <v>1121</v>
      </c>
      <c r="E43" s="52">
        <v>0.26666666666666666</v>
      </c>
    </row>
    <row r="44" spans="1:5" x14ac:dyDescent="0.25">
      <c r="A44" t="s">
        <v>1605</v>
      </c>
      <c r="B44" t="s">
        <v>1606</v>
      </c>
      <c r="C44" t="s">
        <v>1121</v>
      </c>
      <c r="D44" t="s">
        <v>198</v>
      </c>
      <c r="E44" s="52">
        <v>0.2</v>
      </c>
    </row>
    <row r="45" spans="1:5" x14ac:dyDescent="0.25">
      <c r="A45" t="s">
        <v>1608</v>
      </c>
      <c r="B45" t="s">
        <v>1609</v>
      </c>
      <c r="C45" t="s">
        <v>1121</v>
      </c>
      <c r="D45" t="s">
        <v>192</v>
      </c>
      <c r="E45" s="52">
        <v>0.26666666666666666</v>
      </c>
    </row>
    <row r="46" spans="1:5" x14ac:dyDescent="0.25">
      <c r="A46" t="s">
        <v>1561</v>
      </c>
      <c r="B46" t="s">
        <v>1599</v>
      </c>
      <c r="C46" t="s">
        <v>1121</v>
      </c>
      <c r="D46" t="s">
        <v>194</v>
      </c>
      <c r="E46" s="52">
        <v>0.25</v>
      </c>
    </row>
    <row r="47" spans="1:5" x14ac:dyDescent="0.25">
      <c r="D47" t="s">
        <v>192</v>
      </c>
      <c r="E47" s="52">
        <v>0.125</v>
      </c>
    </row>
    <row r="48" spans="1:5" x14ac:dyDescent="0.25">
      <c r="A48" t="s">
        <v>1558</v>
      </c>
      <c r="B48" t="s">
        <v>1598</v>
      </c>
      <c r="C48" t="s">
        <v>1121</v>
      </c>
      <c r="D48" t="s">
        <v>194</v>
      </c>
      <c r="E48" s="52">
        <v>8.3333333333333329E-2</v>
      </c>
    </row>
    <row r="49" spans="1:5" x14ac:dyDescent="0.25">
      <c r="D49" t="s">
        <v>192</v>
      </c>
      <c r="E49" s="52">
        <v>0.41666666666666669</v>
      </c>
    </row>
    <row r="50" spans="1:5" x14ac:dyDescent="0.25">
      <c r="A50" t="s">
        <v>1550</v>
      </c>
      <c r="B50" t="s">
        <v>1551</v>
      </c>
      <c r="C50" t="s">
        <v>192</v>
      </c>
      <c r="D50" t="s">
        <v>194</v>
      </c>
      <c r="E50" s="52">
        <v>0.1</v>
      </c>
    </row>
    <row r="51" spans="1:5" x14ac:dyDescent="0.25">
      <c r="D51" t="s">
        <v>1121</v>
      </c>
      <c r="E51" s="52">
        <v>0.4</v>
      </c>
    </row>
    <row r="52" spans="1:5" x14ac:dyDescent="0.25">
      <c r="A52" t="s">
        <v>1637</v>
      </c>
      <c r="B52" t="s">
        <v>1658</v>
      </c>
      <c r="C52" t="s">
        <v>192</v>
      </c>
      <c r="D52" t="s">
        <v>194</v>
      </c>
      <c r="E52" s="52">
        <v>0.1</v>
      </c>
    </row>
    <row r="53" spans="1:5" x14ac:dyDescent="0.25">
      <c r="D53" t="s">
        <v>1121</v>
      </c>
      <c r="E53" s="52">
        <v>0.4</v>
      </c>
    </row>
    <row r="54" spans="1:5" x14ac:dyDescent="0.25">
      <c r="A54" t="s">
        <v>1567</v>
      </c>
      <c r="B54" t="s">
        <v>1600</v>
      </c>
      <c r="C54" t="s">
        <v>192</v>
      </c>
      <c r="D54" t="s">
        <v>194</v>
      </c>
      <c r="E54" s="52">
        <v>0.25</v>
      </c>
    </row>
    <row r="55" spans="1:5" x14ac:dyDescent="0.25">
      <c r="D55" t="s">
        <v>1121</v>
      </c>
      <c r="E55" s="52">
        <v>0.375</v>
      </c>
    </row>
    <row r="56" spans="1:5" x14ac:dyDescent="0.25">
      <c r="A56" t="s">
        <v>1568</v>
      </c>
      <c r="B56" t="s">
        <v>1601</v>
      </c>
      <c r="C56" t="s">
        <v>192</v>
      </c>
      <c r="D56" t="s">
        <v>194</v>
      </c>
      <c r="E56" s="52">
        <v>0.25</v>
      </c>
    </row>
    <row r="57" spans="1:5" x14ac:dyDescent="0.25">
      <c r="D57" t="s">
        <v>461</v>
      </c>
      <c r="E57" s="52">
        <v>0.375</v>
      </c>
    </row>
    <row r="58" spans="1:5" x14ac:dyDescent="0.25">
      <c r="A58" t="s">
        <v>1669</v>
      </c>
      <c r="B58" t="s">
        <v>1670</v>
      </c>
      <c r="C58" t="s">
        <v>192</v>
      </c>
      <c r="D58" t="s">
        <v>194</v>
      </c>
      <c r="E58" s="52">
        <v>0.25</v>
      </c>
    </row>
    <row r="59" spans="1:5" x14ac:dyDescent="0.25">
      <c r="D59" t="s">
        <v>461</v>
      </c>
      <c r="E59" s="52">
        <v>0.125</v>
      </c>
    </row>
    <row r="60" spans="1:5" x14ac:dyDescent="0.25">
      <c r="A60" t="s">
        <v>1610</v>
      </c>
      <c r="B60" t="s">
        <v>1611</v>
      </c>
      <c r="C60" t="s">
        <v>192</v>
      </c>
      <c r="D60" t="s">
        <v>1121</v>
      </c>
      <c r="E60" s="52">
        <v>0.26666666666666666</v>
      </c>
    </row>
    <row r="61" spans="1:5" x14ac:dyDescent="0.25">
      <c r="A61" t="s">
        <v>1563</v>
      </c>
      <c r="B61" t="s">
        <v>1421</v>
      </c>
      <c r="C61" t="s">
        <v>1121</v>
      </c>
      <c r="D61" t="s">
        <v>192</v>
      </c>
      <c r="E61" s="52">
        <v>0.2</v>
      </c>
    </row>
    <row r="62" spans="1:5" x14ac:dyDescent="0.25">
      <c r="A62" t="s">
        <v>1569</v>
      </c>
      <c r="B62" t="s">
        <v>1602</v>
      </c>
      <c r="C62" t="s">
        <v>461</v>
      </c>
      <c r="D62" t="s">
        <v>192</v>
      </c>
      <c r="E62" s="52">
        <v>0.22727272727272727</v>
      </c>
    </row>
    <row r="63" spans="1:5" x14ac:dyDescent="0.25">
      <c r="D63" t="s">
        <v>1121</v>
      </c>
      <c r="E63" s="52">
        <v>0.22727272727272727</v>
      </c>
    </row>
    <row r="64" spans="1:5" x14ac:dyDescent="0.25">
      <c r="D64" t="s">
        <v>197</v>
      </c>
      <c r="E64" s="52">
        <v>9.0909090909090912E-2</v>
      </c>
    </row>
    <row r="65" spans="1:5" x14ac:dyDescent="0.25">
      <c r="A65" t="s">
        <v>1560</v>
      </c>
      <c r="B65" t="s">
        <v>1603</v>
      </c>
      <c r="C65" t="s">
        <v>461</v>
      </c>
      <c r="D65" t="s">
        <v>1121</v>
      </c>
      <c r="E65" s="52">
        <v>0.3</v>
      </c>
    </row>
    <row r="66" spans="1:5" x14ac:dyDescent="0.25">
      <c r="D66" t="s">
        <v>197</v>
      </c>
      <c r="E66" s="52">
        <v>0.1</v>
      </c>
    </row>
    <row r="67" spans="1:5" x14ac:dyDescent="0.25">
      <c r="A67" t="s">
        <v>1686</v>
      </c>
      <c r="B67" t="s">
        <v>1687</v>
      </c>
      <c r="C67" t="s">
        <v>461</v>
      </c>
      <c r="D67" t="s">
        <v>192</v>
      </c>
      <c r="E67" s="52">
        <v>0.22727272727272727</v>
      </c>
    </row>
    <row r="68" spans="1:5" x14ac:dyDescent="0.25">
      <c r="D68" t="s">
        <v>1121</v>
      </c>
      <c r="E68" s="52">
        <v>0.22727272727272727</v>
      </c>
    </row>
    <row r="69" spans="1:5" x14ac:dyDescent="0.25">
      <c r="D69" t="s">
        <v>197</v>
      </c>
      <c r="E69" s="52">
        <v>9.0909090909090912E-2</v>
      </c>
    </row>
    <row r="70" spans="1:5" x14ac:dyDescent="0.25">
      <c r="A70" t="s">
        <v>1745</v>
      </c>
      <c r="B70" t="s">
        <v>1746</v>
      </c>
      <c r="C70" t="s">
        <v>461</v>
      </c>
      <c r="D70" t="s">
        <v>11</v>
      </c>
      <c r="E70" s="52">
        <v>0.26666666666666666</v>
      </c>
    </row>
    <row r="71" spans="1:5" x14ac:dyDescent="0.25">
      <c r="D71" t="s">
        <v>192</v>
      </c>
      <c r="E71" s="52">
        <v>0.2</v>
      </c>
    </row>
    <row r="72" spans="1:5" x14ac:dyDescent="0.25">
      <c r="D72" t="s">
        <v>1121</v>
      </c>
      <c r="E72" s="52">
        <v>0.2</v>
      </c>
    </row>
    <row r="73" spans="1:5" x14ac:dyDescent="0.25">
      <c r="A73" t="s">
        <v>1733</v>
      </c>
      <c r="B73" t="s">
        <v>1741</v>
      </c>
      <c r="C73" t="s">
        <v>461</v>
      </c>
      <c r="D73" t="s">
        <v>176</v>
      </c>
      <c r="E73" s="52">
        <v>0.35555555555555557</v>
      </c>
    </row>
    <row r="74" spans="1:5" x14ac:dyDescent="0.25">
      <c r="D74" t="s">
        <v>192</v>
      </c>
      <c r="E74" s="52">
        <v>0.13333333333333333</v>
      </c>
    </row>
    <row r="75" spans="1:5" x14ac:dyDescent="0.25">
      <c r="A75" t="s">
        <v>1732</v>
      </c>
      <c r="B75" t="s">
        <v>1740</v>
      </c>
      <c r="C75" t="s">
        <v>461</v>
      </c>
      <c r="D75" t="s">
        <v>176</v>
      </c>
      <c r="E75" s="52">
        <v>0.4</v>
      </c>
    </row>
    <row r="76" spans="1:5" x14ac:dyDescent="0.25">
      <c r="A76" t="s">
        <v>1863</v>
      </c>
      <c r="B76" t="s">
        <v>1419</v>
      </c>
      <c r="C76" t="s">
        <v>1121</v>
      </c>
      <c r="D76" t="s">
        <v>461</v>
      </c>
      <c r="E76" s="52">
        <v>0.13333333333333333</v>
      </c>
    </row>
    <row r="77" spans="1:5" x14ac:dyDescent="0.25">
      <c r="D77" t="s">
        <v>192</v>
      </c>
      <c r="E77" s="52">
        <v>0.3</v>
      </c>
    </row>
    <row r="78" spans="1:5" x14ac:dyDescent="0.25">
      <c r="A78" t="s">
        <v>1864</v>
      </c>
      <c r="B78" t="s">
        <v>1487</v>
      </c>
      <c r="C78" t="s">
        <v>1121</v>
      </c>
      <c r="D78" t="s">
        <v>192</v>
      </c>
      <c r="E78" s="52">
        <v>0.46666666666666667</v>
      </c>
    </row>
    <row r="79" spans="1:5" x14ac:dyDescent="0.25">
      <c r="A79" t="s">
        <v>1865</v>
      </c>
      <c r="B79" t="s">
        <v>1876</v>
      </c>
      <c r="C79" t="s">
        <v>1121</v>
      </c>
      <c r="D79" t="s">
        <v>192</v>
      </c>
      <c r="E79" s="52">
        <v>0.46666666666666667</v>
      </c>
    </row>
    <row r="80" spans="1:5" x14ac:dyDescent="0.25">
      <c r="A80" t="s">
        <v>1887</v>
      </c>
      <c r="B80" t="s">
        <v>1888</v>
      </c>
      <c r="C80" t="s">
        <v>461</v>
      </c>
      <c r="D80" t="s">
        <v>11</v>
      </c>
      <c r="E80" s="52">
        <v>0.16666666666666666</v>
      </c>
    </row>
    <row r="81" spans="1:5" x14ac:dyDescent="0.25">
      <c r="D81" t="s">
        <v>176</v>
      </c>
      <c r="E81" s="52">
        <v>0.41666666666666669</v>
      </c>
    </row>
    <row r="82" spans="1:5" x14ac:dyDescent="0.25">
      <c r="A82" t="s">
        <v>1885</v>
      </c>
      <c r="B82" t="s">
        <v>1212</v>
      </c>
      <c r="C82" t="s">
        <v>461</v>
      </c>
      <c r="D82" t="s">
        <v>176</v>
      </c>
      <c r="E82" s="52">
        <v>0.4</v>
      </c>
    </row>
    <row r="83" spans="1:5" x14ac:dyDescent="0.25">
      <c r="A83" t="s">
        <v>1886</v>
      </c>
      <c r="B83" t="s">
        <v>1213</v>
      </c>
      <c r="C83" t="s">
        <v>461</v>
      </c>
      <c r="D83" t="s">
        <v>176</v>
      </c>
      <c r="E83" s="52">
        <v>0.4</v>
      </c>
    </row>
    <row r="84" spans="1:5" x14ac:dyDescent="0.25">
      <c r="A84" t="s">
        <v>1889</v>
      </c>
      <c r="B84" t="s">
        <v>1286</v>
      </c>
      <c r="C84" t="s">
        <v>461</v>
      </c>
      <c r="D84" t="s">
        <v>11</v>
      </c>
      <c r="E84" s="52">
        <v>0.33333333333333331</v>
      </c>
    </row>
    <row r="85" spans="1:5" x14ac:dyDescent="0.25">
      <c r="D85" t="s">
        <v>176</v>
      </c>
      <c r="E85" s="52">
        <v>0.33333333333333331</v>
      </c>
    </row>
    <row r="86" spans="1:5" x14ac:dyDescent="0.25">
      <c r="A86" t="s">
        <v>2085</v>
      </c>
      <c r="B86" t="s">
        <v>2086</v>
      </c>
      <c r="C86" t="s">
        <v>461</v>
      </c>
      <c r="D86" t="s">
        <v>176</v>
      </c>
      <c r="E86" s="52">
        <v>0.46666666666666667</v>
      </c>
    </row>
    <row r="87" spans="1:5" x14ac:dyDescent="0.25">
      <c r="A87" t="s">
        <v>600</v>
      </c>
      <c r="B87" t="s">
        <v>725</v>
      </c>
      <c r="C87" t="s">
        <v>192</v>
      </c>
      <c r="D87" t="s">
        <v>1121</v>
      </c>
      <c r="E87" s="52">
        <v>0.4</v>
      </c>
    </row>
    <row r="88" spans="1:5" x14ac:dyDescent="0.25">
      <c r="A88" t="s">
        <v>1266</v>
      </c>
      <c r="B88" t="s">
        <v>1275</v>
      </c>
      <c r="C88" t="s">
        <v>176</v>
      </c>
      <c r="D88" t="s">
        <v>173</v>
      </c>
      <c r="E88" s="52">
        <v>0.5</v>
      </c>
    </row>
    <row r="89" spans="1:5" x14ac:dyDescent="0.25">
      <c r="A89" t="s">
        <v>512</v>
      </c>
      <c r="B89" t="s">
        <v>558</v>
      </c>
      <c r="C89" t="s">
        <v>198</v>
      </c>
      <c r="D89" t="s">
        <v>199</v>
      </c>
      <c r="E89" s="52">
        <v>0.16</v>
      </c>
    </row>
    <row r="90" spans="1:5" x14ac:dyDescent="0.25">
      <c r="D90" t="s">
        <v>196</v>
      </c>
      <c r="E90" s="52">
        <v>0.24000000000000002</v>
      </c>
    </row>
    <row r="91" spans="1:5" x14ac:dyDescent="0.25">
      <c r="D91" t="s">
        <v>192</v>
      </c>
      <c r="E91" s="52">
        <v>0.2</v>
      </c>
    </row>
    <row r="92" spans="1:5" x14ac:dyDescent="0.25">
      <c r="A92" t="s">
        <v>513</v>
      </c>
      <c r="B92" t="s">
        <v>559</v>
      </c>
      <c r="C92" t="s">
        <v>198</v>
      </c>
      <c r="D92" t="s">
        <v>192</v>
      </c>
      <c r="E92" s="52">
        <v>0.2</v>
      </c>
    </row>
    <row r="93" spans="1:5" x14ac:dyDescent="0.25">
      <c r="D93" t="s">
        <v>195</v>
      </c>
      <c r="E93" s="52">
        <v>0.4</v>
      </c>
    </row>
    <row r="94" spans="1:5" x14ac:dyDescent="0.25">
      <c r="A94" t="s">
        <v>603</v>
      </c>
      <c r="B94" t="s">
        <v>618</v>
      </c>
      <c r="C94" t="s">
        <v>198</v>
      </c>
      <c r="D94" t="s">
        <v>199</v>
      </c>
      <c r="E94" s="52">
        <v>0.18000000000000002</v>
      </c>
    </row>
    <row r="95" spans="1:5" x14ac:dyDescent="0.25">
      <c r="D95" t="s">
        <v>196</v>
      </c>
      <c r="E95" s="52">
        <v>0.26999999999999996</v>
      </c>
    </row>
    <row r="96" spans="1:5" x14ac:dyDescent="0.25">
      <c r="D96" t="s">
        <v>192</v>
      </c>
      <c r="E96" s="52">
        <v>0.05</v>
      </c>
    </row>
    <row r="97" spans="1:5" x14ac:dyDescent="0.25">
      <c r="A97" t="s">
        <v>1044</v>
      </c>
      <c r="B97" t="s">
        <v>1211</v>
      </c>
      <c r="C97" t="s">
        <v>198</v>
      </c>
      <c r="D97" t="s">
        <v>197</v>
      </c>
      <c r="E97" s="52">
        <v>0.5</v>
      </c>
    </row>
    <row r="98" spans="1:5" x14ac:dyDescent="0.25">
      <c r="A98" t="s">
        <v>1923</v>
      </c>
      <c r="B98" t="s">
        <v>1924</v>
      </c>
      <c r="C98" t="s">
        <v>192</v>
      </c>
      <c r="D98" t="s">
        <v>194</v>
      </c>
      <c r="E98" s="52">
        <v>0.2</v>
      </c>
    </row>
    <row r="99" spans="1:5" x14ac:dyDescent="0.25">
      <c r="D99" t="s">
        <v>176</v>
      </c>
      <c r="E99" s="52">
        <v>0.2</v>
      </c>
    </row>
    <row r="100" spans="1:5" x14ac:dyDescent="0.25">
      <c r="A100" t="s">
        <v>1926</v>
      </c>
      <c r="B100" t="s">
        <v>1927</v>
      </c>
      <c r="C100" t="s">
        <v>192</v>
      </c>
      <c r="D100" t="s">
        <v>194</v>
      </c>
      <c r="E100" s="52">
        <v>0.26666666666666666</v>
      </c>
    </row>
    <row r="101" spans="1:5" x14ac:dyDescent="0.25">
      <c r="D101" t="s">
        <v>1121</v>
      </c>
      <c r="E101" s="52">
        <v>0.26666666666666666</v>
      </c>
    </row>
    <row r="102" spans="1:5" x14ac:dyDescent="0.25">
      <c r="A102" t="s">
        <v>1925</v>
      </c>
      <c r="B102" t="s">
        <v>1928</v>
      </c>
      <c r="C102" t="s">
        <v>1121</v>
      </c>
      <c r="D102" t="s">
        <v>192</v>
      </c>
      <c r="E102" s="52">
        <v>0.33333333333333331</v>
      </c>
    </row>
    <row r="103" spans="1:5" x14ac:dyDescent="0.25">
      <c r="A103" t="s">
        <v>2047</v>
      </c>
      <c r="B103" t="s">
        <v>442</v>
      </c>
      <c r="C103" t="s">
        <v>192</v>
      </c>
      <c r="D103" t="s">
        <v>194</v>
      </c>
      <c r="E103" s="52">
        <v>0.5</v>
      </c>
    </row>
    <row r="104" spans="1:5" x14ac:dyDescent="0.25">
      <c r="A104" t="s">
        <v>516</v>
      </c>
      <c r="B104" t="s">
        <v>535</v>
      </c>
      <c r="C104" t="s">
        <v>176</v>
      </c>
      <c r="D104" t="s">
        <v>173</v>
      </c>
      <c r="E104" s="52">
        <v>0.5</v>
      </c>
    </row>
    <row r="105" spans="1:5" x14ac:dyDescent="0.25">
      <c r="A105" t="s">
        <v>521</v>
      </c>
      <c r="B105" t="s">
        <v>536</v>
      </c>
      <c r="C105" t="s">
        <v>176</v>
      </c>
      <c r="D105" t="s">
        <v>173</v>
      </c>
      <c r="E105" s="52">
        <v>0.5</v>
      </c>
    </row>
    <row r="106" spans="1:5" x14ac:dyDescent="0.25">
      <c r="A106" t="s">
        <v>606</v>
      </c>
      <c r="B106" t="s">
        <v>624</v>
      </c>
      <c r="C106" t="s">
        <v>176</v>
      </c>
      <c r="D106" t="s">
        <v>173</v>
      </c>
      <c r="E106" s="52">
        <v>0.5</v>
      </c>
    </row>
    <row r="107" spans="1:5" x14ac:dyDescent="0.25">
      <c r="A107" t="s">
        <v>935</v>
      </c>
      <c r="B107" t="s">
        <v>752</v>
      </c>
      <c r="C107" t="s">
        <v>1121</v>
      </c>
      <c r="D107" t="s">
        <v>192</v>
      </c>
      <c r="E107" s="52">
        <v>0.3</v>
      </c>
    </row>
    <row r="108" spans="1:5" x14ac:dyDescent="0.25">
      <c r="D108" t="s">
        <v>198</v>
      </c>
      <c r="E108" s="52">
        <v>0.7</v>
      </c>
    </row>
    <row r="109" spans="1:5" x14ac:dyDescent="0.25">
      <c r="A109" t="s">
        <v>1604</v>
      </c>
      <c r="B109" t="s">
        <v>1188</v>
      </c>
      <c r="C109" t="s">
        <v>1121</v>
      </c>
      <c r="D109" t="s">
        <v>192</v>
      </c>
      <c r="E109" s="52">
        <v>0.6</v>
      </c>
    </row>
    <row r="110" spans="1:5" x14ac:dyDescent="0.25">
      <c r="A110" t="s">
        <v>374</v>
      </c>
      <c r="B110" t="s">
        <v>374</v>
      </c>
      <c r="C110" t="s">
        <v>374</v>
      </c>
      <c r="D110" t="s">
        <v>374</v>
      </c>
      <c r="E110" s="52" t="s">
        <v>374</v>
      </c>
    </row>
    <row r="111" spans="1:5" x14ac:dyDescent="0.25">
      <c r="A111" t="s">
        <v>772</v>
      </c>
    </row>
  </sheetData>
  <sheetProtection sheet="1" objects="1" scenarios="1"/>
  <pageMargins left="0.70866141732283472" right="0.70866141732283472" top="0.74803149606299213" bottom="0.74803149606299213" header="0.31496062992125984" footer="0.31496062992125984"/>
  <pageSetup paperSize="9" scale="67" fitToHeight="2" orientation="landscape" r:id="rId2"/>
  <headerFooter>
    <oddFooter>&amp;L&amp;F&amp;R&amp;P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08"/>
  <sheetViews>
    <sheetView zoomScaleNormal="100" workbookViewId="0">
      <selection activeCell="A12" sqref="A12"/>
    </sheetView>
  </sheetViews>
  <sheetFormatPr defaultRowHeight="15" x14ac:dyDescent="0.25"/>
  <cols>
    <col min="1" max="1" width="73.140625" customWidth="1"/>
    <col min="2" max="2" width="15.5703125" customWidth="1"/>
    <col min="3" max="3" width="29.42578125" customWidth="1"/>
    <col min="4" max="4" width="34.85546875" customWidth="1"/>
    <col min="5" max="5" width="10.85546875" bestFit="1" customWidth="1"/>
  </cols>
  <sheetData>
    <row r="3" spans="1:5" x14ac:dyDescent="0.25">
      <c r="A3" s="63" t="s">
        <v>158</v>
      </c>
      <c r="B3" s="63" t="s">
        <v>59</v>
      </c>
      <c r="C3" s="63" t="s">
        <v>2</v>
      </c>
      <c r="D3" s="63" t="s">
        <v>326</v>
      </c>
      <c r="E3" s="63" t="s">
        <v>10</v>
      </c>
    </row>
    <row r="4" spans="1:5" x14ac:dyDescent="0.25">
      <c r="A4" t="s">
        <v>620</v>
      </c>
      <c r="B4" t="s">
        <v>818</v>
      </c>
      <c r="C4" t="s">
        <v>176</v>
      </c>
      <c r="D4" t="s">
        <v>461</v>
      </c>
      <c r="E4" s="218">
        <v>0.33333333333333331</v>
      </c>
    </row>
    <row r="5" spans="1:5" x14ac:dyDescent="0.25">
      <c r="A5" t="s">
        <v>621</v>
      </c>
      <c r="B5" t="s">
        <v>819</v>
      </c>
      <c r="C5" t="s">
        <v>176</v>
      </c>
      <c r="D5" t="s">
        <v>461</v>
      </c>
      <c r="E5" s="218">
        <v>0.33333333333333331</v>
      </c>
    </row>
    <row r="6" spans="1:5" x14ac:dyDescent="0.25">
      <c r="A6" t="s">
        <v>1286</v>
      </c>
      <c r="B6" t="s">
        <v>1889</v>
      </c>
      <c r="C6" t="s">
        <v>461</v>
      </c>
      <c r="D6" t="s">
        <v>11</v>
      </c>
      <c r="E6" s="218">
        <v>0.33333333333333331</v>
      </c>
    </row>
    <row r="7" spans="1:5" x14ac:dyDescent="0.25">
      <c r="D7" t="s">
        <v>176</v>
      </c>
      <c r="E7" s="218">
        <v>0.33333333333333331</v>
      </c>
    </row>
    <row r="8" spans="1:5" x14ac:dyDescent="0.25">
      <c r="A8" t="s">
        <v>1421</v>
      </c>
      <c r="B8" t="s">
        <v>1563</v>
      </c>
      <c r="C8" t="s">
        <v>1121</v>
      </c>
      <c r="D8" t="s">
        <v>192</v>
      </c>
      <c r="E8" s="218">
        <v>0.2</v>
      </c>
    </row>
    <row r="9" spans="1:5" x14ac:dyDescent="0.25">
      <c r="A9" t="s">
        <v>1415</v>
      </c>
      <c r="B9" t="s">
        <v>1435</v>
      </c>
      <c r="C9" t="s">
        <v>1121</v>
      </c>
      <c r="D9" t="s">
        <v>192</v>
      </c>
      <c r="E9" s="218">
        <v>0.2</v>
      </c>
    </row>
    <row r="10" spans="1:5" x14ac:dyDescent="0.25">
      <c r="A10" t="s">
        <v>1544</v>
      </c>
      <c r="B10" t="s">
        <v>1529</v>
      </c>
      <c r="C10" t="s">
        <v>461</v>
      </c>
      <c r="D10" t="s">
        <v>192</v>
      </c>
      <c r="E10" s="218">
        <v>0.26666666666666666</v>
      </c>
    </row>
    <row r="11" spans="1:5" x14ac:dyDescent="0.25">
      <c r="D11" t="s">
        <v>1121</v>
      </c>
      <c r="E11" s="218">
        <v>0.26666666666666666</v>
      </c>
    </row>
    <row r="12" spans="1:5" x14ac:dyDescent="0.25">
      <c r="A12" t="s">
        <v>1603</v>
      </c>
      <c r="B12" t="s">
        <v>1560</v>
      </c>
      <c r="C12" t="s">
        <v>461</v>
      </c>
      <c r="D12" t="s">
        <v>1121</v>
      </c>
      <c r="E12" s="218">
        <v>0.3</v>
      </c>
    </row>
    <row r="13" spans="1:5" x14ac:dyDescent="0.25">
      <c r="D13" t="s">
        <v>197</v>
      </c>
      <c r="E13" s="218">
        <v>0.1</v>
      </c>
    </row>
    <row r="14" spans="1:5" x14ac:dyDescent="0.25">
      <c r="A14" t="s">
        <v>1687</v>
      </c>
      <c r="B14" t="s">
        <v>1686</v>
      </c>
      <c r="C14" t="s">
        <v>461</v>
      </c>
      <c r="D14" t="s">
        <v>192</v>
      </c>
      <c r="E14" s="218">
        <v>0.22727272727272727</v>
      </c>
    </row>
    <row r="15" spans="1:5" x14ac:dyDescent="0.25">
      <c r="D15" t="s">
        <v>1121</v>
      </c>
      <c r="E15" s="218">
        <v>0.22727272727272727</v>
      </c>
    </row>
    <row r="16" spans="1:5" x14ac:dyDescent="0.25">
      <c r="D16" t="s">
        <v>197</v>
      </c>
      <c r="E16" s="218">
        <v>9.0909090909090912E-2</v>
      </c>
    </row>
    <row r="17" spans="1:5" x14ac:dyDescent="0.25">
      <c r="A17" t="s">
        <v>1602</v>
      </c>
      <c r="B17" t="s">
        <v>1569</v>
      </c>
      <c r="C17" t="s">
        <v>461</v>
      </c>
      <c r="D17" t="s">
        <v>192</v>
      </c>
      <c r="E17" s="218">
        <v>0.22727272727272727</v>
      </c>
    </row>
    <row r="18" spans="1:5" x14ac:dyDescent="0.25">
      <c r="D18" t="s">
        <v>1121</v>
      </c>
      <c r="E18" s="218">
        <v>0.22727272727272727</v>
      </c>
    </row>
    <row r="19" spans="1:5" x14ac:dyDescent="0.25">
      <c r="D19" t="s">
        <v>197</v>
      </c>
      <c r="E19" s="218">
        <v>9.0909090909090912E-2</v>
      </c>
    </row>
    <row r="20" spans="1:5" x14ac:dyDescent="0.25">
      <c r="A20" t="s">
        <v>1188</v>
      </c>
      <c r="B20" t="s">
        <v>1604</v>
      </c>
      <c r="C20" t="s">
        <v>1121</v>
      </c>
      <c r="D20" t="s">
        <v>192</v>
      </c>
      <c r="E20" s="218">
        <v>0.6</v>
      </c>
    </row>
    <row r="21" spans="1:5" x14ac:dyDescent="0.25">
      <c r="A21" t="s">
        <v>473</v>
      </c>
      <c r="B21" t="s">
        <v>470</v>
      </c>
      <c r="C21" t="s">
        <v>172</v>
      </c>
    </row>
    <row r="22" spans="1:5" x14ac:dyDescent="0.25">
      <c r="A22" t="s">
        <v>1609</v>
      </c>
      <c r="B22" t="s">
        <v>1608</v>
      </c>
      <c r="C22" t="s">
        <v>1121</v>
      </c>
      <c r="D22" t="s">
        <v>192</v>
      </c>
      <c r="E22" s="218">
        <v>0.26666666666666666</v>
      </c>
    </row>
    <row r="23" spans="1:5" x14ac:dyDescent="0.25">
      <c r="A23" t="s">
        <v>1611</v>
      </c>
      <c r="B23" t="s">
        <v>1610</v>
      </c>
      <c r="C23" t="s">
        <v>192</v>
      </c>
      <c r="D23" t="s">
        <v>1121</v>
      </c>
      <c r="E23" s="218">
        <v>0.26666666666666666</v>
      </c>
    </row>
    <row r="24" spans="1:5" x14ac:dyDescent="0.25">
      <c r="A24" t="s">
        <v>1130</v>
      </c>
      <c r="B24" t="s">
        <v>1145</v>
      </c>
      <c r="C24" t="s">
        <v>172</v>
      </c>
    </row>
    <row r="25" spans="1:5" x14ac:dyDescent="0.25">
      <c r="A25" t="s">
        <v>1275</v>
      </c>
      <c r="B25" t="s">
        <v>1266</v>
      </c>
      <c r="C25" t="s">
        <v>176</v>
      </c>
      <c r="D25" t="s">
        <v>173</v>
      </c>
      <c r="E25" s="218">
        <v>0.5</v>
      </c>
    </row>
    <row r="26" spans="1:5" x14ac:dyDescent="0.25">
      <c r="A26" t="s">
        <v>1219</v>
      </c>
      <c r="B26" t="s">
        <v>1141</v>
      </c>
      <c r="C26" t="s">
        <v>1121</v>
      </c>
      <c r="D26" t="s">
        <v>197</v>
      </c>
      <c r="E26" s="218">
        <v>0.25</v>
      </c>
    </row>
    <row r="27" spans="1:5" x14ac:dyDescent="0.25">
      <c r="A27" t="s">
        <v>1888</v>
      </c>
      <c r="B27" t="s">
        <v>1887</v>
      </c>
      <c r="C27" t="s">
        <v>461</v>
      </c>
      <c r="D27" t="s">
        <v>11</v>
      </c>
      <c r="E27" s="218">
        <v>0.16666666666666666</v>
      </c>
    </row>
    <row r="28" spans="1:5" x14ac:dyDescent="0.25">
      <c r="D28" t="s">
        <v>176</v>
      </c>
      <c r="E28" s="218">
        <v>0.41666666666666669</v>
      </c>
    </row>
    <row r="29" spans="1:5" x14ac:dyDescent="0.25">
      <c r="A29" t="s">
        <v>555</v>
      </c>
      <c r="B29" t="s">
        <v>506</v>
      </c>
      <c r="C29" t="s">
        <v>1121</v>
      </c>
      <c r="D29" t="s">
        <v>11</v>
      </c>
      <c r="E29" s="218">
        <v>0.4</v>
      </c>
    </row>
    <row r="30" spans="1:5" x14ac:dyDescent="0.25">
      <c r="A30" t="s">
        <v>2072</v>
      </c>
      <c r="B30" t="s">
        <v>2057</v>
      </c>
      <c r="C30" t="s">
        <v>172</v>
      </c>
    </row>
    <row r="31" spans="1:5" x14ac:dyDescent="0.25">
      <c r="A31" t="s">
        <v>1593</v>
      </c>
      <c r="B31" t="s">
        <v>1577</v>
      </c>
      <c r="C31" t="s">
        <v>192</v>
      </c>
      <c r="D31" t="s">
        <v>242</v>
      </c>
      <c r="E31" s="218">
        <v>0.25</v>
      </c>
    </row>
    <row r="32" spans="1:5" x14ac:dyDescent="0.25">
      <c r="D32" t="s">
        <v>205</v>
      </c>
      <c r="E32" s="218">
        <v>0.15</v>
      </c>
    </row>
    <row r="33" spans="1:5" x14ac:dyDescent="0.25">
      <c r="A33" t="s">
        <v>1831</v>
      </c>
      <c r="B33" t="s">
        <v>1821</v>
      </c>
      <c r="C33" t="s">
        <v>192</v>
      </c>
      <c r="D33" t="s">
        <v>813</v>
      </c>
      <c r="E33" s="218">
        <v>0.16666666666666666</v>
      </c>
    </row>
    <row r="34" spans="1:5" x14ac:dyDescent="0.25">
      <c r="A34" t="s">
        <v>677</v>
      </c>
      <c r="B34" t="s">
        <v>586</v>
      </c>
      <c r="C34" t="s">
        <v>192</v>
      </c>
      <c r="D34" t="s">
        <v>242</v>
      </c>
      <c r="E34" s="218">
        <v>0.25</v>
      </c>
    </row>
    <row r="35" spans="1:5" x14ac:dyDescent="0.25">
      <c r="A35" t="s">
        <v>1924</v>
      </c>
      <c r="B35" t="s">
        <v>1923</v>
      </c>
      <c r="C35" t="s">
        <v>192</v>
      </c>
      <c r="D35" t="s">
        <v>194</v>
      </c>
      <c r="E35" s="218">
        <v>0.2</v>
      </c>
    </row>
    <row r="36" spans="1:5" x14ac:dyDescent="0.25">
      <c r="D36" t="s">
        <v>176</v>
      </c>
      <c r="E36" s="218">
        <v>0.2</v>
      </c>
    </row>
    <row r="37" spans="1:5" x14ac:dyDescent="0.25">
      <c r="A37" t="s">
        <v>1814</v>
      </c>
      <c r="B37" t="s">
        <v>1857</v>
      </c>
      <c r="C37" t="s">
        <v>2096</v>
      </c>
      <c r="D37" t="s">
        <v>164</v>
      </c>
      <c r="E37" s="218">
        <v>0.5</v>
      </c>
    </row>
    <row r="38" spans="1:5" x14ac:dyDescent="0.25">
      <c r="A38" t="s">
        <v>1817</v>
      </c>
      <c r="B38" t="s">
        <v>1934</v>
      </c>
      <c r="C38" t="s">
        <v>2096</v>
      </c>
      <c r="D38" t="s">
        <v>164</v>
      </c>
      <c r="E38" s="218">
        <v>0.5</v>
      </c>
    </row>
    <row r="39" spans="1:5" x14ac:dyDescent="0.25">
      <c r="A39" t="s">
        <v>1662</v>
      </c>
      <c r="B39" t="s">
        <v>1661</v>
      </c>
      <c r="C39" t="s">
        <v>176</v>
      </c>
      <c r="D39" t="s">
        <v>1121</v>
      </c>
      <c r="E39" s="218">
        <v>0.33333333333333331</v>
      </c>
    </row>
    <row r="40" spans="1:5" x14ac:dyDescent="0.25">
      <c r="A40" t="s">
        <v>1746</v>
      </c>
      <c r="B40" t="s">
        <v>1745</v>
      </c>
      <c r="C40" t="s">
        <v>461</v>
      </c>
      <c r="D40" t="s">
        <v>11</v>
      </c>
      <c r="E40" s="218">
        <v>0.26666666666666666</v>
      </c>
    </row>
    <row r="41" spans="1:5" x14ac:dyDescent="0.25">
      <c r="D41" t="s">
        <v>192</v>
      </c>
      <c r="E41" s="218">
        <v>0.2</v>
      </c>
    </row>
    <row r="42" spans="1:5" x14ac:dyDescent="0.25">
      <c r="D42" t="s">
        <v>1121</v>
      </c>
      <c r="E42" s="218">
        <v>0.2</v>
      </c>
    </row>
    <row r="43" spans="1:5" x14ac:dyDescent="0.25">
      <c r="A43" t="s">
        <v>1194</v>
      </c>
      <c r="B43" t="s">
        <v>826</v>
      </c>
      <c r="C43" t="s">
        <v>192</v>
      </c>
      <c r="D43" t="s">
        <v>1121</v>
      </c>
      <c r="E43" s="218">
        <v>0.4</v>
      </c>
    </row>
    <row r="44" spans="1:5" x14ac:dyDescent="0.25">
      <c r="A44" t="s">
        <v>474</v>
      </c>
      <c r="B44" t="s">
        <v>471</v>
      </c>
      <c r="C44" t="s">
        <v>172</v>
      </c>
    </row>
    <row r="45" spans="1:5" x14ac:dyDescent="0.25">
      <c r="A45" t="s">
        <v>1129</v>
      </c>
      <c r="B45" t="s">
        <v>1143</v>
      </c>
      <c r="C45" t="s">
        <v>172</v>
      </c>
    </row>
    <row r="46" spans="1:5" x14ac:dyDescent="0.25">
      <c r="A46" t="s">
        <v>1283</v>
      </c>
      <c r="B46" t="s">
        <v>1277</v>
      </c>
      <c r="C46" t="s">
        <v>192</v>
      </c>
      <c r="D46" t="s">
        <v>194</v>
      </c>
      <c r="E46" s="218">
        <v>0.4</v>
      </c>
    </row>
    <row r="47" spans="1:5" x14ac:dyDescent="0.25">
      <c r="A47" t="s">
        <v>1741</v>
      </c>
      <c r="B47" t="s">
        <v>1733</v>
      </c>
      <c r="C47" t="s">
        <v>461</v>
      </c>
      <c r="D47" t="s">
        <v>176</v>
      </c>
      <c r="E47" s="218">
        <v>0.35555555555555557</v>
      </c>
    </row>
    <row r="48" spans="1:5" x14ac:dyDescent="0.25">
      <c r="D48" t="s">
        <v>192</v>
      </c>
      <c r="E48" s="218">
        <v>0.13333333333333333</v>
      </c>
    </row>
    <row r="49" spans="1:5" x14ac:dyDescent="0.25">
      <c r="A49" t="s">
        <v>1740</v>
      </c>
      <c r="B49" t="s">
        <v>1732</v>
      </c>
      <c r="C49" t="s">
        <v>461</v>
      </c>
      <c r="D49" t="s">
        <v>176</v>
      </c>
      <c r="E49" s="218">
        <v>0.4</v>
      </c>
    </row>
    <row r="50" spans="1:5" x14ac:dyDescent="0.25">
      <c r="A50" t="s">
        <v>1456</v>
      </c>
      <c r="B50" t="s">
        <v>1455</v>
      </c>
      <c r="C50" t="s">
        <v>461</v>
      </c>
      <c r="D50" t="s">
        <v>166</v>
      </c>
      <c r="E50" s="218">
        <v>0.33333333333333331</v>
      </c>
    </row>
    <row r="51" spans="1:5" x14ac:dyDescent="0.25">
      <c r="A51" t="s">
        <v>1452</v>
      </c>
      <c r="B51" t="s">
        <v>1451</v>
      </c>
      <c r="C51" t="s">
        <v>461</v>
      </c>
      <c r="D51" t="s">
        <v>166</v>
      </c>
      <c r="E51" s="218">
        <v>0.33333333333333331</v>
      </c>
    </row>
    <row r="52" spans="1:5" x14ac:dyDescent="0.25">
      <c r="A52" t="s">
        <v>1458</v>
      </c>
      <c r="B52" t="s">
        <v>1457</v>
      </c>
      <c r="C52" t="s">
        <v>461</v>
      </c>
      <c r="D52" t="s">
        <v>166</v>
      </c>
      <c r="E52" s="218">
        <v>0.33333333333333331</v>
      </c>
    </row>
    <row r="53" spans="1:5" x14ac:dyDescent="0.25">
      <c r="A53" t="s">
        <v>1417</v>
      </c>
      <c r="B53" t="s">
        <v>1557</v>
      </c>
      <c r="C53" t="s">
        <v>461</v>
      </c>
      <c r="D53" t="s">
        <v>1121</v>
      </c>
      <c r="E53" s="218">
        <v>0.26666666666666666</v>
      </c>
    </row>
    <row r="54" spans="1:5" x14ac:dyDescent="0.25">
      <c r="A54" t="s">
        <v>1875</v>
      </c>
      <c r="B54" t="s">
        <v>1862</v>
      </c>
      <c r="C54" t="s">
        <v>461</v>
      </c>
      <c r="D54" t="s">
        <v>1121</v>
      </c>
      <c r="E54" s="218">
        <v>0.2</v>
      </c>
    </row>
    <row r="55" spans="1:5" x14ac:dyDescent="0.25">
      <c r="A55" t="s">
        <v>1927</v>
      </c>
      <c r="B55" t="s">
        <v>1926</v>
      </c>
      <c r="C55" t="s">
        <v>192</v>
      </c>
      <c r="D55" t="s">
        <v>194</v>
      </c>
      <c r="E55" s="218">
        <v>0.26666666666666666</v>
      </c>
    </row>
    <row r="56" spans="1:5" x14ac:dyDescent="0.25">
      <c r="D56" t="s">
        <v>1121</v>
      </c>
      <c r="E56" s="218">
        <v>0.26666666666666666</v>
      </c>
    </row>
    <row r="57" spans="1:5" x14ac:dyDescent="0.25">
      <c r="A57" t="s">
        <v>725</v>
      </c>
      <c r="B57" t="s">
        <v>600</v>
      </c>
      <c r="C57" t="s">
        <v>192</v>
      </c>
      <c r="D57" t="s">
        <v>1121</v>
      </c>
      <c r="E57" s="218">
        <v>0.4</v>
      </c>
    </row>
    <row r="58" spans="1:5" x14ac:dyDescent="0.25">
      <c r="A58" t="s">
        <v>1211</v>
      </c>
      <c r="B58" t="s">
        <v>1044</v>
      </c>
      <c r="C58" t="s">
        <v>198</v>
      </c>
      <c r="D58" t="s">
        <v>197</v>
      </c>
      <c r="E58" s="218">
        <v>0.5</v>
      </c>
    </row>
    <row r="59" spans="1:5" x14ac:dyDescent="0.25">
      <c r="A59" t="s">
        <v>1213</v>
      </c>
      <c r="B59" t="s">
        <v>1886</v>
      </c>
      <c r="C59" t="s">
        <v>461</v>
      </c>
      <c r="D59" t="s">
        <v>176</v>
      </c>
      <c r="E59" s="218">
        <v>0.4</v>
      </c>
    </row>
    <row r="60" spans="1:5" x14ac:dyDescent="0.25">
      <c r="A60" t="s">
        <v>1876</v>
      </c>
      <c r="B60" t="s">
        <v>1865</v>
      </c>
      <c r="C60" t="s">
        <v>1121</v>
      </c>
      <c r="D60" t="s">
        <v>192</v>
      </c>
      <c r="E60" s="218">
        <v>0.46666666666666667</v>
      </c>
    </row>
    <row r="61" spans="1:5" x14ac:dyDescent="0.25">
      <c r="A61" t="s">
        <v>1487</v>
      </c>
      <c r="B61" t="s">
        <v>1864</v>
      </c>
      <c r="C61" t="s">
        <v>1121</v>
      </c>
      <c r="D61" t="s">
        <v>192</v>
      </c>
      <c r="E61" s="218">
        <v>0.46666666666666667</v>
      </c>
    </row>
    <row r="62" spans="1:5" x14ac:dyDescent="0.25">
      <c r="A62" t="s">
        <v>1250</v>
      </c>
      <c r="B62" t="s">
        <v>912</v>
      </c>
      <c r="C62" t="s">
        <v>1121</v>
      </c>
      <c r="D62" t="s">
        <v>192</v>
      </c>
      <c r="E62" s="218">
        <v>0.4</v>
      </c>
    </row>
    <row r="63" spans="1:5" x14ac:dyDescent="0.25">
      <c r="A63" t="s">
        <v>1212</v>
      </c>
      <c r="B63" t="s">
        <v>1885</v>
      </c>
      <c r="C63" t="s">
        <v>461</v>
      </c>
      <c r="D63" t="s">
        <v>176</v>
      </c>
      <c r="E63" s="218">
        <v>0.4</v>
      </c>
    </row>
    <row r="64" spans="1:5" x14ac:dyDescent="0.25">
      <c r="A64" t="s">
        <v>558</v>
      </c>
      <c r="B64" t="s">
        <v>512</v>
      </c>
      <c r="C64" t="s">
        <v>198</v>
      </c>
      <c r="D64" t="s">
        <v>199</v>
      </c>
      <c r="E64" s="218">
        <v>0.16</v>
      </c>
    </row>
    <row r="65" spans="1:5" x14ac:dyDescent="0.25">
      <c r="D65" t="s">
        <v>196</v>
      </c>
      <c r="E65" s="218">
        <v>0.24000000000000002</v>
      </c>
    </row>
    <row r="66" spans="1:5" x14ac:dyDescent="0.25">
      <c r="D66" t="s">
        <v>192</v>
      </c>
      <c r="E66" s="218">
        <v>0.2</v>
      </c>
    </row>
    <row r="67" spans="1:5" x14ac:dyDescent="0.25">
      <c r="A67" t="s">
        <v>559</v>
      </c>
      <c r="B67" t="s">
        <v>513</v>
      </c>
      <c r="C67" t="s">
        <v>198</v>
      </c>
      <c r="D67" t="s">
        <v>192</v>
      </c>
      <c r="E67" s="218">
        <v>0.2</v>
      </c>
    </row>
    <row r="68" spans="1:5" x14ac:dyDescent="0.25">
      <c r="D68" t="s">
        <v>195</v>
      </c>
      <c r="E68" s="218">
        <v>0.4</v>
      </c>
    </row>
    <row r="69" spans="1:5" x14ac:dyDescent="0.25">
      <c r="A69" t="s">
        <v>618</v>
      </c>
      <c r="B69" t="s">
        <v>603</v>
      </c>
      <c r="C69" t="s">
        <v>198</v>
      </c>
      <c r="D69" t="s">
        <v>199</v>
      </c>
      <c r="E69" s="218">
        <v>0.18000000000000002</v>
      </c>
    </row>
    <row r="70" spans="1:5" x14ac:dyDescent="0.25">
      <c r="D70" t="s">
        <v>196</v>
      </c>
      <c r="E70" s="218">
        <v>0.26999999999999996</v>
      </c>
    </row>
    <row r="71" spans="1:5" x14ac:dyDescent="0.25">
      <c r="D71" t="s">
        <v>192</v>
      </c>
      <c r="E71" s="218">
        <v>0.05</v>
      </c>
    </row>
    <row r="72" spans="1:5" x14ac:dyDescent="0.25">
      <c r="A72" t="s">
        <v>1419</v>
      </c>
      <c r="B72" t="s">
        <v>1863</v>
      </c>
      <c r="C72" t="s">
        <v>1121</v>
      </c>
      <c r="D72" t="s">
        <v>461</v>
      </c>
      <c r="E72" s="218">
        <v>0.13333333333333333</v>
      </c>
    </row>
    <row r="73" spans="1:5" x14ac:dyDescent="0.25">
      <c r="D73" t="s">
        <v>192</v>
      </c>
      <c r="E73" s="218">
        <v>0.3</v>
      </c>
    </row>
    <row r="74" spans="1:5" x14ac:dyDescent="0.25">
      <c r="A74" t="s">
        <v>1173</v>
      </c>
      <c r="B74" t="s">
        <v>864</v>
      </c>
      <c r="C74" t="s">
        <v>172</v>
      </c>
    </row>
    <row r="75" spans="1:5" x14ac:dyDescent="0.25">
      <c r="A75" t="s">
        <v>752</v>
      </c>
      <c r="B75" t="s">
        <v>935</v>
      </c>
      <c r="C75" t="s">
        <v>1121</v>
      </c>
      <c r="D75" t="s">
        <v>192</v>
      </c>
      <c r="E75" s="218">
        <v>0.3</v>
      </c>
    </row>
    <row r="76" spans="1:5" x14ac:dyDescent="0.25">
      <c r="D76" t="s">
        <v>198</v>
      </c>
      <c r="E76" s="218">
        <v>0.7</v>
      </c>
    </row>
    <row r="77" spans="1:5" x14ac:dyDescent="0.25">
      <c r="A77" t="s">
        <v>1592</v>
      </c>
      <c r="B77" t="s">
        <v>1559</v>
      </c>
      <c r="C77" t="s">
        <v>11</v>
      </c>
      <c r="D77" t="s">
        <v>192</v>
      </c>
      <c r="E77" s="218">
        <v>0.2</v>
      </c>
    </row>
    <row r="78" spans="1:5" x14ac:dyDescent="0.25">
      <c r="D78" t="s">
        <v>1121</v>
      </c>
      <c r="E78" s="218">
        <v>0.2</v>
      </c>
    </row>
    <row r="79" spans="1:5" x14ac:dyDescent="0.25">
      <c r="A79" t="s">
        <v>1420</v>
      </c>
      <c r="B79" t="s">
        <v>2054</v>
      </c>
      <c r="C79" t="s">
        <v>11</v>
      </c>
      <c r="D79" t="s">
        <v>192</v>
      </c>
      <c r="E79" s="218">
        <v>0.1</v>
      </c>
    </row>
    <row r="80" spans="1:5" x14ac:dyDescent="0.25">
      <c r="D80" t="s">
        <v>1121</v>
      </c>
      <c r="E80" s="218">
        <v>0.1</v>
      </c>
    </row>
    <row r="81" spans="1:5" x14ac:dyDescent="0.25">
      <c r="A81" t="s">
        <v>1928</v>
      </c>
      <c r="B81" t="s">
        <v>1925</v>
      </c>
      <c r="C81" t="s">
        <v>1121</v>
      </c>
      <c r="D81" t="s">
        <v>192</v>
      </c>
      <c r="E81" s="218">
        <v>0.33333333333333331</v>
      </c>
    </row>
    <row r="82" spans="1:5" x14ac:dyDescent="0.25">
      <c r="A82" t="s">
        <v>1658</v>
      </c>
      <c r="B82" t="s">
        <v>1637</v>
      </c>
      <c r="C82" t="s">
        <v>192</v>
      </c>
      <c r="D82" t="s">
        <v>194</v>
      </c>
      <c r="E82" s="218">
        <v>0.1</v>
      </c>
    </row>
    <row r="83" spans="1:5" x14ac:dyDescent="0.25">
      <c r="D83" t="s">
        <v>1121</v>
      </c>
      <c r="E83" s="218">
        <v>0.4</v>
      </c>
    </row>
    <row r="84" spans="1:5" x14ac:dyDescent="0.25">
      <c r="A84" t="s">
        <v>1598</v>
      </c>
      <c r="B84" t="s">
        <v>1558</v>
      </c>
      <c r="C84" t="s">
        <v>1121</v>
      </c>
      <c r="D84" t="s">
        <v>194</v>
      </c>
      <c r="E84" s="218">
        <v>8.3333333333333329E-2</v>
      </c>
    </row>
    <row r="85" spans="1:5" x14ac:dyDescent="0.25">
      <c r="D85" t="s">
        <v>192</v>
      </c>
      <c r="E85" s="218">
        <v>0.41666666666666669</v>
      </c>
    </row>
    <row r="86" spans="1:5" x14ac:dyDescent="0.25">
      <c r="A86" t="s">
        <v>1551</v>
      </c>
      <c r="B86" t="s">
        <v>1550</v>
      </c>
      <c r="C86" t="s">
        <v>192</v>
      </c>
      <c r="D86" t="s">
        <v>194</v>
      </c>
      <c r="E86" s="218">
        <v>0.1</v>
      </c>
    </row>
    <row r="87" spans="1:5" x14ac:dyDescent="0.25">
      <c r="D87" t="s">
        <v>1121</v>
      </c>
      <c r="E87" s="218">
        <v>0.4</v>
      </c>
    </row>
    <row r="88" spans="1:5" x14ac:dyDescent="0.25">
      <c r="A88" t="s">
        <v>1172</v>
      </c>
      <c r="B88" t="s">
        <v>1950</v>
      </c>
      <c r="C88" t="s">
        <v>176</v>
      </c>
      <c r="D88" t="s">
        <v>461</v>
      </c>
      <c r="E88" s="218">
        <v>0.5</v>
      </c>
    </row>
    <row r="89" spans="1:5" x14ac:dyDescent="0.25">
      <c r="A89" t="s">
        <v>2086</v>
      </c>
      <c r="B89" t="s">
        <v>2085</v>
      </c>
      <c r="C89" t="s">
        <v>461</v>
      </c>
      <c r="D89" t="s">
        <v>176</v>
      </c>
      <c r="E89" s="218">
        <v>0.46666666666666667</v>
      </c>
    </row>
    <row r="90" spans="1:5" x14ac:dyDescent="0.25">
      <c r="A90" t="s">
        <v>1585</v>
      </c>
      <c r="B90" t="s">
        <v>1556</v>
      </c>
      <c r="C90" t="s">
        <v>176</v>
      </c>
      <c r="D90" t="s">
        <v>1121</v>
      </c>
      <c r="E90" s="218">
        <v>0.2</v>
      </c>
    </row>
    <row r="91" spans="1:5" x14ac:dyDescent="0.25">
      <c r="A91" t="s">
        <v>535</v>
      </c>
      <c r="B91" t="s">
        <v>516</v>
      </c>
      <c r="C91" t="s">
        <v>176</v>
      </c>
      <c r="D91" t="s">
        <v>173</v>
      </c>
      <c r="E91" s="218">
        <v>0.5</v>
      </c>
    </row>
    <row r="92" spans="1:5" x14ac:dyDescent="0.25">
      <c r="A92" t="s">
        <v>536</v>
      </c>
      <c r="B92" t="s">
        <v>521</v>
      </c>
      <c r="C92" t="s">
        <v>176</v>
      </c>
      <c r="D92" t="s">
        <v>173</v>
      </c>
      <c r="E92" s="218">
        <v>0.5</v>
      </c>
    </row>
    <row r="93" spans="1:5" x14ac:dyDescent="0.25">
      <c r="A93" t="s">
        <v>624</v>
      </c>
      <c r="B93" t="s">
        <v>606</v>
      </c>
      <c r="C93" t="s">
        <v>176</v>
      </c>
      <c r="D93" t="s">
        <v>173</v>
      </c>
      <c r="E93" s="218">
        <v>0.5</v>
      </c>
    </row>
    <row r="94" spans="1:5" x14ac:dyDescent="0.25">
      <c r="A94" t="s">
        <v>1606</v>
      </c>
      <c r="B94" t="s">
        <v>1605</v>
      </c>
      <c r="C94" t="s">
        <v>1121</v>
      </c>
      <c r="D94" t="s">
        <v>198</v>
      </c>
      <c r="E94" s="218">
        <v>0.2</v>
      </c>
    </row>
    <row r="95" spans="1:5" x14ac:dyDescent="0.25">
      <c r="A95" t="s">
        <v>1670</v>
      </c>
      <c r="B95" t="s">
        <v>1669</v>
      </c>
      <c r="C95" t="s">
        <v>192</v>
      </c>
      <c r="D95" t="s">
        <v>194</v>
      </c>
      <c r="E95" s="218">
        <v>0.25</v>
      </c>
    </row>
    <row r="96" spans="1:5" x14ac:dyDescent="0.25">
      <c r="D96" t="s">
        <v>461</v>
      </c>
      <c r="E96" s="218">
        <v>0.125</v>
      </c>
    </row>
    <row r="97" spans="1:5" x14ac:dyDescent="0.25">
      <c r="A97" t="s">
        <v>1599</v>
      </c>
      <c r="B97" t="s">
        <v>1561</v>
      </c>
      <c r="C97" t="s">
        <v>1121</v>
      </c>
      <c r="D97" t="s">
        <v>194</v>
      </c>
      <c r="E97" s="218">
        <v>0.25</v>
      </c>
    </row>
    <row r="98" spans="1:5" x14ac:dyDescent="0.25">
      <c r="D98" t="s">
        <v>192</v>
      </c>
      <c r="E98" s="218">
        <v>0.125</v>
      </c>
    </row>
    <row r="99" spans="1:5" x14ac:dyDescent="0.25">
      <c r="A99" t="s">
        <v>1600</v>
      </c>
      <c r="B99" t="s">
        <v>1567</v>
      </c>
      <c r="C99" t="s">
        <v>192</v>
      </c>
      <c r="D99" t="s">
        <v>194</v>
      </c>
      <c r="E99" s="218">
        <v>0.25</v>
      </c>
    </row>
    <row r="100" spans="1:5" x14ac:dyDescent="0.25">
      <c r="D100" t="s">
        <v>1121</v>
      </c>
      <c r="E100" s="218">
        <v>0.375</v>
      </c>
    </row>
    <row r="101" spans="1:5" x14ac:dyDescent="0.25">
      <c r="A101" t="s">
        <v>1601</v>
      </c>
      <c r="B101" t="s">
        <v>1568</v>
      </c>
      <c r="C101" t="s">
        <v>192</v>
      </c>
      <c r="D101" t="s">
        <v>194</v>
      </c>
      <c r="E101" s="218">
        <v>0.25</v>
      </c>
    </row>
    <row r="102" spans="1:5" x14ac:dyDescent="0.25">
      <c r="D102" t="s">
        <v>461</v>
      </c>
      <c r="E102" s="218">
        <v>0.375</v>
      </c>
    </row>
    <row r="103" spans="1:5" x14ac:dyDescent="0.25">
      <c r="A103" t="s">
        <v>442</v>
      </c>
      <c r="B103" t="s">
        <v>2047</v>
      </c>
      <c r="C103" t="s">
        <v>192</v>
      </c>
      <c r="D103" t="s">
        <v>194</v>
      </c>
      <c r="E103" s="218">
        <v>0.5</v>
      </c>
    </row>
    <row r="104" spans="1:5" x14ac:dyDescent="0.25">
      <c r="A104" t="s">
        <v>1472</v>
      </c>
      <c r="B104" t="s">
        <v>1473</v>
      </c>
      <c r="C104" t="s">
        <v>192</v>
      </c>
      <c r="D104" t="s">
        <v>1121</v>
      </c>
      <c r="E104" s="218">
        <v>0.5</v>
      </c>
    </row>
    <row r="105" spans="1:5" x14ac:dyDescent="0.25">
      <c r="A105" t="s">
        <v>1249</v>
      </c>
      <c r="B105" t="s">
        <v>911</v>
      </c>
      <c r="C105" t="s">
        <v>1121</v>
      </c>
      <c r="D105" t="s">
        <v>192</v>
      </c>
      <c r="E105" s="218">
        <v>0.4</v>
      </c>
    </row>
    <row r="106" spans="1:5" x14ac:dyDescent="0.25">
      <c r="A106" t="s">
        <v>1284</v>
      </c>
      <c r="B106" t="s">
        <v>1279</v>
      </c>
      <c r="C106" t="s">
        <v>192</v>
      </c>
      <c r="D106" t="s">
        <v>197</v>
      </c>
      <c r="E106" s="218">
        <v>0.25</v>
      </c>
    </row>
    <row r="107" spans="1:5" x14ac:dyDescent="0.25">
      <c r="A107" t="s">
        <v>374</v>
      </c>
      <c r="B107" t="s">
        <v>374</v>
      </c>
      <c r="C107" t="s">
        <v>374</v>
      </c>
      <c r="D107" t="s">
        <v>374</v>
      </c>
      <c r="E107" s="218" t="s">
        <v>374</v>
      </c>
    </row>
    <row r="108" spans="1:5" x14ac:dyDescent="0.25">
      <c r="A108" t="s">
        <v>772</v>
      </c>
    </row>
  </sheetData>
  <sheetProtection sheet="1" objects="1" scenarios="1"/>
  <pageMargins left="0.70866141732283472" right="0.70866141732283472" top="0.74803149606299213" bottom="0.74803149606299213" header="0.31496062992125984" footer="0.31496062992125984"/>
  <pageSetup paperSize="9" scale="72" fitToHeight="2" orientation="landscape"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3">
    <pageSetUpPr fitToPage="1"/>
  </sheetPr>
  <dimension ref="A1:X107"/>
  <sheetViews>
    <sheetView zoomScaleNormal="100" workbookViewId="0">
      <selection activeCell="A2" sqref="A2"/>
    </sheetView>
  </sheetViews>
  <sheetFormatPr defaultColWidth="8.85546875" defaultRowHeight="15" x14ac:dyDescent="0.25"/>
  <cols>
    <col min="1" max="1" width="14.5703125" style="31" customWidth="1"/>
    <col min="2" max="2" width="68.42578125" customWidth="1"/>
    <col min="3" max="3" width="8.5703125" style="31" bestFit="1" customWidth="1"/>
    <col min="4" max="4" width="24" customWidth="1"/>
    <col min="5" max="5" width="9.42578125" customWidth="1"/>
    <col min="6" max="6" width="12.5703125" style="31" customWidth="1"/>
    <col min="7" max="7" width="9.85546875" customWidth="1"/>
    <col min="8" max="8" width="26.85546875" customWidth="1"/>
    <col min="9" max="9" width="15.42578125" customWidth="1"/>
    <col min="10" max="10" width="11.42578125" bestFit="1" customWidth="1"/>
    <col min="11" max="11" width="11.42578125" customWidth="1"/>
    <col min="12" max="12" width="15.140625" bestFit="1" customWidth="1"/>
    <col min="13" max="13" width="15.140625" customWidth="1"/>
    <col min="14" max="14" width="13.42578125" bestFit="1" customWidth="1"/>
    <col min="15" max="20" width="12.42578125" customWidth="1"/>
    <col min="22" max="22" width="18.5703125" customWidth="1"/>
    <col min="24" max="24" width="10.5703125" customWidth="1"/>
  </cols>
  <sheetData>
    <row r="1" spans="1:22" x14ac:dyDescent="0.25">
      <c r="A1" s="32" t="s">
        <v>59</v>
      </c>
      <c r="B1" s="1" t="s">
        <v>158</v>
      </c>
      <c r="C1" s="32" t="s">
        <v>399</v>
      </c>
      <c r="D1" s="1" t="s">
        <v>326</v>
      </c>
      <c r="E1" s="1" t="s">
        <v>78</v>
      </c>
      <c r="F1" s="32" t="s">
        <v>10</v>
      </c>
      <c r="G1" s="1" t="s">
        <v>327</v>
      </c>
      <c r="H1" s="1" t="s">
        <v>2</v>
      </c>
      <c r="I1" s="1" t="s">
        <v>79</v>
      </c>
      <c r="J1" s="1" t="s">
        <v>3</v>
      </c>
      <c r="K1" s="1" t="s">
        <v>324</v>
      </c>
      <c r="L1" s="1" t="s">
        <v>5</v>
      </c>
      <c r="M1" s="1" t="s">
        <v>325</v>
      </c>
      <c r="N1" s="1" t="s">
        <v>6</v>
      </c>
      <c r="O1" s="1" t="s">
        <v>7</v>
      </c>
      <c r="P1" s="1" t="s">
        <v>407</v>
      </c>
      <c r="Q1" s="1" t="s">
        <v>375</v>
      </c>
      <c r="R1" s="1" t="s">
        <v>8</v>
      </c>
      <c r="S1" s="1" t="s">
        <v>459</v>
      </c>
      <c r="T1" s="1" t="s">
        <v>149</v>
      </c>
      <c r="V1" s="1" t="s">
        <v>433</v>
      </c>
    </row>
    <row r="2" spans="1:22" x14ac:dyDescent="0.25">
      <c r="A2" s="31" t="s">
        <v>1559</v>
      </c>
      <c r="B2" t="str">
        <f>VLOOKUP(A2,kurspris!$A$1:$Q$809,2,FALSE)</f>
        <v>Skapande lek i förskolan 1</v>
      </c>
      <c r="C2" s="31">
        <v>2180</v>
      </c>
      <c r="D2" t="str">
        <f>VLOOKUP(C2,Orgenheter!$A$1:$B$213,2)</f>
        <v xml:space="preserve">Pedagogik                     </v>
      </c>
      <c r="E2" t="str">
        <f>VLOOKUP(C2,Orgenheter!$A$1:$C$165,3,FALSE)</f>
        <v>Sam</v>
      </c>
      <c r="F2" s="294">
        <f>1.5/7.5</f>
        <v>0.2</v>
      </c>
      <c r="G2">
        <f>VLOOKUP(A2,'Ansvar kurs'!$A$85:$C$976,2,FALSE)</f>
        <v>1650</v>
      </c>
      <c r="H2" t="str">
        <f>VLOOKUP(G2,Orgenheter!$A$1:$B$213,2)</f>
        <v xml:space="preserve">Estetiska ämnen               </v>
      </c>
      <c r="I2" t="str">
        <f>VLOOKUP(G2,Orgenheter!$A$1:$C$165,3,FALSE)</f>
        <v>Hum</v>
      </c>
      <c r="J2" s="210">
        <f>IF(ISERROR(VLOOKUP(A2,'Totalt pivot'!$A$5:$C$397,2,FALSE)),0,(VLOOKUP(A2,'Totalt pivot'!$A$5:$C$397,2,FALSE)))</f>
        <v>10.125</v>
      </c>
      <c r="K2" s="210">
        <f t="shared" ref="K2" si="0">F2*J2</f>
        <v>2.0249999999999999</v>
      </c>
      <c r="L2" s="210">
        <f>IF(ISERROR(VLOOKUP(A2,'Totalt pivot'!$A$5:$C$397,3,FALSE)),0,(VLOOKUP(A2,'Totalt pivot'!$A$5:$C$397,3,FALSE)))</f>
        <v>8.6062499999999993</v>
      </c>
      <c r="M2" s="210">
        <f t="shared" ref="M2:M5" si="1">F2*L2</f>
        <v>1.7212499999999999</v>
      </c>
      <c r="N2" s="26">
        <f>VLOOKUP(A2,kurspris!$A$1:$Q$809,15)</f>
        <v>15846</v>
      </c>
      <c r="O2" s="26">
        <f>VLOOKUP(A2,kurspris!$A$1:$Q$809,16)</f>
        <v>26926</v>
      </c>
      <c r="P2" s="26">
        <f>VLOOKUP(A2,kurspris!$A$1:$Q$809,17)</f>
        <v>17300</v>
      </c>
      <c r="Q2" s="26">
        <f t="shared" ref="Q2:Q3" si="2">K2*N2+M2*O2</f>
        <v>78434.527499999997</v>
      </c>
      <c r="R2" s="26">
        <f>(Q2*Prislapp!$R$5)*-1</f>
        <v>-5490.4169250000004</v>
      </c>
      <c r="S2" s="26">
        <f t="shared" ref="S2:S3" si="3">Q2+R2</f>
        <v>72944.110574999999</v>
      </c>
      <c r="T2" s="26">
        <f t="shared" ref="T2:T3" si="4">K2*P2</f>
        <v>35032.5</v>
      </c>
    </row>
    <row r="3" spans="1:22" x14ac:dyDescent="0.25">
      <c r="A3" s="31" t="s">
        <v>1559</v>
      </c>
      <c r="B3" t="str">
        <f>VLOOKUP(A3,kurspris!$A$1:$Q$809,2,FALSE)</f>
        <v>Skapande lek i förskolan 1</v>
      </c>
      <c r="C3" s="31">
        <v>2193</v>
      </c>
      <c r="D3" t="str">
        <f>VLOOKUP(C3,Orgenheter!$A$1:$B$213,2)</f>
        <v xml:space="preserve">TUV </v>
      </c>
      <c r="E3" t="str">
        <f>VLOOKUP(C3,Orgenheter!$A$1:$C$165,3,FALSE)</f>
        <v>Sam</v>
      </c>
      <c r="F3" s="294">
        <f>1.5/7.5</f>
        <v>0.2</v>
      </c>
      <c r="G3">
        <f>VLOOKUP(A3,'Ansvar kurs'!$A$85:$C$976,2,FALSE)</f>
        <v>1650</v>
      </c>
      <c r="H3" t="str">
        <f>VLOOKUP(G3,Orgenheter!$A$1:$B$213,2)</f>
        <v xml:space="preserve">Estetiska ämnen               </v>
      </c>
      <c r="I3" t="str">
        <f>VLOOKUP(G3,Orgenheter!$A$1:$C$165,3,FALSE)</f>
        <v>Hum</v>
      </c>
      <c r="J3" s="210">
        <f>IF(ISERROR(VLOOKUP(A3,'Totalt pivot'!$A$5:$C$397,2,FALSE)),0,(VLOOKUP(A3,'Totalt pivot'!$A$5:$C$397,2,FALSE)))</f>
        <v>10.125</v>
      </c>
      <c r="K3" s="210">
        <f t="shared" ref="K3:K34" si="5">F3*J3</f>
        <v>2.0249999999999999</v>
      </c>
      <c r="L3" s="210">
        <f>IF(ISERROR(VLOOKUP(A3,'Totalt pivot'!$A$5:$C$397,3,FALSE)),0,(VLOOKUP(A3,'Totalt pivot'!$A$5:$C$397,3,FALSE)))</f>
        <v>8.6062499999999993</v>
      </c>
      <c r="M3" s="210">
        <f t="shared" si="1"/>
        <v>1.7212499999999999</v>
      </c>
      <c r="N3" s="26">
        <f>VLOOKUP(A3,kurspris!$A$1:$Q$809,15)</f>
        <v>15846</v>
      </c>
      <c r="O3" s="26">
        <f>VLOOKUP(A3,kurspris!$A$1:$Q$809,16)</f>
        <v>26926</v>
      </c>
      <c r="P3" s="26">
        <f>VLOOKUP(A3,kurspris!$A$1:$Q$809,17)</f>
        <v>17300</v>
      </c>
      <c r="Q3" s="26">
        <f t="shared" si="2"/>
        <v>78434.527499999997</v>
      </c>
      <c r="R3" s="26">
        <f>(Q3*Prislapp!$R$5)*-1</f>
        <v>-5490.4169250000004</v>
      </c>
      <c r="S3" s="26">
        <f t="shared" si="3"/>
        <v>72944.110574999999</v>
      </c>
      <c r="T3" s="26">
        <f t="shared" si="4"/>
        <v>35032.5</v>
      </c>
    </row>
    <row r="4" spans="1:22" x14ac:dyDescent="0.25">
      <c r="A4" s="59" t="s">
        <v>2054</v>
      </c>
      <c r="B4" t="str">
        <f>VLOOKUP(A4,kurspris!$A$1:$Q$809,2,FALSE)</f>
        <v>Skapande och lek för förskolan 2</v>
      </c>
      <c r="C4" s="31">
        <v>2180</v>
      </c>
      <c r="D4" t="str">
        <f>VLOOKUP(C4,Orgenheter!$A$1:$B$213,2)</f>
        <v xml:space="preserve">Pedagogik                     </v>
      </c>
      <c r="E4" t="str">
        <f>VLOOKUP(C4,Orgenheter!$A$1:$C$165,3,FALSE)</f>
        <v>Sam</v>
      </c>
      <c r="F4" s="294">
        <f>1.5/15</f>
        <v>0.1</v>
      </c>
      <c r="G4">
        <f>VLOOKUP(A4,'Ansvar kurs'!$A$85:$C$976,2,FALSE)</f>
        <v>1650</v>
      </c>
      <c r="H4" t="str">
        <f>VLOOKUP(G4,Orgenheter!$A$1:$B$213,2)</f>
        <v xml:space="preserve">Estetiska ämnen               </v>
      </c>
      <c r="I4" t="str">
        <f>VLOOKUP(G4,Orgenheter!$A$1:$C$165,3,FALSE)</f>
        <v>Hum</v>
      </c>
      <c r="J4" s="210">
        <f>IF(ISERROR(VLOOKUP(A4,'Totalt pivot'!$A$5:$C$397,2,FALSE)),0,(VLOOKUP(A4,'Totalt pivot'!$A$5:$C$397,2,FALSE)))</f>
        <v>21</v>
      </c>
      <c r="K4" s="210">
        <f t="shared" ref="K4:K5" si="6">F4*J4</f>
        <v>2.1</v>
      </c>
      <c r="L4" s="210">
        <f>IF(ISERROR(VLOOKUP(A4,'Totalt pivot'!$A$5:$C$397,3,FALSE)),0,(VLOOKUP(A4,'Totalt pivot'!$A$5:$C$397,3,FALSE)))</f>
        <v>17.849999999999998</v>
      </c>
      <c r="M4" s="210">
        <f t="shared" si="1"/>
        <v>1.7849999999999999</v>
      </c>
      <c r="N4" s="26">
        <f>VLOOKUP(A4,kurspris!$A$1:$Q$809,15)</f>
        <v>15846</v>
      </c>
      <c r="O4" s="26">
        <f>VLOOKUP(A4,kurspris!$A$1:$Q$809,16)</f>
        <v>26926</v>
      </c>
      <c r="P4" s="26">
        <f>VLOOKUP(A4,kurspris!$A$1:$Q$809,17)</f>
        <v>17300</v>
      </c>
      <c r="Q4" s="26">
        <f t="shared" ref="Q4:Q5" si="7">K4*N4+M4*O4</f>
        <v>81339.509999999995</v>
      </c>
      <c r="R4" s="26">
        <f>(Q4*Prislapp!$R$5)*-1</f>
        <v>-5693.7656999999999</v>
      </c>
      <c r="S4" s="26">
        <f t="shared" ref="S4:S5" si="8">Q4+R4</f>
        <v>75645.744299999991</v>
      </c>
      <c r="T4" s="26">
        <f t="shared" ref="T4:T5" si="9">K4*P4</f>
        <v>36330</v>
      </c>
      <c r="V4" t="s">
        <v>2172</v>
      </c>
    </row>
    <row r="5" spans="1:22" x14ac:dyDescent="0.25">
      <c r="A5" s="59" t="s">
        <v>2054</v>
      </c>
      <c r="B5" t="str">
        <f>VLOOKUP(A5,kurspris!$A$1:$Q$809,2,FALSE)</f>
        <v>Skapande och lek för förskolan 2</v>
      </c>
      <c r="C5" s="31">
        <v>2193</v>
      </c>
      <c r="D5" t="str">
        <f>VLOOKUP(C5,Orgenheter!$A$1:$B$213,2)</f>
        <v xml:space="preserve">TUV </v>
      </c>
      <c r="E5" t="str">
        <f>VLOOKUP(C5,Orgenheter!$A$1:$C$165,3,FALSE)</f>
        <v>Sam</v>
      </c>
      <c r="F5" s="294">
        <f>1.5/15</f>
        <v>0.1</v>
      </c>
      <c r="G5">
        <f>VLOOKUP(A5,'Ansvar kurs'!$A$85:$C$976,2,FALSE)</f>
        <v>1650</v>
      </c>
      <c r="H5" t="str">
        <f>VLOOKUP(G5,Orgenheter!$A$1:$B$213,2)</f>
        <v xml:space="preserve">Estetiska ämnen               </v>
      </c>
      <c r="I5" t="str">
        <f>VLOOKUP(G5,Orgenheter!$A$1:$C$165,3,FALSE)</f>
        <v>Hum</v>
      </c>
      <c r="J5" s="210">
        <f>IF(ISERROR(VLOOKUP(A5,'Totalt pivot'!$A$5:$C$397,2,FALSE)),0,(VLOOKUP(A5,'Totalt pivot'!$A$5:$C$397,2,FALSE)))</f>
        <v>21</v>
      </c>
      <c r="K5" s="210">
        <f t="shared" si="6"/>
        <v>2.1</v>
      </c>
      <c r="L5" s="210">
        <f>IF(ISERROR(VLOOKUP(A5,'Totalt pivot'!$A$5:$C$397,3,FALSE)),0,(VLOOKUP(A5,'Totalt pivot'!$A$5:$C$397,3,FALSE)))</f>
        <v>17.849999999999998</v>
      </c>
      <c r="M5" s="210">
        <f t="shared" si="1"/>
        <v>1.7849999999999999</v>
      </c>
      <c r="N5" s="26">
        <f>VLOOKUP(A5,kurspris!$A$1:$Q$809,15)</f>
        <v>15846</v>
      </c>
      <c r="O5" s="26">
        <f>VLOOKUP(A5,kurspris!$A$1:$Q$809,16)</f>
        <v>26926</v>
      </c>
      <c r="P5" s="26">
        <f>VLOOKUP(A5,kurspris!$A$1:$Q$809,17)</f>
        <v>17300</v>
      </c>
      <c r="Q5" s="26">
        <f t="shared" si="7"/>
        <v>81339.509999999995</v>
      </c>
      <c r="R5" s="26">
        <f>(Q5*Prislapp!$R$5)*-1</f>
        <v>-5693.7656999999999</v>
      </c>
      <c r="S5" s="26">
        <f t="shared" si="8"/>
        <v>75645.744299999991</v>
      </c>
      <c r="T5" s="26">
        <f t="shared" si="9"/>
        <v>36330</v>
      </c>
      <c r="V5" t="s">
        <v>2172</v>
      </c>
    </row>
    <row r="6" spans="1:22" x14ac:dyDescent="0.25">
      <c r="A6" s="31" t="s">
        <v>2057</v>
      </c>
      <c r="B6" t="s">
        <v>2072</v>
      </c>
      <c r="C6" s="31">
        <v>2360</v>
      </c>
      <c r="D6" t="str">
        <f>VLOOKUP(C6,Orgenheter!$A$1:$B$213,2)</f>
        <v xml:space="preserve">Ekonomisk historia            </v>
      </c>
      <c r="E6" t="str">
        <f>VLOOKUP(C6,Orgenheter!$A$1:$C$165,3,FALSE)</f>
        <v>Sam</v>
      </c>
      <c r="F6" s="294">
        <f>7.5/30</f>
        <v>0.25</v>
      </c>
      <c r="G6">
        <f>VLOOKUP(A6,'Ansvar kurs'!$A$85:$C$976,2,FALSE)</f>
        <v>1630</v>
      </c>
      <c r="H6" t="str">
        <f>VLOOKUP(G6,Orgenheter!$A$1:$B$213,2)</f>
        <v>Inst för ide- o samhällsstudier</v>
      </c>
      <c r="I6" t="str">
        <f>VLOOKUP(G6,Orgenheter!$A$1:$C$165,3,FALSE)</f>
        <v>Hum</v>
      </c>
      <c r="J6" s="210">
        <f>IF(ISERROR(VLOOKUP(A6,'Totalt pivot'!$A$5:$C$397,2,FALSE)),0,(VLOOKUP(A6,'Totalt pivot'!$A$5:$C$397,2,FALSE)))</f>
        <v>12</v>
      </c>
      <c r="K6" s="210">
        <f t="shared" ref="K6" si="10">F6*J6</f>
        <v>3</v>
      </c>
      <c r="L6" s="210">
        <f>IF(ISERROR(VLOOKUP(A6,'Totalt pivot'!$A$5:$C$397,3,FALSE)),0,(VLOOKUP(A6,'Totalt pivot'!$A$5:$C$397,3,FALSE)))</f>
        <v>10.199999999999999</v>
      </c>
      <c r="M6" s="210">
        <f t="shared" ref="M6" si="11">F6*L6</f>
        <v>2.5499999999999998</v>
      </c>
      <c r="N6" s="26">
        <f>VLOOKUP(A6,kurspris!$A$1:$Q$809,15)</f>
        <v>18405</v>
      </c>
      <c r="O6" s="26">
        <f>VLOOKUP(A6,kurspris!$A$1:$Q$809,16)</f>
        <v>15773</v>
      </c>
      <c r="P6" s="26">
        <f>VLOOKUP(A6,kurspris!$A$1:$Q$809,17)</f>
        <v>5800</v>
      </c>
      <c r="Q6" s="26">
        <f t="shared" ref="Q6" si="12">K6*N6+M6*O6</f>
        <v>95436.15</v>
      </c>
      <c r="R6" s="26">
        <f>(Q6*Prislapp!$R$5)*-1</f>
        <v>-6680.5304999999998</v>
      </c>
      <c r="S6" s="26">
        <f t="shared" ref="S6" si="13">Q6+R6</f>
        <v>88755.619500000001</v>
      </c>
      <c r="T6" s="26">
        <f t="shared" ref="T6" si="14">K6*P6</f>
        <v>17400</v>
      </c>
    </row>
    <row r="7" spans="1:22" x14ac:dyDescent="0.25">
      <c r="A7" s="59" t="s">
        <v>1577</v>
      </c>
      <c r="B7" t="str">
        <f>VLOOKUP(A7,kurspris!$A$1:$Q$809,2,FALSE)</f>
        <v>Idrott och hälsa 1</v>
      </c>
      <c r="C7" s="31">
        <v>3306</v>
      </c>
      <c r="D7" t="str">
        <f>VLOOKUP(C7,Orgenheter!$A$1:$B$213,2)</f>
        <v xml:space="preserve">Idrottsmedicin                </v>
      </c>
      <c r="E7" t="str">
        <f>VLOOKUP(C7,Orgenheter!$A$1:$C$165,3,FALSE)</f>
        <v>Med</v>
      </c>
      <c r="F7" s="294">
        <v>0.25</v>
      </c>
      <c r="G7">
        <f>VLOOKUP(A7,'Ansvar kurs'!$A$85:$C$976,2,FALSE)</f>
        <v>2180</v>
      </c>
      <c r="H7" t="str">
        <f>VLOOKUP(G7,Orgenheter!$A$1:$B$213,2)</f>
        <v xml:space="preserve">Pedagogik                     </v>
      </c>
      <c r="I7" t="str">
        <f>VLOOKUP(G7,Orgenheter!$A$1:$C$165,3,FALSE)</f>
        <v>Sam</v>
      </c>
      <c r="J7" s="210">
        <f>IF(ISERROR(VLOOKUP(A7,'Totalt pivot'!$A$5:$C$397,2,FALSE)),0,(VLOOKUP(A7,'Totalt pivot'!$A$5:$C$397,2,FALSE)))</f>
        <v>14.5</v>
      </c>
      <c r="K7" s="210">
        <f t="shared" si="5"/>
        <v>3.625</v>
      </c>
      <c r="L7" s="210">
        <f>IF(ISERROR(VLOOKUP(A7,'Totalt pivot'!$A$5:$C$397,3,FALSE)),0,(VLOOKUP(A7,'Totalt pivot'!$A$5:$C$397,3,FALSE)))</f>
        <v>12.225</v>
      </c>
      <c r="M7" s="210">
        <f t="shared" ref="M7:M32" si="15">F7*L7</f>
        <v>3.0562499999999999</v>
      </c>
      <c r="N7" s="26">
        <f>VLOOKUP(A7,kurspris!$A$1:$Q$809,15)</f>
        <v>45034</v>
      </c>
      <c r="O7" s="26">
        <f>VLOOKUP(A7,kurspris!$A$1:$Q$809,16)</f>
        <v>31547</v>
      </c>
      <c r="P7" s="26">
        <f>VLOOKUP(A7,kurspris!$A$1:$Q$809,17)</f>
        <v>34500</v>
      </c>
      <c r="Q7" s="26">
        <f t="shared" ref="Q7:Q32" si="16">K7*N7+M7*O7</f>
        <v>259663.76874999999</v>
      </c>
      <c r="R7" s="26">
        <f>(Q7*Prislapp!$R$5)*-1</f>
        <v>-18176.463812500002</v>
      </c>
      <c r="S7" s="26">
        <f t="shared" ref="S7:S32" si="17">Q7+R7</f>
        <v>241487.30493749998</v>
      </c>
      <c r="T7" s="26">
        <f t="shared" ref="T7:T32" si="18">K7*P7</f>
        <v>125062.5</v>
      </c>
    </row>
    <row r="8" spans="1:22" x14ac:dyDescent="0.25">
      <c r="A8" s="59" t="s">
        <v>1577</v>
      </c>
      <c r="B8" t="str">
        <f>VLOOKUP(A8,kurspris!$A$1:$Q$809,2,FALSE)</f>
        <v>Idrott och hälsa 1</v>
      </c>
      <c r="C8" s="31">
        <v>2750</v>
      </c>
      <c r="D8" t="str">
        <f>VLOOKUP(C8,Orgenheter!$A$1:$B$213,2)</f>
        <v xml:space="preserve">Kostvetenskap                 </v>
      </c>
      <c r="E8" t="str">
        <f>VLOOKUP(C8,Orgenheter!$A$1:$C$165,3,FALSE)</f>
        <v>Sam</v>
      </c>
      <c r="F8" s="294">
        <v>0.15</v>
      </c>
      <c r="G8">
        <f>VLOOKUP(A8,'Ansvar kurs'!$A$85:$C$976,2,FALSE)</f>
        <v>2180</v>
      </c>
      <c r="H8" t="str">
        <f>VLOOKUP(G8,Orgenheter!$A$1:$B$213,2)</f>
        <v xml:space="preserve">Pedagogik                     </v>
      </c>
      <c r="I8" t="str">
        <f>VLOOKUP(G8,Orgenheter!$A$1:$C$165,3,FALSE)</f>
        <v>Sam</v>
      </c>
      <c r="J8" s="210">
        <f>IF(ISERROR(VLOOKUP(A8,'Totalt pivot'!$A$5:$C$397,2,FALSE)),0,(VLOOKUP(A8,'Totalt pivot'!$A$5:$C$397,2,FALSE)))</f>
        <v>14.5</v>
      </c>
      <c r="K8" s="210">
        <f t="shared" si="5"/>
        <v>2.1749999999999998</v>
      </c>
      <c r="L8" s="210">
        <f>IF(ISERROR(VLOOKUP(A8,'Totalt pivot'!$A$5:$C$397,3,FALSE)),0,(VLOOKUP(A8,'Totalt pivot'!$A$5:$C$397,3,FALSE)))</f>
        <v>12.225</v>
      </c>
      <c r="M8" s="210">
        <f t="shared" si="15"/>
        <v>1.8337499999999998</v>
      </c>
      <c r="N8" s="26">
        <f>VLOOKUP(A8,kurspris!$A$1:$Q$809,15)</f>
        <v>45034</v>
      </c>
      <c r="O8" s="26">
        <f>VLOOKUP(A8,kurspris!$A$1:$Q$809,16)</f>
        <v>31547</v>
      </c>
      <c r="P8" s="26">
        <f>VLOOKUP(A8,kurspris!$A$1:$Q$809,17)</f>
        <v>34500</v>
      </c>
      <c r="Q8" s="26">
        <f t="shared" si="16"/>
        <v>155798.26124999998</v>
      </c>
      <c r="R8" s="26">
        <f>(Q8*Prislapp!$R$5)*-1</f>
        <v>-10905.8782875</v>
      </c>
      <c r="S8" s="26">
        <f t="shared" si="17"/>
        <v>144892.38296249998</v>
      </c>
      <c r="T8" s="26">
        <f t="shared" si="18"/>
        <v>75037.5</v>
      </c>
    </row>
    <row r="9" spans="1:22" x14ac:dyDescent="0.25">
      <c r="A9" s="59" t="s">
        <v>1821</v>
      </c>
      <c r="B9" t="str">
        <f>VLOOKUP(A9,kurspris!$A$1:$Q$809,2,FALSE)</f>
        <v>Idrott och hälsa 3</v>
      </c>
      <c r="C9" s="31">
        <v>3850</v>
      </c>
      <c r="D9" t="str">
        <f>VLOOKUP(C9,Orgenheter!$A$1:$B$213,2)</f>
        <v>Epidemiologi och global hälsa</v>
      </c>
      <c r="E9" t="str">
        <f>VLOOKUP(C9,Orgenheter!$A$1:$C$165,3,FALSE)</f>
        <v>Med</v>
      </c>
      <c r="F9" s="294">
        <f>5/30</f>
        <v>0.16666666666666666</v>
      </c>
      <c r="G9">
        <f>VLOOKUP(A9,'Ansvar kurs'!$A$85:$C$976,2,FALSE)</f>
        <v>2180</v>
      </c>
      <c r="H9" t="str">
        <f>VLOOKUP(G9,Orgenheter!$A$1:$B$213,2)</f>
        <v xml:space="preserve">Pedagogik                     </v>
      </c>
      <c r="I9" t="str">
        <f>VLOOKUP(G9,Orgenheter!$A$1:$C$165,3,FALSE)</f>
        <v>Sam</v>
      </c>
      <c r="J9" s="210">
        <f>IF(ISERROR(VLOOKUP(A9,'Totalt pivot'!$A$5:$C$397,2,FALSE)),0,(VLOOKUP(A9,'Totalt pivot'!$A$5:$C$397,2,FALSE)))</f>
        <v>11.5</v>
      </c>
      <c r="K9" s="210">
        <f t="shared" ref="K9" si="19">F9*J9</f>
        <v>1.9166666666666665</v>
      </c>
      <c r="L9" s="210">
        <f>IF(ISERROR(VLOOKUP(A9,'Totalt pivot'!$A$5:$C$397,3,FALSE)),0,(VLOOKUP(A9,'Totalt pivot'!$A$5:$C$397,3,FALSE)))</f>
        <v>9.6749999999999989</v>
      </c>
      <c r="M9" s="210">
        <f t="shared" ref="M9" si="20">F9*L9</f>
        <v>1.6124999999999998</v>
      </c>
      <c r="N9" s="26">
        <f>VLOOKUP(A9,kurspris!$A$1:$Q$809,15)</f>
        <v>45034</v>
      </c>
      <c r="O9" s="26">
        <f>VLOOKUP(A9,kurspris!$A$1:$Q$809,16)</f>
        <v>31547</v>
      </c>
      <c r="P9" s="26">
        <f>VLOOKUP(A9,kurspris!$A$1:$Q$809,17)</f>
        <v>34500</v>
      </c>
      <c r="Q9" s="26">
        <f t="shared" ref="Q9" si="21">K9*N9+M9*O9</f>
        <v>137184.70416666666</v>
      </c>
      <c r="R9" s="26">
        <f>(Q9*Prislapp!$R$5)*-1</f>
        <v>-9602.9292916666673</v>
      </c>
      <c r="S9" s="26">
        <f t="shared" ref="S9" si="22">Q9+R9</f>
        <v>127581.774875</v>
      </c>
      <c r="T9" s="26">
        <f t="shared" ref="T9" si="23">K9*P9</f>
        <v>66125</v>
      </c>
      <c r="V9" t="s">
        <v>1882</v>
      </c>
    </row>
    <row r="10" spans="1:22" x14ac:dyDescent="0.25">
      <c r="A10" s="31" t="s">
        <v>586</v>
      </c>
      <c r="B10" t="str">
        <f>VLOOKUP(A10,kurspris!$A$1:$Q$809,2,FALSE)</f>
        <v>Idrott och hälsa II för gymnasieskolan</v>
      </c>
      <c r="C10" s="31">
        <v>3306</v>
      </c>
      <c r="D10" t="str">
        <f>VLOOKUP(C10,Orgenheter!$A$1:$B$213,2)</f>
        <v xml:space="preserve">Idrottsmedicin                </v>
      </c>
      <c r="E10" t="str">
        <f>VLOOKUP(C10,Orgenheter!$A$1:$C$165,3,FALSE)</f>
        <v>Med</v>
      </c>
      <c r="F10" s="294">
        <v>0.25</v>
      </c>
      <c r="G10">
        <f>VLOOKUP(A10,'Ansvar kurs'!$A$85:$C$976,2,FALSE)</f>
        <v>2180</v>
      </c>
      <c r="H10" t="str">
        <f>VLOOKUP(G10,Orgenheter!$A$1:$B$213,2)</f>
        <v xml:space="preserve">Pedagogik                     </v>
      </c>
      <c r="I10" t="str">
        <f>VLOOKUP(G10,Orgenheter!$A$1:$C$165,3,FALSE)</f>
        <v>Sam</v>
      </c>
      <c r="J10" s="210">
        <f>IF(ISERROR(VLOOKUP(A10,'Totalt pivot'!$A$5:$C$397,2,FALSE)),0,(VLOOKUP(A10,'Totalt pivot'!$A$5:$C$397,2,FALSE)))</f>
        <v>12.5</v>
      </c>
      <c r="K10" s="210">
        <f t="shared" si="5"/>
        <v>3.125</v>
      </c>
      <c r="L10" s="210">
        <f>IF(ISERROR(VLOOKUP(A10,'Totalt pivot'!$A$5:$C$397,3,FALSE)),0,(VLOOKUP(A10,'Totalt pivot'!$A$5:$C$397,3,FALSE)))</f>
        <v>10.6</v>
      </c>
      <c r="M10" s="210">
        <f t="shared" si="15"/>
        <v>2.65</v>
      </c>
      <c r="N10" s="26">
        <f>VLOOKUP(A10,kurspris!$A$1:$Q$809,15)</f>
        <v>45034</v>
      </c>
      <c r="O10" s="26">
        <f>VLOOKUP(A10,kurspris!$A$1:$Q$809,16)</f>
        <v>31547</v>
      </c>
      <c r="P10" s="26">
        <f>VLOOKUP(A10,kurspris!$A$1:$Q$809,17)</f>
        <v>34500</v>
      </c>
      <c r="Q10" s="26">
        <f t="shared" si="16"/>
        <v>224330.8</v>
      </c>
      <c r="R10" s="26">
        <f>(Q10*Prislapp!$R$5)*-1</f>
        <v>-15703.156000000001</v>
      </c>
      <c r="S10" s="26">
        <f t="shared" si="17"/>
        <v>208627.644</v>
      </c>
      <c r="T10" s="26">
        <f t="shared" si="18"/>
        <v>107812.5</v>
      </c>
    </row>
    <row r="11" spans="1:22" x14ac:dyDescent="0.25">
      <c r="A11" s="31" t="s">
        <v>1857</v>
      </c>
      <c r="B11" t="str">
        <f>VLOOKUP(A11,kurspris!$A$1:$Q$809,2,FALSE)</f>
        <v>Introduktion till geografi</v>
      </c>
      <c r="C11" s="31">
        <v>5100</v>
      </c>
      <c r="D11" t="str">
        <f>VLOOKUP(C11,Orgenheter!$A$1:$B$213,2)</f>
        <v>EMG</v>
      </c>
      <c r="E11" t="str">
        <f>VLOOKUP(C11,Orgenheter!$A$1:$C$165,3,FALSE)</f>
        <v>TekNat</v>
      </c>
      <c r="F11" s="294">
        <v>0.5</v>
      </c>
      <c r="G11">
        <f>VLOOKUP(A11,'Ansvar kurs'!$A$85:$C$976,2,FALSE)</f>
        <v>2500</v>
      </c>
      <c r="H11" t="str">
        <f>VLOOKUP(G11,Orgenheter!$A$1:$B$213,2)</f>
        <v>Geografi</v>
      </c>
      <c r="I11" t="str">
        <f>VLOOKUP(G11,Orgenheter!$A$1:$C$165,3,FALSE)</f>
        <v>Sam</v>
      </c>
      <c r="J11" s="210">
        <f>IF(ISERROR(VLOOKUP(A11,'Totalt pivot'!$A$5:$C$397,2,FALSE)),0,(VLOOKUP(A11,'Totalt pivot'!$A$5:$C$397,2,FALSE)))</f>
        <v>0.75</v>
      </c>
      <c r="K11" s="210">
        <f t="shared" ref="K11" si="24">F11*J11</f>
        <v>0.375</v>
      </c>
      <c r="L11" s="210">
        <f>IF(ISERROR(VLOOKUP(A11,'Totalt pivot'!$A$5:$C$397,3,FALSE)),0,(VLOOKUP(A11,'Totalt pivot'!$A$5:$C$397,3,FALSE)))</f>
        <v>0.63749999999999996</v>
      </c>
      <c r="M11" s="210">
        <f t="shared" ref="M11" si="25">F11*L11</f>
        <v>0.31874999999999998</v>
      </c>
      <c r="N11" s="26">
        <f>VLOOKUP(A11,kurspris!$A$1:$Q$809,15)</f>
        <v>18405</v>
      </c>
      <c r="O11" s="26">
        <f>VLOOKUP(A11,kurspris!$A$1:$Q$809,16)</f>
        <v>15773</v>
      </c>
      <c r="P11" s="26">
        <f>VLOOKUP(A11,kurspris!$A$1:$Q$809,17)</f>
        <v>5800</v>
      </c>
      <c r="Q11" s="26">
        <f t="shared" ref="Q11" si="26">K11*N11+M11*O11</f>
        <v>11929.518749999999</v>
      </c>
      <c r="R11" s="26">
        <f>(Q11*Prislapp!$R$5)*-1</f>
        <v>-835.06631249999998</v>
      </c>
      <c r="S11" s="26">
        <f t="shared" ref="S11" si="27">Q11+R11</f>
        <v>11094.4524375</v>
      </c>
      <c r="T11" s="26">
        <f t="shared" ref="T11" si="28">K11*P11</f>
        <v>2175</v>
      </c>
    </row>
    <row r="12" spans="1:22" x14ac:dyDescent="0.25">
      <c r="A12" s="31" t="s">
        <v>1934</v>
      </c>
      <c r="B12" t="str">
        <f>VLOOKUP(A12,kurspris!$A$1:$Q$809,2,FALSE)</f>
        <v>Kartor och GIS</v>
      </c>
      <c r="C12" s="31">
        <v>5100</v>
      </c>
      <c r="D12" t="str">
        <f>VLOOKUP(C12,Orgenheter!$A$1:$B$213,2)</f>
        <v>EMG</v>
      </c>
      <c r="E12" t="str">
        <f>VLOOKUP(C12,Orgenheter!$A$1:$C$165,3,FALSE)</f>
        <v>TekNat</v>
      </c>
      <c r="F12" s="294">
        <v>0.5</v>
      </c>
      <c r="G12">
        <f>VLOOKUP(A12,'Ansvar kurs'!$A$85:$C$976,2,FALSE)</f>
        <v>2500</v>
      </c>
      <c r="H12" t="str">
        <f>VLOOKUP(G12,Orgenheter!$A$1:$B$213,2)</f>
        <v>Geografi</v>
      </c>
      <c r="I12" t="str">
        <f>VLOOKUP(G12,Orgenheter!$A$1:$C$165,3,FALSE)</f>
        <v>Sam</v>
      </c>
      <c r="J12" s="210">
        <f>IF(ISERROR(VLOOKUP(A12,'Totalt pivot'!$A$5:$C$397,2,FALSE)),0,(VLOOKUP(A12,'Totalt pivot'!$A$5:$C$397,2,FALSE)))</f>
        <v>0.75</v>
      </c>
      <c r="K12" s="210">
        <f t="shared" ref="K12" si="29">F12*J12</f>
        <v>0.375</v>
      </c>
      <c r="L12" s="210">
        <f>IF(ISERROR(VLOOKUP(A12,'Totalt pivot'!$A$5:$C$397,3,FALSE)),0,(VLOOKUP(A12,'Totalt pivot'!$A$5:$C$397,3,FALSE)))</f>
        <v>0.63749999999999996</v>
      </c>
      <c r="M12" s="210">
        <f t="shared" ref="M12" si="30">F12*L12</f>
        <v>0.31874999999999998</v>
      </c>
      <c r="N12" s="26">
        <f>VLOOKUP(A12,kurspris!$A$1:$Q$809,15)</f>
        <v>18939</v>
      </c>
      <c r="O12" s="26">
        <f>VLOOKUP(A12,kurspris!$A$1:$Q$809,16)</f>
        <v>25289.5</v>
      </c>
      <c r="P12" s="26">
        <f>VLOOKUP(A12,kurspris!$A$1:$Q$809,17)</f>
        <v>13800</v>
      </c>
      <c r="Q12" s="26">
        <f t="shared" ref="Q12" si="31">K12*N12+M12*O12</f>
        <v>15163.153125000001</v>
      </c>
      <c r="R12" s="26">
        <f>(Q12*Prislapp!$R$5)*-1</f>
        <v>-1061.4207187500001</v>
      </c>
      <c r="S12" s="26">
        <f t="shared" ref="S12" si="32">Q12+R12</f>
        <v>14101.732406250001</v>
      </c>
      <c r="T12" s="26">
        <f t="shared" ref="T12" si="33">K12*P12</f>
        <v>5175</v>
      </c>
    </row>
    <row r="13" spans="1:22" x14ac:dyDescent="0.25">
      <c r="A13" s="245" t="s">
        <v>1950</v>
      </c>
      <c r="B13" t="str">
        <f>VLOOKUP(A13,kurspris!$A$1:$Q$809,2,FALSE)</f>
        <v>Specialpedagogik med fokus på svenska och matematik för F-3</v>
      </c>
      <c r="C13" s="31">
        <v>5740</v>
      </c>
      <c r="D13" t="str">
        <f>VLOOKUP(C13,Orgenheter!$A$1:$B$213,2)</f>
        <v>NMD</v>
      </c>
      <c r="E13" t="str">
        <f>VLOOKUP(C13,Orgenheter!$A$1:$C$165,3,FALSE)</f>
        <v>TekNat</v>
      </c>
      <c r="F13" s="294">
        <v>0.5</v>
      </c>
      <c r="G13">
        <f>VLOOKUP(A13,'Ansvar kurs'!$A$85:$C$976,2,FALSE)</f>
        <v>1620</v>
      </c>
      <c r="H13" t="str">
        <f>VLOOKUP(G13,Orgenheter!$A$1:$B$213,2)</f>
        <v>Inst för språkstudier</v>
      </c>
      <c r="I13" t="str">
        <f>VLOOKUP(G13,Orgenheter!$A$1:$C$165,3,FALSE)</f>
        <v>Hum</v>
      </c>
      <c r="J13" s="210">
        <f>IF(ISERROR(VLOOKUP(A13,'Totalt pivot'!$A$5:$C$397,2,FALSE)),0,(VLOOKUP(A13,'Totalt pivot'!$A$5:$C$397,2,FALSE)))</f>
        <v>8.25</v>
      </c>
      <c r="K13" s="210">
        <f t="shared" ref="K13" si="34">F13*J13</f>
        <v>4.125</v>
      </c>
      <c r="L13" s="210">
        <f>IF(ISERROR(VLOOKUP(A13,'Totalt pivot'!$A$5:$C$397,3,FALSE)),0,(VLOOKUP(A13,'Totalt pivot'!$A$5:$C$397,3,FALSE)))</f>
        <v>7.0125000000000002</v>
      </c>
      <c r="M13" s="210">
        <f t="shared" ref="M13" si="35">F13*L13</f>
        <v>3.5062500000000001</v>
      </c>
      <c r="N13" s="26">
        <f>VLOOKUP(A13,kurspris!$A$1:$Q$809,15)</f>
        <v>18405</v>
      </c>
      <c r="O13" s="26">
        <f>VLOOKUP(A13,kurspris!$A$1:$Q$809,16)</f>
        <v>15773</v>
      </c>
      <c r="P13" s="26">
        <f>VLOOKUP(A13,kurspris!$A$1:$Q$809,17)</f>
        <v>5800</v>
      </c>
      <c r="Q13" s="26">
        <f t="shared" ref="Q13" si="36">K13*N13+M13*O13</f>
        <v>131224.70624999999</v>
      </c>
      <c r="R13" s="26">
        <f>(Q13*Prislapp!$R$5)*-1</f>
        <v>-9185.7294375000001</v>
      </c>
      <c r="S13" s="26">
        <f t="shared" ref="S13" si="37">Q13+R13</f>
        <v>122038.97681249998</v>
      </c>
      <c r="T13" s="26">
        <f t="shared" ref="T13" si="38">K13*P13</f>
        <v>23925</v>
      </c>
    </row>
    <row r="14" spans="1:22" x14ac:dyDescent="0.25">
      <c r="A14" s="31" t="s">
        <v>470</v>
      </c>
      <c r="B14" t="str">
        <f>VLOOKUP(A14,kurspris!$A$1:$Q$809,2,FALSE)</f>
        <v>Demokrati, individ och samhälle</v>
      </c>
      <c r="C14" s="31">
        <v>1640</v>
      </c>
      <c r="D14" t="str">
        <f>VLOOKUP(C14,Orgenheter!$A$1:$B$213,2)</f>
        <v>Inst för kultur- o medievetenskap</v>
      </c>
      <c r="E14" t="str">
        <f>VLOOKUP(C14,Orgenheter!$A$1:$C$165,3,FALSE)</f>
        <v>Hum</v>
      </c>
      <c r="F14" s="294">
        <v>0.5</v>
      </c>
      <c r="G14">
        <f>VLOOKUP(A14,'Ansvar kurs'!$A$85:$C$976,2,FALSE)</f>
        <v>1630</v>
      </c>
      <c r="H14" t="str">
        <f>VLOOKUP(G14,Orgenheter!$A$1:$B$213,2)</f>
        <v>Inst för ide- o samhällsstudier</v>
      </c>
      <c r="I14" t="str">
        <f>VLOOKUP(G14,Orgenheter!$A$1:$C$165,3,FALSE)</f>
        <v>Hum</v>
      </c>
      <c r="J14" s="210">
        <f>IF(ISERROR(VLOOKUP(A14,'Totalt pivot'!$A$5:$C$397,2,FALSE)),0,(VLOOKUP(A14,'Totalt pivot'!$A$5:$C$397,2,FALSE)))</f>
        <v>13.33334</v>
      </c>
      <c r="K14" s="210">
        <f t="shared" si="5"/>
        <v>6.6666699999999999</v>
      </c>
      <c r="L14" s="210">
        <f>IF(ISERROR(VLOOKUP(A14,'Totalt pivot'!$A$5:$C$397,3,FALSE)),0,(VLOOKUP(A14,'Totalt pivot'!$A$5:$C$397,3,FALSE)))</f>
        <v>11.333339</v>
      </c>
      <c r="M14" s="210">
        <f t="shared" si="15"/>
        <v>5.6666695000000002</v>
      </c>
      <c r="N14" s="26">
        <f>VLOOKUP(A14,kurspris!$A$1:$Q$809,15)</f>
        <v>23641</v>
      </c>
      <c r="O14" s="26">
        <f>VLOOKUP(A14,kurspris!$A$1:$Q$809,16)</f>
        <v>28786</v>
      </c>
      <c r="P14" s="26">
        <f>VLOOKUP(A14,kurspris!$A$1:$Q$809,17)</f>
        <v>5800</v>
      </c>
      <c r="Q14" s="26">
        <f t="shared" si="16"/>
        <v>320727.49369699997</v>
      </c>
      <c r="R14" s="26">
        <f>(Q14*Prislapp!$R$5)*-1</f>
        <v>-22450.92455879</v>
      </c>
      <c r="S14" s="26">
        <f t="shared" si="17"/>
        <v>298276.56913820998</v>
      </c>
      <c r="T14" s="26">
        <f t="shared" si="18"/>
        <v>38666.686000000002</v>
      </c>
    </row>
    <row r="15" spans="1:22" x14ac:dyDescent="0.25">
      <c r="A15" s="62" t="s">
        <v>471</v>
      </c>
      <c r="B15" t="str">
        <f>VLOOKUP(A15,kurspris!$A$1:$Q$809,2,FALSE)</f>
        <v>Kunskap, undervisning och lärande I</v>
      </c>
      <c r="C15" s="31">
        <v>2200</v>
      </c>
      <c r="D15" t="str">
        <f>VLOOKUP(C15,Orgenheter!$A$1:$B$213,2)</f>
        <v xml:space="preserve">Inst för psykologi            </v>
      </c>
      <c r="E15" t="str">
        <f>VLOOKUP(C15,Orgenheter!$A$1:$C$165,3,FALSE)</f>
        <v>Sam</v>
      </c>
      <c r="F15" s="294">
        <v>0.2</v>
      </c>
      <c r="G15">
        <f>VLOOKUP(A15,'Ansvar kurs'!$A$85:$C$976,2,FALSE)</f>
        <v>1630</v>
      </c>
      <c r="H15" t="str">
        <f>VLOOKUP(G15,Orgenheter!$A$1:$B$213,2)</f>
        <v>Inst för ide- o samhällsstudier</v>
      </c>
      <c r="I15" t="str">
        <f>VLOOKUP(G15,Orgenheter!$A$1:$C$165,3,FALSE)</f>
        <v>Hum</v>
      </c>
      <c r="J15" s="210">
        <f>IF(ISERROR(VLOOKUP(A15,'Totalt pivot'!$A$5:$C$397,2,FALSE)),0,(VLOOKUP(A15,'Totalt pivot'!$A$5:$C$397,2,FALSE)))</f>
        <v>16.5</v>
      </c>
      <c r="K15" s="210">
        <f t="shared" si="5"/>
        <v>3.3000000000000003</v>
      </c>
      <c r="L15" s="210">
        <f>IF(ISERROR(VLOOKUP(A15,'Totalt pivot'!$A$5:$C$397,3,FALSE)),0,(VLOOKUP(A15,'Totalt pivot'!$A$5:$C$397,3,FALSE)))</f>
        <v>14.024999999999999</v>
      </c>
      <c r="M15" s="210">
        <f t="shared" si="15"/>
        <v>2.8049999999999997</v>
      </c>
      <c r="N15" s="26">
        <f>VLOOKUP(A15,kurspris!$A$1:$Q$809,15)</f>
        <v>23641</v>
      </c>
      <c r="O15" s="26">
        <f>VLOOKUP(A15,kurspris!$A$1:$Q$809,16)</f>
        <v>28786</v>
      </c>
      <c r="P15" s="26">
        <f>VLOOKUP(A15,kurspris!$A$1:$Q$809,17)</f>
        <v>5800</v>
      </c>
      <c r="Q15" s="26">
        <f t="shared" si="16"/>
        <v>158760.03</v>
      </c>
      <c r="R15" s="26">
        <f>(Q15*Prislapp!$R$5)*-1</f>
        <v>-11113.2021</v>
      </c>
      <c r="S15" s="26">
        <f t="shared" si="17"/>
        <v>147646.8279</v>
      </c>
      <c r="T15" s="26">
        <f t="shared" si="18"/>
        <v>19140</v>
      </c>
    </row>
    <row r="16" spans="1:22" x14ac:dyDescent="0.25">
      <c r="A16" s="62" t="s">
        <v>471</v>
      </c>
      <c r="B16" t="str">
        <f>VLOOKUP(A16,kurspris!$A$1:$Q$809,2,FALSE)</f>
        <v>Kunskap, undervisning och lärande I</v>
      </c>
      <c r="C16" s="31">
        <v>2272</v>
      </c>
      <c r="D16" t="str">
        <f>VLOOKUP(C16,Orgenheter!$A$1:$B$213,2)</f>
        <v xml:space="preserve">Statistik                     </v>
      </c>
      <c r="E16" t="str">
        <f>VLOOKUP(C16,Orgenheter!$A$1:$C$165,3,FALSE)</f>
        <v>Sam</v>
      </c>
      <c r="F16" s="294">
        <v>0.05</v>
      </c>
      <c r="G16">
        <f>VLOOKUP(A16,'Ansvar kurs'!$A$85:$C$976,2,FALSE)</f>
        <v>1630</v>
      </c>
      <c r="H16" t="str">
        <f>VLOOKUP(G16,Orgenheter!$A$1:$B$213,2)</f>
        <v>Inst för ide- o samhällsstudier</v>
      </c>
      <c r="I16" t="str">
        <f>VLOOKUP(G16,Orgenheter!$A$1:$C$165,3,FALSE)</f>
        <v>Hum</v>
      </c>
      <c r="J16" s="210">
        <f>IF(ISERROR(VLOOKUP(A16,'Totalt pivot'!$A$5:$C$397,2,FALSE)),0,(VLOOKUP(A16,'Totalt pivot'!$A$5:$C$397,2,FALSE)))</f>
        <v>16.5</v>
      </c>
      <c r="K16" s="210">
        <f t="shared" si="5"/>
        <v>0.82500000000000007</v>
      </c>
      <c r="L16" s="210">
        <f>IF(ISERROR(VLOOKUP(A16,'Totalt pivot'!$A$5:$C$397,3,FALSE)),0,(VLOOKUP(A16,'Totalt pivot'!$A$5:$C$397,3,FALSE)))</f>
        <v>14.024999999999999</v>
      </c>
      <c r="M16" s="210">
        <f t="shared" si="15"/>
        <v>0.70124999999999993</v>
      </c>
      <c r="N16" s="26">
        <f>VLOOKUP(A16,kurspris!$A$1:$Q$809,15)</f>
        <v>23641</v>
      </c>
      <c r="O16" s="26">
        <f>VLOOKUP(A16,kurspris!$A$1:$Q$809,16)</f>
        <v>28786</v>
      </c>
      <c r="P16" s="26">
        <f>VLOOKUP(A16,kurspris!$A$1:$Q$809,17)</f>
        <v>5800</v>
      </c>
      <c r="Q16" s="26">
        <f t="shared" si="16"/>
        <v>39690.0075</v>
      </c>
      <c r="R16" s="26">
        <f>(Q16*Prislapp!$R$5)*-1</f>
        <v>-2778.3005250000001</v>
      </c>
      <c r="S16" s="26">
        <f t="shared" si="17"/>
        <v>36911.706975000001</v>
      </c>
      <c r="T16" s="26">
        <f t="shared" si="18"/>
        <v>4785</v>
      </c>
    </row>
    <row r="17" spans="1:22" x14ac:dyDescent="0.25">
      <c r="A17" s="62" t="s">
        <v>864</v>
      </c>
      <c r="B17" t="str">
        <f>VLOOKUP(A17,kurspris!$A$1:$Q$809,2,FALSE)</f>
        <v>Samhällsorientering åk 4-6</v>
      </c>
      <c r="C17" s="31">
        <v>2500</v>
      </c>
      <c r="D17" t="str">
        <f>VLOOKUP(C17,Orgenheter!$A$1:$B$213,2)</f>
        <v>Geografi</v>
      </c>
      <c r="E17" t="str">
        <f>VLOOKUP(C17,Orgenheter!$A$1:$C$165,3,FALSE)</f>
        <v>Sam</v>
      </c>
      <c r="F17" s="294">
        <f>5/30</f>
        <v>0.16666666666666666</v>
      </c>
      <c r="G17">
        <f>VLOOKUP(A17,'Ansvar kurs'!$A$85:$C$976,2,FALSE)</f>
        <v>1630</v>
      </c>
      <c r="H17" t="str">
        <f>VLOOKUP(G17,Orgenheter!$A$1:$B$213,2)</f>
        <v>Inst för ide- o samhällsstudier</v>
      </c>
      <c r="I17" t="str">
        <f>VLOOKUP(G17,Orgenheter!$A$1:$C$165,3,FALSE)</f>
        <v>Hum</v>
      </c>
      <c r="J17" s="210">
        <f>IF(ISERROR(VLOOKUP(A17,'Totalt pivot'!$A$5:$C$397,2,FALSE)),0,(VLOOKUP(A17,'Totalt pivot'!$A$5:$C$397,2,FALSE)))</f>
        <v>7</v>
      </c>
      <c r="K17" s="210">
        <f t="shared" si="5"/>
        <v>1.1666666666666665</v>
      </c>
      <c r="L17" s="210">
        <f>IF(ISERROR(VLOOKUP(A17,'Totalt pivot'!$A$5:$C$397,3,FALSE)),0,(VLOOKUP(A17,'Totalt pivot'!$A$5:$C$397,3,FALSE)))</f>
        <v>5.95</v>
      </c>
      <c r="M17" s="210">
        <f t="shared" si="15"/>
        <v>0.9916666666666667</v>
      </c>
      <c r="N17" s="26">
        <f>VLOOKUP(A17,kurspris!$A$1:$Q$809,15)</f>
        <v>18405</v>
      </c>
      <c r="O17" s="26">
        <f>VLOOKUP(A17,kurspris!$A$1:$Q$809,16)</f>
        <v>15773</v>
      </c>
      <c r="P17" s="26">
        <f>VLOOKUP(A17,kurspris!$A$1:$Q$809,17)</f>
        <v>5800</v>
      </c>
      <c r="Q17" s="26">
        <f t="shared" si="16"/>
        <v>37114.058333333334</v>
      </c>
      <c r="R17" s="26">
        <f>(Q17*Prislapp!$R$5)*-1</f>
        <v>-2597.9840833333337</v>
      </c>
      <c r="S17" s="26">
        <f t="shared" si="17"/>
        <v>34516.074249999998</v>
      </c>
      <c r="T17" s="26">
        <f t="shared" si="18"/>
        <v>6766.6666666666661</v>
      </c>
      <c r="V17" s="39" t="s">
        <v>889</v>
      </c>
    </row>
    <row r="18" spans="1:22" x14ac:dyDescent="0.25">
      <c r="A18" s="62" t="s">
        <v>864</v>
      </c>
      <c r="B18" t="str">
        <f>VLOOKUP(A18,kurspris!$A$1:$Q$809,2,FALSE)</f>
        <v>Samhällsorientering åk 4-6</v>
      </c>
      <c r="C18" s="31">
        <v>2180</v>
      </c>
      <c r="D18" t="str">
        <f>VLOOKUP(C18,Orgenheter!$A$1:$B$213,2)</f>
        <v xml:space="preserve">Pedagogik                     </v>
      </c>
      <c r="E18" t="str">
        <f>VLOOKUP(C18,Orgenheter!$A$1:$C$165,3,FALSE)</f>
        <v>Sam</v>
      </c>
      <c r="F18" s="294">
        <v>0.5</v>
      </c>
      <c r="G18">
        <f>VLOOKUP(A18,'Ansvar kurs'!$A$85:$C$976,2,FALSE)</f>
        <v>1630</v>
      </c>
      <c r="H18" t="str">
        <f>VLOOKUP(G18,Orgenheter!$A$1:$B$213,2)</f>
        <v>Inst för ide- o samhällsstudier</v>
      </c>
      <c r="I18" t="str">
        <f>VLOOKUP(G18,Orgenheter!$A$1:$C$165,3,FALSE)</f>
        <v>Hum</v>
      </c>
      <c r="J18" s="210">
        <f>IF(ISERROR(VLOOKUP(A18,'Totalt pivot'!$A$5:$C$397,2,FALSE)),0,(VLOOKUP(A18,'Totalt pivot'!$A$5:$C$397,2,FALSE)))</f>
        <v>7</v>
      </c>
      <c r="K18" s="210">
        <f t="shared" si="5"/>
        <v>3.5</v>
      </c>
      <c r="L18" s="210">
        <f>IF(ISERROR(VLOOKUP(A18,'Totalt pivot'!$A$5:$C$397,3,FALSE)),0,(VLOOKUP(A18,'Totalt pivot'!$A$5:$C$397,3,FALSE)))</f>
        <v>5.95</v>
      </c>
      <c r="M18" s="210">
        <f t="shared" si="15"/>
        <v>2.9750000000000001</v>
      </c>
      <c r="N18" s="26">
        <f>VLOOKUP(A18,kurspris!$A$1:$Q$809,15)</f>
        <v>18405</v>
      </c>
      <c r="O18" s="26">
        <f>VLOOKUP(A18,kurspris!$A$1:$Q$809,16)</f>
        <v>15773</v>
      </c>
      <c r="P18" s="26">
        <f>VLOOKUP(A18,kurspris!$A$1:$Q$809,17)</f>
        <v>5800</v>
      </c>
      <c r="Q18" s="26">
        <f t="shared" si="16"/>
        <v>111342.175</v>
      </c>
      <c r="R18" s="26">
        <f>(Q18*Prislapp!$R$5)*-1</f>
        <v>-7793.9522500000012</v>
      </c>
      <c r="S18" s="26">
        <f t="shared" si="17"/>
        <v>103548.22275</v>
      </c>
      <c r="T18" s="26">
        <f t="shared" si="18"/>
        <v>20300</v>
      </c>
    </row>
    <row r="19" spans="1:22" x14ac:dyDescent="0.25">
      <c r="A19" s="62" t="s">
        <v>1143</v>
      </c>
      <c r="B19" t="str">
        <f>VLOOKUP(A19,kurspris!$A$1:$Q$809,2,FALSE)</f>
        <v>Kunskap, vetenskap och forskningsmetodik, 7,5 hp</v>
      </c>
      <c r="C19" s="31">
        <v>2272</v>
      </c>
      <c r="D19" t="str">
        <f>VLOOKUP(C19,Orgenheter!$A$1:$B$213,2)</f>
        <v xml:space="preserve">Statistik                     </v>
      </c>
      <c r="E19" t="str">
        <f>VLOOKUP(C19,Orgenheter!$A$1:$C$165,3,FALSE)</f>
        <v>Sam</v>
      </c>
      <c r="F19" s="294">
        <f>1.5/7.5</f>
        <v>0.2</v>
      </c>
      <c r="G19">
        <f>VLOOKUP(A19,'Ansvar kurs'!$A$85:$C$976,2,FALSE)</f>
        <v>1630</v>
      </c>
      <c r="H19" t="str">
        <f>VLOOKUP(G19,Orgenheter!$A$1:$B$213,2)</f>
        <v>Inst för ide- o samhällsstudier</v>
      </c>
      <c r="I19" t="str">
        <f>VLOOKUP(G19,Orgenheter!$A$1:$C$165,3,FALSE)</f>
        <v>Hum</v>
      </c>
      <c r="J19" s="210">
        <f>IF(ISERROR(VLOOKUP(A19,'Totalt pivot'!$A$5:$C$397,2,FALSE)),0,(VLOOKUP(A19,'Totalt pivot'!$A$5:$C$397,2,FALSE)))</f>
        <v>38.125</v>
      </c>
      <c r="K19" s="210">
        <f t="shared" si="5"/>
        <v>7.625</v>
      </c>
      <c r="L19" s="210">
        <f>IF(ISERROR(VLOOKUP(A19,'Totalt pivot'!$A$5:$C$397,3,FALSE)),0,(VLOOKUP(A19,'Totalt pivot'!$A$5:$C$397,3,FALSE)))</f>
        <v>32.40625</v>
      </c>
      <c r="M19" s="210">
        <f t="shared" si="15"/>
        <v>6.4812500000000002</v>
      </c>
      <c r="N19" s="26">
        <f>VLOOKUP(A19,kurspris!$A$1:$Q$809,15)</f>
        <v>23641</v>
      </c>
      <c r="O19" s="26">
        <f>VLOOKUP(A19,kurspris!$A$1:$Q$809,16)</f>
        <v>28786</v>
      </c>
      <c r="P19" s="26">
        <f>VLOOKUP(A19,kurspris!$A$1:$Q$809,17)</f>
        <v>5800</v>
      </c>
      <c r="Q19" s="26">
        <f t="shared" si="16"/>
        <v>366831.88750000001</v>
      </c>
      <c r="R19" s="26">
        <f>(Q19*Prislapp!$R$5)*-1</f>
        <v>-25678.232125000002</v>
      </c>
      <c r="S19" s="26">
        <f t="shared" si="17"/>
        <v>341153.65537500003</v>
      </c>
      <c r="T19" s="26">
        <f t="shared" si="18"/>
        <v>44225</v>
      </c>
      <c r="V19" t="s">
        <v>1131</v>
      </c>
    </row>
    <row r="20" spans="1:22" x14ac:dyDescent="0.25">
      <c r="A20" s="62" t="s">
        <v>1143</v>
      </c>
      <c r="B20" t="str">
        <f>VLOOKUP(A20,kurspris!$A$1:$Q$809,2,FALSE)</f>
        <v>Kunskap, vetenskap och forskningsmetodik, 7,5 hp</v>
      </c>
      <c r="C20" s="31">
        <v>2180</v>
      </c>
      <c r="D20" t="str">
        <f>VLOOKUP(C20,Orgenheter!$A$1:$B$213,2)</f>
        <v xml:space="preserve">Pedagogik                     </v>
      </c>
      <c r="E20" t="str">
        <f>VLOOKUP(C20,Orgenheter!$A$1:$C$165,3,FALSE)</f>
        <v>Sam</v>
      </c>
      <c r="F20" s="294">
        <f>1/7.5</f>
        <v>0.13333333333333333</v>
      </c>
      <c r="G20">
        <f>VLOOKUP(A20,'Ansvar kurs'!$A$85:$C$976,2,FALSE)</f>
        <v>1630</v>
      </c>
      <c r="H20" t="str">
        <f>VLOOKUP(G20,Orgenheter!$A$1:$B$213,2)</f>
        <v>Inst för ide- o samhällsstudier</v>
      </c>
      <c r="I20" t="str">
        <f>VLOOKUP(G20,Orgenheter!$A$1:$C$165,3,FALSE)</f>
        <v>Hum</v>
      </c>
      <c r="J20" s="210">
        <f>IF(ISERROR(VLOOKUP(A20,'Totalt pivot'!$A$5:$C$397,2,FALSE)),0,(VLOOKUP(A20,'Totalt pivot'!$A$5:$C$397,2,FALSE)))</f>
        <v>38.125</v>
      </c>
      <c r="K20" s="210">
        <f t="shared" si="5"/>
        <v>5.083333333333333</v>
      </c>
      <c r="L20" s="210">
        <f>IF(ISERROR(VLOOKUP(A20,'Totalt pivot'!$A$5:$C$397,3,FALSE)),0,(VLOOKUP(A20,'Totalt pivot'!$A$5:$C$397,3,FALSE)))</f>
        <v>32.40625</v>
      </c>
      <c r="M20" s="210">
        <f t="shared" si="15"/>
        <v>4.3208333333333329</v>
      </c>
      <c r="N20" s="26">
        <f>VLOOKUP(A20,kurspris!$A$1:$Q$809,15)</f>
        <v>23641</v>
      </c>
      <c r="O20" s="26">
        <f>VLOOKUP(A20,kurspris!$A$1:$Q$809,16)</f>
        <v>28786</v>
      </c>
      <c r="P20" s="26">
        <f>VLOOKUP(A20,kurspris!$A$1:$Q$809,17)</f>
        <v>5800</v>
      </c>
      <c r="Q20" s="26">
        <f t="shared" si="16"/>
        <v>244554.59166666665</v>
      </c>
      <c r="R20" s="26">
        <f>(Q20*Prislapp!$R$5)*-1</f>
        <v>-17118.821416666666</v>
      </c>
      <c r="S20" s="26">
        <f t="shared" si="17"/>
        <v>227435.77024999997</v>
      </c>
      <c r="T20" s="26">
        <f t="shared" si="18"/>
        <v>29483.333333333332</v>
      </c>
      <c r="V20" t="s">
        <v>1131</v>
      </c>
    </row>
    <row r="21" spans="1:22" x14ac:dyDescent="0.25">
      <c r="A21" s="62" t="s">
        <v>1145</v>
      </c>
      <c r="B21" t="str">
        <f>VLOOKUP(A21,kurspris!$A$1:$Q$809,2,FALSE)</f>
        <v>Etik, demokrati och det heterogena klassrummet, 7,5 hp</v>
      </c>
      <c r="C21" s="31">
        <v>1640</v>
      </c>
      <c r="D21" t="str">
        <f>VLOOKUP(C21,Orgenheter!$A$1:$B$213,2)</f>
        <v>Inst för kultur- o medievetenskap</v>
      </c>
      <c r="E21" t="str">
        <f>VLOOKUP(C21,Orgenheter!$A$1:$C$165,3,FALSE)</f>
        <v>Hum</v>
      </c>
      <c r="F21" s="294">
        <f>3.5/7.5</f>
        <v>0.46666666666666667</v>
      </c>
      <c r="G21">
        <f>VLOOKUP(A21,'Ansvar kurs'!$A$85:$C$976,2,FALSE)</f>
        <v>1630</v>
      </c>
      <c r="H21" t="str">
        <f>VLOOKUP(G21,Orgenheter!$A$1:$B$213,2)</f>
        <v>Inst för ide- o samhällsstudier</v>
      </c>
      <c r="I21" t="str">
        <f>VLOOKUP(G21,Orgenheter!$A$1:$C$165,3,FALSE)</f>
        <v>Hum</v>
      </c>
      <c r="J21" s="210">
        <f>IF(ISERROR(VLOOKUP(A21,'Totalt pivot'!$A$5:$C$397,2,FALSE)),0,(VLOOKUP(A21,'Totalt pivot'!$A$5:$C$397,2,FALSE)))</f>
        <v>36.75</v>
      </c>
      <c r="K21" s="210">
        <f t="shared" si="5"/>
        <v>17.149999999999999</v>
      </c>
      <c r="L21" s="210">
        <f>IF(ISERROR(VLOOKUP(A21,'Totalt pivot'!$A$5:$C$397,3,FALSE)),0,(VLOOKUP(A21,'Totalt pivot'!$A$5:$C$397,3,FALSE)))</f>
        <v>31.237500000000001</v>
      </c>
      <c r="M21" s="210">
        <f t="shared" si="15"/>
        <v>14.577500000000001</v>
      </c>
      <c r="N21" s="26">
        <f>VLOOKUP(A21,kurspris!$A$1:$Q$809,15)</f>
        <v>23641</v>
      </c>
      <c r="O21" s="26">
        <f>VLOOKUP(A21,kurspris!$A$1:$Q$809,16)</f>
        <v>28786</v>
      </c>
      <c r="P21" s="26">
        <f>VLOOKUP(A21,kurspris!$A$1:$Q$809,17)</f>
        <v>5800</v>
      </c>
      <c r="Q21" s="26">
        <f t="shared" si="16"/>
        <v>825071.06499999994</v>
      </c>
      <c r="R21" s="26">
        <f>(Q21*Prislapp!$R$5)*-1</f>
        <v>-57754.974549999999</v>
      </c>
      <c r="S21" s="26">
        <f t="shared" si="17"/>
        <v>767316.0904499999</v>
      </c>
      <c r="T21" s="26">
        <f t="shared" si="18"/>
        <v>99469.999999999985</v>
      </c>
      <c r="V21" t="s">
        <v>1131</v>
      </c>
    </row>
    <row r="22" spans="1:22" x14ac:dyDescent="0.25">
      <c r="A22" s="62" t="s">
        <v>819</v>
      </c>
      <c r="B22" t="str">
        <f>VLOOKUP(A22,kurspris!$A$1:$Q$809,2,FALSE)</f>
        <v>Att undervisa i åk 4-6</v>
      </c>
      <c r="C22" s="31">
        <v>5740</v>
      </c>
      <c r="D22" t="str">
        <f>VLOOKUP(C22,Orgenheter!$A$1:$B$213,2)</f>
        <v>NMD</v>
      </c>
      <c r="E22" t="str">
        <f>VLOOKUP(C22,Orgenheter!$A$1:$C$165,3,FALSE)</f>
        <v>TekNat</v>
      </c>
      <c r="F22" s="294">
        <f>2/6</f>
        <v>0.33333333333333331</v>
      </c>
      <c r="G22">
        <f>VLOOKUP(A22,'Ansvar kurs'!$A$85:$C$976,2,FALSE)</f>
        <v>1620</v>
      </c>
      <c r="H22" t="str">
        <f>VLOOKUP(G22,Orgenheter!$A$1:$B$213,2)</f>
        <v>Inst för språkstudier</v>
      </c>
      <c r="I22" t="str">
        <f>VLOOKUP(G22,Orgenheter!$A$1:$C$165,3,FALSE)</f>
        <v>Hum</v>
      </c>
      <c r="J22" s="210">
        <f>IF(ISERROR(VLOOKUP(A22,'Totalt pivot'!$A$5:$C$397,2,FALSE)),0,(VLOOKUP(A22,'Totalt pivot'!$A$5:$C$397,2,FALSE)))</f>
        <v>2.9</v>
      </c>
      <c r="K22" s="210">
        <f t="shared" si="5"/>
        <v>0.96666666666666656</v>
      </c>
      <c r="L22" s="210">
        <f>IF(ISERROR(VLOOKUP(A22,'Totalt pivot'!$A$5:$C$397,3,FALSE)),0,(VLOOKUP(A22,'Totalt pivot'!$A$5:$C$397,3,FALSE)))</f>
        <v>2.4649999999999999</v>
      </c>
      <c r="M22" s="210">
        <f t="shared" si="15"/>
        <v>0.82166666666666655</v>
      </c>
      <c r="N22" s="26">
        <f>VLOOKUP(A22,kurspris!$A$1:$Q$809,15)</f>
        <v>21634</v>
      </c>
      <c r="O22" s="26">
        <f>VLOOKUP(A22,kurspris!$A$1:$Q$809,16)</f>
        <v>26986</v>
      </c>
      <c r="P22" s="26">
        <f>VLOOKUP(A22,kurspris!$A$1:$Q$809,17)</f>
        <v>3400</v>
      </c>
      <c r="Q22" s="26">
        <f t="shared" si="16"/>
        <v>43086.363333333327</v>
      </c>
      <c r="R22" s="26">
        <f>(Q22*Prislapp!$R$5)*-1</f>
        <v>-3016.0454333333332</v>
      </c>
      <c r="S22" s="26">
        <f t="shared" si="17"/>
        <v>40070.317899999995</v>
      </c>
      <c r="T22" s="26">
        <f t="shared" si="18"/>
        <v>3286.6666666666665</v>
      </c>
      <c r="V22" s="39" t="s">
        <v>820</v>
      </c>
    </row>
    <row r="23" spans="1:22" x14ac:dyDescent="0.25">
      <c r="A23" s="62" t="s">
        <v>818</v>
      </c>
      <c r="B23" t="str">
        <f>VLOOKUP(A23,kurspris!$A$1:$Q$809,2,FALSE)</f>
        <v>Att undervisa i F-3</v>
      </c>
      <c r="C23" s="31">
        <v>5740</v>
      </c>
      <c r="D23" t="str">
        <f>VLOOKUP(C23,Orgenheter!$A$1:$B$213,2)</f>
        <v>NMD</v>
      </c>
      <c r="E23" t="str">
        <f>VLOOKUP(C23,Orgenheter!$A$1:$C$165,3,FALSE)</f>
        <v>TekNat</v>
      </c>
      <c r="F23" s="294">
        <f>2/6</f>
        <v>0.33333333333333331</v>
      </c>
      <c r="G23">
        <f>VLOOKUP(A23,'Ansvar kurs'!$A$85:$C$976,2,FALSE)</f>
        <v>1620</v>
      </c>
      <c r="H23" t="str">
        <f>VLOOKUP(G23,Orgenheter!$A$1:$B$213,2)</f>
        <v>Inst för språkstudier</v>
      </c>
      <c r="I23" t="str">
        <f>VLOOKUP(G23,Orgenheter!$A$1:$C$165,3,FALSE)</f>
        <v>Hum</v>
      </c>
      <c r="J23" s="210">
        <f>IF(ISERROR(VLOOKUP(A23,'Totalt pivot'!$A$5:$C$397,2,FALSE)),0,(VLOOKUP(A23,'Totalt pivot'!$A$5:$C$397,2,FALSE)))</f>
        <v>3.4</v>
      </c>
      <c r="K23" s="210">
        <f t="shared" si="5"/>
        <v>1.1333333333333333</v>
      </c>
      <c r="L23" s="210">
        <f>IF(ISERROR(VLOOKUP(A23,'Totalt pivot'!$A$5:$C$397,3,FALSE)),0,(VLOOKUP(A23,'Totalt pivot'!$A$5:$C$397,3,FALSE)))</f>
        <v>2.8899999999999997</v>
      </c>
      <c r="M23" s="210">
        <f t="shared" si="15"/>
        <v>0.96333333333333315</v>
      </c>
      <c r="N23" s="26">
        <f>VLOOKUP(A23,kurspris!$A$1:$Q$809,15)</f>
        <v>21634</v>
      </c>
      <c r="O23" s="26">
        <f>VLOOKUP(A23,kurspris!$A$1:$Q$809,16)</f>
        <v>26986</v>
      </c>
      <c r="P23" s="26">
        <f>VLOOKUP(A23,kurspris!$A$1:$Q$809,17)</f>
        <v>3400</v>
      </c>
      <c r="Q23" s="26">
        <f t="shared" si="16"/>
        <v>50515.046666666662</v>
      </c>
      <c r="R23" s="26">
        <f>(Q23*Prislapp!$R$5)*-1</f>
        <v>-3536.0532666666668</v>
      </c>
      <c r="S23" s="26">
        <f t="shared" si="17"/>
        <v>46978.993399999992</v>
      </c>
      <c r="T23" s="26">
        <f t="shared" si="18"/>
        <v>3853.333333333333</v>
      </c>
      <c r="V23" s="39" t="s">
        <v>820</v>
      </c>
    </row>
    <row r="24" spans="1:22" x14ac:dyDescent="0.25">
      <c r="A24" s="62" t="s">
        <v>1556</v>
      </c>
      <c r="B24" t="str">
        <f>VLOOKUP(A24,kurspris!$A$1:$Q$809,2,FALSE)</f>
        <v>Språk, kommunikation och språkutveckling i förskolans verksamhet</v>
      </c>
      <c r="C24" s="31">
        <v>2193</v>
      </c>
      <c r="D24" t="str">
        <f>VLOOKUP(C24,Orgenheter!$A$1:$B$213,2)</f>
        <v xml:space="preserve">TUV </v>
      </c>
      <c r="E24" t="str">
        <f>VLOOKUP(C24,Orgenheter!$A$1:$C$165,3,FALSE)</f>
        <v>Sam</v>
      </c>
      <c r="F24" s="294">
        <f>3/15</f>
        <v>0.2</v>
      </c>
      <c r="G24">
        <f>VLOOKUP(A24,'Ansvar kurs'!$A$85:$C$976,2,FALSE)</f>
        <v>1620</v>
      </c>
      <c r="H24" t="str">
        <f>VLOOKUP(G24,Orgenheter!$A$1:$B$213,2)</f>
        <v>Inst för språkstudier</v>
      </c>
      <c r="I24" t="str">
        <f>VLOOKUP(G24,Orgenheter!$A$1:$C$165,3,FALSE)</f>
        <v>Hum</v>
      </c>
      <c r="J24" s="210">
        <f>IF(ISERROR(VLOOKUP(A24,'Totalt pivot'!$A$5:$C$397,2,FALSE)),0,(VLOOKUP(A24,'Totalt pivot'!$A$5:$C$397,2,FALSE)))</f>
        <v>21.25</v>
      </c>
      <c r="K24" s="210">
        <f t="shared" si="5"/>
        <v>4.25</v>
      </c>
      <c r="L24" s="210">
        <f>IF(ISERROR(VLOOKUP(A24,'Totalt pivot'!$A$5:$C$397,3,FALSE)),0,(VLOOKUP(A24,'Totalt pivot'!$A$5:$C$397,3,FALSE)))</f>
        <v>18.0625</v>
      </c>
      <c r="M24" s="210">
        <f t="shared" ref="M24" si="39">F24*L24</f>
        <v>3.6125000000000003</v>
      </c>
      <c r="N24" s="26">
        <f>VLOOKUP(A24,kurspris!$A$1:$Q$809,15)</f>
        <v>18405</v>
      </c>
      <c r="O24" s="26">
        <f>VLOOKUP(A24,kurspris!$A$1:$Q$809,16)</f>
        <v>15773</v>
      </c>
      <c r="P24" s="26">
        <f>VLOOKUP(A24,kurspris!$A$1:$Q$809,17)</f>
        <v>5800</v>
      </c>
      <c r="Q24" s="26">
        <f t="shared" ref="Q24" si="40">K24*N24+M24*O24</f>
        <v>135201.21249999999</v>
      </c>
      <c r="R24" s="26">
        <f>(Q24*Prislapp!$R$5)*-1</f>
        <v>-9464.0848750000005</v>
      </c>
      <c r="S24" s="26">
        <f t="shared" ref="S24" si="41">Q24+R24</f>
        <v>125737.12762499999</v>
      </c>
      <c r="T24" s="26">
        <f t="shared" ref="T24" si="42">K24*P24</f>
        <v>24650</v>
      </c>
      <c r="V24" s="39"/>
    </row>
    <row r="25" spans="1:22" x14ac:dyDescent="0.25">
      <c r="A25" s="62" t="s">
        <v>1661</v>
      </c>
      <c r="B25" t="str">
        <f>VLOOKUP(A25,kurspris!$A$1:$Q$809,2,FALSE)</f>
        <v>Kommunikation och språkutveckling för fritidshem</v>
      </c>
      <c r="C25" s="31">
        <v>2193</v>
      </c>
      <c r="D25" t="str">
        <f>VLOOKUP(C25,Orgenheter!$A$1:$B$213,2)</f>
        <v xml:space="preserve">TUV </v>
      </c>
      <c r="E25" t="str">
        <f>VLOOKUP(C25,Orgenheter!$A$1:$C$165,3,FALSE)</f>
        <v>Sam</v>
      </c>
      <c r="F25" s="294">
        <f>2.5/7.5</f>
        <v>0.33333333333333331</v>
      </c>
      <c r="G25">
        <f>VLOOKUP(A25,'Ansvar kurs'!$A$85:$C$976,2,FALSE)</f>
        <v>1620</v>
      </c>
      <c r="H25" t="str">
        <f>VLOOKUP(G25,Orgenheter!$A$1:$B$213,2)</f>
        <v>Inst för språkstudier</v>
      </c>
      <c r="I25" t="str">
        <f>VLOOKUP(G25,Orgenheter!$A$1:$C$165,3,FALSE)</f>
        <v>Hum</v>
      </c>
      <c r="J25" s="210">
        <f>IF(ISERROR(VLOOKUP(A25,'Totalt pivot'!$A$5:$C$397,2,FALSE)),0,(VLOOKUP(A25,'Totalt pivot'!$A$5:$C$397,2,FALSE)))</f>
        <v>3.125</v>
      </c>
      <c r="K25" s="210">
        <f t="shared" ref="K25" si="43">F25*J25</f>
        <v>1.0416666666666665</v>
      </c>
      <c r="L25" s="210">
        <f>IF(ISERROR(VLOOKUP(A25,'Totalt pivot'!$A$5:$C$397,3,FALSE)),0,(VLOOKUP(A25,'Totalt pivot'!$A$5:$C$397,3,FALSE)))</f>
        <v>2.65625</v>
      </c>
      <c r="M25" s="210">
        <f t="shared" ref="M25" si="44">F25*L25</f>
        <v>0.88541666666666663</v>
      </c>
      <c r="N25" s="26">
        <f>VLOOKUP(A25,kurspris!$A$1:$Q$809,15)</f>
        <v>18405</v>
      </c>
      <c r="O25" s="26">
        <f>VLOOKUP(A25,kurspris!$A$1:$Q$809,16)</f>
        <v>15773</v>
      </c>
      <c r="P25" s="26">
        <f>VLOOKUP(A25,kurspris!$A$1:$Q$809,17)</f>
        <v>5800</v>
      </c>
      <c r="Q25" s="26">
        <f t="shared" ref="Q25" si="45">K25*N25+M25*O25</f>
        <v>33137.552083333328</v>
      </c>
      <c r="R25" s="26">
        <f>(Q25*Prislapp!$R$5)*-1</f>
        <v>-2319.6286458333334</v>
      </c>
      <c r="S25" s="26">
        <f t="shared" ref="S25" si="46">Q25+R25</f>
        <v>30817.923437499994</v>
      </c>
      <c r="T25" s="26">
        <f t="shared" ref="T25" si="47">K25*P25</f>
        <v>6041.6666666666661</v>
      </c>
      <c r="V25" s="39" t="s">
        <v>1701</v>
      </c>
    </row>
    <row r="26" spans="1:22" x14ac:dyDescent="0.25">
      <c r="A26" s="31" t="s">
        <v>1451</v>
      </c>
      <c r="B26" t="str">
        <f>VLOOKUP(A26,kurspris!$A$1:$Q$809,2,FALSE)</f>
        <v>Matematik 4 för förskoleklass och grundskolans årskurs 1-3</v>
      </c>
      <c r="C26" s="31">
        <v>5730</v>
      </c>
      <c r="D26" t="str">
        <f>VLOOKUP(C26,Orgenheter!$A$1:$B$213,2)</f>
        <v>Inst för MA och MA statistik</v>
      </c>
      <c r="E26" t="str">
        <f>VLOOKUP(C26,Orgenheter!$A$1:$C$165,3,FALSE)</f>
        <v>TekNat</v>
      </c>
      <c r="F26" s="295">
        <f>2.5/7.5</f>
        <v>0.33333333333333331</v>
      </c>
      <c r="G26">
        <f>VLOOKUP(A26,'Ansvar kurs'!$A$85:$C$976,2,FALSE)</f>
        <v>5740</v>
      </c>
      <c r="H26" t="str">
        <f>VLOOKUP(G26,Orgenheter!$A$1:$B$213,2)</f>
        <v>NMD</v>
      </c>
      <c r="I26" t="str">
        <f>VLOOKUP(G26,Orgenheter!$A$1:$C$165,3,FALSE)</f>
        <v>TekNat</v>
      </c>
      <c r="J26" s="210">
        <f>IF(ISERROR(VLOOKUP(A26,'Totalt pivot'!$A$5:$C$397,2,FALSE)),0,(VLOOKUP(A26,'Totalt pivot'!$A$5:$C$397,2,FALSE)))</f>
        <v>4</v>
      </c>
      <c r="K26" s="210">
        <f t="shared" si="5"/>
        <v>1.3333333333333333</v>
      </c>
      <c r="L26" s="210">
        <f>IF(ISERROR(VLOOKUP(A26,'Totalt pivot'!$A$5:$C$397,3,FALSE)),0,(VLOOKUP(A26,'Totalt pivot'!$A$5:$C$397,3,FALSE)))</f>
        <v>3.4</v>
      </c>
      <c r="M26" s="210">
        <f t="shared" ref="M26" si="48">F26*L26</f>
        <v>1.1333333333333333</v>
      </c>
      <c r="N26" s="26">
        <f>VLOOKUP(A26,kurspris!$A$1:$Q$809,15)</f>
        <v>19473</v>
      </c>
      <c r="O26" s="26">
        <f>VLOOKUP(A26,kurspris!$A$1:$Q$809,16)</f>
        <v>34806</v>
      </c>
      <c r="P26" s="26">
        <f>VLOOKUP(A26,kurspris!$A$1:$Q$809,17)</f>
        <v>21800</v>
      </c>
      <c r="Q26" s="26">
        <f t="shared" ref="Q26" si="49">K26*N26+M26*O26</f>
        <v>65410.799999999996</v>
      </c>
      <c r="R26" s="26">
        <f>(Q26*Prislapp!$R$5)*-1</f>
        <v>-4578.7560000000003</v>
      </c>
      <c r="S26" s="26">
        <f t="shared" ref="S26" si="50">Q26+R26</f>
        <v>60832.043999999994</v>
      </c>
      <c r="T26" s="26">
        <f t="shared" ref="T26" si="51">K26*P26</f>
        <v>29066.666666666664</v>
      </c>
    </row>
    <row r="27" spans="1:22" x14ac:dyDescent="0.25">
      <c r="A27" s="31" t="s">
        <v>1455</v>
      </c>
      <c r="B27" t="str">
        <f>VLOOKUP(A27,kurspris!$A$1:$Q$809,2,FALSE)</f>
        <v>Matematik 3 för grundskolans årskurs 4-6</v>
      </c>
      <c r="C27" s="31">
        <v>5730</v>
      </c>
      <c r="D27" t="str">
        <f>VLOOKUP(C27,Orgenheter!$A$1:$B$213,2)</f>
        <v>Inst för MA och MA statistik</v>
      </c>
      <c r="E27" t="str">
        <f>VLOOKUP(C27,Orgenheter!$A$1:$C$165,3,FALSE)</f>
        <v>TekNat</v>
      </c>
      <c r="F27" s="295">
        <f>2.5/7.5</f>
        <v>0.33333333333333331</v>
      </c>
      <c r="G27">
        <f>VLOOKUP(A27,'Ansvar kurs'!$A$85:$C$976,2,FALSE)</f>
        <v>5740</v>
      </c>
      <c r="H27" t="str">
        <f>VLOOKUP(G27,Orgenheter!$A$1:$B$213,2)</f>
        <v>NMD</v>
      </c>
      <c r="I27" t="str">
        <f>VLOOKUP(G27,Orgenheter!$A$1:$C$165,3,FALSE)</f>
        <v>TekNat</v>
      </c>
      <c r="J27" s="210">
        <f>IF(ISERROR(VLOOKUP(A27,'Totalt pivot'!$A$5:$C$397,2,FALSE)),0,(VLOOKUP(A27,'Totalt pivot'!$A$5:$C$397,2,FALSE)))</f>
        <v>2.75</v>
      </c>
      <c r="K27" s="210">
        <f t="shared" si="5"/>
        <v>0.91666666666666663</v>
      </c>
      <c r="L27" s="210">
        <f>IF(ISERROR(VLOOKUP(A27,'Totalt pivot'!$A$5:$C$397,3,FALSE)),0,(VLOOKUP(A27,'Totalt pivot'!$A$5:$C$397,3,FALSE)))</f>
        <v>2.3374999999999999</v>
      </c>
      <c r="M27" s="210">
        <f>F27*L27</f>
        <v>0.77916666666666656</v>
      </c>
      <c r="N27" s="26">
        <f>VLOOKUP(A27,kurspris!$A$1:$Q$809,15)</f>
        <v>19473</v>
      </c>
      <c r="O27" s="26">
        <f>VLOOKUP(A27,kurspris!$A$1:$Q$809,16)</f>
        <v>34806</v>
      </c>
      <c r="P27" s="26">
        <f>VLOOKUP(A27,kurspris!$A$1:$Q$809,17)</f>
        <v>21800</v>
      </c>
      <c r="Q27" s="26">
        <f>K27*N27+M27*O27</f>
        <v>44969.924999999996</v>
      </c>
      <c r="R27" s="26">
        <f>(Q27*Prislapp!$R$5)*-1</f>
        <v>-3147.8947499999999</v>
      </c>
      <c r="S27" s="26">
        <f>Q27+R27</f>
        <v>41822.030249999996</v>
      </c>
      <c r="T27" s="26">
        <f>K27*P27</f>
        <v>19983.333333333332</v>
      </c>
      <c r="V27" t="s">
        <v>1465</v>
      </c>
    </row>
    <row r="28" spans="1:22" x14ac:dyDescent="0.25">
      <c r="A28" s="31" t="s">
        <v>1457</v>
      </c>
      <c r="B28" t="str">
        <f>VLOOKUP(A28,kurspris!$A$1:$Q$809,2,FALSE)</f>
        <v>Matematik 4 för grundskolans årskurs 4-6</v>
      </c>
      <c r="C28" s="31">
        <v>5730</v>
      </c>
      <c r="D28" t="str">
        <f>VLOOKUP(C28,Orgenheter!$A$1:$B$213,2)</f>
        <v>Inst för MA och MA statistik</v>
      </c>
      <c r="E28" t="str">
        <f>VLOOKUP(C28,Orgenheter!$A$1:$C$165,3,FALSE)</f>
        <v>TekNat</v>
      </c>
      <c r="F28" s="295">
        <f>2.5/7.5</f>
        <v>0.33333333333333331</v>
      </c>
      <c r="G28">
        <f>VLOOKUP(A28,'Ansvar kurs'!$A$85:$C$976,2,FALSE)</f>
        <v>5740</v>
      </c>
      <c r="H28" t="str">
        <f>VLOOKUP(G28,Orgenheter!$A$1:$B$213,2)</f>
        <v>NMD</v>
      </c>
      <c r="I28" t="str">
        <f>VLOOKUP(G28,Orgenheter!$A$1:$C$165,3,FALSE)</f>
        <v>TekNat</v>
      </c>
      <c r="J28" s="210">
        <f>IF(ISERROR(VLOOKUP(A28,'Totalt pivot'!$A$5:$C$397,2,FALSE)),0,(VLOOKUP(A28,'Totalt pivot'!$A$5:$C$397,2,FALSE)))</f>
        <v>3.5</v>
      </c>
      <c r="K28" s="210">
        <f t="shared" si="5"/>
        <v>1.1666666666666665</v>
      </c>
      <c r="L28" s="210">
        <f>IF(ISERROR(VLOOKUP(A28,'Totalt pivot'!$A$5:$C$397,3,FALSE)),0,(VLOOKUP(A28,'Totalt pivot'!$A$5:$C$397,3,FALSE)))</f>
        <v>2.9750000000000001</v>
      </c>
      <c r="M28" s="210">
        <f>F28*L28</f>
        <v>0.9916666666666667</v>
      </c>
      <c r="N28" s="26">
        <f>VLOOKUP(A28,kurspris!$A$1:$Q$809,15)</f>
        <v>19473</v>
      </c>
      <c r="O28" s="26">
        <f>VLOOKUP(A28,kurspris!$A$1:$Q$809,16)</f>
        <v>34806</v>
      </c>
      <c r="P28" s="26">
        <f>VLOOKUP(A28,kurspris!$A$1:$Q$809,17)</f>
        <v>21800</v>
      </c>
      <c r="Q28" s="26">
        <f>K28*N28+M28*O28</f>
        <v>57234.45</v>
      </c>
      <c r="R28" s="26">
        <f>(Q28*Prislapp!$R$5)*-1</f>
        <v>-4006.4115000000002</v>
      </c>
      <c r="S28" s="26">
        <f>Q28+R28</f>
        <v>53228.038499999995</v>
      </c>
      <c r="T28" s="26">
        <f>K28*P28</f>
        <v>25433.333333333328</v>
      </c>
    </row>
    <row r="29" spans="1:22" x14ac:dyDescent="0.25">
      <c r="A29" s="31" t="s">
        <v>1557</v>
      </c>
      <c r="B29" t="str">
        <f>VLOOKUP(A29,kurspris!$A$1:$Q$809,2,FALSE)</f>
        <v>Matematik för förskolan</v>
      </c>
      <c r="C29" s="31">
        <v>2193</v>
      </c>
      <c r="D29" t="str">
        <f>VLOOKUP(C29,Orgenheter!$A$1:$B$213,2)</f>
        <v xml:space="preserve">TUV </v>
      </c>
      <c r="E29" t="str">
        <f>VLOOKUP(C29,Orgenheter!$A$1:$C$165,3,FALSE)</f>
        <v>Sam</v>
      </c>
      <c r="F29" s="295">
        <f>2/7.5</f>
        <v>0.26666666666666666</v>
      </c>
      <c r="G29">
        <f>VLOOKUP(A29,'Ansvar kurs'!$A$85:$C$976,2,FALSE)</f>
        <v>5740</v>
      </c>
      <c r="H29" t="str">
        <f>VLOOKUP(G29,Orgenheter!$A$1:$B$213,2)</f>
        <v>NMD</v>
      </c>
      <c r="I29" t="str">
        <f>VLOOKUP(G29,Orgenheter!$A$1:$C$165,3,FALSE)</f>
        <v>TekNat</v>
      </c>
      <c r="J29" s="210">
        <f>IF(ISERROR(VLOOKUP(A29,'Totalt pivot'!$A$5:$C$397,2,FALSE)),0,(VLOOKUP(A29,'Totalt pivot'!$A$5:$C$397,2,FALSE)))</f>
        <v>10.375</v>
      </c>
      <c r="K29" s="210">
        <f t="shared" si="5"/>
        <v>2.7666666666666666</v>
      </c>
      <c r="L29" s="210">
        <f>IF(ISERROR(VLOOKUP(A29,'Totalt pivot'!$A$5:$C$397,3,FALSE)),0,(VLOOKUP(A29,'Totalt pivot'!$A$5:$C$397,3,FALSE)))</f>
        <v>8.8187499999999996</v>
      </c>
      <c r="M29" s="210">
        <f>F29*L29</f>
        <v>2.3516666666666666</v>
      </c>
      <c r="N29" s="26">
        <f>VLOOKUP(A29,kurspris!$A$1:$Q$809,15)</f>
        <v>19473</v>
      </c>
      <c r="O29" s="26">
        <f>VLOOKUP(A29,kurspris!$A$1:$Q$809,16)</f>
        <v>34806</v>
      </c>
      <c r="P29" s="26">
        <f>VLOOKUP(A29,kurspris!$A$1:$Q$809,17)</f>
        <v>21800</v>
      </c>
      <c r="Q29" s="26">
        <f>K29*N29+M29*O29</f>
        <v>135727.41</v>
      </c>
      <c r="R29" s="26">
        <f>(Q29*Prislapp!$R$5)*-1</f>
        <v>-9500.918700000002</v>
      </c>
      <c r="S29" s="26">
        <f>Q29+R29</f>
        <v>126226.49129999999</v>
      </c>
      <c r="T29" s="26">
        <f>K29*P29</f>
        <v>60313.333333333328</v>
      </c>
    </row>
    <row r="30" spans="1:22" x14ac:dyDescent="0.25">
      <c r="A30" s="62" t="s">
        <v>1862</v>
      </c>
      <c r="B30" t="str">
        <f>VLOOKUP(A30,kurspris!$A$1:$Q$809,2,FALSE)</f>
        <v>Naturvetenskap och teknik i förskolan</v>
      </c>
      <c r="C30" s="31">
        <v>2193</v>
      </c>
      <c r="D30" t="str">
        <f>VLOOKUP(C30,Orgenheter!$A$1:$B$213,2)</f>
        <v xml:space="preserve">TUV </v>
      </c>
      <c r="E30" t="str">
        <f>VLOOKUP(C30,Orgenheter!$A$1:$C$165,3,FALSE)</f>
        <v>Sam</v>
      </c>
      <c r="F30" s="295">
        <f>3/15</f>
        <v>0.2</v>
      </c>
      <c r="G30">
        <f>VLOOKUP(A30,'Ansvar kurs'!$A$85:$C$976,2,FALSE)</f>
        <v>5740</v>
      </c>
      <c r="H30" t="str">
        <f>VLOOKUP(G30,Orgenheter!$A$1:$B$213,2)</f>
        <v>NMD</v>
      </c>
      <c r="I30" t="str">
        <f>VLOOKUP(G30,Orgenheter!$A$1:$C$165,3,FALSE)</f>
        <v>TekNat</v>
      </c>
      <c r="J30" s="210">
        <f>IF(ISERROR(VLOOKUP(A30,'Totalt pivot'!$A$5:$C$397,2,FALSE)),0,(VLOOKUP(A30,'Totalt pivot'!$A$5:$C$397,2,FALSE)))</f>
        <v>13.25</v>
      </c>
      <c r="K30" s="210">
        <f t="shared" ref="K30" si="52">F30*J30</f>
        <v>2.6500000000000004</v>
      </c>
      <c r="L30" s="210">
        <f>IF(ISERROR(VLOOKUP(A30,'Totalt pivot'!$A$5:$C$397,3,FALSE)),0,(VLOOKUP(A30,'Totalt pivot'!$A$5:$C$397,3,FALSE)))</f>
        <v>11.262499999999999</v>
      </c>
      <c r="M30" s="210">
        <f>F30*L30</f>
        <v>2.2524999999999999</v>
      </c>
      <c r="N30" s="26">
        <f>VLOOKUP(A30,kurspris!$A$1:$Q$809,15)</f>
        <v>19473</v>
      </c>
      <c r="O30" s="26">
        <f>VLOOKUP(A30,kurspris!$A$1:$Q$809,16)</f>
        <v>34806</v>
      </c>
      <c r="P30" s="26">
        <f>VLOOKUP(A30,kurspris!$A$1:$Q$809,17)</f>
        <v>21800</v>
      </c>
      <c r="Q30" s="26">
        <f>K30*N30+M30*O30</f>
        <v>130003.965</v>
      </c>
      <c r="R30" s="26">
        <f>(Q30*Prislapp!$R$5)*-1</f>
        <v>-9100.2775500000007</v>
      </c>
      <c r="S30" s="26">
        <f>Q30+R30</f>
        <v>120903.68745</v>
      </c>
      <c r="T30" s="26">
        <f>K30*P30</f>
        <v>57770.000000000007</v>
      </c>
    </row>
    <row r="31" spans="1:22" x14ac:dyDescent="0.25">
      <c r="A31" s="31" t="s">
        <v>506</v>
      </c>
      <c r="B31" t="str">
        <f>VLOOKUP(A31,kurspris!$A$1:$Q$809,2,FALSE)</f>
        <v>Grupprocesser och samverkan ur ett fritidshemsperspektiv</v>
      </c>
      <c r="C31" s="31">
        <v>1650</v>
      </c>
      <c r="D31" t="str">
        <f>VLOOKUP(C31,Orgenheter!$A$1:$B$213,2)</f>
        <v xml:space="preserve">Estetiska ämnen               </v>
      </c>
      <c r="E31" t="str">
        <f>VLOOKUP(C31,Orgenheter!$A$1:$C$165,3,FALSE)</f>
        <v>Hum</v>
      </c>
      <c r="F31" s="295">
        <v>0.4</v>
      </c>
      <c r="G31">
        <f>VLOOKUP(A31,'Ansvar kurs'!$A$85:$C$976,2,FALSE)</f>
        <v>2193</v>
      </c>
      <c r="H31" t="str">
        <f>VLOOKUP(G31,Orgenheter!$A$1:$B$213,2)</f>
        <v xml:space="preserve">TUV </v>
      </c>
      <c r="I31" t="str">
        <f>VLOOKUP(G31,Orgenheter!$A$1:$C$165,3,FALSE)</f>
        <v>Sam</v>
      </c>
      <c r="J31" s="210">
        <f>IF(ISERROR(VLOOKUP(A31,'Totalt pivot'!$A$5:$C$397,2,FALSE)),0,(VLOOKUP(A31,'Totalt pivot'!$A$5:$C$397,2,FALSE)))</f>
        <v>3.125</v>
      </c>
      <c r="K31" s="210">
        <f t="shared" si="5"/>
        <v>1.25</v>
      </c>
      <c r="L31" s="210">
        <f>IF(ISERROR(VLOOKUP(A31,'Totalt pivot'!$A$5:$C$397,3,FALSE)),0,(VLOOKUP(A31,'Totalt pivot'!$A$5:$C$397,3,FALSE)))</f>
        <v>2.65625</v>
      </c>
      <c r="M31" s="210">
        <f t="shared" si="15"/>
        <v>1.0625</v>
      </c>
      <c r="N31" s="26">
        <f>VLOOKUP(A31,kurspris!$A$1:$Q$809,15)</f>
        <v>18405</v>
      </c>
      <c r="O31" s="26">
        <f>VLOOKUP(A31,kurspris!$A$1:$Q$809,16)</f>
        <v>15773</v>
      </c>
      <c r="P31" s="26">
        <f>VLOOKUP(A31,kurspris!$A$1:$Q$809,17)</f>
        <v>5800</v>
      </c>
      <c r="Q31" s="26">
        <f t="shared" si="16"/>
        <v>39765.0625</v>
      </c>
      <c r="R31" s="26">
        <f>(Q31*Prislapp!$R$5)*-1</f>
        <v>-2783.5543750000002</v>
      </c>
      <c r="S31" s="26">
        <f t="shared" si="17"/>
        <v>36981.508125</v>
      </c>
      <c r="T31" s="26">
        <f t="shared" si="18"/>
        <v>7250</v>
      </c>
    </row>
    <row r="32" spans="1:22" x14ac:dyDescent="0.25">
      <c r="A32" s="31" t="s">
        <v>826</v>
      </c>
      <c r="B32" t="str">
        <f>VLOOKUP(A32,kurspris!$A$1:$Q$809,2,FALSE)</f>
        <v>Kunskap, undervisning och lärande för yrkeslärare II</v>
      </c>
      <c r="C32" s="31">
        <v>2193</v>
      </c>
      <c r="D32" t="str">
        <f>VLOOKUP(C32,Orgenheter!$A$1:$B$213,2)</f>
        <v xml:space="preserve">TUV </v>
      </c>
      <c r="E32" t="str">
        <f>VLOOKUP(C32,Orgenheter!$A$1:$C$165,3,FALSE)</f>
        <v>Sam</v>
      </c>
      <c r="F32" s="295">
        <f>6/15</f>
        <v>0.4</v>
      </c>
      <c r="G32">
        <f>VLOOKUP(A32,'Ansvar kurs'!$A$85:$C$976,2,FALSE)</f>
        <v>2180</v>
      </c>
      <c r="H32" t="str">
        <f>VLOOKUP(G32,Orgenheter!$A$1:$B$213,2)</f>
        <v xml:space="preserve">Pedagogik                     </v>
      </c>
      <c r="I32" t="str">
        <f>VLOOKUP(G32,Orgenheter!$A$1:$C$165,3,FALSE)</f>
        <v>Sam</v>
      </c>
      <c r="J32" s="210">
        <f>IF(ISERROR(VLOOKUP(A32,'Totalt pivot'!$A$5:$C$397,2,FALSE)),0,(VLOOKUP(A32,'Totalt pivot'!$A$5:$C$397,2,FALSE)))</f>
        <v>10.75</v>
      </c>
      <c r="K32" s="210">
        <f t="shared" si="5"/>
        <v>4.3</v>
      </c>
      <c r="L32" s="210">
        <f>IF(ISERROR(VLOOKUP(A32,'Totalt pivot'!$A$5:$C$397,3,FALSE)),0,(VLOOKUP(A32,'Totalt pivot'!$A$5:$C$397,3,FALSE)))</f>
        <v>9.1374999999999993</v>
      </c>
      <c r="M32" s="210">
        <f t="shared" si="15"/>
        <v>3.6549999999999998</v>
      </c>
      <c r="N32" s="26">
        <f>VLOOKUP(A32,kurspris!$A$1:$Q$809,15)</f>
        <v>23641</v>
      </c>
      <c r="O32" s="26">
        <f>VLOOKUP(A32,kurspris!$A$1:$Q$809,16)</f>
        <v>28786</v>
      </c>
      <c r="P32" s="26">
        <f>VLOOKUP(A32,kurspris!$A$1:$Q$809,17)</f>
        <v>5800</v>
      </c>
      <c r="Q32" s="26">
        <f t="shared" si="16"/>
        <v>206869.13</v>
      </c>
      <c r="R32" s="26">
        <f>(Q32*Prislapp!$R$5)*-1</f>
        <v>-14480.839100000001</v>
      </c>
      <c r="S32" s="26">
        <f t="shared" si="17"/>
        <v>192388.29089999999</v>
      </c>
      <c r="T32" s="26">
        <f t="shared" si="18"/>
        <v>24940</v>
      </c>
    </row>
    <row r="33" spans="1:22" x14ac:dyDescent="0.25">
      <c r="A33" s="62" t="s">
        <v>911</v>
      </c>
      <c r="B33" t="str">
        <f>VLOOKUP(A33,kurspris!$A$1:$Q$809,2,FALSE)</f>
        <v>Ämnesdidaktik för yrkeslärare</v>
      </c>
      <c r="C33" s="31">
        <v>2180</v>
      </c>
      <c r="D33" t="str">
        <f>VLOOKUP(C33,Orgenheter!$A$1:$B$213,2)</f>
        <v xml:space="preserve">Pedagogik                     </v>
      </c>
      <c r="E33" t="str">
        <f>VLOOKUP(C33,Orgenheter!$A$1:$C$165,3,FALSE)</f>
        <v>Sam</v>
      </c>
      <c r="F33" s="295">
        <f>4/10</f>
        <v>0.4</v>
      </c>
      <c r="G33">
        <f>VLOOKUP(A33,'Ansvar kurs'!$A$85:$C$976,2,FALSE)</f>
        <v>2193</v>
      </c>
      <c r="H33" t="str">
        <f>VLOOKUP(G33,Orgenheter!$A$1:$B$213,2)</f>
        <v xml:space="preserve">TUV </v>
      </c>
      <c r="I33" t="str">
        <f>VLOOKUP(G33,Orgenheter!$A$1:$C$165,3,FALSE)</f>
        <v>Sam</v>
      </c>
      <c r="J33" s="210">
        <f>IF(ISERROR(VLOOKUP(A33,'Totalt pivot'!$A$5:$C$397,2,FALSE)),0,(VLOOKUP(A33,'Totalt pivot'!$A$5:$C$397,2,FALSE)))</f>
        <v>4.3333300000000001</v>
      </c>
      <c r="K33" s="210">
        <f t="shared" si="5"/>
        <v>1.7333320000000001</v>
      </c>
      <c r="L33" s="210">
        <f>IF(ISERROR(VLOOKUP(A33,'Totalt pivot'!$A$5:$C$397,3,FALSE)),0,(VLOOKUP(A33,'Totalt pivot'!$A$5:$C$397,3,FALSE)))</f>
        <v>3.6833304999999998</v>
      </c>
      <c r="M33" s="210">
        <f>F33*L33</f>
        <v>1.4733322</v>
      </c>
      <c r="N33" s="26">
        <f>VLOOKUP(A33,kurspris!$A$1:$Q$809,15)</f>
        <v>23641</v>
      </c>
      <c r="O33" s="26">
        <f>VLOOKUP(A33,kurspris!$A$1:$Q$809,16)</f>
        <v>28786</v>
      </c>
      <c r="P33" s="26">
        <f>VLOOKUP(A33,kurspris!$A$1:$Q$809,17)</f>
        <v>5800</v>
      </c>
      <c r="Q33" s="26">
        <f>K33*N33+M33*O33</f>
        <v>83389.042521199997</v>
      </c>
      <c r="R33" s="26">
        <f>(Q33*Prislapp!$R$5)*-1</f>
        <v>-5837.2329764840006</v>
      </c>
      <c r="S33" s="26">
        <f>Q33+R33</f>
        <v>77551.809544716001</v>
      </c>
      <c r="T33" s="26">
        <f>K33*P33</f>
        <v>10053.3256</v>
      </c>
      <c r="V33" t="s">
        <v>1297</v>
      </c>
    </row>
    <row r="34" spans="1:22" x14ac:dyDescent="0.25">
      <c r="A34" s="62" t="s">
        <v>912</v>
      </c>
      <c r="B34" t="str">
        <f>VLOOKUP(A34,kurspris!$A$1:$Q$809,2,FALSE)</f>
        <v>Profession och vetenskap för yrkeslärare</v>
      </c>
      <c r="C34" s="31">
        <v>2180</v>
      </c>
      <c r="D34" t="str">
        <f>VLOOKUP(C34,Orgenheter!$A$1:$B$213,2)</f>
        <v xml:space="preserve">Pedagogik                     </v>
      </c>
      <c r="E34" t="str">
        <f>VLOOKUP(C34,Orgenheter!$A$1:$C$165,3,FALSE)</f>
        <v>Sam</v>
      </c>
      <c r="F34" s="295">
        <f>2/5</f>
        <v>0.4</v>
      </c>
      <c r="G34">
        <f>VLOOKUP(A34,'Ansvar kurs'!$A$85:$C$976,2,FALSE)</f>
        <v>2193</v>
      </c>
      <c r="H34" t="str">
        <f>VLOOKUP(G34,Orgenheter!$A$1:$B$213,2)</f>
        <v xml:space="preserve">TUV </v>
      </c>
      <c r="I34" t="str">
        <f>VLOOKUP(G34,Orgenheter!$A$1:$C$165,3,FALSE)</f>
        <v>Sam</v>
      </c>
      <c r="J34" s="210">
        <f>IF(ISERROR(VLOOKUP(A34,'Totalt pivot'!$A$5:$C$397,2,FALSE)),0,(VLOOKUP(A34,'Totalt pivot'!$A$5:$C$397,2,FALSE)))</f>
        <v>2.0833300000000001</v>
      </c>
      <c r="K34" s="210">
        <f t="shared" si="5"/>
        <v>0.83333200000000007</v>
      </c>
      <c r="L34" s="210">
        <f>IF(ISERROR(VLOOKUP(A34,'Totalt pivot'!$A$5:$C$397,3,FALSE)),0,(VLOOKUP(A34,'Totalt pivot'!$A$5:$C$397,3,FALSE)))</f>
        <v>1.7708305</v>
      </c>
      <c r="M34" s="210">
        <f t="shared" ref="M34:M106" si="53">F34*L34</f>
        <v>0.70833220000000008</v>
      </c>
      <c r="N34" s="26">
        <f>VLOOKUP(A34,kurspris!$A$1:$Q$809,15)</f>
        <v>23641</v>
      </c>
      <c r="O34" s="26">
        <f>VLOOKUP(A34,kurspris!$A$1:$Q$809,16)</f>
        <v>28786</v>
      </c>
      <c r="P34" s="26">
        <f>VLOOKUP(A34,kurspris!$A$1:$Q$809,17)</f>
        <v>5800</v>
      </c>
      <c r="Q34" s="26">
        <f t="shared" ref="Q34:Q106" si="54">K34*N34+M34*O34</f>
        <v>40090.852521200002</v>
      </c>
      <c r="R34" s="26">
        <f>(Q34*Prislapp!$R$5)*-1</f>
        <v>-2806.3596764840004</v>
      </c>
      <c r="S34" s="26">
        <f t="shared" ref="S34:S106" si="55">Q34+R34</f>
        <v>37284.492844716005</v>
      </c>
      <c r="T34" s="26">
        <f t="shared" ref="T34:T106" si="56">K34*P34</f>
        <v>4833.3256000000001</v>
      </c>
      <c r="V34" s="39" t="s">
        <v>820</v>
      </c>
    </row>
    <row r="35" spans="1:22" x14ac:dyDescent="0.25">
      <c r="A35" s="59" t="s">
        <v>1141</v>
      </c>
      <c r="B35" t="str">
        <f>VLOOKUP(A35,kurspris!$A$1:$Q$809,2,FALSE)</f>
        <v>Förskollärare som profession</v>
      </c>
      <c r="C35" s="31">
        <v>2300</v>
      </c>
      <c r="D35" t="str">
        <f>VLOOKUP(C35,Orgenheter!$A$1:$B$213,2)</f>
        <v xml:space="preserve">Juridiska institutionen       </v>
      </c>
      <c r="E35" t="str">
        <f>VLOOKUP(C35,Orgenheter!$A$1:$C$165,3,FALSE)</f>
        <v>Sam</v>
      </c>
      <c r="F35" s="294">
        <f>1.5/6</f>
        <v>0.25</v>
      </c>
      <c r="G35">
        <f>VLOOKUP(A35,'Ansvar kurs'!$A$85:$C$976,2,FALSE)</f>
        <v>2193</v>
      </c>
      <c r="H35" t="str">
        <f>VLOOKUP(G35,Orgenheter!$A$1:$B$213,2)</f>
        <v xml:space="preserve">TUV </v>
      </c>
      <c r="I35" t="str">
        <f>VLOOKUP(G35,Orgenheter!$A$1:$C$165,3,FALSE)</f>
        <v>Sam</v>
      </c>
      <c r="J35" s="210">
        <f>IF(ISERROR(VLOOKUP(A35,'Totalt pivot'!$A$5:$C$397,2,FALSE)),0,(VLOOKUP(A35,'Totalt pivot'!$A$5:$C$397,2,FALSE)))</f>
        <v>7.8</v>
      </c>
      <c r="K35" s="210">
        <f t="shared" ref="K35:K104" si="57">F35*J35</f>
        <v>1.95</v>
      </c>
      <c r="L35" s="210">
        <f>IF(ISERROR(VLOOKUP(A35,'Totalt pivot'!$A$5:$C$397,3,FALSE)),0,(VLOOKUP(A35,'Totalt pivot'!$A$5:$C$397,3,FALSE)))</f>
        <v>6.63</v>
      </c>
      <c r="M35" s="210">
        <f t="shared" si="53"/>
        <v>1.6575</v>
      </c>
      <c r="N35" s="26">
        <f>VLOOKUP(A35,kurspris!$A$1:$Q$809,15)</f>
        <v>23641</v>
      </c>
      <c r="O35" s="26">
        <f>VLOOKUP(A35,kurspris!$A$1:$Q$809,16)</f>
        <v>28786</v>
      </c>
      <c r="P35" s="26">
        <f>VLOOKUP(A35,kurspris!$A$1:$Q$809,17)</f>
        <v>5800</v>
      </c>
      <c r="Q35" s="26">
        <f t="shared" si="54"/>
        <v>93812.744999999995</v>
      </c>
      <c r="R35" s="26">
        <f>(Q35*Prislapp!$R$5)*-1</f>
        <v>-6566.8921500000006</v>
      </c>
      <c r="S35" s="26">
        <f t="shared" si="55"/>
        <v>87245.852849999996</v>
      </c>
      <c r="T35" s="26">
        <f t="shared" si="56"/>
        <v>11310</v>
      </c>
      <c r="V35" t="s">
        <v>1131</v>
      </c>
    </row>
    <row r="36" spans="1:22" x14ac:dyDescent="0.25">
      <c r="A36" s="62" t="s">
        <v>1279</v>
      </c>
      <c r="B36" t="str">
        <f>VLOOKUP(A36,kurspris!$A$1:$Q$809,2,FALSE)</f>
        <v>Ämneslärare som profession</v>
      </c>
      <c r="C36" s="31">
        <v>2300</v>
      </c>
      <c r="D36" t="str">
        <f>VLOOKUP(C36,Orgenheter!$A$1:$B$213,2)</f>
        <v xml:space="preserve">Juridiska institutionen       </v>
      </c>
      <c r="E36" t="str">
        <f>VLOOKUP(C36,Orgenheter!$A$1:$C$165,3,FALSE)</f>
        <v>Sam</v>
      </c>
      <c r="F36" s="294">
        <f>1.5/6</f>
        <v>0.25</v>
      </c>
      <c r="G36">
        <f>VLOOKUP(A36,'Ansvar kurs'!$A$85:$C$976,2,FALSE)</f>
        <v>2180</v>
      </c>
      <c r="H36" t="str">
        <f>VLOOKUP(G36,Orgenheter!$A$1:$B$213,2)</f>
        <v xml:space="preserve">Pedagogik                     </v>
      </c>
      <c r="I36" t="str">
        <f>VLOOKUP(G36,Orgenheter!$A$1:$C$165,3,FALSE)</f>
        <v>Sam</v>
      </c>
      <c r="J36" s="210">
        <f>IF(ISERROR(VLOOKUP(A36,'Totalt pivot'!$A$5:$C$397,2,FALSE)),0,(VLOOKUP(A36,'Totalt pivot'!$A$5:$C$397,2,FALSE)))</f>
        <v>14.7</v>
      </c>
      <c r="K36" s="210">
        <f t="shared" si="57"/>
        <v>3.6749999999999998</v>
      </c>
      <c r="L36" s="210">
        <f>IF(ISERROR(VLOOKUP(A36,'Totalt pivot'!$A$5:$C$397,3,FALSE)),0,(VLOOKUP(A36,'Totalt pivot'!$A$5:$C$397,3,FALSE)))</f>
        <v>12.494999999999999</v>
      </c>
      <c r="M36" s="210">
        <f t="shared" ref="M36:M85" si="58">F36*L36</f>
        <v>3.1237499999999998</v>
      </c>
      <c r="N36" s="26">
        <f>VLOOKUP(A36,kurspris!$A$1:$Q$809,15)</f>
        <v>23641</v>
      </c>
      <c r="O36" s="26">
        <f>VLOOKUP(A36,kurspris!$A$1:$Q$809,16)</f>
        <v>28786</v>
      </c>
      <c r="P36" s="26">
        <f>VLOOKUP(A36,kurspris!$A$1:$Q$809,17)</f>
        <v>5800</v>
      </c>
      <c r="Q36" s="26">
        <f t="shared" ref="Q36:Q85" si="59">K36*N36+M36*O36</f>
        <v>176800.9425</v>
      </c>
      <c r="R36" s="26">
        <f>(Q36*Prislapp!$R$5)*-1</f>
        <v>-12376.065975000001</v>
      </c>
      <c r="S36" s="26">
        <f t="shared" ref="S36:S85" si="60">Q36+R36</f>
        <v>164424.876525</v>
      </c>
      <c r="T36" s="26">
        <f t="shared" ref="T36:T85" si="61">K36*P36</f>
        <v>21315</v>
      </c>
      <c r="V36" t="s">
        <v>1131</v>
      </c>
    </row>
    <row r="37" spans="1:22" x14ac:dyDescent="0.25">
      <c r="A37" s="62" t="s">
        <v>1277</v>
      </c>
      <c r="B37" t="str">
        <f>VLOOKUP(A37,kurspris!$A$1:$Q$809,2,FALSE)</f>
        <v>Lärande och undervisning</v>
      </c>
      <c r="C37" s="31">
        <v>2200</v>
      </c>
      <c r="D37" t="str">
        <f>VLOOKUP(C37,Orgenheter!$A$1:$B$213,2)</f>
        <v xml:space="preserve">Inst för psykologi            </v>
      </c>
      <c r="E37" t="str">
        <f>VLOOKUP(C37,Orgenheter!$A$1:$C$165,3,FALSE)</f>
        <v>Sam</v>
      </c>
      <c r="F37" s="294">
        <f>3/7.5</f>
        <v>0.4</v>
      </c>
      <c r="G37">
        <f>VLOOKUP(A37,'Ansvar kurs'!$A$85:$C$976,2,FALSE)</f>
        <v>2180</v>
      </c>
      <c r="H37" t="str">
        <f>VLOOKUP(G37,Orgenheter!$A$1:$B$213,2)</f>
        <v xml:space="preserve">Pedagogik                     </v>
      </c>
      <c r="I37" t="str">
        <f>VLOOKUP(G37,Orgenheter!$A$1:$C$165,3,FALSE)</f>
        <v>Sam</v>
      </c>
      <c r="J37" s="210">
        <f>IF(ISERROR(VLOOKUP(A37,'Totalt pivot'!$A$5:$C$397,2,FALSE)),0,(VLOOKUP(A37,'Totalt pivot'!$A$5:$C$397,2,FALSE)))</f>
        <v>38.625</v>
      </c>
      <c r="K37" s="210">
        <f t="shared" si="57"/>
        <v>15.450000000000001</v>
      </c>
      <c r="L37" s="210">
        <f>IF(ISERROR(VLOOKUP(A37,'Totalt pivot'!$A$5:$C$397,3,FALSE)),0,(VLOOKUP(A37,'Totalt pivot'!$A$5:$C$397,3,FALSE)))</f>
        <v>32.831249999999997</v>
      </c>
      <c r="M37" s="210">
        <f t="shared" si="58"/>
        <v>13.1325</v>
      </c>
      <c r="N37" s="26">
        <f>VLOOKUP(A37,kurspris!$A$1:$Q$809,15)</f>
        <v>23641</v>
      </c>
      <c r="O37" s="26">
        <f>VLOOKUP(A37,kurspris!$A$1:$Q$809,16)</f>
        <v>28786</v>
      </c>
      <c r="P37" s="26">
        <f>VLOOKUP(A37,kurspris!$A$1:$Q$809,17)</f>
        <v>5800</v>
      </c>
      <c r="Q37" s="26">
        <f t="shared" si="59"/>
        <v>743285.59499999997</v>
      </c>
      <c r="R37" s="26">
        <f>(Q37*Prislapp!$R$5)*-1</f>
        <v>-52029.991650000004</v>
      </c>
      <c r="S37" s="26">
        <f t="shared" si="60"/>
        <v>691255.60334999999</v>
      </c>
      <c r="T37" s="26">
        <f t="shared" si="61"/>
        <v>89610</v>
      </c>
      <c r="V37" t="s">
        <v>1131</v>
      </c>
    </row>
    <row r="38" spans="1:22" x14ac:dyDescent="0.25">
      <c r="A38" s="31" t="s">
        <v>1435</v>
      </c>
      <c r="B38" t="str">
        <f>VLOOKUP(A38,kurspris!$A$1:$Q$809,2,FALSE)</f>
        <v>Barns lärande och omsorg</v>
      </c>
      <c r="C38" s="31">
        <v>2180</v>
      </c>
      <c r="D38" t="str">
        <f>VLOOKUP(C38,Orgenheter!$A$1:$B$213,2)</f>
        <v xml:space="preserve">Pedagogik                     </v>
      </c>
      <c r="E38" t="str">
        <f>VLOOKUP(C38,Orgenheter!$A$1:$C$165,3,FALSE)</f>
        <v>Sam</v>
      </c>
      <c r="F38" s="294">
        <f>3/15</f>
        <v>0.2</v>
      </c>
      <c r="G38">
        <f>VLOOKUP(A38,'Ansvar kurs'!$A$85:$C$976,2,FALSE)</f>
        <v>2193</v>
      </c>
      <c r="H38" t="str">
        <f>VLOOKUP(G38,Orgenheter!$A$1:$B$213,2)</f>
        <v xml:space="preserve">TUV </v>
      </c>
      <c r="I38" t="str">
        <f>VLOOKUP(G38,Orgenheter!$A$1:$C$165,3,FALSE)</f>
        <v>Sam</v>
      </c>
      <c r="J38" s="210">
        <f>IF(ISERROR(VLOOKUP(A38,'Totalt pivot'!$A$5:$C$397,2,FALSE)),0,(VLOOKUP(A38,'Totalt pivot'!$A$5:$C$397,2,FALSE)))</f>
        <v>16</v>
      </c>
      <c r="K38" s="210">
        <f t="shared" si="57"/>
        <v>3.2</v>
      </c>
      <c r="L38" s="210">
        <f>IF(ISERROR(VLOOKUP(A38,'Totalt pivot'!$A$5:$C$397,3,FALSE)),0,(VLOOKUP(A38,'Totalt pivot'!$A$5:$C$397,3,FALSE)))</f>
        <v>13.6</v>
      </c>
      <c r="M38" s="210">
        <f t="shared" si="58"/>
        <v>2.72</v>
      </c>
      <c r="N38" s="26">
        <f>VLOOKUP(A38,kurspris!$A$1:$Q$809,15)</f>
        <v>18405</v>
      </c>
      <c r="O38" s="26">
        <f>VLOOKUP(A38,kurspris!$A$1:$Q$809,16)</f>
        <v>15773</v>
      </c>
      <c r="P38" s="26">
        <f>VLOOKUP(A38,kurspris!$A$1:$Q$809,17)</f>
        <v>5800</v>
      </c>
      <c r="Q38" s="26">
        <f t="shared" si="59"/>
        <v>101798.56</v>
      </c>
      <c r="R38" s="26">
        <f>(Q38*Prislapp!$R$5)*-1</f>
        <v>-7125.8992000000007</v>
      </c>
      <c r="S38" s="26">
        <f t="shared" si="60"/>
        <v>94672.660799999998</v>
      </c>
      <c r="T38" s="26">
        <f t="shared" si="61"/>
        <v>18560</v>
      </c>
    </row>
    <row r="39" spans="1:22" x14ac:dyDescent="0.25">
      <c r="A39" s="31" t="s">
        <v>1473</v>
      </c>
      <c r="B39" t="str">
        <f>VLOOKUP(A39,kurspris!$A$1:$Q$809,2,FALSE)</f>
        <v>Verksamhetsförlagd utbildning för yrkeslärare (VFU)</v>
      </c>
      <c r="C39" s="31">
        <v>2193</v>
      </c>
      <c r="D39" t="str">
        <f>VLOOKUP(C39,Orgenheter!$A$1:$B$213,2)</f>
        <v xml:space="preserve">TUV </v>
      </c>
      <c r="E39" t="str">
        <f>VLOOKUP(C39,Orgenheter!$A$1:$C$165,3,FALSE)</f>
        <v>Sam</v>
      </c>
      <c r="F39" s="294">
        <f>15/30</f>
        <v>0.5</v>
      </c>
      <c r="G39">
        <f>VLOOKUP(A39,'Ansvar kurs'!$A$85:$C$976,2,FALSE)</f>
        <v>2180</v>
      </c>
      <c r="H39" t="str">
        <f>VLOOKUP(G39,Orgenheter!$A$1:$B$213,2)</f>
        <v xml:space="preserve">Pedagogik                     </v>
      </c>
      <c r="I39" t="str">
        <f>VLOOKUP(G39,Orgenheter!$A$1:$C$165,3,FALSE)</f>
        <v>Sam</v>
      </c>
      <c r="J39" s="210">
        <f>IF(ISERROR(VLOOKUP(A39,'Totalt pivot'!$A$5:$C$397,2,FALSE)),0,(VLOOKUP(A39,'Totalt pivot'!$A$5:$C$397,2,FALSE)))</f>
        <v>9.25</v>
      </c>
      <c r="K39" s="210">
        <f t="shared" ref="K39" si="62">F39*J39</f>
        <v>4.625</v>
      </c>
      <c r="L39" s="210">
        <f>IF(ISERROR(VLOOKUP(A39,'Totalt pivot'!$A$5:$C$397,3,FALSE)),0,(VLOOKUP(A39,'Totalt pivot'!$A$5:$C$397,3,FALSE)))</f>
        <v>7.8624999999999998</v>
      </c>
      <c r="M39" s="210">
        <f t="shared" ref="M39" si="63">F39*L39</f>
        <v>3.9312499999999999</v>
      </c>
      <c r="N39" s="26">
        <f>VLOOKUP(A39,kurspris!$A$1:$Q$809,15)</f>
        <v>21634</v>
      </c>
      <c r="O39" s="26">
        <f>VLOOKUP(A39,kurspris!$A$1:$Q$809,16)</f>
        <v>26986</v>
      </c>
      <c r="P39" s="26">
        <f>VLOOKUP(A39,kurspris!$A$1:$Q$809,17)</f>
        <v>3400</v>
      </c>
      <c r="Q39" s="26">
        <f t="shared" ref="Q39" si="64">K39*N39+M39*O39</f>
        <v>206145.96249999999</v>
      </c>
      <c r="R39" s="26">
        <f>(Q39*Prislapp!$R$5)*-1</f>
        <v>-14430.217375</v>
      </c>
      <c r="S39" s="26">
        <f t="shared" ref="S39" si="65">Q39+R39</f>
        <v>191715.74512499999</v>
      </c>
      <c r="T39" s="26">
        <f t="shared" ref="T39" si="66">K39*P39</f>
        <v>15725</v>
      </c>
      <c r="V39" t="s">
        <v>1921</v>
      </c>
    </row>
    <row r="40" spans="1:22" x14ac:dyDescent="0.25">
      <c r="A40" s="31" t="s">
        <v>1529</v>
      </c>
      <c r="B40" t="str">
        <f>VLOOKUP(A40,kurspris!$A$1:$Q$809,2,FALSE)</f>
        <v>Bedömning (UK)</v>
      </c>
      <c r="C40" s="31">
        <v>2193</v>
      </c>
      <c r="D40" t="str">
        <f>VLOOKUP(C40,Orgenheter!$A$1:$B$213,2)</f>
        <v xml:space="preserve">TUV </v>
      </c>
      <c r="E40" t="str">
        <f>VLOOKUP(C40,Orgenheter!$A$1:$C$165,3,FALSE)</f>
        <v>Sam</v>
      </c>
      <c r="F40" s="294">
        <f>2/7.5</f>
        <v>0.26666666666666666</v>
      </c>
      <c r="G40">
        <f>VLOOKUP(A40,'Ansvar kurs'!$A$85:$C$976,2,FALSE)</f>
        <v>5740</v>
      </c>
      <c r="H40" t="str">
        <f>VLOOKUP(G40,Orgenheter!$A$1:$B$213,2)</f>
        <v>NMD</v>
      </c>
      <c r="I40" t="str">
        <f>VLOOKUP(G40,Orgenheter!$A$1:$C$165,3,FALSE)</f>
        <v>TekNat</v>
      </c>
      <c r="J40" s="210">
        <f>IF(ISERROR(VLOOKUP(A40,'Totalt pivot'!$A$5:$C$397,2,FALSE)),0,(VLOOKUP(A40,'Totalt pivot'!$A$5:$C$397,2,FALSE)))</f>
        <v>6</v>
      </c>
      <c r="K40" s="210">
        <f t="shared" si="57"/>
        <v>1.6</v>
      </c>
      <c r="L40" s="210">
        <f>IF(ISERROR(VLOOKUP(A40,'Totalt pivot'!$A$5:$C$397,3,FALSE)),0,(VLOOKUP(A40,'Totalt pivot'!$A$5:$C$397,3,FALSE)))</f>
        <v>5.0999999999999996</v>
      </c>
      <c r="M40" s="210">
        <f t="shared" ref="M40:M41" si="67">F40*L40</f>
        <v>1.3599999999999999</v>
      </c>
      <c r="N40" s="26">
        <f>VLOOKUP(A40,kurspris!$A$1:$Q$809,15)</f>
        <v>23641</v>
      </c>
      <c r="O40" s="26">
        <f>VLOOKUP(A40,kurspris!$A$1:$Q$809,16)</f>
        <v>28786</v>
      </c>
      <c r="P40" s="26">
        <f>VLOOKUP(A40,kurspris!$A$1:$Q$809,17)</f>
        <v>5800</v>
      </c>
      <c r="Q40" s="26">
        <f t="shared" ref="Q40:Q41" si="68">K40*N40+M40*O40</f>
        <v>76974.559999999998</v>
      </c>
      <c r="R40" s="26">
        <f>(Q40*Prislapp!$R$5)*-1</f>
        <v>-5388.2192000000005</v>
      </c>
      <c r="S40" s="26">
        <f t="shared" ref="S40:S41" si="69">Q40+R40</f>
        <v>71586.340799999991</v>
      </c>
      <c r="T40" s="26">
        <f t="shared" ref="T40:T41" si="70">K40*P40</f>
        <v>9280</v>
      </c>
    </row>
    <row r="41" spans="1:22" x14ac:dyDescent="0.25">
      <c r="A41" s="31" t="s">
        <v>1529</v>
      </c>
      <c r="B41" t="str">
        <f>VLOOKUP(A41,kurspris!$A$1:$Q$809,2,FALSE)</f>
        <v>Bedömning (UK)</v>
      </c>
      <c r="C41" s="31">
        <v>2180</v>
      </c>
      <c r="D41" t="str">
        <f>VLOOKUP(C41,Orgenheter!$A$1:$B$213,2)</f>
        <v xml:space="preserve">Pedagogik                     </v>
      </c>
      <c r="E41" t="str">
        <f>VLOOKUP(C41,Orgenheter!$A$1:$C$165,3,FALSE)</f>
        <v>Sam</v>
      </c>
      <c r="F41" s="294">
        <f>2/7.5</f>
        <v>0.26666666666666666</v>
      </c>
      <c r="G41">
        <f>VLOOKUP(A41,'Ansvar kurs'!$A$85:$C$976,2,FALSE)</f>
        <v>5740</v>
      </c>
      <c r="H41" t="str">
        <f>VLOOKUP(G41,Orgenheter!$A$1:$B$213,2)</f>
        <v>NMD</v>
      </c>
      <c r="I41" t="str">
        <f>VLOOKUP(G41,Orgenheter!$A$1:$C$165,3,FALSE)</f>
        <v>TekNat</v>
      </c>
      <c r="J41" s="210">
        <f>IF(ISERROR(VLOOKUP(A41,'Totalt pivot'!$A$5:$C$397,2,FALSE)),0,(VLOOKUP(A41,'Totalt pivot'!$A$5:$C$397,2,FALSE)))</f>
        <v>6</v>
      </c>
      <c r="K41" s="210">
        <f t="shared" si="57"/>
        <v>1.6</v>
      </c>
      <c r="L41" s="210">
        <f>IF(ISERROR(VLOOKUP(A41,'Totalt pivot'!$A$5:$C$397,3,FALSE)),0,(VLOOKUP(A41,'Totalt pivot'!$A$5:$C$397,3,FALSE)))</f>
        <v>5.0999999999999996</v>
      </c>
      <c r="M41" s="210">
        <f t="shared" si="67"/>
        <v>1.3599999999999999</v>
      </c>
      <c r="N41" s="26">
        <f>VLOOKUP(A41,kurspris!$A$1:$Q$809,15)</f>
        <v>23641</v>
      </c>
      <c r="O41" s="26">
        <f>VLOOKUP(A41,kurspris!$A$1:$Q$809,16)</f>
        <v>28786</v>
      </c>
      <c r="P41" s="26">
        <f>VLOOKUP(A41,kurspris!$A$1:$Q$809,17)</f>
        <v>5800</v>
      </c>
      <c r="Q41" s="26">
        <f t="shared" si="68"/>
        <v>76974.559999999998</v>
      </c>
      <c r="R41" s="26">
        <f>(Q41*Prislapp!$R$5)*-1</f>
        <v>-5388.2192000000005</v>
      </c>
      <c r="S41" s="26">
        <f t="shared" si="69"/>
        <v>71586.340799999991</v>
      </c>
      <c r="T41" s="26">
        <f t="shared" si="70"/>
        <v>9280</v>
      </c>
    </row>
    <row r="42" spans="1:22" x14ac:dyDescent="0.25">
      <c r="A42" s="31" t="s">
        <v>1605</v>
      </c>
      <c r="B42" t="str">
        <f>VLOOKUP(A42,kurspris!$A$1:$Q$809,2,FALSE)</f>
        <v>Utbildningens villkor och samhälleliga funktion (UK)</v>
      </c>
      <c r="C42" s="31">
        <v>2340</v>
      </c>
      <c r="D42" t="str">
        <f>VLOOKUP(C42,Orgenheter!$A$1:$B$213,2)</f>
        <v xml:space="preserve">Statsvetenskap                </v>
      </c>
      <c r="E42" t="str">
        <f>VLOOKUP(C42,Orgenheter!$A$1:$C$165,3,FALSE)</f>
        <v>Sam</v>
      </c>
      <c r="F42" s="294">
        <f>1.5/7.5</f>
        <v>0.2</v>
      </c>
      <c r="G42">
        <f>VLOOKUP(A42,'Ansvar kurs'!$A$85:$C$976,2,FALSE)</f>
        <v>2193</v>
      </c>
      <c r="H42" t="str">
        <f>VLOOKUP(G42,Orgenheter!$A$1:$B$213,2)</f>
        <v xml:space="preserve">TUV </v>
      </c>
      <c r="I42" t="str">
        <f>VLOOKUP(G42,Orgenheter!$A$1:$C$165,3,FALSE)</f>
        <v>Sam</v>
      </c>
      <c r="J42" s="210">
        <f>IF(ISERROR(VLOOKUP(A42,'Totalt pivot'!$A$5:$C$397,2,FALSE)),0,(VLOOKUP(A42,'Totalt pivot'!$A$5:$C$397,2,FALSE)))</f>
        <v>6.875</v>
      </c>
      <c r="K42" s="210">
        <f t="shared" si="57"/>
        <v>1.375</v>
      </c>
      <c r="L42" s="210">
        <f>IF(ISERROR(VLOOKUP(A42,'Totalt pivot'!$A$5:$C$397,3,FALSE)),0,(VLOOKUP(A42,'Totalt pivot'!$A$5:$C$397,3,FALSE)))</f>
        <v>5.84375</v>
      </c>
      <c r="M42" s="210">
        <f t="shared" ref="M42" si="71">F42*L42</f>
        <v>1.16875</v>
      </c>
      <c r="N42" s="26">
        <f>VLOOKUP(A42,kurspris!$A$1:$Q$809,15)</f>
        <v>23641</v>
      </c>
      <c r="O42" s="26">
        <f>VLOOKUP(A42,kurspris!$A$1:$Q$809,16)</f>
        <v>28786</v>
      </c>
      <c r="P42" s="26">
        <f>VLOOKUP(A42,kurspris!$A$1:$Q$809,17)</f>
        <v>5800</v>
      </c>
      <c r="Q42" s="26">
        <f t="shared" ref="Q42" si="72">K42*N42+M42*O42</f>
        <v>66150.012499999997</v>
      </c>
      <c r="R42" s="26">
        <f>(Q42*Prislapp!$R$5)*-1</f>
        <v>-4630.5008750000006</v>
      </c>
      <c r="S42" s="26">
        <f t="shared" ref="S42" si="73">Q42+R42</f>
        <v>61519.511624999999</v>
      </c>
      <c r="T42" s="26">
        <f t="shared" ref="T42" si="74">K42*P42</f>
        <v>7975</v>
      </c>
      <c r="V42" s="314" t="s">
        <v>1607</v>
      </c>
    </row>
    <row r="43" spans="1:22" x14ac:dyDescent="0.25">
      <c r="A43" s="31" t="s">
        <v>1608</v>
      </c>
      <c r="B43" t="str">
        <f>VLOOKUP(A43,kurspris!$A$1:$Q$809,2,FALSE)</f>
        <v>Den professionella läraren 1: Barns utveckling, specialpedagogik, sociala relationer och kommunikation (UK)</v>
      </c>
      <c r="C43" s="31">
        <v>2180</v>
      </c>
      <c r="D43" t="str">
        <f>VLOOKUP(C43,Orgenheter!$A$1:$B$213,2)</f>
        <v xml:space="preserve">Pedagogik                     </v>
      </c>
      <c r="E43" t="str">
        <f>VLOOKUP(C43,Orgenheter!$A$1:$C$165,3,FALSE)</f>
        <v>Sam</v>
      </c>
      <c r="F43" s="294">
        <f>2/7.5</f>
        <v>0.26666666666666666</v>
      </c>
      <c r="G43">
        <f>VLOOKUP(A43,'Ansvar kurs'!$A$85:$C$976,2,FALSE)</f>
        <v>2193</v>
      </c>
      <c r="H43" t="str">
        <f>VLOOKUP(G43,Orgenheter!$A$1:$B$213,2)</f>
        <v xml:space="preserve">TUV </v>
      </c>
      <c r="I43" t="str">
        <f>VLOOKUP(G43,Orgenheter!$A$1:$C$165,3,FALSE)</f>
        <v>Sam</v>
      </c>
      <c r="J43" s="210">
        <f>IF(ISERROR(VLOOKUP(A43,'Totalt pivot'!$A$5:$C$397,2,FALSE)),0,(VLOOKUP(A43,'Totalt pivot'!$A$5:$C$397,2,FALSE)))</f>
        <v>5.75</v>
      </c>
      <c r="K43" s="210">
        <f t="shared" si="57"/>
        <v>1.5333333333333332</v>
      </c>
      <c r="L43" s="210">
        <f>IF(ISERROR(VLOOKUP(A43,'Totalt pivot'!$A$5:$C$397,3,FALSE)),0,(VLOOKUP(A43,'Totalt pivot'!$A$5:$C$397,3,FALSE)))</f>
        <v>4.8874999999999993</v>
      </c>
      <c r="M43" s="210">
        <f t="shared" ref="M43" si="75">F43*L43</f>
        <v>1.3033333333333332</v>
      </c>
      <c r="N43" s="26">
        <f>VLOOKUP(A43,kurspris!$A$1:$Q$809,15)</f>
        <v>23641</v>
      </c>
      <c r="O43" s="26">
        <f>VLOOKUP(A43,kurspris!$A$1:$Q$809,16)</f>
        <v>28786</v>
      </c>
      <c r="P43" s="26">
        <f>VLOOKUP(A43,kurspris!$A$1:$Q$809,17)</f>
        <v>5800</v>
      </c>
      <c r="Q43" s="26">
        <f t="shared" ref="Q43" si="76">K43*N43+M43*O43</f>
        <v>73767.286666666667</v>
      </c>
      <c r="R43" s="26">
        <f>(Q43*Prislapp!$R$5)*-1</f>
        <v>-5163.7100666666674</v>
      </c>
      <c r="S43" s="26">
        <f t="shared" ref="S43" si="77">Q43+R43</f>
        <v>68603.5766</v>
      </c>
      <c r="T43" s="26">
        <f t="shared" ref="T43" si="78">K43*P43</f>
        <v>8893.3333333333321</v>
      </c>
      <c r="V43" s="314" t="s">
        <v>1607</v>
      </c>
    </row>
    <row r="44" spans="1:22" x14ac:dyDescent="0.25">
      <c r="A44" s="31" t="s">
        <v>1561</v>
      </c>
      <c r="B44" t="str">
        <f>VLOOKUP(A44,kurspris!$A$1:$Q$809,2,FALSE)</f>
        <v>Utbildningsvetenskap, undervisning och lärande för förskolan (UK)</v>
      </c>
      <c r="C44" s="31">
        <v>2180</v>
      </c>
      <c r="D44" t="str">
        <f>VLOOKUP(C44,Orgenheter!$A$1:$B$213,2)</f>
        <v xml:space="preserve">Pedagogik                     </v>
      </c>
      <c r="E44" t="str">
        <f>VLOOKUP(C44,Orgenheter!$A$1:$C$165,3,FALSE)</f>
        <v>Sam</v>
      </c>
      <c r="F44" s="294">
        <f>1/8</f>
        <v>0.125</v>
      </c>
      <c r="G44">
        <f>VLOOKUP(A44,'Ansvar kurs'!$A$85:$C$976,2,FALSE)</f>
        <v>2193</v>
      </c>
      <c r="H44" t="str">
        <f>VLOOKUP(G44,Orgenheter!$A$1:$B$213,2)</f>
        <v xml:space="preserve">TUV </v>
      </c>
      <c r="I44" t="str">
        <f>VLOOKUP(G44,Orgenheter!$A$1:$C$165,3,FALSE)</f>
        <v>Sam</v>
      </c>
      <c r="J44" s="210">
        <f>IF(ISERROR(VLOOKUP(A44,'Totalt pivot'!$A$5:$C$397,2,FALSE)),0,(VLOOKUP(A44,'Totalt pivot'!$A$5:$C$397,2,FALSE)))</f>
        <v>10</v>
      </c>
      <c r="K44" s="210">
        <f t="shared" si="57"/>
        <v>1.25</v>
      </c>
      <c r="L44" s="210">
        <f>IF(ISERROR(VLOOKUP(A44,'Totalt pivot'!$A$5:$C$397,3,FALSE)),0,(VLOOKUP(A44,'Totalt pivot'!$A$5:$C$397,3,FALSE)))</f>
        <v>8.5</v>
      </c>
      <c r="M44" s="210">
        <f t="shared" ref="M44:M45" si="79">F44*L44</f>
        <v>1.0625</v>
      </c>
      <c r="N44" s="26">
        <f>VLOOKUP(A44,kurspris!$A$1:$Q$809,15)</f>
        <v>23641</v>
      </c>
      <c r="O44" s="26">
        <f>VLOOKUP(A44,kurspris!$A$1:$Q$809,16)</f>
        <v>28786</v>
      </c>
      <c r="P44" s="26">
        <f>VLOOKUP(A44,kurspris!$A$1:$Q$809,17)</f>
        <v>5800</v>
      </c>
      <c r="Q44" s="26">
        <f t="shared" ref="Q44:Q45" si="80">K44*N44+M44*O44</f>
        <v>60136.375</v>
      </c>
      <c r="R44" s="26">
        <f>(Q44*Prislapp!$R$5)*-1</f>
        <v>-4209.5462500000003</v>
      </c>
      <c r="S44" s="26">
        <f t="shared" ref="S44:S45" si="81">Q44+R44</f>
        <v>55926.828750000001</v>
      </c>
      <c r="T44" s="26">
        <f t="shared" ref="T44:T45" si="82">K44*P44</f>
        <v>7250</v>
      </c>
    </row>
    <row r="45" spans="1:22" x14ac:dyDescent="0.25">
      <c r="A45" s="31" t="s">
        <v>1561</v>
      </c>
      <c r="B45" t="str">
        <f>VLOOKUP(A45,kurspris!$A$1:$Q$809,2,FALSE)</f>
        <v>Utbildningsvetenskap, undervisning och lärande för förskolan (UK)</v>
      </c>
      <c r="C45" s="31">
        <v>2200</v>
      </c>
      <c r="D45" t="str">
        <f>VLOOKUP(C45,Orgenheter!$A$1:$B$213,2)</f>
        <v xml:space="preserve">Inst för psykologi            </v>
      </c>
      <c r="E45" t="str">
        <f>VLOOKUP(C45,Orgenheter!$A$1:$C$165,3,FALSE)</f>
        <v>Sam</v>
      </c>
      <c r="F45" s="294">
        <f>2/8</f>
        <v>0.25</v>
      </c>
      <c r="G45">
        <f>VLOOKUP(A45,'Ansvar kurs'!$A$85:$C$976,2,FALSE)</f>
        <v>2193</v>
      </c>
      <c r="H45" t="str">
        <f>VLOOKUP(G45,Orgenheter!$A$1:$B$213,2)</f>
        <v xml:space="preserve">TUV </v>
      </c>
      <c r="I45" t="str">
        <f>VLOOKUP(G45,Orgenheter!$A$1:$C$165,3,FALSE)</f>
        <v>Sam</v>
      </c>
      <c r="J45" s="210">
        <f>IF(ISERROR(VLOOKUP(A45,'Totalt pivot'!$A$5:$C$397,2,FALSE)),0,(VLOOKUP(A45,'Totalt pivot'!$A$5:$C$397,2,FALSE)))</f>
        <v>10</v>
      </c>
      <c r="K45" s="210">
        <f t="shared" si="57"/>
        <v>2.5</v>
      </c>
      <c r="L45" s="210">
        <f>IF(ISERROR(VLOOKUP(A45,'Totalt pivot'!$A$5:$C$397,3,FALSE)),0,(VLOOKUP(A45,'Totalt pivot'!$A$5:$C$397,3,FALSE)))</f>
        <v>8.5</v>
      </c>
      <c r="M45" s="210">
        <f t="shared" si="79"/>
        <v>2.125</v>
      </c>
      <c r="N45" s="26">
        <f>VLOOKUP(A45,kurspris!$A$1:$Q$809,15)</f>
        <v>23641</v>
      </c>
      <c r="O45" s="26">
        <f>VLOOKUP(A45,kurspris!$A$1:$Q$809,16)</f>
        <v>28786</v>
      </c>
      <c r="P45" s="26">
        <f>VLOOKUP(A45,kurspris!$A$1:$Q$809,17)</f>
        <v>5800</v>
      </c>
      <c r="Q45" s="26">
        <f t="shared" si="80"/>
        <v>120272.75</v>
      </c>
      <c r="R45" s="26">
        <f>(Q45*Prislapp!$R$5)*-1</f>
        <v>-8419.0925000000007</v>
      </c>
      <c r="S45" s="26">
        <f t="shared" si="81"/>
        <v>111853.6575</v>
      </c>
      <c r="T45" s="26">
        <f t="shared" si="82"/>
        <v>14500</v>
      </c>
    </row>
    <row r="46" spans="1:22" x14ac:dyDescent="0.25">
      <c r="A46" s="31" t="s">
        <v>1558</v>
      </c>
      <c r="B46" t="str">
        <f>VLOOKUP(A46,kurspris!$A$1:$Q$809,2,FALSE)</f>
        <v>Specialpedagogik för förskolan (UK)</v>
      </c>
      <c r="C46" s="31">
        <v>2180</v>
      </c>
      <c r="D46" t="str">
        <f>VLOOKUP(C46,Orgenheter!$A$1:$B$213,2)</f>
        <v xml:space="preserve">Pedagogik                     </v>
      </c>
      <c r="E46" t="str">
        <f>VLOOKUP(C46,Orgenheter!$A$1:$C$165,3,FALSE)</f>
        <v>Sam</v>
      </c>
      <c r="F46" s="294">
        <f>2.5/6</f>
        <v>0.41666666666666669</v>
      </c>
      <c r="G46">
        <f>VLOOKUP(A46,'Ansvar kurs'!$A$85:$C$976,2,FALSE)</f>
        <v>2193</v>
      </c>
      <c r="H46" t="str">
        <f>VLOOKUP(G46,Orgenheter!$A$1:$B$213,2)</f>
        <v xml:space="preserve">TUV </v>
      </c>
      <c r="I46" t="str">
        <f>VLOOKUP(G46,Orgenheter!$A$1:$C$165,3,FALSE)</f>
        <v>Sam</v>
      </c>
      <c r="J46" s="210">
        <f>IF(ISERROR(VLOOKUP(A46,'Totalt pivot'!$A$5:$C$397,2,FALSE)),0,(VLOOKUP(A46,'Totalt pivot'!$A$5:$C$397,2,FALSE)))</f>
        <v>7.3</v>
      </c>
      <c r="K46" s="210">
        <f t="shared" si="57"/>
        <v>3.0416666666666665</v>
      </c>
      <c r="L46" s="210">
        <f>IF(ISERROR(VLOOKUP(A46,'Totalt pivot'!$A$5:$C$397,3,FALSE)),0,(VLOOKUP(A46,'Totalt pivot'!$A$5:$C$397,3,FALSE)))</f>
        <v>6.2050000000000001</v>
      </c>
      <c r="M46" s="210">
        <f t="shared" ref="M46" si="83">F46*L46</f>
        <v>2.5854166666666667</v>
      </c>
      <c r="N46" s="26">
        <f>VLOOKUP(A46,kurspris!$A$1:$Q$809,15)</f>
        <v>23641</v>
      </c>
      <c r="O46" s="26">
        <f>VLOOKUP(A46,kurspris!$A$1:$Q$809,16)</f>
        <v>28786</v>
      </c>
      <c r="P46" s="26">
        <f>VLOOKUP(A46,kurspris!$A$1:$Q$809,17)</f>
        <v>5800</v>
      </c>
      <c r="Q46" s="26">
        <f t="shared" ref="Q46" si="84">K46*N46+M46*O46</f>
        <v>146331.84583333333</v>
      </c>
      <c r="R46" s="26">
        <f>(Q46*Prislapp!$R$5)*-1</f>
        <v>-10243.229208333334</v>
      </c>
      <c r="S46" s="26">
        <f t="shared" ref="S46" si="85">Q46+R46</f>
        <v>136088.616625</v>
      </c>
      <c r="T46" s="26">
        <f t="shared" ref="T46" si="86">K46*P46</f>
        <v>17641.666666666664</v>
      </c>
      <c r="V46" t="s">
        <v>1704</v>
      </c>
    </row>
    <row r="47" spans="1:22" x14ac:dyDescent="0.25">
      <c r="A47" s="31" t="s">
        <v>1558</v>
      </c>
      <c r="B47" t="str">
        <f>VLOOKUP(A47,kurspris!$A$1:$Q$809,2,FALSE)</f>
        <v>Specialpedagogik för förskolan (UK)</v>
      </c>
      <c r="C47" s="31">
        <v>2200</v>
      </c>
      <c r="D47" t="str">
        <f>VLOOKUP(C47,Orgenheter!$A$1:$B$213,2)</f>
        <v xml:space="preserve">Inst för psykologi            </v>
      </c>
      <c r="E47" t="str">
        <f>VLOOKUP(C47,Orgenheter!$A$1:$C$165,3,FALSE)</f>
        <v>Sam</v>
      </c>
      <c r="F47" s="294">
        <f>0.5/6</f>
        <v>8.3333333333333329E-2</v>
      </c>
      <c r="G47">
        <f>VLOOKUP(A47,'Ansvar kurs'!$A$85:$C$976,2,FALSE)</f>
        <v>2193</v>
      </c>
      <c r="H47" t="str">
        <f>VLOOKUP(G47,Orgenheter!$A$1:$B$213,2)</f>
        <v xml:space="preserve">TUV </v>
      </c>
      <c r="I47" t="str">
        <f>VLOOKUP(G47,Orgenheter!$A$1:$C$165,3,FALSE)</f>
        <v>Sam</v>
      </c>
      <c r="J47" s="210">
        <f>IF(ISERROR(VLOOKUP(A47,'Totalt pivot'!$A$5:$C$397,2,FALSE)),0,(VLOOKUP(A47,'Totalt pivot'!$A$5:$C$397,2,FALSE)))</f>
        <v>7.3</v>
      </c>
      <c r="K47" s="210">
        <f t="shared" ref="K47" si="87">F47*J47</f>
        <v>0.60833333333333328</v>
      </c>
      <c r="L47" s="210">
        <f>IF(ISERROR(VLOOKUP(A47,'Totalt pivot'!$A$5:$C$397,3,FALSE)),0,(VLOOKUP(A47,'Totalt pivot'!$A$5:$C$397,3,FALSE)))</f>
        <v>6.2050000000000001</v>
      </c>
      <c r="M47" s="210">
        <f t="shared" ref="M47" si="88">F47*L47</f>
        <v>0.51708333333333334</v>
      </c>
      <c r="N47" s="26">
        <f>VLOOKUP(A47,kurspris!$A$1:$Q$809,15)</f>
        <v>23641</v>
      </c>
      <c r="O47" s="26">
        <f>VLOOKUP(A47,kurspris!$A$1:$Q$809,16)</f>
        <v>28786</v>
      </c>
      <c r="P47" s="26">
        <f>VLOOKUP(A47,kurspris!$A$1:$Q$809,17)</f>
        <v>5800</v>
      </c>
      <c r="Q47" s="26">
        <f t="shared" ref="Q47" si="89">K47*N47+M47*O47</f>
        <v>29266.369166666664</v>
      </c>
      <c r="R47" s="26">
        <f>(Q47*Prislapp!$R$5)*-1</f>
        <v>-2048.6458416666665</v>
      </c>
      <c r="S47" s="26">
        <f t="shared" ref="S47" si="90">Q47+R47</f>
        <v>27217.723324999999</v>
      </c>
      <c r="T47" s="26">
        <f t="shared" ref="T47" si="91">K47*P47</f>
        <v>3528.333333333333</v>
      </c>
    </row>
    <row r="48" spans="1:22" x14ac:dyDescent="0.25">
      <c r="A48" s="31" t="s">
        <v>1550</v>
      </c>
      <c r="B48" t="str">
        <f>VLOOKUP(A48,kurspris!$A$1:$Q$809,2,FALSE)</f>
        <v>Specialpedagogik för grundskolan (UK)</v>
      </c>
      <c r="C48" s="31">
        <v>2193</v>
      </c>
      <c r="D48" t="str">
        <f>VLOOKUP(C48,Orgenheter!$A$1:$B$213,2)</f>
        <v xml:space="preserve">TUV </v>
      </c>
      <c r="E48" t="str">
        <f>VLOOKUP(C48,Orgenheter!$A$1:$C$165,3,FALSE)</f>
        <v>Sam</v>
      </c>
      <c r="F48" s="294">
        <f>2/5</f>
        <v>0.4</v>
      </c>
      <c r="G48">
        <f>VLOOKUP(A48,'Ansvar kurs'!$A$85:$C$976,2,FALSE)</f>
        <v>2180</v>
      </c>
      <c r="H48" t="str">
        <f>VLOOKUP(G48,Orgenheter!$A$1:$B$213,2)</f>
        <v xml:space="preserve">Pedagogik                     </v>
      </c>
      <c r="I48" t="str">
        <f>VLOOKUP(G48,Orgenheter!$A$1:$C$165,3,FALSE)</f>
        <v>Sam</v>
      </c>
      <c r="J48" s="210">
        <f>IF(ISERROR(VLOOKUP(A48,'Totalt pivot'!$A$5:$C$397,2,FALSE)),0,(VLOOKUP(A48,'Totalt pivot'!$A$5:$C$397,2,FALSE)))</f>
        <v>7.1666600000000003</v>
      </c>
      <c r="K48" s="210">
        <f t="shared" si="57"/>
        <v>2.8666640000000001</v>
      </c>
      <c r="L48" s="210">
        <f>IF(ISERROR(VLOOKUP(A48,'Totalt pivot'!$A$5:$C$397,3,FALSE)),0,(VLOOKUP(A48,'Totalt pivot'!$A$5:$C$397,3,FALSE)))</f>
        <v>6.079161</v>
      </c>
      <c r="M48" s="210">
        <f t="shared" ref="M48:M49" si="92">F48*L48</f>
        <v>2.4316644000000003</v>
      </c>
      <c r="N48" s="26">
        <f>VLOOKUP(A48,kurspris!$A$1:$Q$809,15)</f>
        <v>23641</v>
      </c>
      <c r="O48" s="26">
        <f>VLOOKUP(A48,kurspris!$A$1:$Q$809,16)</f>
        <v>28786</v>
      </c>
      <c r="P48" s="26">
        <f>VLOOKUP(A48,kurspris!$A$1:$Q$809,17)</f>
        <v>5800</v>
      </c>
      <c r="Q48" s="26">
        <f t="shared" ref="Q48:Q49" si="93">K48*N48+M48*O48</f>
        <v>137768.69504240001</v>
      </c>
      <c r="R48" s="26">
        <f>(Q48*Prislapp!$R$5)*-1</f>
        <v>-9643.8086529680022</v>
      </c>
      <c r="S48" s="26">
        <f t="shared" ref="S48:S49" si="94">Q48+R48</f>
        <v>128124.88638943201</v>
      </c>
      <c r="T48" s="26">
        <f t="shared" ref="T48:T49" si="95">K48*P48</f>
        <v>16626.6512</v>
      </c>
    </row>
    <row r="49" spans="1:23" x14ac:dyDescent="0.25">
      <c r="A49" s="31" t="s">
        <v>1550</v>
      </c>
      <c r="B49" t="str">
        <f>VLOOKUP(A49,kurspris!$A$1:$Q$809,2,FALSE)</f>
        <v>Specialpedagogik för grundskolan (UK)</v>
      </c>
      <c r="C49" s="31">
        <v>2200</v>
      </c>
      <c r="D49" t="str">
        <f>VLOOKUP(C49,Orgenheter!$A$1:$B$213,2)</f>
        <v xml:space="preserve">Inst för psykologi            </v>
      </c>
      <c r="E49" t="str">
        <f>VLOOKUP(C49,Orgenheter!$A$1:$C$165,3,FALSE)</f>
        <v>Sam</v>
      </c>
      <c r="F49" s="294">
        <f>0.5/5</f>
        <v>0.1</v>
      </c>
      <c r="G49">
        <f>VLOOKUP(A49,'Ansvar kurs'!$A$85:$C$976,2,FALSE)</f>
        <v>2180</v>
      </c>
      <c r="H49" t="str">
        <f>VLOOKUP(G49,Orgenheter!$A$1:$B$213,2)</f>
        <v xml:space="preserve">Pedagogik                     </v>
      </c>
      <c r="I49" t="str">
        <f>VLOOKUP(G49,Orgenheter!$A$1:$C$165,3,FALSE)</f>
        <v>Sam</v>
      </c>
      <c r="J49" s="210">
        <f>IF(ISERROR(VLOOKUP(A49,'Totalt pivot'!$A$5:$C$397,2,FALSE)),0,(VLOOKUP(A49,'Totalt pivot'!$A$5:$C$397,2,FALSE)))</f>
        <v>7.1666600000000003</v>
      </c>
      <c r="K49" s="210">
        <f t="shared" si="57"/>
        <v>0.71666600000000003</v>
      </c>
      <c r="L49" s="210">
        <f>IF(ISERROR(VLOOKUP(A49,'Totalt pivot'!$A$5:$C$397,3,FALSE)),0,(VLOOKUP(A49,'Totalt pivot'!$A$5:$C$397,3,FALSE)))</f>
        <v>6.079161</v>
      </c>
      <c r="M49" s="210">
        <f t="shared" si="92"/>
        <v>0.60791610000000007</v>
      </c>
      <c r="N49" s="26">
        <f>VLOOKUP(A49,kurspris!$A$1:$Q$809,15)</f>
        <v>23641</v>
      </c>
      <c r="O49" s="26">
        <f>VLOOKUP(A49,kurspris!$A$1:$Q$809,16)</f>
        <v>28786</v>
      </c>
      <c r="P49" s="26">
        <f>VLOOKUP(A49,kurspris!$A$1:$Q$809,17)</f>
        <v>5800</v>
      </c>
      <c r="Q49" s="26">
        <f t="shared" si="93"/>
        <v>34442.173760600002</v>
      </c>
      <c r="R49" s="26">
        <f>(Q49*Prislapp!$R$5)*-1</f>
        <v>-2410.9521632420006</v>
      </c>
      <c r="S49" s="26">
        <f t="shared" si="94"/>
        <v>32031.221597358002</v>
      </c>
      <c r="T49" s="26">
        <f t="shared" si="95"/>
        <v>4156.6628000000001</v>
      </c>
    </row>
    <row r="50" spans="1:23" x14ac:dyDescent="0.25">
      <c r="A50" s="31" t="s">
        <v>1637</v>
      </c>
      <c r="B50" t="str">
        <f>VLOOKUP(A50,kurspris!$A$1:$Q$809,2,FALSE)</f>
        <v>Specialpedagogik - åk 7-9 och gymnasieskolan (UK)</v>
      </c>
      <c r="C50" s="31">
        <v>2193</v>
      </c>
      <c r="D50" t="str">
        <f>VLOOKUP(C50,Orgenheter!$A$1:$B$213,2)</f>
        <v xml:space="preserve">TUV </v>
      </c>
      <c r="E50" t="str">
        <f>VLOOKUP(C50,Orgenheter!$A$1:$C$165,3,FALSE)</f>
        <v>Sam</v>
      </c>
      <c r="F50" s="294">
        <f>2/5</f>
        <v>0.4</v>
      </c>
      <c r="G50">
        <f>VLOOKUP(A50,'Ansvar kurs'!$A$85:$C$976,2,FALSE)</f>
        <v>2180</v>
      </c>
      <c r="H50" t="str">
        <f>VLOOKUP(G50,Orgenheter!$A$1:$B$213,2)</f>
        <v xml:space="preserve">Pedagogik                     </v>
      </c>
      <c r="I50" t="str">
        <f>VLOOKUP(G50,Orgenheter!$A$1:$C$165,3,FALSE)</f>
        <v>Sam</v>
      </c>
      <c r="J50" s="210">
        <f>IF(ISERROR(VLOOKUP(A50,'Totalt pivot'!$A$5:$C$397,2,FALSE)),0,(VLOOKUP(A50,'Totalt pivot'!$A$5:$C$397,2,FALSE)))</f>
        <v>8.8333333333333339</v>
      </c>
      <c r="K50" s="210">
        <f t="shared" si="57"/>
        <v>3.5333333333333337</v>
      </c>
      <c r="L50" s="210">
        <f>IF(ISERROR(VLOOKUP(A50,'Totalt pivot'!$A$5:$C$397,3,FALSE)),0,(VLOOKUP(A50,'Totalt pivot'!$A$5:$C$397,3,FALSE)))</f>
        <v>7.5083333333333329</v>
      </c>
      <c r="M50" s="210">
        <f t="shared" ref="M50:M51" si="96">F50*L50</f>
        <v>3.0033333333333334</v>
      </c>
      <c r="N50" s="26">
        <f>VLOOKUP(A50,kurspris!$A$1:$Q$809,15)</f>
        <v>23641</v>
      </c>
      <c r="O50" s="26">
        <f>VLOOKUP(A50,kurspris!$A$1:$Q$809,16)</f>
        <v>28786</v>
      </c>
      <c r="P50" s="26">
        <f>VLOOKUP(A50,kurspris!$A$1:$Q$809,17)</f>
        <v>5800</v>
      </c>
      <c r="Q50" s="26">
        <f t="shared" ref="Q50:Q51" si="97">K50*N50+M50*O50</f>
        <v>169985.48666666669</v>
      </c>
      <c r="R50" s="26">
        <f>(Q50*Prislapp!$R$5)*-1</f>
        <v>-11898.98406666667</v>
      </c>
      <c r="S50" s="26">
        <f t="shared" ref="S50:S51" si="98">Q50+R50</f>
        <v>158086.50260000004</v>
      </c>
      <c r="T50" s="26">
        <f t="shared" ref="T50:T51" si="99">K50*P50</f>
        <v>20493.333333333336</v>
      </c>
      <c r="V50" t="s">
        <v>1671</v>
      </c>
    </row>
    <row r="51" spans="1:23" x14ac:dyDescent="0.25">
      <c r="A51" s="31" t="s">
        <v>1637</v>
      </c>
      <c r="B51" t="str">
        <f>VLOOKUP(A51,kurspris!$A$1:$Q$809,2,FALSE)</f>
        <v>Specialpedagogik - åk 7-9 och gymnasieskolan (UK)</v>
      </c>
      <c r="C51" s="31">
        <v>2200</v>
      </c>
      <c r="D51" t="str">
        <f>VLOOKUP(C51,Orgenheter!$A$1:$B$213,2)</f>
        <v xml:space="preserve">Inst för psykologi            </v>
      </c>
      <c r="E51" t="str">
        <f>VLOOKUP(C51,Orgenheter!$A$1:$C$165,3,FALSE)</f>
        <v>Sam</v>
      </c>
      <c r="F51" s="294">
        <f>0.5/5</f>
        <v>0.1</v>
      </c>
      <c r="G51">
        <f>VLOOKUP(A51,'Ansvar kurs'!$A$85:$C$976,2,FALSE)</f>
        <v>2180</v>
      </c>
      <c r="H51" t="str">
        <f>VLOOKUP(G51,Orgenheter!$A$1:$B$213,2)</f>
        <v xml:space="preserve">Pedagogik                     </v>
      </c>
      <c r="I51" t="str">
        <f>VLOOKUP(G51,Orgenheter!$A$1:$C$165,3,FALSE)</f>
        <v>Sam</v>
      </c>
      <c r="J51" s="210">
        <f>IF(ISERROR(VLOOKUP(A51,'Totalt pivot'!$A$5:$C$397,2,FALSE)),0,(VLOOKUP(A51,'Totalt pivot'!$A$5:$C$397,2,FALSE)))</f>
        <v>8.8333333333333339</v>
      </c>
      <c r="K51" s="210">
        <f t="shared" si="57"/>
        <v>0.88333333333333341</v>
      </c>
      <c r="L51" s="210">
        <f>IF(ISERROR(VLOOKUP(A51,'Totalt pivot'!$A$5:$C$397,3,FALSE)),0,(VLOOKUP(A51,'Totalt pivot'!$A$5:$C$397,3,FALSE)))</f>
        <v>7.5083333333333329</v>
      </c>
      <c r="M51" s="210">
        <f t="shared" si="96"/>
        <v>0.75083333333333335</v>
      </c>
      <c r="N51" s="26">
        <f>VLOOKUP(A51,kurspris!$A$1:$Q$809,15)</f>
        <v>23641</v>
      </c>
      <c r="O51" s="26">
        <f>VLOOKUP(A51,kurspris!$A$1:$Q$809,16)</f>
        <v>28786</v>
      </c>
      <c r="P51" s="26">
        <f>VLOOKUP(A51,kurspris!$A$1:$Q$809,17)</f>
        <v>5800</v>
      </c>
      <c r="Q51" s="26">
        <f t="shared" si="97"/>
        <v>42496.371666666673</v>
      </c>
      <c r="R51" s="26">
        <f>(Q51*Prislapp!$R$5)*-1</f>
        <v>-2974.7460166666674</v>
      </c>
      <c r="S51" s="26">
        <f t="shared" si="98"/>
        <v>39521.625650000009</v>
      </c>
      <c r="T51" s="26">
        <f t="shared" si="99"/>
        <v>5123.3333333333339</v>
      </c>
      <c r="V51" t="s">
        <v>1671</v>
      </c>
    </row>
    <row r="52" spans="1:23" x14ac:dyDescent="0.25">
      <c r="A52" s="31" t="s">
        <v>1567</v>
      </c>
      <c r="B52" t="str">
        <f>VLOOKUP(A52,kurspris!$A$1:$Q$809,2,FALSE)</f>
        <v>Utbildningsvetenskap, undervisning och lärande för grundskolan - fritidshem (UK)</v>
      </c>
      <c r="C52" s="31">
        <v>2193</v>
      </c>
      <c r="D52" t="str">
        <f>VLOOKUP(C52,Orgenheter!$A$1:$B$213,2)</f>
        <v xml:space="preserve">TUV </v>
      </c>
      <c r="E52" t="str">
        <f>VLOOKUP(C52,Orgenheter!$A$1:$C$165,3,FALSE)</f>
        <v>Sam</v>
      </c>
      <c r="F52" s="294">
        <f>3/8</f>
        <v>0.375</v>
      </c>
      <c r="G52">
        <f>VLOOKUP(A52,'Ansvar kurs'!$A$85:$C$976,2,FALSE)</f>
        <v>2180</v>
      </c>
      <c r="H52" t="str">
        <f>VLOOKUP(G52,Orgenheter!$A$1:$B$213,2)</f>
        <v xml:space="preserve">Pedagogik                     </v>
      </c>
      <c r="I52" t="str">
        <f>VLOOKUP(G52,Orgenheter!$A$1:$C$165,3,FALSE)</f>
        <v>Sam</v>
      </c>
      <c r="J52" s="210">
        <f>IF(ISERROR(VLOOKUP(A52,'Totalt pivot'!$A$5:$C$397,2,FALSE)),0,(VLOOKUP(A52,'Totalt pivot'!$A$5:$C$397,2,FALSE)))</f>
        <v>2</v>
      </c>
      <c r="K52" s="210">
        <f t="shared" si="57"/>
        <v>0.75</v>
      </c>
      <c r="L52" s="210">
        <f>IF(ISERROR(VLOOKUP(A52,'Totalt pivot'!$A$5:$C$397,3,FALSE)),0,(VLOOKUP(A52,'Totalt pivot'!$A$5:$C$397,3,FALSE)))</f>
        <v>1.7</v>
      </c>
      <c r="M52" s="210">
        <f t="shared" ref="M52:M53" si="100">F52*L52</f>
        <v>0.63749999999999996</v>
      </c>
      <c r="N52" s="26">
        <f>VLOOKUP(A52,kurspris!$A$1:$Q$809,15)</f>
        <v>23641</v>
      </c>
      <c r="O52" s="26">
        <f>VLOOKUP(A52,kurspris!$A$1:$Q$809,16)</f>
        <v>28786</v>
      </c>
      <c r="P52" s="26">
        <f>VLOOKUP(A52,kurspris!$A$1:$Q$809,17)</f>
        <v>5800</v>
      </c>
      <c r="Q52" s="26">
        <f t="shared" ref="Q52:Q53" si="101">K52*N52+M52*O52</f>
        <v>36081.824999999997</v>
      </c>
      <c r="R52" s="26">
        <f>(Q52*Prislapp!$R$5)*-1</f>
        <v>-2525.72775</v>
      </c>
      <c r="S52" s="26">
        <f t="shared" ref="S52:S53" si="102">Q52+R52</f>
        <v>33556.097249999999</v>
      </c>
      <c r="T52" s="26">
        <f t="shared" ref="T52:T53" si="103">K52*P52</f>
        <v>4350</v>
      </c>
    </row>
    <row r="53" spans="1:23" x14ac:dyDescent="0.25">
      <c r="A53" s="31" t="s">
        <v>1567</v>
      </c>
      <c r="B53" t="str">
        <f>VLOOKUP(A53,kurspris!$A$1:$Q$809,2,FALSE)</f>
        <v>Utbildningsvetenskap, undervisning och lärande för grundskolan - fritidshem (UK)</v>
      </c>
      <c r="C53" s="31">
        <v>2200</v>
      </c>
      <c r="D53" t="str">
        <f>VLOOKUP(C53,Orgenheter!$A$1:$B$213,2)</f>
        <v xml:space="preserve">Inst för psykologi            </v>
      </c>
      <c r="E53" t="str">
        <f>VLOOKUP(C53,Orgenheter!$A$1:$C$165,3,FALSE)</f>
        <v>Sam</v>
      </c>
      <c r="F53" s="294">
        <f>2/8</f>
        <v>0.25</v>
      </c>
      <c r="G53">
        <f>VLOOKUP(A53,'Ansvar kurs'!$A$85:$C$976,2,FALSE)</f>
        <v>2180</v>
      </c>
      <c r="H53" t="str">
        <f>VLOOKUP(G53,Orgenheter!$A$1:$B$213,2)</f>
        <v xml:space="preserve">Pedagogik                     </v>
      </c>
      <c r="I53" t="str">
        <f>VLOOKUP(G53,Orgenheter!$A$1:$C$165,3,FALSE)</f>
        <v>Sam</v>
      </c>
      <c r="J53" s="210">
        <f>IF(ISERROR(VLOOKUP(A53,'Totalt pivot'!$A$5:$C$397,2,FALSE)),0,(VLOOKUP(A53,'Totalt pivot'!$A$5:$C$397,2,FALSE)))</f>
        <v>2</v>
      </c>
      <c r="K53" s="210">
        <f t="shared" si="57"/>
        <v>0.5</v>
      </c>
      <c r="L53" s="210">
        <f>IF(ISERROR(VLOOKUP(A53,'Totalt pivot'!$A$5:$C$397,3,FALSE)),0,(VLOOKUP(A53,'Totalt pivot'!$A$5:$C$397,3,FALSE)))</f>
        <v>1.7</v>
      </c>
      <c r="M53" s="210">
        <f t="shared" si="100"/>
        <v>0.42499999999999999</v>
      </c>
      <c r="N53" s="26">
        <f>VLOOKUP(A53,kurspris!$A$1:$Q$809,15)</f>
        <v>23641</v>
      </c>
      <c r="O53" s="26">
        <f>VLOOKUP(A53,kurspris!$A$1:$Q$809,16)</f>
        <v>28786</v>
      </c>
      <c r="P53" s="26">
        <f>VLOOKUP(A53,kurspris!$A$1:$Q$809,17)</f>
        <v>5800</v>
      </c>
      <c r="Q53" s="26">
        <f t="shared" si="101"/>
        <v>24054.55</v>
      </c>
      <c r="R53" s="26">
        <f>(Q53*Prislapp!$R$5)*-1</f>
        <v>-1683.8185000000001</v>
      </c>
      <c r="S53" s="26">
        <f t="shared" si="102"/>
        <v>22370.731499999998</v>
      </c>
      <c r="T53" s="26">
        <f t="shared" si="103"/>
        <v>2900</v>
      </c>
    </row>
    <row r="54" spans="1:23" x14ac:dyDescent="0.25">
      <c r="A54" s="31" t="s">
        <v>1568</v>
      </c>
      <c r="B54" t="str">
        <f>VLOOKUP(A54,kurspris!$A$1:$Q$809,2,FALSE)</f>
        <v>Utbildningsvetenskap, undervisning och lärande för grundskolan (UK)</v>
      </c>
      <c r="C54" s="31">
        <v>5740</v>
      </c>
      <c r="D54" t="str">
        <f>VLOOKUP(C54,Orgenheter!$A$1:$B$213,2)</f>
        <v>NMD</v>
      </c>
      <c r="E54" t="str">
        <f>VLOOKUP(C54,Orgenheter!$A$1:$C$165,3,FALSE)</f>
        <v>TekNat</v>
      </c>
      <c r="F54" s="294">
        <f>3/8</f>
        <v>0.375</v>
      </c>
      <c r="G54">
        <f>VLOOKUP(A54,'Ansvar kurs'!$A$85:$C$976,2,FALSE)</f>
        <v>2180</v>
      </c>
      <c r="H54" t="str">
        <f>VLOOKUP(G54,Orgenheter!$A$1:$B$213,2)</f>
        <v xml:space="preserve">Pedagogik                     </v>
      </c>
      <c r="I54" t="str">
        <f>VLOOKUP(G54,Orgenheter!$A$1:$C$165,3,FALSE)</f>
        <v>Sam</v>
      </c>
      <c r="J54" s="210">
        <f>IF(ISERROR(VLOOKUP(A54,'Totalt pivot'!$A$5:$C$397,2,FALSE)),0,(VLOOKUP(A54,'Totalt pivot'!$A$5:$C$397,2,FALSE)))</f>
        <v>9.6</v>
      </c>
      <c r="K54" s="210">
        <f t="shared" si="57"/>
        <v>3.5999999999999996</v>
      </c>
      <c r="L54" s="210">
        <f>IF(ISERROR(VLOOKUP(A54,'Totalt pivot'!$A$5:$C$397,3,FALSE)),0,(VLOOKUP(A54,'Totalt pivot'!$A$5:$C$397,3,FALSE)))</f>
        <v>8.16</v>
      </c>
      <c r="M54" s="210">
        <f t="shared" ref="M54:M55" si="104">F54*L54</f>
        <v>3.06</v>
      </c>
      <c r="N54" s="26">
        <f>VLOOKUP(A54,kurspris!$A$1:$Q$809,15)</f>
        <v>23641</v>
      </c>
      <c r="O54" s="26">
        <f>VLOOKUP(A54,kurspris!$A$1:$Q$809,16)</f>
        <v>28786</v>
      </c>
      <c r="P54" s="26">
        <f>VLOOKUP(A54,kurspris!$A$1:$Q$809,17)</f>
        <v>5800</v>
      </c>
      <c r="Q54" s="26">
        <f t="shared" ref="Q54:Q55" si="105">K54*N54+M54*O54</f>
        <v>173192.76</v>
      </c>
      <c r="R54" s="26">
        <f>(Q54*Prislapp!$R$5)*-1</f>
        <v>-12123.493200000003</v>
      </c>
      <c r="S54" s="26">
        <f t="shared" ref="S54:S55" si="106">Q54+R54</f>
        <v>161069.26680000001</v>
      </c>
      <c r="T54" s="26">
        <f t="shared" ref="T54:T55" si="107">K54*P54</f>
        <v>20879.999999999996</v>
      </c>
    </row>
    <row r="55" spans="1:23" x14ac:dyDescent="0.25">
      <c r="A55" s="31" t="s">
        <v>1568</v>
      </c>
      <c r="B55" t="str">
        <f>VLOOKUP(A55,kurspris!$A$1:$Q$809,2,FALSE)</f>
        <v>Utbildningsvetenskap, undervisning och lärande för grundskolan (UK)</v>
      </c>
      <c r="C55" s="31">
        <v>2200</v>
      </c>
      <c r="D55" t="str">
        <f>VLOOKUP(C55,Orgenheter!$A$1:$B$213,2)</f>
        <v xml:space="preserve">Inst för psykologi            </v>
      </c>
      <c r="E55" t="str">
        <f>VLOOKUP(C55,Orgenheter!$A$1:$C$165,3,FALSE)</f>
        <v>Sam</v>
      </c>
      <c r="F55" s="294">
        <f>2/8</f>
        <v>0.25</v>
      </c>
      <c r="G55">
        <f>VLOOKUP(A55,'Ansvar kurs'!$A$85:$C$976,2,FALSE)</f>
        <v>2180</v>
      </c>
      <c r="H55" t="str">
        <f>VLOOKUP(G55,Orgenheter!$A$1:$B$213,2)</f>
        <v xml:space="preserve">Pedagogik                     </v>
      </c>
      <c r="I55" t="str">
        <f>VLOOKUP(G55,Orgenheter!$A$1:$C$165,3,FALSE)</f>
        <v>Sam</v>
      </c>
      <c r="J55" s="210">
        <f>IF(ISERROR(VLOOKUP(A55,'Totalt pivot'!$A$5:$C$397,2,FALSE)),0,(VLOOKUP(A55,'Totalt pivot'!$A$5:$C$397,2,FALSE)))</f>
        <v>9.6</v>
      </c>
      <c r="K55" s="210">
        <f t="shared" si="57"/>
        <v>2.4</v>
      </c>
      <c r="L55" s="210">
        <f>IF(ISERROR(VLOOKUP(A55,'Totalt pivot'!$A$5:$C$397,3,FALSE)),0,(VLOOKUP(A55,'Totalt pivot'!$A$5:$C$397,3,FALSE)))</f>
        <v>8.16</v>
      </c>
      <c r="M55" s="210">
        <f t="shared" si="104"/>
        <v>2.04</v>
      </c>
      <c r="N55" s="26">
        <f>VLOOKUP(A55,kurspris!$A$1:$Q$809,15)</f>
        <v>23641</v>
      </c>
      <c r="O55" s="26">
        <f>VLOOKUP(A55,kurspris!$A$1:$Q$809,16)</f>
        <v>28786</v>
      </c>
      <c r="P55" s="26">
        <f>VLOOKUP(A55,kurspris!$A$1:$Q$809,17)</f>
        <v>5800</v>
      </c>
      <c r="Q55" s="26">
        <f t="shared" si="105"/>
        <v>115461.84</v>
      </c>
      <c r="R55" s="26">
        <f>(Q55*Prislapp!$R$5)*-1</f>
        <v>-8082.3288000000002</v>
      </c>
      <c r="S55" s="26">
        <f t="shared" si="106"/>
        <v>107379.51119999999</v>
      </c>
      <c r="T55" s="26">
        <f t="shared" si="107"/>
        <v>13920</v>
      </c>
    </row>
    <row r="56" spans="1:23" x14ac:dyDescent="0.25">
      <c r="A56" s="31" t="s">
        <v>1669</v>
      </c>
      <c r="B56" t="str">
        <f>VLOOKUP(A56,kurspris!$A$1:$Q$809,2,FALSE)</f>
        <v>Utbildningsvetenskap, undervisning och lärande - Ämneslärarprogrammet (UK)</v>
      </c>
      <c r="C56" s="31">
        <v>2200</v>
      </c>
      <c r="D56" t="str">
        <f>VLOOKUP(C56,Orgenheter!$A$1:$B$213,2)</f>
        <v xml:space="preserve">Inst för psykologi            </v>
      </c>
      <c r="E56" t="str">
        <f>VLOOKUP(C56,Orgenheter!$A$1:$C$165,3,FALSE)</f>
        <v>Sam</v>
      </c>
      <c r="F56" s="294">
        <f>2/8</f>
        <v>0.25</v>
      </c>
      <c r="G56">
        <f>VLOOKUP(A56,'Ansvar kurs'!$A$85:$C$976,2,FALSE)</f>
        <v>2180</v>
      </c>
      <c r="H56" t="str">
        <f>VLOOKUP(G56,Orgenheter!$A$1:$B$213,2)</f>
        <v xml:space="preserve">Pedagogik                     </v>
      </c>
      <c r="I56" t="str">
        <f>VLOOKUP(G56,Orgenheter!$A$1:$C$165,3,FALSE)</f>
        <v>Sam</v>
      </c>
      <c r="J56" s="210">
        <f>IF(ISERROR(VLOOKUP(A56,'Totalt pivot'!$A$5:$C$397,2,FALSE)),0,(VLOOKUP(A56,'Totalt pivot'!$A$5:$C$397,2,FALSE)))</f>
        <v>13.466659999999999</v>
      </c>
      <c r="K56" s="210">
        <f t="shared" si="57"/>
        <v>3.3666649999999998</v>
      </c>
      <c r="L56" s="210">
        <f>IF(ISERROR(VLOOKUP(A56,'Totalt pivot'!$A$5:$C$397,3,FALSE)),0,(VLOOKUP(A56,'Totalt pivot'!$A$5:$C$397,3,FALSE)))</f>
        <v>11.446660999999999</v>
      </c>
      <c r="M56" s="210">
        <f t="shared" ref="M56:M57" si="108">F56*L56</f>
        <v>2.8616652499999997</v>
      </c>
      <c r="N56" s="26">
        <f>VLOOKUP(A56,kurspris!$A$1:$Q$809,15)</f>
        <v>23641</v>
      </c>
      <c r="O56" s="26">
        <f>VLOOKUP(A56,kurspris!$A$1:$Q$809,16)</f>
        <v>28786</v>
      </c>
      <c r="P56" s="26">
        <f>VLOOKUP(A56,kurspris!$A$1:$Q$809,17)</f>
        <v>5800</v>
      </c>
      <c r="Q56" s="26">
        <f t="shared" ref="Q56:Q57" si="109">K56*N56+M56*O56</f>
        <v>161967.22315149999</v>
      </c>
      <c r="R56" s="26">
        <f>(Q56*Prislapp!$R$5)*-1</f>
        <v>-11337.705620605</v>
      </c>
      <c r="S56" s="26">
        <f t="shared" ref="S56:S57" si="110">Q56+R56</f>
        <v>150629.51753089498</v>
      </c>
      <c r="T56" s="26">
        <f t="shared" ref="T56:T57" si="111">K56*P56</f>
        <v>19526.656999999999</v>
      </c>
      <c r="V56" t="s">
        <v>1671</v>
      </c>
    </row>
    <row r="57" spans="1:23" x14ac:dyDescent="0.25">
      <c r="A57" s="31" t="s">
        <v>1669</v>
      </c>
      <c r="B57" t="str">
        <f>VLOOKUP(A57,kurspris!$A$1:$Q$809,2,FALSE)</f>
        <v>Utbildningsvetenskap, undervisning och lärande - Ämneslärarprogrammet (UK)</v>
      </c>
      <c r="C57" s="31">
        <v>5740</v>
      </c>
      <c r="D57" t="str">
        <f>VLOOKUP(C57,Orgenheter!$A$1:$B$213,2)</f>
        <v>NMD</v>
      </c>
      <c r="E57" t="str">
        <f>VLOOKUP(C57,Orgenheter!$A$1:$C$165,3,FALSE)</f>
        <v>TekNat</v>
      </c>
      <c r="F57" s="294">
        <f>1/8</f>
        <v>0.125</v>
      </c>
      <c r="G57">
        <f>VLOOKUP(A57,'Ansvar kurs'!$A$85:$C$976,2,FALSE)</f>
        <v>2180</v>
      </c>
      <c r="H57" t="str">
        <f>VLOOKUP(G57,Orgenheter!$A$1:$B$213,2)</f>
        <v xml:space="preserve">Pedagogik                     </v>
      </c>
      <c r="I57" t="str">
        <f>VLOOKUP(G57,Orgenheter!$A$1:$C$165,3,FALSE)</f>
        <v>Sam</v>
      </c>
      <c r="J57" s="210">
        <f>IF(ISERROR(VLOOKUP(A57,'Totalt pivot'!$A$5:$C$397,2,FALSE)),0,(VLOOKUP(A57,'Totalt pivot'!$A$5:$C$397,2,FALSE)))</f>
        <v>13.466659999999999</v>
      </c>
      <c r="K57" s="210">
        <f t="shared" si="57"/>
        <v>1.6833324999999999</v>
      </c>
      <c r="L57" s="210">
        <f>IF(ISERROR(VLOOKUP(A57,'Totalt pivot'!$A$5:$C$397,3,FALSE)),0,(VLOOKUP(A57,'Totalt pivot'!$A$5:$C$397,3,FALSE)))</f>
        <v>11.446660999999999</v>
      </c>
      <c r="M57" s="210">
        <f t="shared" si="108"/>
        <v>1.4308326249999999</v>
      </c>
      <c r="N57" s="26">
        <f>VLOOKUP(A57,kurspris!$A$1:$Q$809,15)</f>
        <v>23641</v>
      </c>
      <c r="O57" s="26">
        <f>VLOOKUP(A57,kurspris!$A$1:$Q$809,16)</f>
        <v>28786</v>
      </c>
      <c r="P57" s="26">
        <f>VLOOKUP(A57,kurspris!$A$1:$Q$809,17)</f>
        <v>5800</v>
      </c>
      <c r="Q57" s="26">
        <f t="shared" si="109"/>
        <v>80983.611575749994</v>
      </c>
      <c r="R57" s="26">
        <f>(Q57*Prislapp!$R$5)*-1</f>
        <v>-5668.8528103025001</v>
      </c>
      <c r="S57" s="26">
        <f t="shared" si="110"/>
        <v>75314.758765447492</v>
      </c>
      <c r="T57" s="26">
        <f t="shared" si="111"/>
        <v>9763.3284999999996</v>
      </c>
      <c r="V57" t="s">
        <v>1671</v>
      </c>
    </row>
    <row r="58" spans="1:23" x14ac:dyDescent="0.25">
      <c r="A58" s="31" t="s">
        <v>1610</v>
      </c>
      <c r="B58" t="str">
        <f>VLOOKUP(A58,kurspris!$A$1:$Q$809,2,FALSE)</f>
        <v>Den professionella läraren 2: Uppdrag, ledarskap och undervisning (UK)</v>
      </c>
      <c r="C58" s="31">
        <v>2193</v>
      </c>
      <c r="D58" t="str">
        <f>VLOOKUP(C58,Orgenheter!$A$1:$B$213,2)</f>
        <v xml:space="preserve">TUV </v>
      </c>
      <c r="E58" t="str">
        <f>VLOOKUP(C58,Orgenheter!$A$1:$C$165,3,FALSE)</f>
        <v>Sam</v>
      </c>
      <c r="F58" s="294">
        <f>2/7.5</f>
        <v>0.26666666666666666</v>
      </c>
      <c r="G58">
        <f>VLOOKUP(A58,'Ansvar kurs'!$A$85:$C$976,2,FALSE)</f>
        <v>2180</v>
      </c>
      <c r="H58" t="str">
        <f>VLOOKUP(G58,Orgenheter!$A$1:$B$213,2)</f>
        <v xml:space="preserve">Pedagogik                     </v>
      </c>
      <c r="I58" t="str">
        <f>VLOOKUP(G58,Orgenheter!$A$1:$C$165,3,FALSE)</f>
        <v>Sam</v>
      </c>
      <c r="J58" s="210">
        <f>IF(ISERROR(VLOOKUP(A58,'Totalt pivot'!$A$5:$C$397,2,FALSE)),0,(VLOOKUP(A58,'Totalt pivot'!$A$5:$C$397,2,FALSE)))</f>
        <v>6</v>
      </c>
      <c r="K58" s="210">
        <f t="shared" si="57"/>
        <v>1.6</v>
      </c>
      <c r="L58" s="210">
        <f>IF(ISERROR(VLOOKUP(A58,'Totalt pivot'!$A$5:$C$397,3,FALSE)),0,(VLOOKUP(A58,'Totalt pivot'!$A$5:$C$397,3,FALSE)))</f>
        <v>5.0999999999999996</v>
      </c>
      <c r="M58" s="210">
        <f t="shared" ref="M58" si="112">F58*L58</f>
        <v>1.3599999999999999</v>
      </c>
      <c r="N58" s="26">
        <f>VLOOKUP(A58,kurspris!$A$1:$Q$809,15)</f>
        <v>23641</v>
      </c>
      <c r="O58" s="26">
        <f>VLOOKUP(A58,kurspris!$A$1:$Q$809,16)</f>
        <v>28786</v>
      </c>
      <c r="P58" s="26">
        <f>VLOOKUP(A58,kurspris!$A$1:$Q$809,17)</f>
        <v>5800</v>
      </c>
      <c r="Q58" s="26">
        <f t="shared" ref="Q58" si="113">K58*N58+M58*O58</f>
        <v>76974.559999999998</v>
      </c>
      <c r="R58" s="26">
        <f>(Q58*Prislapp!$R$5)*-1</f>
        <v>-5388.2192000000005</v>
      </c>
      <c r="S58" s="26">
        <f t="shared" ref="S58" si="114">Q58+R58</f>
        <v>71586.340799999991</v>
      </c>
      <c r="T58" s="26">
        <f t="shared" ref="T58" si="115">K58*P58</f>
        <v>9280</v>
      </c>
      <c r="V58" s="314" t="s">
        <v>1607</v>
      </c>
    </row>
    <row r="59" spans="1:23" x14ac:dyDescent="0.25">
      <c r="A59" s="31" t="s">
        <v>1563</v>
      </c>
      <c r="B59" t="str">
        <f>VLOOKUP(A59,kurspris!$A$1:$Q$809,2,FALSE)</f>
        <v>Barnet, omvärlden och fritidshemmets uppdrag</v>
      </c>
      <c r="C59" s="31">
        <v>2180</v>
      </c>
      <c r="D59" t="str">
        <f>VLOOKUP(C59,Orgenheter!$A$1:$B$213,2)</f>
        <v xml:space="preserve">Pedagogik                     </v>
      </c>
      <c r="E59" t="str">
        <f>VLOOKUP(C59,Orgenheter!$A$1:$C$165,3,FALSE)</f>
        <v>Sam</v>
      </c>
      <c r="F59" s="294">
        <f>3/15</f>
        <v>0.2</v>
      </c>
      <c r="G59">
        <f>VLOOKUP(A59,'Ansvar kurs'!$A$85:$C$976,2,FALSE)</f>
        <v>2193</v>
      </c>
      <c r="H59" t="str">
        <f>VLOOKUP(G59,Orgenheter!$A$1:$B$213,2)</f>
        <v xml:space="preserve">TUV </v>
      </c>
      <c r="I59" t="str">
        <f>VLOOKUP(G59,Orgenheter!$A$1:$C$165,3,FALSE)</f>
        <v>Sam</v>
      </c>
      <c r="J59" s="210">
        <f>IF(ISERROR(VLOOKUP(A59,'Totalt pivot'!$A$5:$C$397,2,FALSE)),0,(VLOOKUP(A59,'Totalt pivot'!$A$5:$C$397,2,FALSE)))</f>
        <v>6.5</v>
      </c>
      <c r="K59" s="210">
        <f t="shared" ref="K59" si="116">F59*J59</f>
        <v>1.3</v>
      </c>
      <c r="L59" s="210">
        <f>IF(ISERROR(VLOOKUP(A59,'Totalt pivot'!$A$5:$C$397,3,FALSE)),0,(VLOOKUP(A59,'Totalt pivot'!$A$5:$C$397,3,FALSE)))</f>
        <v>5.5249999999999995</v>
      </c>
      <c r="M59" s="210">
        <f t="shared" ref="M59" si="117">F59*L59</f>
        <v>1.105</v>
      </c>
      <c r="N59" s="26">
        <f>VLOOKUP(A59,kurspris!$A$1:$Q$809,15)</f>
        <v>18405</v>
      </c>
      <c r="O59" s="26">
        <f>VLOOKUP(A59,kurspris!$A$1:$Q$809,16)</f>
        <v>15773</v>
      </c>
      <c r="P59" s="26">
        <f>VLOOKUP(A59,kurspris!$A$1:$Q$809,17)</f>
        <v>5800</v>
      </c>
      <c r="Q59" s="26">
        <f t="shared" ref="Q59" si="118">K59*N59+M59*O59</f>
        <v>41355.665000000001</v>
      </c>
      <c r="R59" s="26">
        <f>(Q59*Prislapp!$R$5)*-1</f>
        <v>-2894.8965500000004</v>
      </c>
      <c r="S59" s="26">
        <f t="shared" ref="S59" si="119">Q59+R59</f>
        <v>38460.768450000003</v>
      </c>
      <c r="T59" s="26">
        <f t="shared" ref="T59" si="120">K59*P59</f>
        <v>7540</v>
      </c>
      <c r="V59" s="179" t="s">
        <v>1701</v>
      </c>
      <c r="W59" s="179"/>
    </row>
    <row r="60" spans="1:23" x14ac:dyDescent="0.25">
      <c r="A60" s="31" t="s">
        <v>1569</v>
      </c>
      <c r="B60" t="str">
        <f>VLOOKUP(A60,kurspris!$A$1:$Q$809,2,FALSE)</f>
        <v>Bedömning för och av lärande i grundskolan (UK)</v>
      </c>
      <c r="C60" s="31">
        <v>2180</v>
      </c>
      <c r="D60" t="str">
        <f>VLOOKUP(C60,Orgenheter!$A$1:$B$213,2)</f>
        <v xml:space="preserve">Pedagogik                     </v>
      </c>
      <c r="E60" t="str">
        <f>VLOOKUP(C60,Orgenheter!$A$1:$C$165,3,FALSE)</f>
        <v>Sam</v>
      </c>
      <c r="F60" s="294">
        <f>2.5/11</f>
        <v>0.22727272727272727</v>
      </c>
      <c r="G60">
        <f>VLOOKUP(A60,'Ansvar kurs'!$A$85:$C$976,2,FALSE)</f>
        <v>5740</v>
      </c>
      <c r="H60" t="str">
        <f>VLOOKUP(G60,Orgenheter!$A$1:$B$213,2)</f>
        <v>NMD</v>
      </c>
      <c r="I60" t="str">
        <f>VLOOKUP(G60,Orgenheter!$A$1:$C$165,3,FALSE)</f>
        <v>TekNat</v>
      </c>
      <c r="J60" s="210">
        <f>IF(ISERROR(VLOOKUP(A60,'Totalt pivot'!$A$5:$C$397,2,FALSE)),0,(VLOOKUP(A60,'Totalt pivot'!$A$5:$C$397,2,FALSE)))</f>
        <v>15.033339999999999</v>
      </c>
      <c r="K60" s="210">
        <f t="shared" si="57"/>
        <v>3.4166681818181814</v>
      </c>
      <c r="L60" s="210">
        <f>IF(ISERROR(VLOOKUP(A60,'Totalt pivot'!$A$5:$C$397,3,FALSE)),0,(VLOOKUP(A60,'Totalt pivot'!$A$5:$C$397,3,FALSE)))</f>
        <v>12.778338999999999</v>
      </c>
      <c r="M60" s="210">
        <f t="shared" ref="M60:M62" si="121">F60*L60</f>
        <v>2.9041679545454544</v>
      </c>
      <c r="N60" s="26">
        <f>VLOOKUP(A60,kurspris!$A$1:$Q$809,15)</f>
        <v>23641</v>
      </c>
      <c r="O60" s="26">
        <f>VLOOKUP(A60,kurspris!$A$1:$Q$809,16)</f>
        <v>28786</v>
      </c>
      <c r="P60" s="26">
        <f>VLOOKUP(A60,kurspris!$A$1:$Q$809,17)</f>
        <v>5800</v>
      </c>
      <c r="Q60" s="26">
        <f t="shared" ref="Q60:Q62" si="122">K60*N60+M60*O60</f>
        <v>164372.83122590909</v>
      </c>
      <c r="R60" s="26">
        <f>(Q60*Prislapp!$R$5)*-1</f>
        <v>-11506.098185813637</v>
      </c>
      <c r="S60" s="26">
        <f t="shared" ref="S60:S62" si="123">Q60+R60</f>
        <v>152866.73304009545</v>
      </c>
      <c r="T60" s="26">
        <f t="shared" ref="T60:T62" si="124">K60*P60</f>
        <v>19816.675454545453</v>
      </c>
    </row>
    <row r="61" spans="1:23" x14ac:dyDescent="0.25">
      <c r="A61" s="31" t="s">
        <v>1569</v>
      </c>
      <c r="B61" t="str">
        <f>VLOOKUP(A61,kurspris!$A$1:$Q$809,2,FALSE)</f>
        <v>Bedömning för och av lärande i grundskolan (UK)</v>
      </c>
      <c r="C61" s="31">
        <v>2193</v>
      </c>
      <c r="D61" t="str">
        <f>VLOOKUP(C61,Orgenheter!$A$1:$B$213,2)</f>
        <v xml:space="preserve">TUV </v>
      </c>
      <c r="E61" t="str">
        <f>VLOOKUP(C61,Orgenheter!$A$1:$C$165,3,FALSE)</f>
        <v>Sam</v>
      </c>
      <c r="F61" s="294">
        <f>2.5/11</f>
        <v>0.22727272727272727</v>
      </c>
      <c r="G61">
        <f>VLOOKUP(A61,'Ansvar kurs'!$A$85:$C$976,2,FALSE)</f>
        <v>5740</v>
      </c>
      <c r="H61" t="str">
        <f>VLOOKUP(G61,Orgenheter!$A$1:$B$213,2)</f>
        <v>NMD</v>
      </c>
      <c r="I61" t="str">
        <f>VLOOKUP(G61,Orgenheter!$A$1:$C$165,3,FALSE)</f>
        <v>TekNat</v>
      </c>
      <c r="J61" s="210">
        <f>IF(ISERROR(VLOOKUP(A61,'Totalt pivot'!$A$5:$C$397,2,FALSE)),0,(VLOOKUP(A61,'Totalt pivot'!$A$5:$C$397,2,FALSE)))</f>
        <v>15.033339999999999</v>
      </c>
      <c r="K61" s="210">
        <f t="shared" si="57"/>
        <v>3.4166681818181814</v>
      </c>
      <c r="L61" s="210">
        <f>IF(ISERROR(VLOOKUP(A61,'Totalt pivot'!$A$5:$C$397,3,FALSE)),0,(VLOOKUP(A61,'Totalt pivot'!$A$5:$C$397,3,FALSE)))</f>
        <v>12.778338999999999</v>
      </c>
      <c r="M61" s="210">
        <f t="shared" si="121"/>
        <v>2.9041679545454544</v>
      </c>
      <c r="N61" s="26">
        <f>VLOOKUP(A61,kurspris!$A$1:$Q$809,15)</f>
        <v>23641</v>
      </c>
      <c r="O61" s="26">
        <f>VLOOKUP(A61,kurspris!$A$1:$Q$809,16)</f>
        <v>28786</v>
      </c>
      <c r="P61" s="26">
        <f>VLOOKUP(A61,kurspris!$A$1:$Q$809,17)</f>
        <v>5800</v>
      </c>
      <c r="Q61" s="26">
        <f t="shared" si="122"/>
        <v>164372.83122590909</v>
      </c>
      <c r="R61" s="26">
        <f>(Q61*Prislapp!$R$5)*-1</f>
        <v>-11506.098185813637</v>
      </c>
      <c r="S61" s="26">
        <f t="shared" si="123"/>
        <v>152866.73304009545</v>
      </c>
      <c r="T61" s="26">
        <f t="shared" si="124"/>
        <v>19816.675454545453</v>
      </c>
    </row>
    <row r="62" spans="1:23" x14ac:dyDescent="0.25">
      <c r="A62" s="31" t="s">
        <v>1569</v>
      </c>
      <c r="B62" t="str">
        <f>VLOOKUP(A62,kurspris!$A$1:$Q$809,2,FALSE)</f>
        <v>Bedömning för och av lärande i grundskolan (UK)</v>
      </c>
      <c r="C62" s="31">
        <v>2300</v>
      </c>
      <c r="D62" t="str">
        <f>VLOOKUP(C62,Orgenheter!$A$1:$B$213,2)</f>
        <v xml:space="preserve">Juridiska institutionen       </v>
      </c>
      <c r="E62" t="str">
        <f>VLOOKUP(C62,Orgenheter!$A$1:$C$165,3,FALSE)</f>
        <v>Sam</v>
      </c>
      <c r="F62" s="294">
        <f>1/11</f>
        <v>9.0909090909090912E-2</v>
      </c>
      <c r="G62">
        <f>VLOOKUP(A62,'Ansvar kurs'!$A$85:$C$976,2,FALSE)</f>
        <v>5740</v>
      </c>
      <c r="H62" t="str">
        <f>VLOOKUP(G62,Orgenheter!$A$1:$B$213,2)</f>
        <v>NMD</v>
      </c>
      <c r="I62" t="str">
        <f>VLOOKUP(G62,Orgenheter!$A$1:$C$165,3,FALSE)</f>
        <v>TekNat</v>
      </c>
      <c r="J62" s="210">
        <f>IF(ISERROR(VLOOKUP(A62,'Totalt pivot'!$A$5:$C$397,2,FALSE)),0,(VLOOKUP(A62,'Totalt pivot'!$A$5:$C$397,2,FALSE)))</f>
        <v>15.033339999999999</v>
      </c>
      <c r="K62" s="210">
        <f t="shared" si="57"/>
        <v>1.3666672727272726</v>
      </c>
      <c r="L62" s="210">
        <f>IF(ISERROR(VLOOKUP(A62,'Totalt pivot'!$A$5:$C$397,3,FALSE)),0,(VLOOKUP(A62,'Totalt pivot'!$A$5:$C$397,3,FALSE)))</f>
        <v>12.778338999999999</v>
      </c>
      <c r="M62" s="210">
        <f t="shared" si="121"/>
        <v>1.1616671818181818</v>
      </c>
      <c r="N62" s="26">
        <f>VLOOKUP(A62,kurspris!$A$1:$Q$809,15)</f>
        <v>23641</v>
      </c>
      <c r="O62" s="26">
        <f>VLOOKUP(A62,kurspris!$A$1:$Q$809,16)</f>
        <v>28786</v>
      </c>
      <c r="P62" s="26">
        <f>VLOOKUP(A62,kurspris!$A$1:$Q$809,17)</f>
        <v>5800</v>
      </c>
      <c r="Q62" s="26">
        <f t="shared" si="122"/>
        <v>65749.132490363641</v>
      </c>
      <c r="R62" s="26">
        <f>(Q62*Prislapp!$R$5)*-1</f>
        <v>-4602.4392743254557</v>
      </c>
      <c r="S62" s="26">
        <f t="shared" si="123"/>
        <v>61146.693216038184</v>
      </c>
      <c r="T62" s="26">
        <f t="shared" si="124"/>
        <v>7926.6701818181809</v>
      </c>
    </row>
    <row r="63" spans="1:23" x14ac:dyDescent="0.25">
      <c r="A63" s="274" t="s">
        <v>1560</v>
      </c>
      <c r="B63" t="str">
        <f>VLOOKUP(A63,kurspris!$A$1:$Q$809,2,FALSE)</f>
        <v>Bedömning för lärande i förskolan (UK)</v>
      </c>
      <c r="C63" s="31">
        <v>2193</v>
      </c>
      <c r="D63" t="str">
        <f>VLOOKUP(C63,Orgenheter!$A$1:$B$213,2)</f>
        <v xml:space="preserve">TUV </v>
      </c>
      <c r="E63" t="str">
        <f>VLOOKUP(C63,Orgenheter!$A$1:$C$165,3,FALSE)</f>
        <v>Sam</v>
      </c>
      <c r="F63" s="294">
        <f>3/10</f>
        <v>0.3</v>
      </c>
      <c r="G63">
        <f>VLOOKUP(A63,'Ansvar kurs'!$A$85:$C$976,2,FALSE)</f>
        <v>5740</v>
      </c>
      <c r="H63" t="str">
        <f>VLOOKUP(G63,Orgenheter!$A$1:$B$213,2)</f>
        <v>NMD</v>
      </c>
      <c r="I63" t="str">
        <f>VLOOKUP(G63,Orgenheter!$A$1:$C$165,3,FALSE)</f>
        <v>TekNat</v>
      </c>
      <c r="J63" s="210">
        <f>IF(ISERROR(VLOOKUP(A63,'Totalt pivot'!$A$5:$C$397,2,FALSE)),0,(VLOOKUP(A63,'Totalt pivot'!$A$5:$C$397,2,FALSE)))</f>
        <v>10.1</v>
      </c>
      <c r="K63" s="210">
        <f t="shared" si="57"/>
        <v>3.03</v>
      </c>
      <c r="L63" s="210">
        <f>IF(ISERROR(VLOOKUP(A63,'Totalt pivot'!$A$5:$C$397,3,FALSE)),0,(VLOOKUP(A63,'Totalt pivot'!$A$5:$C$397,3,FALSE)))</f>
        <v>8.5849999999999991</v>
      </c>
      <c r="M63" s="210">
        <f t="shared" ref="M63:M64" si="125">F63*L63</f>
        <v>2.5754999999999995</v>
      </c>
      <c r="N63" s="26">
        <f>VLOOKUP(A63,kurspris!$A$1:$Q$809,15)</f>
        <v>23641</v>
      </c>
      <c r="O63" s="26">
        <f>VLOOKUP(A63,kurspris!$A$1:$Q$809,16)</f>
        <v>28786</v>
      </c>
      <c r="P63" s="26">
        <f>VLOOKUP(A63,kurspris!$A$1:$Q$809,17)</f>
        <v>5800</v>
      </c>
      <c r="Q63" s="26">
        <f t="shared" ref="Q63:Q64" si="126">K63*N63+M63*O63</f>
        <v>145770.57299999997</v>
      </c>
      <c r="R63" s="26">
        <f>(Q63*Prislapp!$R$5)*-1</f>
        <v>-10203.94011</v>
      </c>
      <c r="S63" s="26">
        <f t="shared" ref="S63:S64" si="127">Q63+R63</f>
        <v>135566.63288999998</v>
      </c>
      <c r="T63" s="26">
        <f t="shared" ref="T63:T64" si="128">K63*P63</f>
        <v>17574</v>
      </c>
      <c r="V63" t="s">
        <v>1697</v>
      </c>
    </row>
    <row r="64" spans="1:23" x14ac:dyDescent="0.25">
      <c r="A64" s="274" t="s">
        <v>1560</v>
      </c>
      <c r="B64" t="str">
        <f>VLOOKUP(A64,kurspris!$A$1:$Q$809,2,FALSE)</f>
        <v>Bedömning för lärande i förskolan (UK)</v>
      </c>
      <c r="C64" s="31">
        <v>2300</v>
      </c>
      <c r="D64" t="str">
        <f>VLOOKUP(C64,Orgenheter!$A$1:$B$213,2)</f>
        <v xml:space="preserve">Juridiska institutionen       </v>
      </c>
      <c r="E64" t="str">
        <f>VLOOKUP(C64,Orgenheter!$A$1:$C$165,3,FALSE)</f>
        <v>Sam</v>
      </c>
      <c r="F64" s="294">
        <f>1/10</f>
        <v>0.1</v>
      </c>
      <c r="G64">
        <f>VLOOKUP(A64,'Ansvar kurs'!$A$85:$C$976,2,FALSE)</f>
        <v>5740</v>
      </c>
      <c r="H64" t="str">
        <f>VLOOKUP(G64,Orgenheter!$A$1:$B$213,2)</f>
        <v>NMD</v>
      </c>
      <c r="I64" t="str">
        <f>VLOOKUP(G64,Orgenheter!$A$1:$C$165,3,FALSE)</f>
        <v>TekNat</v>
      </c>
      <c r="J64" s="210">
        <f>IF(ISERROR(VLOOKUP(A64,'Totalt pivot'!$A$5:$C$397,2,FALSE)),0,(VLOOKUP(A64,'Totalt pivot'!$A$5:$C$397,2,FALSE)))</f>
        <v>10.1</v>
      </c>
      <c r="K64" s="210">
        <f t="shared" si="57"/>
        <v>1.01</v>
      </c>
      <c r="L64" s="210">
        <f>IF(ISERROR(VLOOKUP(A64,'Totalt pivot'!$A$5:$C$397,3,FALSE)),0,(VLOOKUP(A64,'Totalt pivot'!$A$5:$C$397,3,FALSE)))</f>
        <v>8.5849999999999991</v>
      </c>
      <c r="M64" s="210">
        <f t="shared" si="125"/>
        <v>0.85849999999999993</v>
      </c>
      <c r="N64" s="26">
        <f>VLOOKUP(A64,kurspris!$A$1:$Q$809,15)</f>
        <v>23641</v>
      </c>
      <c r="O64" s="26">
        <f>VLOOKUP(A64,kurspris!$A$1:$Q$809,16)</f>
        <v>28786</v>
      </c>
      <c r="P64" s="26">
        <f>VLOOKUP(A64,kurspris!$A$1:$Q$809,17)</f>
        <v>5800</v>
      </c>
      <c r="Q64" s="26">
        <f t="shared" si="126"/>
        <v>48590.190999999999</v>
      </c>
      <c r="R64" s="26">
        <f>(Q64*Prislapp!$R$5)*-1</f>
        <v>-3401.3133700000003</v>
      </c>
      <c r="S64" s="26">
        <f t="shared" si="127"/>
        <v>45188.877629999995</v>
      </c>
      <c r="T64" s="26">
        <f t="shared" si="128"/>
        <v>5858</v>
      </c>
      <c r="V64" t="s">
        <v>1697</v>
      </c>
    </row>
    <row r="65" spans="1:23" x14ac:dyDescent="0.25">
      <c r="A65" s="31" t="s">
        <v>1686</v>
      </c>
      <c r="B65" t="str">
        <f>VLOOKUP(A65,kurspris!$A$1:$Q$809,2,FALSE)</f>
        <v>Bedömning för och av lärande för åk 7-9 och gymnasium (UK)</v>
      </c>
      <c r="C65" s="31">
        <v>2180</v>
      </c>
      <c r="D65" t="str">
        <f>VLOOKUP(C65,Orgenheter!$A$1:$B$213,2)</f>
        <v xml:space="preserve">Pedagogik                     </v>
      </c>
      <c r="E65" t="str">
        <f>VLOOKUP(C65,Orgenheter!$A$1:$C$165,3,FALSE)</f>
        <v>Sam</v>
      </c>
      <c r="F65" s="294">
        <f>2.5/11</f>
        <v>0.22727272727272727</v>
      </c>
      <c r="G65">
        <f>VLOOKUP(A65,'Ansvar kurs'!$A$85:$C$976,2,FALSE)</f>
        <v>5740</v>
      </c>
      <c r="H65" t="str">
        <f>VLOOKUP(G65,Orgenheter!$A$1:$B$213,2)</f>
        <v>NMD</v>
      </c>
      <c r="I65" t="str">
        <f>VLOOKUP(G65,Orgenheter!$A$1:$C$165,3,FALSE)</f>
        <v>TekNat</v>
      </c>
      <c r="J65" s="210">
        <f>IF(ISERROR(VLOOKUP(A65,'Totalt pivot'!$A$5:$C$397,2,FALSE)),0,(VLOOKUP(A65,'Totalt pivot'!$A$5:$C$397,2,FALSE)))</f>
        <v>18.149999999999999</v>
      </c>
      <c r="K65" s="210">
        <f t="shared" ref="K65:K67" si="129">F65*J65</f>
        <v>4.1249999999999991</v>
      </c>
      <c r="L65" s="210">
        <f>IF(ISERROR(VLOOKUP(A65,'Totalt pivot'!$A$5:$C$397,3,FALSE)),0,(VLOOKUP(A65,'Totalt pivot'!$A$5:$C$397,3,FALSE)))</f>
        <v>15.427499999999998</v>
      </c>
      <c r="M65" s="210">
        <f t="shared" ref="M65:M67" si="130">F65*L65</f>
        <v>3.5062499999999996</v>
      </c>
      <c r="N65" s="26">
        <f>VLOOKUP(A65,kurspris!$A$1:$Q$809,15)</f>
        <v>23641</v>
      </c>
      <c r="O65" s="26">
        <f>VLOOKUP(A65,kurspris!$A$1:$Q$809,16)</f>
        <v>28786</v>
      </c>
      <c r="P65" s="26">
        <f>VLOOKUP(A65,kurspris!$A$1:$Q$809,17)</f>
        <v>5800</v>
      </c>
      <c r="Q65" s="26">
        <f t="shared" ref="Q65:Q67" si="131">K65*N65+M65*O65</f>
        <v>198450.03749999998</v>
      </c>
      <c r="R65" s="26">
        <f>(Q65*Prislapp!$R$5)*-1</f>
        <v>-13891.502624999999</v>
      </c>
      <c r="S65" s="26">
        <f t="shared" ref="S65:S67" si="132">Q65+R65</f>
        <v>184558.53487499998</v>
      </c>
      <c r="T65" s="26">
        <f t="shared" ref="T65:T67" si="133">K65*P65</f>
        <v>23924.999999999996</v>
      </c>
      <c r="V65" t="s">
        <v>1671</v>
      </c>
    </row>
    <row r="66" spans="1:23" x14ac:dyDescent="0.25">
      <c r="A66" s="31" t="s">
        <v>1686</v>
      </c>
      <c r="B66" t="str">
        <f>VLOOKUP(A66,kurspris!$A$1:$Q$809,2,FALSE)</f>
        <v>Bedömning för och av lärande för åk 7-9 och gymnasium (UK)</v>
      </c>
      <c r="C66" s="31">
        <v>2193</v>
      </c>
      <c r="D66" t="str">
        <f>VLOOKUP(C66,Orgenheter!$A$1:$B$213,2)</f>
        <v xml:space="preserve">TUV </v>
      </c>
      <c r="E66" t="str">
        <f>VLOOKUP(C66,Orgenheter!$A$1:$C$165,3,FALSE)</f>
        <v>Sam</v>
      </c>
      <c r="F66" s="294">
        <f>2.5/11</f>
        <v>0.22727272727272727</v>
      </c>
      <c r="G66">
        <f>VLOOKUP(A66,'Ansvar kurs'!$A$85:$C$976,2,FALSE)</f>
        <v>5740</v>
      </c>
      <c r="H66" t="str">
        <f>VLOOKUP(G66,Orgenheter!$A$1:$B$213,2)</f>
        <v>NMD</v>
      </c>
      <c r="I66" t="str">
        <f>VLOOKUP(G66,Orgenheter!$A$1:$C$165,3,FALSE)</f>
        <v>TekNat</v>
      </c>
      <c r="J66" s="210">
        <f>IF(ISERROR(VLOOKUP(A66,'Totalt pivot'!$A$5:$C$397,2,FALSE)),0,(VLOOKUP(A66,'Totalt pivot'!$A$5:$C$397,2,FALSE)))</f>
        <v>18.149999999999999</v>
      </c>
      <c r="K66" s="210">
        <f t="shared" si="129"/>
        <v>4.1249999999999991</v>
      </c>
      <c r="L66" s="210">
        <f>IF(ISERROR(VLOOKUP(A66,'Totalt pivot'!$A$5:$C$397,3,FALSE)),0,(VLOOKUP(A66,'Totalt pivot'!$A$5:$C$397,3,FALSE)))</f>
        <v>15.427499999999998</v>
      </c>
      <c r="M66" s="210">
        <f t="shared" si="130"/>
        <v>3.5062499999999996</v>
      </c>
      <c r="N66" s="26">
        <f>VLOOKUP(A66,kurspris!$A$1:$Q$809,15)</f>
        <v>23641</v>
      </c>
      <c r="O66" s="26">
        <f>VLOOKUP(A66,kurspris!$A$1:$Q$809,16)</f>
        <v>28786</v>
      </c>
      <c r="P66" s="26">
        <f>VLOOKUP(A66,kurspris!$A$1:$Q$809,17)</f>
        <v>5800</v>
      </c>
      <c r="Q66" s="26">
        <f t="shared" si="131"/>
        <v>198450.03749999998</v>
      </c>
      <c r="R66" s="26">
        <f>(Q66*Prislapp!$R$5)*-1</f>
        <v>-13891.502624999999</v>
      </c>
      <c r="S66" s="26">
        <f t="shared" si="132"/>
        <v>184558.53487499998</v>
      </c>
      <c r="T66" s="26">
        <f t="shared" si="133"/>
        <v>23924.999999999996</v>
      </c>
      <c r="V66" t="s">
        <v>1671</v>
      </c>
    </row>
    <row r="67" spans="1:23" x14ac:dyDescent="0.25">
      <c r="A67" s="31" t="s">
        <v>1686</v>
      </c>
      <c r="B67" t="str">
        <f>VLOOKUP(A67,kurspris!$A$1:$Q$809,2,FALSE)</f>
        <v>Bedömning för och av lärande för åk 7-9 och gymnasium (UK)</v>
      </c>
      <c r="C67" s="31">
        <v>2300</v>
      </c>
      <c r="D67" t="str">
        <f>VLOOKUP(C67,Orgenheter!$A$1:$B$213,2)</f>
        <v xml:space="preserve">Juridiska institutionen       </v>
      </c>
      <c r="E67" t="str">
        <f>VLOOKUP(C67,Orgenheter!$A$1:$C$165,3,FALSE)</f>
        <v>Sam</v>
      </c>
      <c r="F67" s="294">
        <f>1/11</f>
        <v>9.0909090909090912E-2</v>
      </c>
      <c r="G67">
        <f>VLOOKUP(A67,'Ansvar kurs'!$A$85:$C$976,2,FALSE)</f>
        <v>5740</v>
      </c>
      <c r="H67" t="str">
        <f>VLOOKUP(G67,Orgenheter!$A$1:$B$213,2)</f>
        <v>NMD</v>
      </c>
      <c r="I67" t="str">
        <f>VLOOKUP(G67,Orgenheter!$A$1:$C$165,3,FALSE)</f>
        <v>TekNat</v>
      </c>
      <c r="J67" s="210">
        <f>IF(ISERROR(VLOOKUP(A67,'Totalt pivot'!$A$5:$C$397,2,FALSE)),0,(VLOOKUP(A67,'Totalt pivot'!$A$5:$C$397,2,FALSE)))</f>
        <v>18.149999999999999</v>
      </c>
      <c r="K67" s="210">
        <f t="shared" si="129"/>
        <v>1.65</v>
      </c>
      <c r="L67" s="210">
        <f>IF(ISERROR(VLOOKUP(A67,'Totalt pivot'!$A$5:$C$397,3,FALSE)),0,(VLOOKUP(A67,'Totalt pivot'!$A$5:$C$397,3,FALSE)))</f>
        <v>15.427499999999998</v>
      </c>
      <c r="M67" s="210">
        <f t="shared" si="130"/>
        <v>1.4024999999999999</v>
      </c>
      <c r="N67" s="26">
        <f>VLOOKUP(A67,kurspris!$A$1:$Q$809,15)</f>
        <v>23641</v>
      </c>
      <c r="O67" s="26">
        <f>VLOOKUP(A67,kurspris!$A$1:$Q$809,16)</f>
        <v>28786</v>
      </c>
      <c r="P67" s="26">
        <f>VLOOKUP(A67,kurspris!$A$1:$Q$809,17)</f>
        <v>5800</v>
      </c>
      <c r="Q67" s="26">
        <f t="shared" si="131"/>
        <v>79380.014999999999</v>
      </c>
      <c r="R67" s="26">
        <f>(Q67*Prislapp!$R$5)*-1</f>
        <v>-5556.6010500000002</v>
      </c>
      <c r="S67" s="26">
        <f t="shared" si="132"/>
        <v>73823.413950000002</v>
      </c>
      <c r="T67" s="26">
        <f t="shared" si="133"/>
        <v>9570</v>
      </c>
      <c r="V67" t="s">
        <v>1671</v>
      </c>
    </row>
    <row r="68" spans="1:23" x14ac:dyDescent="0.25">
      <c r="A68" s="62" t="s">
        <v>1745</v>
      </c>
      <c r="B68" t="str">
        <f>VLOOKUP(A68,kurspris!$A$1:$Q$809,2,FALSE)</f>
        <v>Kunskap, undervisning och lärande 2</v>
      </c>
      <c r="C68" s="31">
        <v>1650</v>
      </c>
      <c r="D68" t="str">
        <f>VLOOKUP(C68,Orgenheter!$A$1:$B$213,2)</f>
        <v xml:space="preserve">Estetiska ämnen               </v>
      </c>
      <c r="E68" t="str">
        <f>VLOOKUP(C68,Orgenheter!$A$1:$C$165,3,FALSE)</f>
        <v>Hum</v>
      </c>
      <c r="F68" s="294">
        <f>4/15</f>
        <v>0.26666666666666666</v>
      </c>
      <c r="G68">
        <f>VLOOKUP(A68,'Ansvar kurs'!$A$85:$C$976,2,FALSE)</f>
        <v>5740</v>
      </c>
      <c r="H68" t="str">
        <f>VLOOKUP(G68,Orgenheter!$A$1:$B$213,2)</f>
        <v>NMD</v>
      </c>
      <c r="I68" t="str">
        <f>VLOOKUP(G68,Orgenheter!$A$1:$C$165,3,FALSE)</f>
        <v>TekNat</v>
      </c>
      <c r="J68" s="210">
        <f>IF(ISERROR(VLOOKUP(A68,'Totalt pivot'!$A$5:$C$397,2,FALSE)),0,(VLOOKUP(A68,'Totalt pivot'!$A$5:$C$397,2,FALSE)))</f>
        <v>5.75</v>
      </c>
      <c r="K68" s="210">
        <f t="shared" ref="K68:K70" si="134">F68*J68</f>
        <v>1.5333333333333332</v>
      </c>
      <c r="L68" s="210">
        <f>IF(ISERROR(VLOOKUP(A68,'Totalt pivot'!$A$5:$C$397,3,FALSE)),0,(VLOOKUP(A68,'Totalt pivot'!$A$5:$C$397,3,FALSE)))</f>
        <v>4.8875000000000002</v>
      </c>
      <c r="M68" s="210">
        <f t="shared" ref="M68:M70" si="135">F68*L68</f>
        <v>1.3033333333333335</v>
      </c>
      <c r="N68" s="26">
        <f>VLOOKUP(A68,kurspris!$A$1:$Q$809,15)</f>
        <v>23641</v>
      </c>
      <c r="O68" s="26">
        <f>VLOOKUP(A68,kurspris!$A$1:$Q$809,16)</f>
        <v>28786</v>
      </c>
      <c r="P68" s="26">
        <f>VLOOKUP(A68,kurspris!$A$1:$Q$809,17)</f>
        <v>5800</v>
      </c>
      <c r="Q68" s="26">
        <f t="shared" ref="Q68:Q70" si="136">K68*N68+M68*O68</f>
        <v>73767.286666666667</v>
      </c>
      <c r="R68" s="26">
        <f>(Q68*Prislapp!$R$5)*-1</f>
        <v>-5163.7100666666674</v>
      </c>
      <c r="S68" s="26">
        <f t="shared" ref="S68:S70" si="137">Q68+R68</f>
        <v>68603.5766</v>
      </c>
      <c r="T68" s="26">
        <f t="shared" ref="T68:T70" si="138">K68*P68</f>
        <v>8893.3333333333321</v>
      </c>
    </row>
    <row r="69" spans="1:23" x14ac:dyDescent="0.25">
      <c r="A69" s="62" t="s">
        <v>1745</v>
      </c>
      <c r="B69" t="str">
        <f>VLOOKUP(A69,kurspris!$A$1:$Q$809,2,FALSE)</f>
        <v>Kunskap, undervisning och lärande 2</v>
      </c>
      <c r="C69" s="31">
        <v>2193</v>
      </c>
      <c r="D69" t="str">
        <f>VLOOKUP(C69,Orgenheter!$A$1:$B$213,2)</f>
        <v xml:space="preserve">TUV </v>
      </c>
      <c r="E69" t="str">
        <f>VLOOKUP(C69,Orgenheter!$A$1:$C$165,3,FALSE)</f>
        <v>Sam</v>
      </c>
      <c r="F69" s="294">
        <f>3/15</f>
        <v>0.2</v>
      </c>
      <c r="G69">
        <f>VLOOKUP(A69,'Ansvar kurs'!$A$85:$C$976,2,FALSE)</f>
        <v>5740</v>
      </c>
      <c r="H69" t="str">
        <f>VLOOKUP(G69,Orgenheter!$A$1:$B$213,2)</f>
        <v>NMD</v>
      </c>
      <c r="I69" t="str">
        <f>VLOOKUP(G69,Orgenheter!$A$1:$C$165,3,FALSE)</f>
        <v>TekNat</v>
      </c>
      <c r="J69" s="210">
        <f>IF(ISERROR(VLOOKUP(A69,'Totalt pivot'!$A$5:$C$397,2,FALSE)),0,(VLOOKUP(A69,'Totalt pivot'!$A$5:$C$397,2,FALSE)))</f>
        <v>5.75</v>
      </c>
      <c r="K69" s="210">
        <f t="shared" si="134"/>
        <v>1.1500000000000001</v>
      </c>
      <c r="L69" s="210">
        <f>IF(ISERROR(VLOOKUP(A69,'Totalt pivot'!$A$5:$C$397,3,FALSE)),0,(VLOOKUP(A69,'Totalt pivot'!$A$5:$C$397,3,FALSE)))</f>
        <v>4.8875000000000002</v>
      </c>
      <c r="M69" s="210">
        <f t="shared" si="135"/>
        <v>0.97750000000000004</v>
      </c>
      <c r="N69" s="26">
        <f>VLOOKUP(A69,kurspris!$A$1:$Q$809,15)</f>
        <v>23641</v>
      </c>
      <c r="O69" s="26">
        <f>VLOOKUP(A69,kurspris!$A$1:$Q$809,16)</f>
        <v>28786</v>
      </c>
      <c r="P69" s="26">
        <f>VLOOKUP(A69,kurspris!$A$1:$Q$809,17)</f>
        <v>5800</v>
      </c>
      <c r="Q69" s="26">
        <f t="shared" si="136"/>
        <v>55325.465000000004</v>
      </c>
      <c r="R69" s="26">
        <f>(Q69*Prislapp!$R$5)*-1</f>
        <v>-3872.7825500000008</v>
      </c>
      <c r="S69" s="26">
        <f t="shared" si="137"/>
        <v>51452.68245</v>
      </c>
      <c r="T69" s="26">
        <f t="shared" si="138"/>
        <v>6670.0000000000009</v>
      </c>
    </row>
    <row r="70" spans="1:23" x14ac:dyDescent="0.25">
      <c r="A70" s="62" t="s">
        <v>1745</v>
      </c>
      <c r="B70" t="str">
        <f>VLOOKUP(A70,kurspris!$A$1:$Q$809,2,FALSE)</f>
        <v>Kunskap, undervisning och lärande 2</v>
      </c>
      <c r="C70" s="31">
        <v>2180</v>
      </c>
      <c r="D70" t="str">
        <f>VLOOKUP(C70,Orgenheter!$A$1:$B$213,2)</f>
        <v xml:space="preserve">Pedagogik                     </v>
      </c>
      <c r="E70" t="str">
        <f>VLOOKUP(C70,Orgenheter!$A$1:$C$165,3,FALSE)</f>
        <v>Sam</v>
      </c>
      <c r="F70" s="294">
        <f>3/15</f>
        <v>0.2</v>
      </c>
      <c r="G70">
        <f>VLOOKUP(A70,'Ansvar kurs'!$A$85:$C$976,2,FALSE)</f>
        <v>5740</v>
      </c>
      <c r="H70" t="str">
        <f>VLOOKUP(G70,Orgenheter!$A$1:$B$213,2)</f>
        <v>NMD</v>
      </c>
      <c r="I70" t="str">
        <f>VLOOKUP(G70,Orgenheter!$A$1:$C$165,3,FALSE)</f>
        <v>TekNat</v>
      </c>
      <c r="J70" s="210">
        <f>IF(ISERROR(VLOOKUP(A70,'Totalt pivot'!$A$5:$C$397,2,FALSE)),0,(VLOOKUP(A70,'Totalt pivot'!$A$5:$C$397,2,FALSE)))</f>
        <v>5.75</v>
      </c>
      <c r="K70" s="210">
        <f t="shared" si="134"/>
        <v>1.1500000000000001</v>
      </c>
      <c r="L70" s="210">
        <f>IF(ISERROR(VLOOKUP(A70,'Totalt pivot'!$A$5:$C$397,3,FALSE)),0,(VLOOKUP(A70,'Totalt pivot'!$A$5:$C$397,3,FALSE)))</f>
        <v>4.8875000000000002</v>
      </c>
      <c r="M70" s="210">
        <f t="shared" si="135"/>
        <v>0.97750000000000004</v>
      </c>
      <c r="N70" s="26">
        <f>VLOOKUP(A70,kurspris!$A$1:$Q$809,15)</f>
        <v>23641</v>
      </c>
      <c r="O70" s="26">
        <f>VLOOKUP(A70,kurspris!$A$1:$Q$809,16)</f>
        <v>28786</v>
      </c>
      <c r="P70" s="26">
        <f>VLOOKUP(A70,kurspris!$A$1:$Q$809,17)</f>
        <v>5800</v>
      </c>
      <c r="Q70" s="26">
        <f t="shared" si="136"/>
        <v>55325.465000000004</v>
      </c>
      <c r="R70" s="26">
        <f>(Q70*Prislapp!$R$5)*-1</f>
        <v>-3872.7825500000008</v>
      </c>
      <c r="S70" s="26">
        <f t="shared" si="137"/>
        <v>51452.68245</v>
      </c>
      <c r="T70" s="26">
        <f t="shared" si="138"/>
        <v>6670.0000000000009</v>
      </c>
    </row>
    <row r="71" spans="1:23" x14ac:dyDescent="0.25">
      <c r="A71" s="31" t="s">
        <v>1733</v>
      </c>
      <c r="B71" t="str">
        <f>VLOOKUP(A71,kurspris!$A$1:$Q$809,2,FALSE)</f>
        <v>Läraryrkets dimensioner för förskoleklass och grundskolans årskurs 1-3 (VFU)</v>
      </c>
      <c r="C71" s="31">
        <v>1620</v>
      </c>
      <c r="D71" t="str">
        <f>VLOOKUP(C71,Orgenheter!$A$1:$B$213,2)</f>
        <v>Inst för språkstudier</v>
      </c>
      <c r="E71" t="str">
        <f>VLOOKUP(C71,Orgenheter!$A$1:$C$165,3,FALSE)</f>
        <v>Hum</v>
      </c>
      <c r="F71" s="294">
        <f>8/22.5</f>
        <v>0.35555555555555557</v>
      </c>
      <c r="G71">
        <f>VLOOKUP(A71,'Ansvar kurs'!$A$85:$C$976,2,FALSE)</f>
        <v>5740</v>
      </c>
      <c r="H71" t="str">
        <f>VLOOKUP(G71,Orgenheter!$A$1:$B$213,2)</f>
        <v>NMD</v>
      </c>
      <c r="I71" t="str">
        <f>VLOOKUP(G71,Orgenheter!$A$1:$C$165,3,FALSE)</f>
        <v>TekNat</v>
      </c>
      <c r="J71" s="210">
        <f>IF(ISERROR(VLOOKUP(A71,'Totalt pivot'!$A$5:$C$397,2,FALSE)),0,(VLOOKUP(A71,'Totalt pivot'!$A$5:$C$397,2,FALSE)))</f>
        <v>15</v>
      </c>
      <c r="K71" s="210">
        <f t="shared" ref="K71:K72" si="139">F71*J71</f>
        <v>5.3333333333333339</v>
      </c>
      <c r="L71" s="210">
        <f>IF(ISERROR(VLOOKUP(A71,'Totalt pivot'!$A$5:$C$397,3,FALSE)),0,(VLOOKUP(A71,'Totalt pivot'!$A$5:$C$397,3,FALSE)))</f>
        <v>12.75</v>
      </c>
      <c r="M71" s="210">
        <f t="shared" ref="M71:M72" si="140">F71*L71</f>
        <v>4.5333333333333332</v>
      </c>
      <c r="N71" s="26">
        <f>VLOOKUP(A71,kurspris!$A$1:$Q$809,15)</f>
        <v>21634</v>
      </c>
      <c r="O71" s="26">
        <f>VLOOKUP(A71,kurspris!$A$1:$Q$809,16)</f>
        <v>26986</v>
      </c>
      <c r="P71" s="26">
        <f>VLOOKUP(A71,kurspris!$A$1:$Q$809,17)</f>
        <v>3400</v>
      </c>
      <c r="Q71" s="26">
        <f t="shared" ref="Q71:Q72" si="141">K71*N71+M71*O71</f>
        <v>237717.86666666667</v>
      </c>
      <c r="R71" s="26">
        <f>(Q71*Prislapp!$R$5)*-1</f>
        <v>-16640.250666666667</v>
      </c>
      <c r="S71" s="26">
        <f t="shared" ref="S71:S72" si="142">Q71+R71</f>
        <v>221077.61600000001</v>
      </c>
      <c r="T71" s="26">
        <f t="shared" ref="T71:T72" si="143">K71*P71</f>
        <v>18133.333333333336</v>
      </c>
    </row>
    <row r="72" spans="1:23" x14ac:dyDescent="0.25">
      <c r="A72" s="31" t="s">
        <v>1733</v>
      </c>
      <c r="B72" t="str">
        <f>VLOOKUP(A72,kurspris!$A$1:$Q$809,2,FALSE)</f>
        <v>Läraryrkets dimensioner för förskoleklass och grundskolans årskurs 1-3 (VFU)</v>
      </c>
      <c r="C72" s="31">
        <v>2180</v>
      </c>
      <c r="D72" t="str">
        <f>VLOOKUP(C72,Orgenheter!$A$1:$B$213,2)</f>
        <v xml:space="preserve">Pedagogik                     </v>
      </c>
      <c r="E72" t="str">
        <f>VLOOKUP(C72,Orgenheter!$A$1:$C$165,3,FALSE)</f>
        <v>Sam</v>
      </c>
      <c r="F72" s="294">
        <f>3/22.5</f>
        <v>0.13333333333333333</v>
      </c>
      <c r="G72">
        <f>VLOOKUP(A72,'Ansvar kurs'!$A$85:$C$976,2,FALSE)</f>
        <v>5740</v>
      </c>
      <c r="H72" t="str">
        <f>VLOOKUP(G72,Orgenheter!$A$1:$B$213,2)</f>
        <v>NMD</v>
      </c>
      <c r="I72" t="str">
        <f>VLOOKUP(G72,Orgenheter!$A$1:$C$165,3,FALSE)</f>
        <v>TekNat</v>
      </c>
      <c r="J72" s="210">
        <f>IF(ISERROR(VLOOKUP(A72,'Totalt pivot'!$A$5:$C$397,2,FALSE)),0,(VLOOKUP(A72,'Totalt pivot'!$A$5:$C$397,2,FALSE)))</f>
        <v>15</v>
      </c>
      <c r="K72" s="210">
        <f t="shared" si="139"/>
        <v>2</v>
      </c>
      <c r="L72" s="210">
        <f>IF(ISERROR(VLOOKUP(A72,'Totalt pivot'!$A$5:$C$397,3,FALSE)),0,(VLOOKUP(A72,'Totalt pivot'!$A$5:$C$397,3,FALSE)))</f>
        <v>12.75</v>
      </c>
      <c r="M72" s="210">
        <f t="shared" si="140"/>
        <v>1.7</v>
      </c>
      <c r="N72" s="26">
        <f>VLOOKUP(A72,kurspris!$A$1:$Q$809,15)</f>
        <v>21634</v>
      </c>
      <c r="O72" s="26">
        <f>VLOOKUP(A72,kurspris!$A$1:$Q$809,16)</f>
        <v>26986</v>
      </c>
      <c r="P72" s="26">
        <f>VLOOKUP(A72,kurspris!$A$1:$Q$809,17)</f>
        <v>3400</v>
      </c>
      <c r="Q72" s="26">
        <f t="shared" si="141"/>
        <v>89144.2</v>
      </c>
      <c r="R72" s="26">
        <f>(Q72*Prislapp!$R$5)*-1</f>
        <v>-6240.0940000000001</v>
      </c>
      <c r="S72" s="26">
        <f t="shared" si="142"/>
        <v>82904.106</v>
      </c>
      <c r="T72" s="26">
        <f t="shared" si="143"/>
        <v>6800</v>
      </c>
    </row>
    <row r="73" spans="1:23" x14ac:dyDescent="0.25">
      <c r="A73" s="31" t="s">
        <v>1732</v>
      </c>
      <c r="B73" t="str">
        <f>VLOOKUP(A73,kurspris!$A$1:$Q$809,2,FALSE)</f>
        <v>Läraryrkets dimensioner för grundskolans årskurs 4-6 (VFU)</v>
      </c>
      <c r="C73" s="31">
        <v>1620</v>
      </c>
      <c r="D73" t="str">
        <f>VLOOKUP(C73,Orgenheter!$A$1:$B$213,2)</f>
        <v>Inst för språkstudier</v>
      </c>
      <c r="E73" t="str">
        <f>VLOOKUP(C73,Orgenheter!$A$1:$C$165,3,FALSE)</f>
        <v>Hum</v>
      </c>
      <c r="F73" s="294">
        <f>9/22.5</f>
        <v>0.4</v>
      </c>
      <c r="G73">
        <f>VLOOKUP(A73,'Ansvar kurs'!$A$85:$C$976,2,FALSE)</f>
        <v>5740</v>
      </c>
      <c r="H73" t="str">
        <f>VLOOKUP(G73,Orgenheter!$A$1:$B$213,2)</f>
        <v>NMD</v>
      </c>
      <c r="I73" t="str">
        <f>VLOOKUP(G73,Orgenheter!$A$1:$C$165,3,FALSE)</f>
        <v>TekNat</v>
      </c>
      <c r="J73" s="210">
        <f>IF(ISERROR(VLOOKUP(A73,'Totalt pivot'!$A$5:$C$397,2,FALSE)),0,(VLOOKUP(A73,'Totalt pivot'!$A$5:$C$397,2,FALSE)))</f>
        <v>9.375</v>
      </c>
      <c r="K73" s="210">
        <f t="shared" ref="K73" si="144">F73*J73</f>
        <v>3.75</v>
      </c>
      <c r="L73" s="210">
        <f>IF(ISERROR(VLOOKUP(A73,'Totalt pivot'!$A$5:$C$397,3,FALSE)),0,(VLOOKUP(A73,'Totalt pivot'!$A$5:$C$397,3,FALSE)))</f>
        <v>7.96875</v>
      </c>
      <c r="M73" s="210">
        <f t="shared" ref="M73" si="145">F73*L73</f>
        <v>3.1875</v>
      </c>
      <c r="N73" s="26">
        <f>VLOOKUP(A73,kurspris!$A$1:$Q$809,15)</f>
        <v>21634</v>
      </c>
      <c r="O73" s="26">
        <f>VLOOKUP(A73,kurspris!$A$1:$Q$809,16)</f>
        <v>26986</v>
      </c>
      <c r="P73" s="26">
        <f>VLOOKUP(A73,kurspris!$A$1:$Q$809,17)</f>
        <v>3400</v>
      </c>
      <c r="Q73" s="26">
        <f t="shared" ref="Q73" si="146">K73*N73+M73*O73</f>
        <v>167145.375</v>
      </c>
      <c r="R73" s="26">
        <f>(Q73*Prislapp!$R$5)*-1</f>
        <v>-11700.17625</v>
      </c>
      <c r="S73" s="26">
        <f t="shared" ref="S73" si="147">Q73+R73</f>
        <v>155445.19875000001</v>
      </c>
      <c r="T73" s="26">
        <f t="shared" ref="T73" si="148">K73*P73</f>
        <v>12750</v>
      </c>
    </row>
    <row r="74" spans="1:23" x14ac:dyDescent="0.25">
      <c r="A74" s="31" t="s">
        <v>1863</v>
      </c>
      <c r="B74" t="str">
        <f>VLOOKUP(A74,kurspris!$A$1:$Q$809,2,FALSE)</f>
        <v>Samhällsorientering för förskolan</v>
      </c>
      <c r="C74" s="31">
        <v>2180</v>
      </c>
      <c r="D74" t="str">
        <f>VLOOKUP(C74,Orgenheter!$A$1:$B$213,2)</f>
        <v xml:space="preserve">Pedagogik                     </v>
      </c>
      <c r="E74" t="str">
        <f>VLOOKUP(C74,Orgenheter!$A$1:$C$165,3,FALSE)</f>
        <v>Sam</v>
      </c>
      <c r="F74" s="294">
        <f>4.5/15</f>
        <v>0.3</v>
      </c>
      <c r="G74">
        <f>VLOOKUP(A74,'Ansvar kurs'!$A$85:$C$976,2,FALSE)</f>
        <v>2193</v>
      </c>
      <c r="H74" t="str">
        <f>VLOOKUP(G74,Orgenheter!$A$1:$B$213,2)</f>
        <v xml:space="preserve">TUV </v>
      </c>
      <c r="I74" t="str">
        <f>VLOOKUP(G74,Orgenheter!$A$1:$C$165,3,FALSE)</f>
        <v>Sam</v>
      </c>
      <c r="J74" s="210">
        <f>IF(ISERROR(VLOOKUP(A74,'Totalt pivot'!$A$5:$C$397,2,FALSE)),0,(VLOOKUP(A74,'Totalt pivot'!$A$5:$C$397,2,FALSE)))</f>
        <v>21.25</v>
      </c>
      <c r="K74" s="210">
        <f t="shared" ref="K74:K75" si="149">F74*J74</f>
        <v>6.375</v>
      </c>
      <c r="L74" s="210">
        <f>IF(ISERROR(VLOOKUP(A74,'Totalt pivot'!$A$5:$C$397,3,FALSE)),0,(VLOOKUP(A74,'Totalt pivot'!$A$5:$C$397,3,FALSE)))</f>
        <v>18.0625</v>
      </c>
      <c r="M74" s="210">
        <f t="shared" ref="M74:M75" si="150">F74*L74</f>
        <v>5.4187500000000002</v>
      </c>
      <c r="N74" s="26">
        <f>VLOOKUP(A74,kurspris!$A$1:$Q$809,15)</f>
        <v>18405</v>
      </c>
      <c r="O74" s="26">
        <f>VLOOKUP(A74,kurspris!$A$1:$Q$809,16)</f>
        <v>15773</v>
      </c>
      <c r="P74" s="26">
        <f>VLOOKUP(A74,kurspris!$A$1:$Q$809,17)</f>
        <v>5800</v>
      </c>
      <c r="Q74" s="26">
        <f t="shared" ref="Q74:Q75" si="151">K74*N74+M74*O74</f>
        <v>202801.81875000001</v>
      </c>
      <c r="R74" s="26">
        <f>(Q74*Prislapp!$R$5)*-1</f>
        <v>-14196.127312500003</v>
      </c>
      <c r="S74" s="26">
        <f t="shared" ref="S74:S75" si="152">Q74+R74</f>
        <v>188605.69143750001</v>
      </c>
      <c r="T74" s="26">
        <f t="shared" ref="T74:T75" si="153">K74*P74</f>
        <v>36975</v>
      </c>
    </row>
    <row r="75" spans="1:23" x14ac:dyDescent="0.25">
      <c r="A75" s="31" t="s">
        <v>1863</v>
      </c>
      <c r="B75" t="str">
        <f>VLOOKUP(A75,kurspris!$A$1:$Q$809,2,FALSE)</f>
        <v>Samhällsorientering för förskolan</v>
      </c>
      <c r="C75" s="31">
        <v>5740</v>
      </c>
      <c r="D75" t="str">
        <f>VLOOKUP(C75,Orgenheter!$A$1:$B$213,2)</f>
        <v>NMD</v>
      </c>
      <c r="E75" t="str">
        <f>VLOOKUP(C75,Orgenheter!$A$1:$C$165,3,FALSE)</f>
        <v>TekNat</v>
      </c>
      <c r="F75" s="294">
        <f>2/15</f>
        <v>0.13333333333333333</v>
      </c>
      <c r="G75">
        <f>VLOOKUP(A75,'Ansvar kurs'!$A$85:$C$976,2,FALSE)</f>
        <v>2193</v>
      </c>
      <c r="H75" t="str">
        <f>VLOOKUP(G75,Orgenheter!$A$1:$B$213,2)</f>
        <v xml:space="preserve">TUV </v>
      </c>
      <c r="I75" t="str">
        <f>VLOOKUP(G75,Orgenheter!$A$1:$C$165,3,FALSE)</f>
        <v>Sam</v>
      </c>
      <c r="J75" s="210">
        <f>IF(ISERROR(VLOOKUP(A75,'Totalt pivot'!$A$5:$C$397,2,FALSE)),0,(VLOOKUP(A75,'Totalt pivot'!$A$5:$C$397,2,FALSE)))</f>
        <v>21.25</v>
      </c>
      <c r="K75" s="210">
        <f t="shared" si="149"/>
        <v>2.8333333333333335</v>
      </c>
      <c r="L75" s="210">
        <f>IF(ISERROR(VLOOKUP(A75,'Totalt pivot'!$A$5:$C$397,3,FALSE)),0,(VLOOKUP(A75,'Totalt pivot'!$A$5:$C$397,3,FALSE)))</f>
        <v>18.0625</v>
      </c>
      <c r="M75" s="210">
        <f t="shared" si="150"/>
        <v>2.4083333333333332</v>
      </c>
      <c r="N75" s="26">
        <f>VLOOKUP(A75,kurspris!$A$1:$Q$809,15)</f>
        <v>18405</v>
      </c>
      <c r="O75" s="26">
        <f>VLOOKUP(A75,kurspris!$A$1:$Q$809,16)</f>
        <v>15773</v>
      </c>
      <c r="P75" s="26">
        <f>VLOOKUP(A75,kurspris!$A$1:$Q$809,17)</f>
        <v>5800</v>
      </c>
      <c r="Q75" s="26">
        <f t="shared" si="151"/>
        <v>90134.141666666663</v>
      </c>
      <c r="R75" s="26">
        <f>(Q75*Prislapp!$R$5)*-1</f>
        <v>-6309.389916666667</v>
      </c>
      <c r="S75" s="26">
        <f t="shared" si="152"/>
        <v>83824.751749999996</v>
      </c>
      <c r="T75" s="26">
        <f t="shared" si="153"/>
        <v>16433.333333333336</v>
      </c>
    </row>
    <row r="76" spans="1:23" x14ac:dyDescent="0.25">
      <c r="A76" s="31" t="s">
        <v>1864</v>
      </c>
      <c r="B76" t="str">
        <f>VLOOKUP(A76,kurspris!$A$1:$Q$809,2,FALSE)</f>
        <v>Profession och vetenskap för förskolan (UK)</v>
      </c>
      <c r="C76" s="31">
        <v>2180</v>
      </c>
      <c r="D76" t="str">
        <f>VLOOKUP(C76,Orgenheter!$A$1:$B$213,2)</f>
        <v xml:space="preserve">Pedagogik                     </v>
      </c>
      <c r="E76" t="str">
        <f>VLOOKUP(C76,Orgenheter!$A$1:$C$165,3,FALSE)</f>
        <v>Sam</v>
      </c>
      <c r="F76" s="294">
        <f>3.5/7.5</f>
        <v>0.46666666666666667</v>
      </c>
      <c r="G76">
        <f>VLOOKUP(A76,'Ansvar kurs'!$A$85:$C$976,2,FALSE)</f>
        <v>2193</v>
      </c>
      <c r="H76" t="str">
        <f>VLOOKUP(G76,Orgenheter!$A$1:$B$213,2)</f>
        <v xml:space="preserve">TUV </v>
      </c>
      <c r="I76" t="str">
        <f>VLOOKUP(G76,Orgenheter!$A$1:$C$165,3,FALSE)</f>
        <v>Sam</v>
      </c>
      <c r="J76" s="210">
        <f>IF(ISERROR(VLOOKUP(A76,'Totalt pivot'!$A$5:$C$397,2,FALSE)),0,(VLOOKUP(A76,'Totalt pivot'!$A$5:$C$397,2,FALSE)))</f>
        <v>10.625</v>
      </c>
      <c r="K76" s="210">
        <f t="shared" ref="K76:K77" si="154">F76*J76</f>
        <v>4.958333333333333</v>
      </c>
      <c r="L76" s="210">
        <f>IF(ISERROR(VLOOKUP(A76,'Totalt pivot'!$A$5:$C$397,3,FALSE)),0,(VLOOKUP(A76,'Totalt pivot'!$A$5:$C$397,3,FALSE)))</f>
        <v>9.03125</v>
      </c>
      <c r="M76" s="210">
        <f t="shared" ref="M76:M77" si="155">F76*L76</f>
        <v>4.2145833333333336</v>
      </c>
      <c r="N76" s="26">
        <f>VLOOKUP(A76,kurspris!$A$1:$Q$809,15)</f>
        <v>23641</v>
      </c>
      <c r="O76" s="26">
        <f>VLOOKUP(A76,kurspris!$A$1:$Q$809,16)</f>
        <v>28786</v>
      </c>
      <c r="P76" s="26">
        <f>VLOOKUP(A76,kurspris!$A$1:$Q$809,17)</f>
        <v>5800</v>
      </c>
      <c r="Q76" s="26">
        <f t="shared" ref="Q76:Q77" si="156">K76*N76+M76*O76</f>
        <v>238540.95416666666</v>
      </c>
      <c r="R76" s="26">
        <f>(Q76*Prislapp!$R$5)*-1</f>
        <v>-16697.866791666667</v>
      </c>
      <c r="S76" s="26">
        <f t="shared" ref="S76:S77" si="157">Q76+R76</f>
        <v>221843.087375</v>
      </c>
      <c r="T76" s="26">
        <f t="shared" ref="T76:T77" si="158">K76*P76</f>
        <v>28758.333333333332</v>
      </c>
      <c r="V76" t="s">
        <v>1922</v>
      </c>
    </row>
    <row r="77" spans="1:23" x14ac:dyDescent="0.25">
      <c r="A77" s="31" t="s">
        <v>1865</v>
      </c>
      <c r="B77" t="str">
        <f>VLOOKUP(A77,kurspris!$A$1:$Q$809,2,FALSE)</f>
        <v>Profession och vetenskap för fritidshem (UK)</v>
      </c>
      <c r="C77" s="31">
        <v>2180</v>
      </c>
      <c r="D77" t="str">
        <f>VLOOKUP(C77,Orgenheter!$A$1:$B$213,2)</f>
        <v xml:space="preserve">Pedagogik                     </v>
      </c>
      <c r="E77" t="str">
        <f>VLOOKUP(C77,Orgenheter!$A$1:$C$165,3,FALSE)</f>
        <v>Sam</v>
      </c>
      <c r="F77" s="294">
        <f>3.5/7.5</f>
        <v>0.46666666666666667</v>
      </c>
      <c r="G77">
        <f>VLOOKUP(A77,'Ansvar kurs'!$A$85:$C$976,2,FALSE)</f>
        <v>2193</v>
      </c>
      <c r="H77" t="str">
        <f>VLOOKUP(G77,Orgenheter!$A$1:$B$213,2)</f>
        <v xml:space="preserve">TUV </v>
      </c>
      <c r="I77" t="str">
        <f>VLOOKUP(G77,Orgenheter!$A$1:$C$165,3,FALSE)</f>
        <v>Sam</v>
      </c>
      <c r="J77" s="210">
        <f>IF(ISERROR(VLOOKUP(A77,'Totalt pivot'!$A$5:$C$397,2,FALSE)),0,(VLOOKUP(A77,'Totalt pivot'!$A$5:$C$397,2,FALSE)))</f>
        <v>2.75</v>
      </c>
      <c r="K77" s="210">
        <f t="shared" si="154"/>
        <v>1.2833333333333334</v>
      </c>
      <c r="L77" s="210">
        <f>IF(ISERROR(VLOOKUP(A77,'Totalt pivot'!$A$5:$C$397,3,FALSE)),0,(VLOOKUP(A77,'Totalt pivot'!$A$5:$C$397,3,FALSE)))</f>
        <v>2.3374999999999999</v>
      </c>
      <c r="M77" s="210">
        <f t="shared" si="155"/>
        <v>1.0908333333333333</v>
      </c>
      <c r="N77" s="26">
        <f>VLOOKUP(A77,kurspris!$A$1:$Q$809,15)</f>
        <v>23641</v>
      </c>
      <c r="O77" s="26">
        <f>VLOOKUP(A77,kurspris!$A$1:$Q$809,16)</f>
        <v>28786</v>
      </c>
      <c r="P77" s="26">
        <f>VLOOKUP(A77,kurspris!$A$1:$Q$809,17)</f>
        <v>5800</v>
      </c>
      <c r="Q77" s="26">
        <f t="shared" si="156"/>
        <v>61740.011666666673</v>
      </c>
      <c r="R77" s="26">
        <f>(Q77*Prislapp!$R$5)*-1</f>
        <v>-4321.8008166666677</v>
      </c>
      <c r="S77" s="26">
        <f t="shared" si="157"/>
        <v>57418.210850000003</v>
      </c>
      <c r="T77" s="26">
        <f t="shared" si="158"/>
        <v>7443.3333333333339</v>
      </c>
      <c r="V77" t="s">
        <v>1922</v>
      </c>
    </row>
    <row r="78" spans="1:23" x14ac:dyDescent="0.25">
      <c r="A78" s="62" t="s">
        <v>1887</v>
      </c>
      <c r="B78" t="str">
        <f>VLOOKUP(A78,kurspris!$A$1:$Q$809,2,FALSE)</f>
        <v>Grundlärare som profession (UK)</v>
      </c>
      <c r="C78" s="31">
        <v>1620</v>
      </c>
      <c r="D78" t="str">
        <f>VLOOKUP(C78,Orgenheter!$A$1:$B$213,2)</f>
        <v>Inst för språkstudier</v>
      </c>
      <c r="E78" t="str">
        <f>VLOOKUP(C78,Orgenheter!$A$1:$C$165,3,FALSE)</f>
        <v>Hum</v>
      </c>
      <c r="F78" s="294">
        <f>2.5/6</f>
        <v>0.41666666666666669</v>
      </c>
      <c r="G78">
        <f>VLOOKUP(A78,'Ansvar kurs'!$A$85:$C$976,2,FALSE)</f>
        <v>5740</v>
      </c>
      <c r="H78" t="str">
        <f>VLOOKUP(G78,Orgenheter!$A$1:$B$213,2)</f>
        <v>NMD</v>
      </c>
      <c r="I78" t="str">
        <f>VLOOKUP(G78,Orgenheter!$A$1:$C$165,3,FALSE)</f>
        <v>TekNat</v>
      </c>
      <c r="J78" s="210">
        <f>IF(ISERROR(VLOOKUP(A78,'Totalt pivot'!$A$5:$C$397,2,FALSE)),0,(VLOOKUP(A78,'Totalt pivot'!$A$5:$C$397,2,FALSE)))</f>
        <v>11.3</v>
      </c>
      <c r="K78" s="210">
        <f t="shared" ref="K78:K83" si="159">F78*J78</f>
        <v>4.7083333333333339</v>
      </c>
      <c r="L78" s="210">
        <f>IF(ISERROR(VLOOKUP(A78,'Totalt pivot'!$A$5:$C$397,3,FALSE)),0,(VLOOKUP(A78,'Totalt pivot'!$A$5:$C$397,3,FALSE)))</f>
        <v>9.6050000000000004</v>
      </c>
      <c r="M78" s="210">
        <f t="shared" ref="M78:M83" si="160">F78*L78</f>
        <v>4.0020833333333341</v>
      </c>
      <c r="N78" s="26">
        <f>VLOOKUP(A78,kurspris!$A$1:$Q$809,15)</f>
        <v>23641</v>
      </c>
      <c r="O78" s="26">
        <f>VLOOKUP(A78,kurspris!$A$1:$Q$809,16)</f>
        <v>28786</v>
      </c>
      <c r="P78" s="26">
        <f>VLOOKUP(A78,kurspris!$A$1:$Q$809,17)</f>
        <v>5800</v>
      </c>
      <c r="Q78" s="26">
        <f t="shared" ref="Q78:Q83" si="161">K78*N78+M78*O78</f>
        <v>226513.6791666667</v>
      </c>
      <c r="R78" s="26">
        <f>(Q78*Prislapp!$R$5)*-1</f>
        <v>-15855.95754166667</v>
      </c>
      <c r="S78" s="26">
        <f t="shared" ref="S78:S83" si="162">Q78+R78</f>
        <v>210657.72162500003</v>
      </c>
      <c r="T78" s="26">
        <f t="shared" ref="T78:T83" si="163">K78*P78</f>
        <v>27308.333333333336</v>
      </c>
      <c r="V78" t="s">
        <v>1131</v>
      </c>
    </row>
    <row r="79" spans="1:23" x14ac:dyDescent="0.25">
      <c r="A79" s="62" t="s">
        <v>1887</v>
      </c>
      <c r="B79" t="str">
        <f>VLOOKUP(A79,kurspris!$A$1:$Q$809,2,FALSE)</f>
        <v>Grundlärare som profession (UK)</v>
      </c>
      <c r="C79" s="31">
        <v>1650</v>
      </c>
      <c r="D79" t="str">
        <f>VLOOKUP(C79,Orgenheter!$A$1:$B$213,2)</f>
        <v xml:space="preserve">Estetiska ämnen               </v>
      </c>
      <c r="E79" t="str">
        <f>VLOOKUP(C79,Orgenheter!$A$1:$C$165,3,FALSE)</f>
        <v>Hum</v>
      </c>
      <c r="F79" s="294">
        <f>1/6</f>
        <v>0.16666666666666666</v>
      </c>
      <c r="G79">
        <f>VLOOKUP(A79,'Ansvar kurs'!$A$85:$C$976,2,FALSE)</f>
        <v>5740</v>
      </c>
      <c r="H79" t="str">
        <f>VLOOKUP(G79,Orgenheter!$A$1:$B$213,2)</f>
        <v>NMD</v>
      </c>
      <c r="I79" t="str">
        <f>VLOOKUP(G79,Orgenheter!$A$1:$C$165,3,FALSE)</f>
        <v>TekNat</v>
      </c>
      <c r="J79" s="210">
        <f>IF(ISERROR(VLOOKUP(A79,'Totalt pivot'!$A$5:$C$397,2,FALSE)),0,(VLOOKUP(A79,'Totalt pivot'!$A$5:$C$397,2,FALSE)))</f>
        <v>11.3</v>
      </c>
      <c r="K79" s="210">
        <f t="shared" si="159"/>
        <v>1.8833333333333333</v>
      </c>
      <c r="L79" s="210">
        <f>IF(ISERROR(VLOOKUP(A79,'Totalt pivot'!$A$5:$C$397,3,FALSE)),0,(VLOOKUP(A79,'Totalt pivot'!$A$5:$C$397,3,FALSE)))</f>
        <v>9.6050000000000004</v>
      </c>
      <c r="M79" s="210">
        <f t="shared" si="160"/>
        <v>1.6008333333333333</v>
      </c>
      <c r="N79" s="26">
        <f>VLOOKUP(A79,kurspris!$A$1:$Q$809,15)</f>
        <v>23641</v>
      </c>
      <c r="O79" s="26">
        <f>VLOOKUP(A79,kurspris!$A$1:$Q$809,16)</f>
        <v>28786</v>
      </c>
      <c r="P79" s="26">
        <f>VLOOKUP(A79,kurspris!$A$1:$Q$809,17)</f>
        <v>5800</v>
      </c>
      <c r="Q79" s="26">
        <f t="shared" si="161"/>
        <v>90605.471666666665</v>
      </c>
      <c r="R79" s="26">
        <f>(Q79*Prislapp!$R$5)*-1</f>
        <v>-6342.3830166666676</v>
      </c>
      <c r="S79" s="26">
        <f t="shared" si="162"/>
        <v>84263.088649999991</v>
      </c>
      <c r="T79" s="26">
        <f t="shared" si="163"/>
        <v>10923.333333333334</v>
      </c>
      <c r="V79" t="s">
        <v>1131</v>
      </c>
    </row>
    <row r="80" spans="1:23" x14ac:dyDescent="0.25">
      <c r="A80" s="31" t="s">
        <v>1885</v>
      </c>
      <c r="B80" t="str">
        <f>VLOOKUP(A80,kurspris!$A$1:$Q$809,2,FALSE)</f>
        <v>Profession och vetenskap för åk 4-6 (UK III)</v>
      </c>
      <c r="C80" s="31">
        <v>1620</v>
      </c>
      <c r="D80" t="str">
        <f>VLOOKUP(C80,Orgenheter!$A$1:$B$213,2)</f>
        <v>Inst för språkstudier</v>
      </c>
      <c r="E80" t="str">
        <f>VLOOKUP(C80,Orgenheter!$A$1:$C$165,3,FALSE)</f>
        <v>Hum</v>
      </c>
      <c r="F80" s="294">
        <f>3/7.5</f>
        <v>0.4</v>
      </c>
      <c r="G80">
        <f>VLOOKUP(A80,'Ansvar kurs'!$A$85:$C$976,2,FALSE)</f>
        <v>5740</v>
      </c>
      <c r="H80" t="str">
        <f>VLOOKUP(G80,Orgenheter!$A$1:$B$213,2)</f>
        <v>NMD</v>
      </c>
      <c r="I80" t="str">
        <f>VLOOKUP(G80,Orgenheter!$A$1:$C$165,3,FALSE)</f>
        <v>TekNat</v>
      </c>
      <c r="J80" s="210">
        <f>IF(ISERROR(VLOOKUP(A80,'Totalt pivot'!$A$5:$C$397,2,FALSE)),0,(VLOOKUP(A80,'Totalt pivot'!$A$5:$C$397,2,FALSE)))</f>
        <v>3.375</v>
      </c>
      <c r="K80" s="210">
        <f t="shared" si="159"/>
        <v>1.35</v>
      </c>
      <c r="L80" s="210">
        <f>IF(ISERROR(VLOOKUP(A80,'Totalt pivot'!$A$5:$C$397,3,FALSE)),0,(VLOOKUP(A80,'Totalt pivot'!$A$5:$C$397,3,FALSE)))</f>
        <v>2.8687499999999999</v>
      </c>
      <c r="M80" s="210">
        <f t="shared" si="160"/>
        <v>1.1475</v>
      </c>
      <c r="N80" s="26">
        <f>VLOOKUP(A80,kurspris!$A$1:$Q$809,15)</f>
        <v>23641</v>
      </c>
      <c r="O80" s="26">
        <f>VLOOKUP(A80,kurspris!$A$1:$Q$809,16)</f>
        <v>28786</v>
      </c>
      <c r="P80" s="26">
        <f>VLOOKUP(A80,kurspris!$A$1:$Q$809,17)</f>
        <v>5800</v>
      </c>
      <c r="Q80" s="26">
        <f t="shared" si="161"/>
        <v>64947.285000000003</v>
      </c>
      <c r="R80" s="26">
        <f>(Q80*Prislapp!$R$5)*-1</f>
        <v>-4546.3099500000008</v>
      </c>
      <c r="S80" s="26">
        <f t="shared" si="162"/>
        <v>60400.975050000001</v>
      </c>
      <c r="T80" s="26">
        <f t="shared" si="163"/>
        <v>7830.0000000000009</v>
      </c>
      <c r="V80" s="39" t="s">
        <v>991</v>
      </c>
      <c r="W80">
        <v>141004</v>
      </c>
    </row>
    <row r="81" spans="1:24" x14ac:dyDescent="0.25">
      <c r="A81" s="31" t="s">
        <v>1886</v>
      </c>
      <c r="B81" t="str">
        <f>VLOOKUP(A81,kurspris!$A$1:$Q$809,2,FALSE)</f>
        <v>Profession och vetenskap för F-3 (UK III)</v>
      </c>
      <c r="C81" s="31">
        <v>1620</v>
      </c>
      <c r="D81" t="str">
        <f>VLOOKUP(C81,Orgenheter!$A$1:$B$213,2)</f>
        <v>Inst för språkstudier</v>
      </c>
      <c r="E81" t="str">
        <f>VLOOKUP(C81,Orgenheter!$A$1:$C$165,3,FALSE)</f>
        <v>Hum</v>
      </c>
      <c r="F81" s="294">
        <f>3/7.5</f>
        <v>0.4</v>
      </c>
      <c r="G81">
        <f>VLOOKUP(A81,'Ansvar kurs'!$A$85:$C$976,2,FALSE)</f>
        <v>5740</v>
      </c>
      <c r="H81" t="str">
        <f>VLOOKUP(G81,Orgenheter!$A$1:$B$213,2)</f>
        <v>NMD</v>
      </c>
      <c r="I81" t="str">
        <f>VLOOKUP(G81,Orgenheter!$A$1:$C$165,3,FALSE)</f>
        <v>TekNat</v>
      </c>
      <c r="J81" s="210">
        <f>IF(ISERROR(VLOOKUP(A81,'Totalt pivot'!$A$5:$C$397,2,FALSE)),0,(VLOOKUP(A81,'Totalt pivot'!$A$5:$C$397,2,FALSE)))</f>
        <v>6</v>
      </c>
      <c r="K81" s="210">
        <f t="shared" si="159"/>
        <v>2.4000000000000004</v>
      </c>
      <c r="L81" s="210">
        <f>IF(ISERROR(VLOOKUP(A81,'Totalt pivot'!$A$5:$C$397,3,FALSE)),0,(VLOOKUP(A81,'Totalt pivot'!$A$5:$C$397,3,FALSE)))</f>
        <v>5.0999999999999996</v>
      </c>
      <c r="M81" s="210">
        <f t="shared" si="160"/>
        <v>2.04</v>
      </c>
      <c r="N81" s="26">
        <f>VLOOKUP(A81,kurspris!$A$1:$Q$809,15)</f>
        <v>23641</v>
      </c>
      <c r="O81" s="26">
        <f>VLOOKUP(A81,kurspris!$A$1:$Q$809,16)</f>
        <v>28786</v>
      </c>
      <c r="P81" s="26">
        <f>VLOOKUP(A81,kurspris!$A$1:$Q$809,17)</f>
        <v>5800</v>
      </c>
      <c r="Q81" s="26">
        <f t="shared" si="161"/>
        <v>115461.84000000001</v>
      </c>
      <c r="R81" s="26">
        <f>(Q81*Prislapp!$R$5)*-1</f>
        <v>-8082.3288000000011</v>
      </c>
      <c r="S81" s="26">
        <f t="shared" si="162"/>
        <v>107379.51120000001</v>
      </c>
      <c r="T81" s="26">
        <f t="shared" si="163"/>
        <v>13920.000000000002</v>
      </c>
      <c r="V81" s="39" t="s">
        <v>991</v>
      </c>
      <c r="W81">
        <v>141004</v>
      </c>
    </row>
    <row r="82" spans="1:24" x14ac:dyDescent="0.25">
      <c r="A82" s="62" t="s">
        <v>1889</v>
      </c>
      <c r="B82" t="str">
        <f>VLOOKUP(A82,kurspris!$A$1:$Q$809,2,FALSE)</f>
        <v>Att vara grundlärare (VFU)</v>
      </c>
      <c r="C82" s="31">
        <v>1620</v>
      </c>
      <c r="D82" t="str">
        <f>VLOOKUP(C82,Orgenheter!$A$1:$B$213,2)</f>
        <v>Inst för språkstudier</v>
      </c>
      <c r="E82" t="str">
        <f>VLOOKUP(C82,Orgenheter!$A$1:$C$165,3,FALSE)</f>
        <v>Hum</v>
      </c>
      <c r="F82" s="294">
        <f>0.5/1.5</f>
        <v>0.33333333333333331</v>
      </c>
      <c r="G82">
        <f>VLOOKUP(A82,'Ansvar kurs'!$A$85:$C$976,2,FALSE)</f>
        <v>5740</v>
      </c>
      <c r="H82" t="str">
        <f>VLOOKUP(G82,Orgenheter!$A$1:$B$213,2)</f>
        <v>NMD</v>
      </c>
      <c r="I82" t="str">
        <f>VLOOKUP(G82,Orgenheter!$A$1:$C$165,3,FALSE)</f>
        <v>TekNat</v>
      </c>
      <c r="J82" s="210">
        <f>IF(ISERROR(VLOOKUP(A82,'Totalt pivot'!$A$5:$C$397,2,FALSE)),0,(VLOOKUP(A82,'Totalt pivot'!$A$5:$C$397,2,FALSE)))</f>
        <v>2.5750000000000002</v>
      </c>
      <c r="K82" s="210">
        <f t="shared" si="159"/>
        <v>0.85833333333333339</v>
      </c>
      <c r="L82" s="210">
        <f>IF(ISERROR(VLOOKUP(A82,'Totalt pivot'!$A$5:$C$397,3,FALSE)),0,(VLOOKUP(A82,'Totalt pivot'!$A$5:$C$397,3,FALSE)))</f>
        <v>2.1887499999999998</v>
      </c>
      <c r="M82" s="210">
        <f t="shared" si="160"/>
        <v>0.72958333333333325</v>
      </c>
      <c r="N82" s="26">
        <f>VLOOKUP(A82,kurspris!$A$1:$Q$809,15)</f>
        <v>21634</v>
      </c>
      <c r="O82" s="26">
        <f>VLOOKUP(A82,kurspris!$A$1:$Q$809,16)</f>
        <v>26986</v>
      </c>
      <c r="P82" s="26">
        <f>VLOOKUP(A82,kurspris!$A$1:$Q$809,17)</f>
        <v>3400</v>
      </c>
      <c r="Q82" s="26">
        <f t="shared" si="161"/>
        <v>38257.719166666662</v>
      </c>
      <c r="R82" s="26">
        <f>(Q82*Prislapp!$R$5)*-1</f>
        <v>-2678.0403416666668</v>
      </c>
      <c r="S82" s="26">
        <f t="shared" si="162"/>
        <v>35579.678824999995</v>
      </c>
      <c r="T82" s="26">
        <f t="shared" si="163"/>
        <v>2918.3333333333335</v>
      </c>
      <c r="V82" t="s">
        <v>1465</v>
      </c>
    </row>
    <row r="83" spans="1:24" x14ac:dyDescent="0.25">
      <c r="A83" s="62" t="s">
        <v>1889</v>
      </c>
      <c r="B83" t="str">
        <f>VLOOKUP(A83,kurspris!$A$1:$Q$809,2,FALSE)</f>
        <v>Att vara grundlärare (VFU)</v>
      </c>
      <c r="C83" s="31">
        <v>1650</v>
      </c>
      <c r="D83" t="str">
        <f>VLOOKUP(C83,Orgenheter!$A$1:$B$213,2)</f>
        <v xml:space="preserve">Estetiska ämnen               </v>
      </c>
      <c r="E83" t="str">
        <f>VLOOKUP(C83,Orgenheter!$A$1:$C$165,3,FALSE)</f>
        <v>Hum</v>
      </c>
      <c r="F83" s="294">
        <f>0.5/1.5</f>
        <v>0.33333333333333331</v>
      </c>
      <c r="G83">
        <f>VLOOKUP(A83,'Ansvar kurs'!$A$85:$C$976,2,FALSE)</f>
        <v>5740</v>
      </c>
      <c r="H83" t="str">
        <f>VLOOKUP(G83,Orgenheter!$A$1:$B$213,2)</f>
        <v>NMD</v>
      </c>
      <c r="I83" t="str">
        <f>VLOOKUP(G83,Orgenheter!$A$1:$C$165,3,FALSE)</f>
        <v>TekNat</v>
      </c>
      <c r="J83" s="210">
        <f>IF(ISERROR(VLOOKUP(A83,'Totalt pivot'!$A$5:$C$397,2,FALSE)),0,(VLOOKUP(A83,'Totalt pivot'!$A$5:$C$397,2,FALSE)))</f>
        <v>2.5750000000000002</v>
      </c>
      <c r="K83" s="210">
        <f t="shared" si="159"/>
        <v>0.85833333333333339</v>
      </c>
      <c r="L83" s="210">
        <f>IF(ISERROR(VLOOKUP(A83,'Totalt pivot'!$A$5:$C$397,3,FALSE)),0,(VLOOKUP(A83,'Totalt pivot'!$A$5:$C$397,3,FALSE)))</f>
        <v>2.1887499999999998</v>
      </c>
      <c r="M83" s="210">
        <f t="shared" si="160"/>
        <v>0.72958333333333325</v>
      </c>
      <c r="N83" s="26">
        <f>VLOOKUP(A83,kurspris!$A$1:$Q$809,15)</f>
        <v>21634</v>
      </c>
      <c r="O83" s="26">
        <f>VLOOKUP(A83,kurspris!$A$1:$Q$809,16)</f>
        <v>26986</v>
      </c>
      <c r="P83" s="26">
        <f>VLOOKUP(A83,kurspris!$A$1:$Q$809,17)</f>
        <v>3400</v>
      </c>
      <c r="Q83" s="26">
        <f t="shared" si="161"/>
        <v>38257.719166666662</v>
      </c>
      <c r="R83" s="26">
        <f>(Q83*Prislapp!$R$5)*-1</f>
        <v>-2678.0403416666668</v>
      </c>
      <c r="S83" s="26">
        <f t="shared" si="162"/>
        <v>35579.678824999995</v>
      </c>
      <c r="T83" s="26">
        <f t="shared" si="163"/>
        <v>2918.3333333333335</v>
      </c>
      <c r="V83" t="s">
        <v>1465</v>
      </c>
    </row>
    <row r="84" spans="1:24" x14ac:dyDescent="0.25">
      <c r="A84" s="62" t="s">
        <v>2085</v>
      </c>
      <c r="B84" t="str">
        <f>VLOOKUP(A84,kurspris!$A$1:$Q$809,2,FALSE)</f>
        <v>Språk och matematik i ett specialpedagogiskt perspektiv</v>
      </c>
      <c r="C84" s="31">
        <v>1620</v>
      </c>
      <c r="D84" t="str">
        <f>VLOOKUP(C84,Orgenheter!$A$1:$B$213,2)</f>
        <v>Inst för språkstudier</v>
      </c>
      <c r="E84" t="str">
        <f>VLOOKUP(C84,Orgenheter!$A$1:$C$165,3,FALSE)</f>
        <v>Hum</v>
      </c>
      <c r="F84" s="294">
        <f>3.5/7.5</f>
        <v>0.46666666666666667</v>
      </c>
      <c r="G84">
        <f>VLOOKUP(A84,'Ansvar kurs'!$A$85:$C$976,2,FALSE)</f>
        <v>5740</v>
      </c>
      <c r="H84" t="str">
        <f>VLOOKUP(G84,Orgenheter!$A$1:$B$213,2)</f>
        <v>NMD</v>
      </c>
      <c r="I84" t="str">
        <f>VLOOKUP(G84,Orgenheter!$A$1:$C$165,3,FALSE)</f>
        <v>TekNat</v>
      </c>
      <c r="J84" s="210">
        <f>IF(ISERROR(VLOOKUP(A84,'Totalt pivot'!$A$5:$C$397,2,FALSE)),0,(VLOOKUP(A84,'Totalt pivot'!$A$5:$C$397,2,FALSE)))</f>
        <v>4.75</v>
      </c>
      <c r="K84" s="210">
        <f t="shared" ref="K84" si="164">F84*J84</f>
        <v>2.2166666666666668</v>
      </c>
      <c r="L84" s="210">
        <f>IF(ISERROR(VLOOKUP(A84,'Totalt pivot'!$A$5:$C$397,3,FALSE)),0,(VLOOKUP(A84,'Totalt pivot'!$A$5:$C$397,3,FALSE)))</f>
        <v>4.0374999999999996</v>
      </c>
      <c r="M84" s="210">
        <f t="shared" ref="M84" si="165">F84*L84</f>
        <v>1.8841666666666665</v>
      </c>
      <c r="N84" s="26">
        <f>VLOOKUP(A84,kurspris!$A$1:$Q$809,15)</f>
        <v>19473</v>
      </c>
      <c r="O84" s="26">
        <f>VLOOKUP(A84,kurspris!$A$1:$Q$809,16)</f>
        <v>34806</v>
      </c>
      <c r="P84" s="26">
        <f>VLOOKUP(A84,kurspris!$A$1:$Q$809,17)</f>
        <v>21800</v>
      </c>
      <c r="Q84" s="26">
        <f t="shared" ref="Q84" si="166">K84*N84+M84*O84</f>
        <v>108745.45499999999</v>
      </c>
      <c r="R84" s="26">
        <f>(Q84*Prislapp!$R$5)*-1</f>
        <v>-7612.1818499999999</v>
      </c>
      <c r="S84" s="26">
        <f t="shared" ref="S84" si="167">Q84+R84</f>
        <v>101133.27314999999</v>
      </c>
      <c r="T84" s="26">
        <f t="shared" ref="T84" si="168">K84*P84</f>
        <v>48323.333333333336</v>
      </c>
    </row>
    <row r="85" spans="1:24" x14ac:dyDescent="0.25">
      <c r="A85" s="62" t="s">
        <v>600</v>
      </c>
      <c r="B85" t="str">
        <f>VLOOKUP(A85,kurspris!$A$1:$Q$809,2,FALSE)</f>
        <v>Pedagogiskt ledarskap, sociala relationer och konflikthantering</v>
      </c>
      <c r="C85" s="31">
        <v>2193</v>
      </c>
      <c r="D85" t="str">
        <f>VLOOKUP(C85,Orgenheter!$A$1:$B$213,2)</f>
        <v xml:space="preserve">TUV </v>
      </c>
      <c r="E85" t="str">
        <f>VLOOKUP(C85,Orgenheter!$A$1:$C$165,3,FALSE)</f>
        <v>Sam</v>
      </c>
      <c r="F85" s="295">
        <f>4/10</f>
        <v>0.4</v>
      </c>
      <c r="G85">
        <f>VLOOKUP(A85,'Ansvar kurs'!$A$85:$C$976,2,FALSE)</f>
        <v>2180</v>
      </c>
      <c r="H85" t="str">
        <f>VLOOKUP(G85,Orgenheter!$A$1:$B$213,2)</f>
        <v xml:space="preserve">Pedagogik                     </v>
      </c>
      <c r="I85" t="str">
        <f>VLOOKUP(G85,Orgenheter!$A$1:$C$165,3,FALSE)</f>
        <v>Sam</v>
      </c>
      <c r="J85" s="210">
        <f>IF(ISERROR(VLOOKUP(A85,'Totalt pivot'!$A$5:$C$397,2,FALSE)),0,(VLOOKUP(A85,'Totalt pivot'!$A$5:$C$397,2,FALSE)))</f>
        <v>11</v>
      </c>
      <c r="K85" s="210">
        <f t="shared" si="57"/>
        <v>4.4000000000000004</v>
      </c>
      <c r="L85" s="210">
        <f>IF(ISERROR(VLOOKUP(A85,'Totalt pivot'!$A$5:$C$397,3,FALSE)),0,(VLOOKUP(A85,'Totalt pivot'!$A$5:$C$397,3,FALSE)))</f>
        <v>9.35</v>
      </c>
      <c r="M85" s="210">
        <f t="shared" si="58"/>
        <v>3.74</v>
      </c>
      <c r="N85" s="26">
        <f>VLOOKUP(A85,kurspris!$A$1:$Q$809,15)</f>
        <v>23641</v>
      </c>
      <c r="O85" s="26">
        <f>VLOOKUP(A85,kurspris!$A$1:$Q$809,16)</f>
        <v>28786</v>
      </c>
      <c r="P85" s="26">
        <f>VLOOKUP(A85,kurspris!$A$1:$Q$809,17)</f>
        <v>5800</v>
      </c>
      <c r="Q85" s="26">
        <f t="shared" si="59"/>
        <v>211680.04</v>
      </c>
      <c r="R85" s="26">
        <f>(Q85*Prislapp!$R$5)*-1</f>
        <v>-14817.602800000002</v>
      </c>
      <c r="S85" s="26">
        <f t="shared" si="60"/>
        <v>196862.43720000001</v>
      </c>
      <c r="T85" s="26">
        <f t="shared" si="61"/>
        <v>25520.000000000004</v>
      </c>
      <c r="V85" t="s">
        <v>1297</v>
      </c>
    </row>
    <row r="86" spans="1:24" x14ac:dyDescent="0.25">
      <c r="A86" s="62" t="s">
        <v>1266</v>
      </c>
      <c r="B86" t="str">
        <f>VLOOKUP(A86,kurspris!$A$1:$Q$809,2,FALSE)</f>
        <v>Examensarbete i svenska för ämneslärarexamen</v>
      </c>
      <c r="C86" s="31">
        <v>1640</v>
      </c>
      <c r="D86" t="str">
        <f>VLOOKUP(C86,Orgenheter!$A$1:$B$213,2)</f>
        <v>Inst för kultur- o medievetenskap</v>
      </c>
      <c r="E86" t="str">
        <f>VLOOKUP(C86,Orgenheter!$A$1:$C$165,3,FALSE)</f>
        <v>Hum</v>
      </c>
      <c r="F86" s="295">
        <f>15/30</f>
        <v>0.5</v>
      </c>
      <c r="G86">
        <f>VLOOKUP(A86,'Ansvar kurs'!$A$85:$C$976,2,FALSE)</f>
        <v>1620</v>
      </c>
      <c r="H86" t="str">
        <f>VLOOKUP(G86,Orgenheter!$A$1:$B$213,2)</f>
        <v>Inst för språkstudier</v>
      </c>
      <c r="I86" t="str">
        <f>VLOOKUP(G86,Orgenheter!$A$1:$C$165,3,FALSE)</f>
        <v>Hum</v>
      </c>
      <c r="J86" s="210">
        <f>IF(ISERROR(VLOOKUP(A86,'Totalt pivot'!$A$5:$C$397,2,FALSE)),0,(VLOOKUP(A86,'Totalt pivot'!$A$5:$C$397,2,FALSE)))</f>
        <v>6</v>
      </c>
      <c r="K86" s="210">
        <f t="shared" si="57"/>
        <v>3</v>
      </c>
      <c r="L86" s="210">
        <f>IF(ISERROR(VLOOKUP(A86,'Totalt pivot'!$A$5:$C$397,3,FALSE)),0,(VLOOKUP(A86,'Totalt pivot'!$A$5:$C$397,3,FALSE)))</f>
        <v>5.0999999999999996</v>
      </c>
      <c r="M86" s="210">
        <f t="shared" ref="M86" si="169">F86*L86</f>
        <v>2.5499999999999998</v>
      </c>
      <c r="N86" s="26">
        <f>VLOOKUP(A86,kurspris!$A$1:$Q$809,15)</f>
        <v>18405</v>
      </c>
      <c r="O86" s="26">
        <f>VLOOKUP(A86,kurspris!$A$1:$Q$809,16)</f>
        <v>15773</v>
      </c>
      <c r="P86" s="26">
        <f>VLOOKUP(A86,kurspris!$A$1:$Q$809,17)</f>
        <v>5800</v>
      </c>
      <c r="Q86" s="26">
        <f t="shared" ref="Q86" si="170">K86*N86+M86*O86</f>
        <v>95436.15</v>
      </c>
      <c r="R86" s="26">
        <f>(Q86*Prislapp!$R$5)*-1</f>
        <v>-6680.5304999999998</v>
      </c>
      <c r="S86" s="26">
        <f t="shared" ref="S86" si="171">Q86+R86</f>
        <v>88755.619500000001</v>
      </c>
      <c r="T86" s="26">
        <f t="shared" ref="T86" si="172">K86*P86</f>
        <v>17400</v>
      </c>
      <c r="V86" s="179" t="s">
        <v>1552</v>
      </c>
      <c r="W86" s="179"/>
      <c r="X86" s="179"/>
    </row>
    <row r="87" spans="1:24" x14ac:dyDescent="0.25">
      <c r="A87" s="31" t="s">
        <v>512</v>
      </c>
      <c r="B87" t="str">
        <f>VLOOKUP(A87,kurspris!$A$1:$Q$809,2,FALSE)</f>
        <v>Samhällskunskap 1</v>
      </c>
      <c r="C87" s="31">
        <v>2360</v>
      </c>
      <c r="D87" t="str">
        <f>VLOOKUP(C87,Orgenheter!$A$1:$B$213,2)</f>
        <v xml:space="preserve">Ekonomisk historia            </v>
      </c>
      <c r="E87" t="str">
        <f>VLOOKUP(C87,Orgenheter!$A$1:$C$165,3,FALSE)</f>
        <v>Sam</v>
      </c>
      <c r="F87" s="294">
        <f>4.8/30</f>
        <v>0.16</v>
      </c>
      <c r="G87">
        <f>VLOOKUP(A87,'Ansvar kurs'!$A$85:$C$976,2,FALSE)</f>
        <v>2340</v>
      </c>
      <c r="H87" t="str">
        <f>VLOOKUP(G87,Orgenheter!$A$1:$B$213,2)</f>
        <v xml:space="preserve">Statsvetenskap                </v>
      </c>
      <c r="I87" t="str">
        <f>VLOOKUP(G87,Orgenheter!$A$1:$C$165,3,FALSE)</f>
        <v>Sam</v>
      </c>
      <c r="J87" s="210">
        <f>IF(ISERROR(VLOOKUP(A87,'Totalt pivot'!$A$5:$C$397,2,FALSE)),0,(VLOOKUP(A87,'Totalt pivot'!$A$5:$C$397,2,FALSE)))</f>
        <v>11</v>
      </c>
      <c r="K87" s="210">
        <f t="shared" si="57"/>
        <v>1.76</v>
      </c>
      <c r="L87" s="210">
        <f>IF(ISERROR(VLOOKUP(A87,'Totalt pivot'!$A$5:$C$397,3,FALSE)),0,(VLOOKUP(A87,'Totalt pivot'!$A$5:$C$397,3,FALSE)))</f>
        <v>9.35</v>
      </c>
      <c r="M87" s="210">
        <f t="shared" si="53"/>
        <v>1.496</v>
      </c>
      <c r="N87" s="26">
        <f>VLOOKUP(A87,kurspris!$A$1:$Q$809,15)</f>
        <v>18405</v>
      </c>
      <c r="O87" s="26">
        <f>VLOOKUP(A87,kurspris!$A$1:$Q$809,16)</f>
        <v>15773</v>
      </c>
      <c r="P87" s="26">
        <f>VLOOKUP(A87,kurspris!$A$1:$Q$809,17)</f>
        <v>5800</v>
      </c>
      <c r="Q87" s="26">
        <f t="shared" si="54"/>
        <v>55989.207999999999</v>
      </c>
      <c r="R87" s="26">
        <f>(Q87*Prislapp!$R$5)*-1</f>
        <v>-3919.2445600000001</v>
      </c>
      <c r="S87" s="26">
        <f t="shared" si="55"/>
        <v>52069.96344</v>
      </c>
      <c r="T87" s="26">
        <f t="shared" si="56"/>
        <v>10208</v>
      </c>
      <c r="V87" t="s">
        <v>1837</v>
      </c>
    </row>
    <row r="88" spans="1:24" x14ac:dyDescent="0.25">
      <c r="A88" s="31" t="s">
        <v>512</v>
      </c>
      <c r="B88" t="str">
        <f>VLOOKUP(A88,kurspris!$A$1:$Q$809,2,FALSE)</f>
        <v>Samhällskunskap 1</v>
      </c>
      <c r="C88" s="31">
        <v>2271</v>
      </c>
      <c r="D88" t="str">
        <f>VLOOKUP(C88,Orgenheter!$A$1:$B$213,2)</f>
        <v xml:space="preserve">Nationalekonomi               </v>
      </c>
      <c r="E88" t="str">
        <f>VLOOKUP(C88,Orgenheter!$A$1:$C$165,3,FALSE)</f>
        <v>Sam</v>
      </c>
      <c r="F88" s="294">
        <f>7.2/30</f>
        <v>0.24000000000000002</v>
      </c>
      <c r="G88">
        <f>VLOOKUP(A88,'Ansvar kurs'!$A$85:$C$976,2,FALSE)</f>
        <v>2340</v>
      </c>
      <c r="H88" t="str">
        <f>VLOOKUP(G88,Orgenheter!$A$1:$B$213,2)</f>
        <v xml:space="preserve">Statsvetenskap                </v>
      </c>
      <c r="I88" t="str">
        <f>VLOOKUP(G88,Orgenheter!$A$1:$C$165,3,FALSE)</f>
        <v>Sam</v>
      </c>
      <c r="J88" s="210">
        <f>IF(ISERROR(VLOOKUP(A88,'Totalt pivot'!$A$5:$C$397,2,FALSE)),0,(VLOOKUP(A88,'Totalt pivot'!$A$5:$C$397,2,FALSE)))</f>
        <v>11</v>
      </c>
      <c r="K88" s="210">
        <f t="shared" si="57"/>
        <v>2.64</v>
      </c>
      <c r="L88" s="210">
        <f>IF(ISERROR(VLOOKUP(A88,'Totalt pivot'!$A$5:$C$397,3,FALSE)),0,(VLOOKUP(A88,'Totalt pivot'!$A$5:$C$397,3,FALSE)))</f>
        <v>9.35</v>
      </c>
      <c r="M88" s="210">
        <f t="shared" si="53"/>
        <v>2.2440000000000002</v>
      </c>
      <c r="N88" s="26">
        <f>VLOOKUP(A88,kurspris!$A$1:$Q$809,15)</f>
        <v>18405</v>
      </c>
      <c r="O88" s="26">
        <f>VLOOKUP(A88,kurspris!$A$1:$Q$809,16)</f>
        <v>15773</v>
      </c>
      <c r="P88" s="26">
        <f>VLOOKUP(A88,kurspris!$A$1:$Q$809,17)</f>
        <v>5800</v>
      </c>
      <c r="Q88" s="26">
        <f t="shared" si="54"/>
        <v>83983.812000000005</v>
      </c>
      <c r="R88" s="26">
        <f>(Q88*Prislapp!$R$5)*-1</f>
        <v>-5878.8668400000006</v>
      </c>
      <c r="S88" s="26">
        <f t="shared" si="55"/>
        <v>78104.945160000003</v>
      </c>
      <c r="T88" s="26">
        <f t="shared" si="56"/>
        <v>15312</v>
      </c>
      <c r="V88" t="s">
        <v>1837</v>
      </c>
    </row>
    <row r="89" spans="1:24" x14ac:dyDescent="0.25">
      <c r="A89" s="31" t="s">
        <v>512</v>
      </c>
      <c r="B89" t="str">
        <f>VLOOKUP(A89,kurspris!$A$1:$Q$809,2,FALSE)</f>
        <v>Samhällskunskap 1</v>
      </c>
      <c r="C89" s="31">
        <v>2180</v>
      </c>
      <c r="D89" t="str">
        <f>VLOOKUP(C89,Orgenheter!$A$1:$B$213,2)</f>
        <v xml:space="preserve">Pedagogik                     </v>
      </c>
      <c r="E89" t="str">
        <f>VLOOKUP(C89,Orgenheter!$A$1:$C$165,3,FALSE)</f>
        <v>Sam</v>
      </c>
      <c r="F89" s="294">
        <f>6/30</f>
        <v>0.2</v>
      </c>
      <c r="G89">
        <f>VLOOKUP(A89,'Ansvar kurs'!$A$85:$C$976,2,FALSE)</f>
        <v>2340</v>
      </c>
      <c r="H89" t="str">
        <f>VLOOKUP(G89,Orgenheter!$A$1:$B$213,2)</f>
        <v xml:space="preserve">Statsvetenskap                </v>
      </c>
      <c r="I89" t="str">
        <f>VLOOKUP(G89,Orgenheter!$A$1:$C$165,3,FALSE)</f>
        <v>Sam</v>
      </c>
      <c r="J89" s="210">
        <f>IF(ISERROR(VLOOKUP(A89,'Totalt pivot'!$A$5:$C$397,2,FALSE)),0,(VLOOKUP(A89,'Totalt pivot'!$A$5:$C$397,2,FALSE)))</f>
        <v>11</v>
      </c>
      <c r="K89" s="210">
        <f t="shared" ref="K89" si="173">F89*J89</f>
        <v>2.2000000000000002</v>
      </c>
      <c r="L89" s="210">
        <f>IF(ISERROR(VLOOKUP(A89,'Totalt pivot'!$A$5:$C$397,3,FALSE)),0,(VLOOKUP(A89,'Totalt pivot'!$A$5:$C$397,3,FALSE)))</f>
        <v>9.35</v>
      </c>
      <c r="M89" s="210">
        <f t="shared" ref="M89" si="174">F89*L89</f>
        <v>1.87</v>
      </c>
      <c r="N89" s="26">
        <f>VLOOKUP(A89,kurspris!$A$1:$Q$809,15)</f>
        <v>18405</v>
      </c>
      <c r="O89" s="26">
        <f>VLOOKUP(A89,kurspris!$A$1:$Q$809,16)</f>
        <v>15773</v>
      </c>
      <c r="P89" s="26">
        <f>VLOOKUP(A89,kurspris!$A$1:$Q$809,17)</f>
        <v>5800</v>
      </c>
      <c r="Q89" s="26">
        <f t="shared" ref="Q89" si="175">K89*N89+M89*O89</f>
        <v>69986.510000000009</v>
      </c>
      <c r="R89" s="26">
        <f>(Q89*Prislapp!$R$5)*-1</f>
        <v>-4899.0557000000008</v>
      </c>
      <c r="S89" s="26">
        <f t="shared" ref="S89" si="176">Q89+R89</f>
        <v>65087.454300000012</v>
      </c>
      <c r="T89" s="26">
        <f t="shared" ref="T89" si="177">K89*P89</f>
        <v>12760.000000000002</v>
      </c>
      <c r="V89" t="s">
        <v>1837</v>
      </c>
    </row>
    <row r="90" spans="1:24" x14ac:dyDescent="0.25">
      <c r="A90" s="31" t="s">
        <v>513</v>
      </c>
      <c r="B90" t="str">
        <f>VLOOKUP(A90,kurspris!$A$1:$Q$809,2,FALSE)</f>
        <v>Samhällskunskap 2</v>
      </c>
      <c r="C90" s="31">
        <v>2220</v>
      </c>
      <c r="D90" t="str">
        <f>VLOOKUP(C90,Orgenheter!$A$1:$B$213,2)</f>
        <v xml:space="preserve">Sociologi                     </v>
      </c>
      <c r="E90" t="str">
        <f>VLOOKUP(C90,Orgenheter!$A$1:$C$165,3,FALSE)</f>
        <v>Sam</v>
      </c>
      <c r="F90" s="294">
        <f>12/30</f>
        <v>0.4</v>
      </c>
      <c r="G90">
        <f>VLOOKUP(A90,'Ansvar kurs'!$A$85:$C$976,2,FALSE)</f>
        <v>2340</v>
      </c>
      <c r="H90" t="str">
        <f>VLOOKUP(G90,Orgenheter!$A$1:$B$213,2)</f>
        <v xml:space="preserve">Statsvetenskap                </v>
      </c>
      <c r="I90" t="str">
        <f>VLOOKUP(G90,Orgenheter!$A$1:$C$165,3,FALSE)</f>
        <v>Sam</v>
      </c>
      <c r="J90" s="210">
        <f>IF(ISERROR(VLOOKUP(A90,'Totalt pivot'!$A$5:$C$397,2,FALSE)),0,(VLOOKUP(A90,'Totalt pivot'!$A$5:$C$397,2,FALSE)))</f>
        <v>9</v>
      </c>
      <c r="K90" s="210">
        <f t="shared" si="57"/>
        <v>3.6</v>
      </c>
      <c r="L90" s="210">
        <f>IF(ISERROR(VLOOKUP(A90,'Totalt pivot'!$A$5:$C$397,3,FALSE)),0,(VLOOKUP(A90,'Totalt pivot'!$A$5:$C$397,3,FALSE)))</f>
        <v>7.6499999999999995</v>
      </c>
      <c r="M90" s="210">
        <f t="shared" si="53"/>
        <v>3.06</v>
      </c>
      <c r="N90" s="26">
        <f>VLOOKUP(A90,kurspris!$A$1:$Q$809,15)</f>
        <v>18405</v>
      </c>
      <c r="O90" s="26">
        <f>VLOOKUP(A90,kurspris!$A$1:$Q$809,16)</f>
        <v>15773</v>
      </c>
      <c r="P90" s="26">
        <f>VLOOKUP(A90,kurspris!$A$1:$Q$809,17)</f>
        <v>5800</v>
      </c>
      <c r="Q90" s="26">
        <f t="shared" si="54"/>
        <v>114523.38</v>
      </c>
      <c r="R90" s="26">
        <f>(Q90*Prislapp!$R$5)*-1</f>
        <v>-8016.6366000000007</v>
      </c>
      <c r="S90" s="26">
        <f t="shared" si="55"/>
        <v>106506.74340000001</v>
      </c>
      <c r="T90" s="26">
        <f t="shared" si="56"/>
        <v>20880</v>
      </c>
      <c r="V90" t="s">
        <v>1837</v>
      </c>
    </row>
    <row r="91" spans="1:24" x14ac:dyDescent="0.25">
      <c r="A91" s="31" t="s">
        <v>513</v>
      </c>
      <c r="B91" t="str">
        <f>VLOOKUP(A91,kurspris!$A$1:$Q$809,2,FALSE)</f>
        <v>Samhällskunskap 2</v>
      </c>
      <c r="C91" s="31">
        <v>2180</v>
      </c>
      <c r="D91" t="str">
        <f>VLOOKUP(C91,Orgenheter!$A$1:$B$213,2)</f>
        <v xml:space="preserve">Pedagogik                     </v>
      </c>
      <c r="E91" t="str">
        <f>VLOOKUP(C91,Orgenheter!$A$1:$C$165,3,FALSE)</f>
        <v>Sam</v>
      </c>
      <c r="F91" s="294">
        <f>6/30</f>
        <v>0.2</v>
      </c>
      <c r="G91">
        <f>VLOOKUP(A91,'Ansvar kurs'!$A$85:$C$976,2,FALSE)</f>
        <v>2340</v>
      </c>
      <c r="H91" t="str">
        <f>VLOOKUP(G91,Orgenheter!$A$1:$B$213,2)</f>
        <v xml:space="preserve">Statsvetenskap                </v>
      </c>
      <c r="I91" t="str">
        <f>VLOOKUP(G91,Orgenheter!$A$1:$C$165,3,FALSE)</f>
        <v>Sam</v>
      </c>
      <c r="J91" s="210">
        <f>IF(ISERROR(VLOOKUP(A91,'Totalt pivot'!$A$5:$C$397,2,FALSE)),0,(VLOOKUP(A91,'Totalt pivot'!$A$5:$C$397,2,FALSE)))</f>
        <v>9</v>
      </c>
      <c r="K91" s="210">
        <f t="shared" ref="K91:K95" si="178">F91*J91</f>
        <v>1.8</v>
      </c>
      <c r="L91" s="210">
        <f>IF(ISERROR(VLOOKUP(A91,'Totalt pivot'!$A$5:$C$397,3,FALSE)),0,(VLOOKUP(A91,'Totalt pivot'!$A$5:$C$397,3,FALSE)))</f>
        <v>7.6499999999999995</v>
      </c>
      <c r="M91" s="210">
        <f t="shared" ref="M91:M95" si="179">F91*L91</f>
        <v>1.53</v>
      </c>
      <c r="N91" s="26">
        <f>VLOOKUP(A91,kurspris!$A$1:$Q$809,15)</f>
        <v>18405</v>
      </c>
      <c r="O91" s="26">
        <f>VLOOKUP(A91,kurspris!$A$1:$Q$809,16)</f>
        <v>15773</v>
      </c>
      <c r="P91" s="26">
        <f>VLOOKUP(A91,kurspris!$A$1:$Q$809,17)</f>
        <v>5800</v>
      </c>
      <c r="Q91" s="26">
        <f t="shared" ref="Q91:Q95" si="180">K91*N91+M91*O91</f>
        <v>57261.69</v>
      </c>
      <c r="R91" s="26">
        <f>(Q91*Prislapp!$R$5)*-1</f>
        <v>-4008.3183000000004</v>
      </c>
      <c r="S91" s="26">
        <f t="shared" ref="S91:S95" si="181">Q91+R91</f>
        <v>53253.371700000003</v>
      </c>
      <c r="T91" s="26">
        <f t="shared" ref="T91:T95" si="182">K91*P91</f>
        <v>10440</v>
      </c>
      <c r="V91" t="s">
        <v>1837</v>
      </c>
    </row>
    <row r="92" spans="1:24" x14ac:dyDescent="0.25">
      <c r="A92" s="31" t="s">
        <v>603</v>
      </c>
      <c r="B92" t="str">
        <f>VLOOKUP(A92,kurspris!$A$1:$Q$809,2,FALSE)</f>
        <v>Samhällskunskap 3</v>
      </c>
      <c r="C92" s="31">
        <v>2360</v>
      </c>
      <c r="D92" t="str">
        <f>VLOOKUP(C92,Orgenheter!$A$1:$B$213,2)</f>
        <v xml:space="preserve">Ekonomisk historia            </v>
      </c>
      <c r="E92" t="str">
        <f>VLOOKUP(C92,Orgenheter!$A$1:$C$165,3,FALSE)</f>
        <v>Sam</v>
      </c>
      <c r="F92" s="294">
        <f>5.4/30</f>
        <v>0.18000000000000002</v>
      </c>
      <c r="G92">
        <f>VLOOKUP(A92,'Ansvar kurs'!$A$85:$C$976,2,FALSE)</f>
        <v>2340</v>
      </c>
      <c r="H92" t="str">
        <f>VLOOKUP(G92,Orgenheter!$A$1:$B$213,2)</f>
        <v xml:space="preserve">Statsvetenskap                </v>
      </c>
      <c r="I92" t="str">
        <f>VLOOKUP(G92,Orgenheter!$A$1:$C$165,3,FALSE)</f>
        <v>Sam</v>
      </c>
      <c r="J92" s="210">
        <f>IF(ISERROR(VLOOKUP(A92,'Totalt pivot'!$A$5:$C$397,2,FALSE)),0,(VLOOKUP(A92,'Totalt pivot'!$A$5:$C$397,2,FALSE)))</f>
        <v>6.5</v>
      </c>
      <c r="K92" s="210">
        <f t="shared" si="178"/>
        <v>1.1700000000000002</v>
      </c>
      <c r="L92" s="210">
        <f>IF(ISERROR(VLOOKUP(A92,'Totalt pivot'!$A$5:$C$397,3,FALSE)),0,(VLOOKUP(A92,'Totalt pivot'!$A$5:$C$397,3,FALSE)))</f>
        <v>5.5249999999999995</v>
      </c>
      <c r="M92" s="210">
        <f t="shared" si="179"/>
        <v>0.99450000000000005</v>
      </c>
      <c r="N92" s="26">
        <f>VLOOKUP(A92,kurspris!$A$1:$Q$809,15)</f>
        <v>18405</v>
      </c>
      <c r="O92" s="26">
        <f>VLOOKUP(A92,kurspris!$A$1:$Q$809,16)</f>
        <v>15773</v>
      </c>
      <c r="P92" s="26">
        <f>VLOOKUP(A92,kurspris!$A$1:$Q$809,17)</f>
        <v>5800</v>
      </c>
      <c r="Q92" s="26">
        <f t="shared" si="180"/>
        <v>37220.098500000007</v>
      </c>
      <c r="R92" s="26">
        <f>(Q92*Prislapp!$R$5)*-1</f>
        <v>-2605.406895000001</v>
      </c>
      <c r="S92" s="26">
        <f t="shared" si="181"/>
        <v>34614.691605000007</v>
      </c>
      <c r="T92" s="26">
        <f t="shared" si="182"/>
        <v>6786.0000000000009</v>
      </c>
      <c r="V92" t="s">
        <v>1837</v>
      </c>
    </row>
    <row r="93" spans="1:24" x14ac:dyDescent="0.25">
      <c r="A93" s="31" t="s">
        <v>603</v>
      </c>
      <c r="B93" t="str">
        <f>VLOOKUP(A93,kurspris!$A$1:$Q$809,2,FALSE)</f>
        <v>Samhällskunskap 3</v>
      </c>
      <c r="C93" s="31">
        <v>2271</v>
      </c>
      <c r="D93" t="str">
        <f>VLOOKUP(C93,Orgenheter!$A$1:$B$213,2)</f>
        <v xml:space="preserve">Nationalekonomi               </v>
      </c>
      <c r="E93" t="str">
        <f>VLOOKUP(C93,Orgenheter!$A$1:$C$165,3,FALSE)</f>
        <v>Sam</v>
      </c>
      <c r="F93" s="294">
        <f>8.1/30</f>
        <v>0.26999999999999996</v>
      </c>
      <c r="G93">
        <f>VLOOKUP(A93,'Ansvar kurs'!$A$85:$C$976,2,FALSE)</f>
        <v>2340</v>
      </c>
      <c r="H93" t="str">
        <f>VLOOKUP(G93,Orgenheter!$A$1:$B$213,2)</f>
        <v xml:space="preserve">Statsvetenskap                </v>
      </c>
      <c r="I93" t="str">
        <f>VLOOKUP(G93,Orgenheter!$A$1:$C$165,3,FALSE)</f>
        <v>Sam</v>
      </c>
      <c r="J93" s="210">
        <f>IF(ISERROR(VLOOKUP(A93,'Totalt pivot'!$A$5:$C$397,2,FALSE)),0,(VLOOKUP(A93,'Totalt pivot'!$A$5:$C$397,2,FALSE)))</f>
        <v>6.5</v>
      </c>
      <c r="K93" s="210">
        <f t="shared" si="178"/>
        <v>1.7549999999999997</v>
      </c>
      <c r="L93" s="210">
        <f>IF(ISERROR(VLOOKUP(A93,'Totalt pivot'!$A$5:$C$397,3,FALSE)),0,(VLOOKUP(A93,'Totalt pivot'!$A$5:$C$397,3,FALSE)))</f>
        <v>5.5249999999999995</v>
      </c>
      <c r="M93" s="210">
        <f t="shared" si="179"/>
        <v>1.4917499999999997</v>
      </c>
      <c r="N93" s="26">
        <f>VLOOKUP(A93,kurspris!$A$1:$Q$809,15)</f>
        <v>18405</v>
      </c>
      <c r="O93" s="26">
        <f>VLOOKUP(A93,kurspris!$A$1:$Q$809,16)</f>
        <v>15773</v>
      </c>
      <c r="P93" s="26">
        <f>VLOOKUP(A93,kurspris!$A$1:$Q$809,17)</f>
        <v>5800</v>
      </c>
      <c r="Q93" s="26">
        <f t="shared" si="180"/>
        <v>55830.147749999989</v>
      </c>
      <c r="R93" s="26">
        <f>(Q93*Prislapp!$R$5)*-1</f>
        <v>-3908.1103424999997</v>
      </c>
      <c r="S93" s="26">
        <f t="shared" si="181"/>
        <v>51922.037407499993</v>
      </c>
      <c r="T93" s="26">
        <f t="shared" si="182"/>
        <v>10178.999999999998</v>
      </c>
      <c r="V93" t="s">
        <v>1837</v>
      </c>
    </row>
    <row r="94" spans="1:24" x14ac:dyDescent="0.25">
      <c r="A94" s="31" t="s">
        <v>603</v>
      </c>
      <c r="B94" t="str">
        <f>VLOOKUP(A94,kurspris!$A$1:$Q$809,2,FALSE)</f>
        <v>Samhällskunskap 3</v>
      </c>
      <c r="C94" s="31">
        <v>2180</v>
      </c>
      <c r="D94" t="str">
        <f>VLOOKUP(C94,Orgenheter!$A$1:$B$213,2)</f>
        <v xml:space="preserve">Pedagogik                     </v>
      </c>
      <c r="E94" t="str">
        <f>VLOOKUP(C94,Orgenheter!$A$1:$C$165,3,FALSE)</f>
        <v>Sam</v>
      </c>
      <c r="F94" s="294">
        <f>1.5/30</f>
        <v>0.05</v>
      </c>
      <c r="G94">
        <f>VLOOKUP(A94,'Ansvar kurs'!$A$85:$C$976,2,FALSE)</f>
        <v>2340</v>
      </c>
      <c r="H94" t="str">
        <f>VLOOKUP(G94,Orgenheter!$A$1:$B$213,2)</f>
        <v xml:space="preserve">Statsvetenskap                </v>
      </c>
      <c r="I94" t="str">
        <f>VLOOKUP(G94,Orgenheter!$A$1:$C$165,3,FALSE)</f>
        <v>Sam</v>
      </c>
      <c r="J94" s="210">
        <f>IF(ISERROR(VLOOKUP(A94,'Totalt pivot'!$A$5:$C$397,2,FALSE)),0,(VLOOKUP(A94,'Totalt pivot'!$A$5:$C$397,2,FALSE)))</f>
        <v>6.5</v>
      </c>
      <c r="K94" s="210">
        <f t="shared" si="178"/>
        <v>0.32500000000000001</v>
      </c>
      <c r="L94" s="210">
        <f>IF(ISERROR(VLOOKUP(A94,'Totalt pivot'!$A$5:$C$397,3,FALSE)),0,(VLOOKUP(A94,'Totalt pivot'!$A$5:$C$397,3,FALSE)))</f>
        <v>5.5249999999999995</v>
      </c>
      <c r="M94" s="210">
        <f t="shared" si="179"/>
        <v>0.27625</v>
      </c>
      <c r="N94" s="26">
        <f>VLOOKUP(A94,kurspris!$A$1:$Q$809,15)</f>
        <v>18405</v>
      </c>
      <c r="O94" s="26">
        <f>VLOOKUP(A94,kurspris!$A$1:$Q$809,16)</f>
        <v>15773</v>
      </c>
      <c r="P94" s="26">
        <f>VLOOKUP(A94,kurspris!$A$1:$Q$809,17)</f>
        <v>5800</v>
      </c>
      <c r="Q94" s="26">
        <f t="shared" si="180"/>
        <v>10338.91625</v>
      </c>
      <c r="R94" s="26">
        <f>(Q94*Prislapp!$R$5)*-1</f>
        <v>-723.7241375000001</v>
      </c>
      <c r="S94" s="26">
        <f t="shared" si="181"/>
        <v>9615.1921125000008</v>
      </c>
      <c r="T94" s="26">
        <f t="shared" si="182"/>
        <v>1885</v>
      </c>
      <c r="V94" t="s">
        <v>1837</v>
      </c>
    </row>
    <row r="95" spans="1:24" x14ac:dyDescent="0.25">
      <c r="A95" s="31" t="s">
        <v>1044</v>
      </c>
      <c r="B95" t="str">
        <f>VLOOKUP(A95,kurspris!$A$1:$Q$809,2,FALSE)</f>
        <v>Profession och vetenskap</v>
      </c>
      <c r="C95" s="31">
        <v>2300</v>
      </c>
      <c r="D95" t="str">
        <f>VLOOKUP(C95,Orgenheter!$A$1:$B$213,2)</f>
        <v xml:space="preserve">Juridiska institutionen       </v>
      </c>
      <c r="E95" t="str">
        <f>VLOOKUP(C95,Orgenheter!$A$1:$C$165,3,FALSE)</f>
        <v>Sam</v>
      </c>
      <c r="F95" s="294">
        <f>3.75/7.5</f>
        <v>0.5</v>
      </c>
      <c r="G95">
        <f>VLOOKUP(A95,'Ansvar kurs'!$A$85:$C$976,2,FALSE)</f>
        <v>2340</v>
      </c>
      <c r="H95" t="str">
        <f>VLOOKUP(G95,Orgenheter!$A$1:$B$213,2)</f>
        <v xml:space="preserve">Statsvetenskap                </v>
      </c>
      <c r="I95" t="str">
        <f>VLOOKUP(G95,Orgenheter!$A$1:$C$165,3,FALSE)</f>
        <v>Sam</v>
      </c>
      <c r="J95" s="210">
        <f>IF(ISERROR(VLOOKUP(A95,'Totalt pivot'!$A$5:$C$397,2,FALSE)),0,(VLOOKUP(A95,'Totalt pivot'!$A$5:$C$397,2,FALSE)))</f>
        <v>8.625</v>
      </c>
      <c r="K95" s="210">
        <f t="shared" si="178"/>
        <v>4.3125</v>
      </c>
      <c r="L95" s="210">
        <f>IF(ISERROR(VLOOKUP(A95,'Totalt pivot'!$A$5:$C$397,3,FALSE)),0,(VLOOKUP(A95,'Totalt pivot'!$A$5:$C$397,3,FALSE)))</f>
        <v>7.3249999999999993</v>
      </c>
      <c r="M95" s="210">
        <f t="shared" si="179"/>
        <v>3.6624999999999996</v>
      </c>
      <c r="N95" s="26">
        <f>VLOOKUP(A95,kurspris!$A$1:$Q$809,15)</f>
        <v>23641</v>
      </c>
      <c r="O95" s="26">
        <f>VLOOKUP(A95,kurspris!$A$1:$Q$809,16)</f>
        <v>28786</v>
      </c>
      <c r="P95" s="26">
        <f>VLOOKUP(A95,kurspris!$A$1:$Q$809,17)</f>
        <v>5800</v>
      </c>
      <c r="Q95" s="26">
        <f t="shared" si="180"/>
        <v>207380.53749999998</v>
      </c>
      <c r="R95" s="26">
        <f>(Q95*Prislapp!$R$5)*-1</f>
        <v>-14516.637624999999</v>
      </c>
      <c r="S95" s="26">
        <f t="shared" si="181"/>
        <v>192863.89987499997</v>
      </c>
      <c r="T95" s="26">
        <f t="shared" si="182"/>
        <v>25012.5</v>
      </c>
      <c r="V95" t="s">
        <v>1414</v>
      </c>
    </row>
    <row r="96" spans="1:24" x14ac:dyDescent="0.25">
      <c r="A96" s="31" t="s">
        <v>1923</v>
      </c>
      <c r="B96" t="str">
        <f>VLOOKUP(A96,kurspris!$A$1:$Q$809,2,FALSE)</f>
        <v>Introduktion till det specialpedagogiska fältet</v>
      </c>
      <c r="C96" s="31">
        <v>1620</v>
      </c>
      <c r="D96" t="str">
        <f>VLOOKUP(C96,Orgenheter!$A$1:$B$213,2)</f>
        <v>Inst för språkstudier</v>
      </c>
      <c r="E96" t="str">
        <f>VLOOKUP(C96,Orgenheter!$A$1:$C$165,3,FALSE)</f>
        <v>Hum</v>
      </c>
      <c r="F96" s="295">
        <f>1.5/7.5</f>
        <v>0.2</v>
      </c>
      <c r="G96">
        <f>VLOOKUP(A96,'Ansvar kurs'!$A$85:$C$976,2,FALSE)</f>
        <v>2180</v>
      </c>
      <c r="H96" t="str">
        <f>VLOOKUP(G96,Orgenheter!$A$1:$B$213,2)</f>
        <v xml:space="preserve">Pedagogik                     </v>
      </c>
      <c r="I96" t="str">
        <f>VLOOKUP(G96,Orgenheter!$A$1:$C$165,3,FALSE)</f>
        <v>Sam</v>
      </c>
      <c r="J96" s="210">
        <f>IF(ISERROR(VLOOKUP(A96,'Totalt pivot'!$A$5:$C$397,2,FALSE)),0,(VLOOKUP(A96,'Totalt pivot'!$A$5:$C$397,2,FALSE)))</f>
        <v>10.75</v>
      </c>
      <c r="K96" s="210">
        <f t="shared" ref="K96:K97" si="183">F96*J96</f>
        <v>2.15</v>
      </c>
      <c r="L96" s="210">
        <f>IF(ISERROR(VLOOKUP(A96,'Totalt pivot'!$A$5:$C$397,3,FALSE)),0,(VLOOKUP(A96,'Totalt pivot'!$A$5:$C$397,3,FALSE)))</f>
        <v>9.1374999999999993</v>
      </c>
      <c r="M96" s="210">
        <f t="shared" ref="M96:M97" si="184">F96*L96</f>
        <v>1.8274999999999999</v>
      </c>
      <c r="N96" s="26">
        <f>VLOOKUP(A96,kurspris!$A$1:$Q$809,15)</f>
        <v>18405</v>
      </c>
      <c r="O96" s="26">
        <f>VLOOKUP(A96,kurspris!$A$1:$Q$809,16)</f>
        <v>15773</v>
      </c>
      <c r="P96" s="26">
        <f>VLOOKUP(A96,kurspris!$A$1:$Q$809,17)</f>
        <v>5800</v>
      </c>
      <c r="Q96" s="26">
        <f t="shared" ref="Q96:Q97" si="185">K96*N96+M96*O96</f>
        <v>68395.907500000001</v>
      </c>
      <c r="R96" s="26">
        <f>(Q96*Prislapp!$R$5)*-1</f>
        <v>-4787.7135250000001</v>
      </c>
      <c r="S96" s="26">
        <f t="shared" ref="S96:S97" si="186">Q96+R96</f>
        <v>63608.193975000002</v>
      </c>
      <c r="T96" s="26">
        <f t="shared" ref="T96:T97" si="187">K96*P96</f>
        <v>12470</v>
      </c>
      <c r="V96" t="s">
        <v>1929</v>
      </c>
    </row>
    <row r="97" spans="1:22" x14ac:dyDescent="0.25">
      <c r="A97" s="31" t="s">
        <v>1923</v>
      </c>
      <c r="B97" t="str">
        <f>VLOOKUP(A97,kurspris!$A$1:$Q$809,2,FALSE)</f>
        <v>Introduktion till det specialpedagogiska fältet</v>
      </c>
      <c r="C97" s="31">
        <v>2200</v>
      </c>
      <c r="D97" t="str">
        <f>VLOOKUP(C97,Orgenheter!$A$1:$B$213,2)</f>
        <v xml:space="preserve">Inst för psykologi            </v>
      </c>
      <c r="E97" t="str">
        <f>VLOOKUP(C97,Orgenheter!$A$1:$C$165,3,FALSE)</f>
        <v>Sam</v>
      </c>
      <c r="F97" s="295">
        <f>1.5/7.5</f>
        <v>0.2</v>
      </c>
      <c r="G97">
        <f>VLOOKUP(A97,'Ansvar kurs'!$A$85:$C$976,2,FALSE)</f>
        <v>2180</v>
      </c>
      <c r="H97" t="str">
        <f>VLOOKUP(G97,Orgenheter!$A$1:$B$213,2)</f>
        <v xml:space="preserve">Pedagogik                     </v>
      </c>
      <c r="I97" t="str">
        <f>VLOOKUP(G97,Orgenheter!$A$1:$C$165,3,FALSE)</f>
        <v>Sam</v>
      </c>
      <c r="J97" s="210">
        <f>IF(ISERROR(VLOOKUP(A97,'Totalt pivot'!$A$5:$C$397,2,FALSE)),0,(VLOOKUP(A97,'Totalt pivot'!$A$5:$C$397,2,FALSE)))</f>
        <v>10.75</v>
      </c>
      <c r="K97" s="210">
        <f t="shared" si="183"/>
        <v>2.15</v>
      </c>
      <c r="L97" s="210">
        <f>IF(ISERROR(VLOOKUP(A97,'Totalt pivot'!$A$5:$C$397,3,FALSE)),0,(VLOOKUP(A97,'Totalt pivot'!$A$5:$C$397,3,FALSE)))</f>
        <v>9.1374999999999993</v>
      </c>
      <c r="M97" s="210">
        <f t="shared" si="184"/>
        <v>1.8274999999999999</v>
      </c>
      <c r="N97" s="26">
        <f>VLOOKUP(A97,kurspris!$A$1:$Q$809,15)</f>
        <v>18405</v>
      </c>
      <c r="O97" s="26">
        <f>VLOOKUP(A97,kurspris!$A$1:$Q$809,16)</f>
        <v>15773</v>
      </c>
      <c r="P97" s="26">
        <f>VLOOKUP(A97,kurspris!$A$1:$Q$809,17)</f>
        <v>5800</v>
      </c>
      <c r="Q97" s="26">
        <f t="shared" si="185"/>
        <v>68395.907500000001</v>
      </c>
      <c r="R97" s="26">
        <f>(Q97*Prislapp!$R$5)*-1</f>
        <v>-4787.7135250000001</v>
      </c>
      <c r="S97" s="26">
        <f t="shared" si="186"/>
        <v>63608.193975000002</v>
      </c>
      <c r="T97" s="26">
        <f t="shared" si="187"/>
        <v>12470</v>
      </c>
      <c r="V97" t="s">
        <v>1929</v>
      </c>
    </row>
    <row r="98" spans="1:22" x14ac:dyDescent="0.25">
      <c r="A98" s="31" t="s">
        <v>1926</v>
      </c>
      <c r="B98" t="str">
        <f>VLOOKUP(A98,kurspris!$A$1:$Q$809,2,FALSE)</f>
        <v>Neuropsykiatriska svårigheter i olika lärmiljöer</v>
      </c>
      <c r="C98" s="31">
        <v>2193</v>
      </c>
      <c r="D98" t="str">
        <f>VLOOKUP(C98,Orgenheter!$A$1:$B$213,2)</f>
        <v xml:space="preserve">TUV </v>
      </c>
      <c r="E98" t="str">
        <f>VLOOKUP(C98,Orgenheter!$A$1:$C$165,3,FALSE)</f>
        <v>Sam</v>
      </c>
      <c r="F98" s="295">
        <f>2/7.5</f>
        <v>0.26666666666666666</v>
      </c>
      <c r="G98">
        <f>VLOOKUP(A98,'Ansvar kurs'!$A$85:$C$976,2,FALSE)</f>
        <v>2180</v>
      </c>
      <c r="H98" t="str">
        <f>VLOOKUP(G98,Orgenheter!$A$1:$B$213,2)</f>
        <v xml:space="preserve">Pedagogik                     </v>
      </c>
      <c r="I98" t="str">
        <f>VLOOKUP(G98,Orgenheter!$A$1:$C$165,3,FALSE)</f>
        <v>Sam</v>
      </c>
      <c r="J98" s="210">
        <f>IF(ISERROR(VLOOKUP(A98,'Totalt pivot'!$A$5:$C$397,2,FALSE)),0,(VLOOKUP(A98,'Totalt pivot'!$A$5:$C$397,2,FALSE)))</f>
        <v>9.75</v>
      </c>
      <c r="K98" s="210">
        <f t="shared" ref="K98:K100" si="188">F98*J98</f>
        <v>2.6</v>
      </c>
      <c r="L98" s="210">
        <f>IF(ISERROR(VLOOKUP(A98,'Totalt pivot'!$A$5:$C$397,3,FALSE)),0,(VLOOKUP(A98,'Totalt pivot'!$A$5:$C$397,3,FALSE)))</f>
        <v>8.2562499999999996</v>
      </c>
      <c r="M98" s="210">
        <f t="shared" ref="M98:M100" si="189">F98*L98</f>
        <v>2.2016666666666667</v>
      </c>
      <c r="N98" s="26">
        <f>VLOOKUP(A98,kurspris!$A$1:$Q$809,15)</f>
        <v>18405</v>
      </c>
      <c r="O98" s="26">
        <f>VLOOKUP(A98,kurspris!$A$1:$Q$809,16)</f>
        <v>15773</v>
      </c>
      <c r="P98" s="26">
        <f>VLOOKUP(A98,kurspris!$A$1:$Q$809,17)</f>
        <v>5800</v>
      </c>
      <c r="Q98" s="26">
        <f t="shared" ref="Q98:Q100" si="190">K98*N98+M98*O98</f>
        <v>82579.888333333336</v>
      </c>
      <c r="R98" s="26">
        <f>(Q98*Prislapp!$R$5)*-1</f>
        <v>-5780.5921833333341</v>
      </c>
      <c r="S98" s="26">
        <f t="shared" ref="S98:S100" si="191">Q98+R98</f>
        <v>76799.296150000009</v>
      </c>
      <c r="T98" s="26">
        <f t="shared" ref="T98:T100" si="192">K98*P98</f>
        <v>15080</v>
      </c>
      <c r="V98" t="s">
        <v>1929</v>
      </c>
    </row>
    <row r="99" spans="1:22" x14ac:dyDescent="0.25">
      <c r="A99" s="31" t="s">
        <v>1926</v>
      </c>
      <c r="B99" t="str">
        <f>VLOOKUP(A99,kurspris!$A$1:$Q$809,2,FALSE)</f>
        <v>Neuropsykiatriska svårigheter i olika lärmiljöer</v>
      </c>
      <c r="C99" s="31">
        <v>2200</v>
      </c>
      <c r="D99" t="str">
        <f>VLOOKUP(C99,Orgenheter!$A$1:$B$213,2)</f>
        <v xml:space="preserve">Inst för psykologi            </v>
      </c>
      <c r="E99" t="str">
        <f>VLOOKUP(C99,Orgenheter!$A$1:$C$165,3,FALSE)</f>
        <v>Sam</v>
      </c>
      <c r="F99" s="295">
        <f>2/7.5</f>
        <v>0.26666666666666666</v>
      </c>
      <c r="G99">
        <f>VLOOKUP(A99,'Ansvar kurs'!$A$85:$C$976,2,FALSE)</f>
        <v>2180</v>
      </c>
      <c r="H99" t="str">
        <f>VLOOKUP(G99,Orgenheter!$A$1:$B$213,2)</f>
        <v xml:space="preserve">Pedagogik                     </v>
      </c>
      <c r="I99" t="str">
        <f>VLOOKUP(G99,Orgenheter!$A$1:$C$165,3,FALSE)</f>
        <v>Sam</v>
      </c>
      <c r="J99" s="210">
        <f>IF(ISERROR(VLOOKUP(A99,'Totalt pivot'!$A$5:$C$397,2,FALSE)),0,(VLOOKUP(A99,'Totalt pivot'!$A$5:$C$397,2,FALSE)))</f>
        <v>9.75</v>
      </c>
      <c r="K99" s="210">
        <f t="shared" si="188"/>
        <v>2.6</v>
      </c>
      <c r="L99" s="210">
        <f>IF(ISERROR(VLOOKUP(A99,'Totalt pivot'!$A$5:$C$397,3,FALSE)),0,(VLOOKUP(A99,'Totalt pivot'!$A$5:$C$397,3,FALSE)))</f>
        <v>8.2562499999999996</v>
      </c>
      <c r="M99" s="210">
        <f t="shared" si="189"/>
        <v>2.2016666666666667</v>
      </c>
      <c r="N99" s="26">
        <f>VLOOKUP(A99,kurspris!$A$1:$Q$809,15)</f>
        <v>18405</v>
      </c>
      <c r="O99" s="26">
        <f>VLOOKUP(A99,kurspris!$A$1:$Q$809,16)</f>
        <v>15773</v>
      </c>
      <c r="P99" s="26">
        <f>VLOOKUP(A99,kurspris!$A$1:$Q$809,17)</f>
        <v>5800</v>
      </c>
      <c r="Q99" s="26">
        <f t="shared" si="190"/>
        <v>82579.888333333336</v>
      </c>
      <c r="R99" s="26">
        <f>(Q99*Prislapp!$R$5)*-1</f>
        <v>-5780.5921833333341</v>
      </c>
      <c r="S99" s="26">
        <f t="shared" si="191"/>
        <v>76799.296150000009</v>
      </c>
      <c r="T99" s="26">
        <f t="shared" si="192"/>
        <v>15080</v>
      </c>
      <c r="V99" t="s">
        <v>1929</v>
      </c>
    </row>
    <row r="100" spans="1:22" x14ac:dyDescent="0.25">
      <c r="A100" s="31" t="s">
        <v>1925</v>
      </c>
      <c r="B100" t="str">
        <f>VLOOKUP(A100,kurspris!$A$1:$Q$809,2,FALSE)</f>
        <v>Speciallärarens och specialpedagogens yrkesfunktion</v>
      </c>
      <c r="C100" s="31">
        <v>2180</v>
      </c>
      <c r="D100" t="str">
        <f>VLOOKUP(C100,Orgenheter!$A$1:$B$213,2)</f>
        <v xml:space="preserve">Pedagogik                     </v>
      </c>
      <c r="E100" t="str">
        <f>VLOOKUP(C100,Orgenheter!$A$1:$C$165,3,FALSE)</f>
        <v>Sam</v>
      </c>
      <c r="F100" s="295">
        <f>5/15</f>
        <v>0.33333333333333331</v>
      </c>
      <c r="G100">
        <f>VLOOKUP(A100,'Ansvar kurs'!$A$85:$C$976,2,FALSE)</f>
        <v>2193</v>
      </c>
      <c r="H100" t="str">
        <f>VLOOKUP(G100,Orgenheter!$A$1:$B$213,2)</f>
        <v xml:space="preserve">TUV </v>
      </c>
      <c r="I100" t="str">
        <f>VLOOKUP(G100,Orgenheter!$A$1:$C$165,3,FALSE)</f>
        <v>Sam</v>
      </c>
      <c r="J100" s="210">
        <f>IF(ISERROR(VLOOKUP(A100,'Totalt pivot'!$A$5:$C$397,2,FALSE)),0,(VLOOKUP(A100,'Totalt pivot'!$A$5:$C$397,2,FALSE)))</f>
        <v>18.5</v>
      </c>
      <c r="K100" s="210">
        <f t="shared" si="188"/>
        <v>6.1666666666666661</v>
      </c>
      <c r="L100" s="210">
        <f>IF(ISERROR(VLOOKUP(A100,'Totalt pivot'!$A$5:$C$397,3,FALSE)),0,(VLOOKUP(A100,'Totalt pivot'!$A$5:$C$397,3,FALSE)))</f>
        <v>15.724999999999998</v>
      </c>
      <c r="M100" s="210">
        <f t="shared" si="189"/>
        <v>5.2416666666666654</v>
      </c>
      <c r="N100" s="26">
        <f>VLOOKUP(A100,kurspris!$A$1:$Q$809,15)</f>
        <v>34144.199999999997</v>
      </c>
      <c r="O100" s="26">
        <f>VLOOKUP(A100,kurspris!$A$1:$Q$809,16)</f>
        <v>33557.800000000003</v>
      </c>
      <c r="P100" s="26">
        <f>VLOOKUP(A100,kurspris!$A$1:$Q$809,17)</f>
        <v>5800</v>
      </c>
      <c r="Q100" s="26">
        <f t="shared" si="190"/>
        <v>386454.7016666666</v>
      </c>
      <c r="R100" s="26">
        <f>(Q100*Prislapp!$R$5)*-1</f>
        <v>-27051.829116666664</v>
      </c>
      <c r="S100" s="26">
        <f t="shared" si="191"/>
        <v>359402.87254999991</v>
      </c>
      <c r="T100" s="26">
        <f t="shared" si="192"/>
        <v>35766.666666666664</v>
      </c>
      <c r="V100" t="s">
        <v>1929</v>
      </c>
    </row>
    <row r="101" spans="1:22" x14ac:dyDescent="0.25">
      <c r="A101" s="31" t="s">
        <v>2047</v>
      </c>
      <c r="B101" t="str">
        <f>VLOOKUP(A101,kurspris!$A$1:$Q$809,2,FALSE)</f>
        <v>Utvärdering, ledarskap och förändringsarbete</v>
      </c>
      <c r="C101" s="31">
        <v>2200</v>
      </c>
      <c r="D101" t="str">
        <f>VLOOKUP(C101,Orgenheter!$A$1:$B$213,2)</f>
        <v xml:space="preserve">Inst för psykologi            </v>
      </c>
      <c r="E101" t="str">
        <f>VLOOKUP(C101,Orgenheter!$A$1:$C$165,3,FALSE)</f>
        <v>Sam</v>
      </c>
      <c r="F101" s="295">
        <v>0.5</v>
      </c>
      <c r="G101">
        <f>VLOOKUP(A101,'Ansvar kurs'!$A$85:$C$976,2,FALSE)</f>
        <v>2180</v>
      </c>
      <c r="H101" t="str">
        <f>VLOOKUP(G101,Orgenheter!$A$1:$B$213,2)</f>
        <v xml:space="preserve">Pedagogik                     </v>
      </c>
      <c r="I101" t="str">
        <f>VLOOKUP(G101,Orgenheter!$A$1:$C$165,3,FALSE)</f>
        <v>Sam</v>
      </c>
      <c r="J101" s="210">
        <f>IF(ISERROR(VLOOKUP(A101,'Totalt pivot'!$A$5:$C$397,2,FALSE)),0,(VLOOKUP(A101,'Totalt pivot'!$A$5:$C$397,2,FALSE)))</f>
        <v>15</v>
      </c>
      <c r="K101" s="210">
        <f>F101*J101</f>
        <v>7.5</v>
      </c>
      <c r="L101" s="210">
        <f>IF(ISERROR(VLOOKUP(A101,'Totalt pivot'!$A$5:$C$397,3,FALSE)),0,(VLOOKUP(A101,'Totalt pivot'!$A$5:$C$397,3,FALSE)))</f>
        <v>12.731250000000001</v>
      </c>
      <c r="M101" s="210">
        <f>F101*L101</f>
        <v>6.3656250000000005</v>
      </c>
      <c r="N101" s="26">
        <f>VLOOKUP(A101,kurspris!$A$1:$Q$809,15)</f>
        <v>18405</v>
      </c>
      <c r="O101" s="26">
        <f>VLOOKUP(A101,kurspris!$A$1:$Q$809,16)</f>
        <v>15773</v>
      </c>
      <c r="P101" s="26">
        <f>VLOOKUP(A101,kurspris!$A$1:$Q$809,17)</f>
        <v>5800</v>
      </c>
      <c r="Q101" s="26">
        <f>K101*N101+M101*O101</f>
        <v>238442.50312499999</v>
      </c>
      <c r="R101" s="26">
        <f>(Q101*Prislapp!$R$5)*-1</f>
        <v>-16690.975218750002</v>
      </c>
      <c r="S101" s="26">
        <f>Q101+R101</f>
        <v>221751.52790624998</v>
      </c>
      <c r="T101" s="26">
        <f>K101*P101</f>
        <v>43500</v>
      </c>
    </row>
    <row r="102" spans="1:22" x14ac:dyDescent="0.25">
      <c r="A102" s="31" t="s">
        <v>516</v>
      </c>
      <c r="B102" t="str">
        <f>VLOOKUP(A102,kurspris!$A$1:$Q$809,2,FALSE)</f>
        <v>Svenska I för ämneslärare</v>
      </c>
      <c r="C102" s="31">
        <v>1640</v>
      </c>
      <c r="D102" t="str">
        <f>VLOOKUP(C102,Orgenheter!$A$1:$B$213,2)</f>
        <v>Inst för kultur- o medievetenskap</v>
      </c>
      <c r="E102" t="str">
        <f>VLOOKUP(C102,Orgenheter!$A$1:$C$165,3,FALSE)</f>
        <v>Hum</v>
      </c>
      <c r="F102" s="294">
        <v>0.5</v>
      </c>
      <c r="G102">
        <f>VLOOKUP(A102,'Ansvar kurs'!$A$85:$C$976,2,FALSE)</f>
        <v>1620</v>
      </c>
      <c r="H102" t="str">
        <f>VLOOKUP(G102,Orgenheter!$A$1:$B$213,2)</f>
        <v>Inst för språkstudier</v>
      </c>
      <c r="I102" t="str">
        <f>VLOOKUP(G102,Orgenheter!$A$1:$C$165,3,FALSE)</f>
        <v>Hum</v>
      </c>
      <c r="J102" s="210">
        <f>IF(ISERROR(VLOOKUP(A102,'Totalt pivot'!$A$5:$C$397,2,FALSE)),0,(VLOOKUP(A102,'Totalt pivot'!$A$5:$C$397,2,FALSE)))</f>
        <v>13.5</v>
      </c>
      <c r="K102" s="210">
        <f t="shared" si="57"/>
        <v>6.75</v>
      </c>
      <c r="L102" s="210">
        <f>IF(ISERROR(VLOOKUP(A102,'Totalt pivot'!$A$5:$C$397,3,FALSE)),0,(VLOOKUP(A102,'Totalt pivot'!$A$5:$C$397,3,FALSE)))</f>
        <v>11.475</v>
      </c>
      <c r="M102" s="210">
        <f t="shared" si="53"/>
        <v>5.7374999999999998</v>
      </c>
      <c r="N102" s="26">
        <f>VLOOKUP(A102,kurspris!$A$1:$Q$809,15)</f>
        <v>18405</v>
      </c>
      <c r="O102" s="26">
        <f>VLOOKUP(A102,kurspris!$A$1:$Q$809,16)</f>
        <v>15773</v>
      </c>
      <c r="P102" s="26">
        <f>VLOOKUP(A102,kurspris!$A$1:$Q$809,17)</f>
        <v>5800</v>
      </c>
      <c r="Q102" s="26">
        <f t="shared" si="54"/>
        <v>214731.33749999999</v>
      </c>
      <c r="R102" s="26">
        <f>(Q102*Prislapp!$R$5)*-1</f>
        <v>-15031.193625000002</v>
      </c>
      <c r="S102" s="26">
        <f t="shared" si="55"/>
        <v>199700.14387499998</v>
      </c>
      <c r="T102" s="26">
        <f t="shared" si="56"/>
        <v>39150</v>
      </c>
    </row>
    <row r="103" spans="1:22" x14ac:dyDescent="0.25">
      <c r="A103" s="31" t="s">
        <v>521</v>
      </c>
      <c r="B103" t="str">
        <f>VLOOKUP(A103,kurspris!$A$1:$Q$809,2,FALSE)</f>
        <v>Svenska II för ämneslärare</v>
      </c>
      <c r="C103" s="31">
        <v>1640</v>
      </c>
      <c r="D103" t="str">
        <f>VLOOKUP(C103,Orgenheter!$A$1:$B$213,2)</f>
        <v>Inst för kultur- o medievetenskap</v>
      </c>
      <c r="E103" t="str">
        <f>VLOOKUP(C103,Orgenheter!$A$1:$C$165,3,FALSE)</f>
        <v>Hum</v>
      </c>
      <c r="F103" s="294">
        <v>0.5</v>
      </c>
      <c r="G103">
        <f>VLOOKUP(A103,'Ansvar kurs'!$A$85:$C$976,2,FALSE)</f>
        <v>1620</v>
      </c>
      <c r="H103" t="str">
        <f>VLOOKUP(G103,Orgenheter!$A$1:$B$213,2)</f>
        <v>Inst för språkstudier</v>
      </c>
      <c r="I103" t="str">
        <f>VLOOKUP(G103,Orgenheter!$A$1:$C$165,3,FALSE)</f>
        <v>Hum</v>
      </c>
      <c r="J103" s="210">
        <f>IF(ISERROR(VLOOKUP(A103,'Totalt pivot'!$A$5:$C$397,2,FALSE)),0,(VLOOKUP(A103,'Totalt pivot'!$A$5:$C$397,2,FALSE)))</f>
        <v>13</v>
      </c>
      <c r="K103" s="210">
        <f t="shared" si="57"/>
        <v>6.5</v>
      </c>
      <c r="L103" s="210">
        <f>IF(ISERROR(VLOOKUP(A103,'Totalt pivot'!$A$5:$C$397,3,FALSE)),0,(VLOOKUP(A103,'Totalt pivot'!$A$5:$C$397,3,FALSE)))</f>
        <v>11.049999999999999</v>
      </c>
      <c r="M103" s="210">
        <f t="shared" si="53"/>
        <v>5.5249999999999995</v>
      </c>
      <c r="N103" s="26">
        <f>VLOOKUP(A103,kurspris!$A$1:$Q$809,15)</f>
        <v>18405</v>
      </c>
      <c r="O103" s="26">
        <f>VLOOKUP(A103,kurspris!$A$1:$Q$809,16)</f>
        <v>15773</v>
      </c>
      <c r="P103" s="26">
        <f>VLOOKUP(A103,kurspris!$A$1:$Q$809,17)</f>
        <v>5800</v>
      </c>
      <c r="Q103" s="26">
        <f t="shared" si="54"/>
        <v>206778.32500000001</v>
      </c>
      <c r="R103" s="26">
        <f>(Q103*Prislapp!$R$5)*-1</f>
        <v>-14474.482750000003</v>
      </c>
      <c r="S103" s="26">
        <f t="shared" si="55"/>
        <v>192303.84225000002</v>
      </c>
      <c r="T103" s="26">
        <f t="shared" si="56"/>
        <v>37700</v>
      </c>
    </row>
    <row r="104" spans="1:22" x14ac:dyDescent="0.25">
      <c r="A104" s="31" t="s">
        <v>606</v>
      </c>
      <c r="B104" t="str">
        <f>VLOOKUP(A104,kurspris!$A$1:$Q$809,2,FALSE)</f>
        <v>Svenska III för ämneslärare</v>
      </c>
      <c r="C104" s="31">
        <v>1640</v>
      </c>
      <c r="D104" t="str">
        <f>VLOOKUP(C104,Orgenheter!$A$1:$B$213,2)</f>
        <v>Inst för kultur- o medievetenskap</v>
      </c>
      <c r="E104" t="str">
        <f>VLOOKUP(C104,Orgenheter!$A$1:$C$165,3,FALSE)</f>
        <v>Hum</v>
      </c>
      <c r="F104" s="294">
        <v>0.5</v>
      </c>
      <c r="G104">
        <f>VLOOKUP(A104,'Ansvar kurs'!$A$85:$C$976,2,FALSE)</f>
        <v>1620</v>
      </c>
      <c r="H104" t="str">
        <f>VLOOKUP(G104,Orgenheter!$A$1:$B$213,2)</f>
        <v>Inst för språkstudier</v>
      </c>
      <c r="I104" t="str">
        <f>VLOOKUP(G104,Orgenheter!$A$1:$C$165,3,FALSE)</f>
        <v>Hum</v>
      </c>
      <c r="J104" s="210">
        <f>IF(ISERROR(VLOOKUP(A104,'Totalt pivot'!$A$5:$C$397,2,FALSE)),0,(VLOOKUP(A104,'Totalt pivot'!$A$5:$C$397,2,FALSE)))</f>
        <v>7</v>
      </c>
      <c r="K104" s="210">
        <f t="shared" si="57"/>
        <v>3.5</v>
      </c>
      <c r="L104" s="210">
        <f>IF(ISERROR(VLOOKUP(A104,'Totalt pivot'!$A$5:$C$397,3,FALSE)),0,(VLOOKUP(A104,'Totalt pivot'!$A$5:$C$397,3,FALSE)))</f>
        <v>5.95</v>
      </c>
      <c r="M104" s="210">
        <f t="shared" si="53"/>
        <v>2.9750000000000001</v>
      </c>
      <c r="N104" s="26">
        <f>VLOOKUP(A104,kurspris!$A$1:$Q$809,15)</f>
        <v>18405</v>
      </c>
      <c r="O104" s="26">
        <f>VLOOKUP(A104,kurspris!$A$1:$Q$809,16)</f>
        <v>15773</v>
      </c>
      <c r="P104" s="26">
        <f>VLOOKUP(A104,kurspris!$A$1:$Q$809,17)</f>
        <v>5800</v>
      </c>
      <c r="Q104" s="26">
        <f t="shared" si="54"/>
        <v>111342.175</v>
      </c>
      <c r="R104" s="26">
        <f>(Q104*Prislapp!$R$5)*-1</f>
        <v>-7793.9522500000012</v>
      </c>
      <c r="S104" s="26">
        <f t="shared" si="55"/>
        <v>103548.22275</v>
      </c>
      <c r="T104" s="26">
        <f t="shared" si="56"/>
        <v>20300</v>
      </c>
    </row>
    <row r="105" spans="1:22" x14ac:dyDescent="0.25">
      <c r="A105" s="31" t="s">
        <v>935</v>
      </c>
      <c r="B105" t="str">
        <f>VLOOKUP(A105,kurspris!$A$1:$Q$809,2,FALSE)</f>
        <v>Samhällsvetenskap</v>
      </c>
      <c r="C105" s="31">
        <v>2340</v>
      </c>
      <c r="D105" t="str">
        <f>VLOOKUP(C105,Orgenheter!$A$1:$B$213,2)</f>
        <v xml:space="preserve">Statsvetenskap                </v>
      </c>
      <c r="E105" t="str">
        <f>VLOOKUP(C105,Orgenheter!$A$1:$C$165,3,FALSE)</f>
        <v>Sam</v>
      </c>
      <c r="F105" s="294">
        <f>7/10</f>
        <v>0.7</v>
      </c>
      <c r="G105">
        <f>VLOOKUP(A105,'Ansvar kurs'!$A$85:$C$976,2,FALSE)</f>
        <v>2193</v>
      </c>
      <c r="H105" t="str">
        <f>VLOOKUP(G105,Orgenheter!$A$1:$B$213,2)</f>
        <v xml:space="preserve">TUV </v>
      </c>
      <c r="I105" t="str">
        <f>VLOOKUP(G105,Orgenheter!$A$1:$C$165,3,FALSE)</f>
        <v>Sam</v>
      </c>
      <c r="J105" s="210">
        <f>IF(ISERROR(VLOOKUP(A105,'Totalt pivot'!$A$5:$C$397,2,FALSE)),0,(VLOOKUP(A105,'Totalt pivot'!$A$5:$C$397,2,FALSE)))</f>
        <v>4.8333300000000001</v>
      </c>
      <c r="K105" s="210">
        <f t="shared" ref="K105:K107" si="193">F105*J105</f>
        <v>3.3833310000000001</v>
      </c>
      <c r="L105" s="210">
        <f>IF(ISERROR(VLOOKUP(A105,'Totalt pivot'!$A$5:$C$397,3,FALSE)),0,(VLOOKUP(A105,'Totalt pivot'!$A$5:$C$397,3,FALSE)))</f>
        <v>3.8666640000000001</v>
      </c>
      <c r="M105" s="210">
        <f t="shared" si="53"/>
        <v>2.7066648</v>
      </c>
      <c r="N105" s="26">
        <f>VLOOKUP(A105,kurspris!$A$1:$Q$809,15)</f>
        <v>18405</v>
      </c>
      <c r="O105" s="26">
        <f>VLOOKUP(A105,kurspris!$A$1:$Q$809,16)</f>
        <v>15773</v>
      </c>
      <c r="P105" s="26">
        <f>VLOOKUP(A105,kurspris!$A$1:$Q$809,17)</f>
        <v>5800</v>
      </c>
      <c r="Q105" s="26">
        <f t="shared" si="54"/>
        <v>104962.4309454</v>
      </c>
      <c r="R105" s="26">
        <f>(Q105*Prislapp!$R$5)*-1</f>
        <v>-7347.3701661780005</v>
      </c>
      <c r="S105" s="26">
        <f t="shared" si="55"/>
        <v>97615.060779221996</v>
      </c>
      <c r="T105" s="26">
        <f t="shared" si="56"/>
        <v>19623.319800000001</v>
      </c>
    </row>
    <row r="106" spans="1:22" x14ac:dyDescent="0.25">
      <c r="A106" s="31" t="s">
        <v>935</v>
      </c>
      <c r="B106" t="str">
        <f>VLOOKUP(A106,kurspris!$A$1:$Q$809,2,FALSE)</f>
        <v>Samhällsvetenskap</v>
      </c>
      <c r="C106" s="31">
        <v>2180</v>
      </c>
      <c r="D106" t="str">
        <f>VLOOKUP(C106,Orgenheter!$A$1:$B$213,2)</f>
        <v xml:space="preserve">Pedagogik                     </v>
      </c>
      <c r="E106" t="str">
        <f>VLOOKUP(C106,Orgenheter!$A$1:$C$165,3,FALSE)</f>
        <v>Sam</v>
      </c>
      <c r="F106" s="294">
        <f>3/10</f>
        <v>0.3</v>
      </c>
      <c r="G106">
        <f>VLOOKUP(A106,'Ansvar kurs'!$A$85:$C$976,2,FALSE)</f>
        <v>2193</v>
      </c>
      <c r="H106" t="str">
        <f>VLOOKUP(G106,Orgenheter!$A$1:$B$213,2)</f>
        <v xml:space="preserve">TUV </v>
      </c>
      <c r="I106" t="str">
        <f>VLOOKUP(G106,Orgenheter!$A$1:$C$165,3,FALSE)</f>
        <v>Sam</v>
      </c>
      <c r="J106" s="210">
        <f>IF(ISERROR(VLOOKUP(A106,'Totalt pivot'!$A$5:$C$397,2,FALSE)),0,(VLOOKUP(A106,'Totalt pivot'!$A$5:$C$397,2,FALSE)))</f>
        <v>4.8333300000000001</v>
      </c>
      <c r="K106" s="210">
        <f t="shared" si="193"/>
        <v>1.449999</v>
      </c>
      <c r="L106" s="210">
        <f>IF(ISERROR(VLOOKUP(A106,'Totalt pivot'!$A$5:$C$397,3,FALSE)),0,(VLOOKUP(A106,'Totalt pivot'!$A$5:$C$397,3,FALSE)))</f>
        <v>3.8666640000000001</v>
      </c>
      <c r="M106" s="210">
        <f t="shared" si="53"/>
        <v>1.1599991999999999</v>
      </c>
      <c r="N106" s="26">
        <f>VLOOKUP(A106,kurspris!$A$1:$Q$809,15)</f>
        <v>18405</v>
      </c>
      <c r="O106" s="26">
        <f>VLOOKUP(A106,kurspris!$A$1:$Q$809,16)</f>
        <v>15773</v>
      </c>
      <c r="P106" s="26">
        <f>VLOOKUP(A106,kurspris!$A$1:$Q$809,17)</f>
        <v>5800</v>
      </c>
      <c r="Q106" s="26">
        <f t="shared" si="54"/>
        <v>44983.898976600001</v>
      </c>
      <c r="R106" s="26">
        <f>(Q106*Prislapp!$R$5)*-1</f>
        <v>-3148.8729283620005</v>
      </c>
      <c r="S106" s="26">
        <f t="shared" si="55"/>
        <v>41835.026048238004</v>
      </c>
      <c r="T106" s="26">
        <f t="shared" si="56"/>
        <v>8409.994200000001</v>
      </c>
    </row>
    <row r="107" spans="1:22" x14ac:dyDescent="0.25">
      <c r="A107" s="31" t="s">
        <v>1604</v>
      </c>
      <c r="B107" t="str">
        <f>VLOOKUP(A107,kurspris!$A$1:$Q$809,2,FALSE)</f>
        <v>Beteendevetenskapliga grunder</v>
      </c>
      <c r="C107" s="31">
        <v>2180</v>
      </c>
      <c r="D107" t="str">
        <f>VLOOKUP(C107,Orgenheter!$A$1:$B$213,2)</f>
        <v xml:space="preserve">Pedagogik                     </v>
      </c>
      <c r="E107" t="str">
        <f>VLOOKUP(C107,Orgenheter!$A$1:$C$165,3,FALSE)</f>
        <v>Sam</v>
      </c>
      <c r="F107" s="294">
        <f>4.5/7.5</f>
        <v>0.6</v>
      </c>
      <c r="G107">
        <f>VLOOKUP(A107,'Ansvar kurs'!$A$85:$C$976,2,FALSE)</f>
        <v>2193</v>
      </c>
      <c r="H107" t="str">
        <f>VLOOKUP(G107,Orgenheter!$A$1:$B$213,2)</f>
        <v xml:space="preserve">TUV </v>
      </c>
      <c r="I107" t="str">
        <f>VLOOKUP(G107,Orgenheter!$A$1:$C$165,3,FALSE)</f>
        <v>Sam</v>
      </c>
      <c r="J107" s="210">
        <f>IF(ISERROR(VLOOKUP(A107,'Totalt pivot'!$A$5:$C$397,2,FALSE)),0,(VLOOKUP(A107,'Totalt pivot'!$A$5:$C$397,2,FALSE)))</f>
        <v>6.75</v>
      </c>
      <c r="K107" s="210">
        <f t="shared" si="193"/>
        <v>4.05</v>
      </c>
      <c r="L107" s="210">
        <f>IF(ISERROR(VLOOKUP(A107,'Totalt pivot'!$A$5:$C$397,3,FALSE)),0,(VLOOKUP(A107,'Totalt pivot'!$A$5:$C$397,3,FALSE)))</f>
        <v>5.7374999999999998</v>
      </c>
      <c r="M107" s="210">
        <f t="shared" ref="M107" si="194">F107*L107</f>
        <v>3.4424999999999999</v>
      </c>
      <c r="N107" s="26">
        <f>VLOOKUP(A107,kurspris!$A$1:$Q$809,15)</f>
        <v>18405</v>
      </c>
      <c r="O107" s="26">
        <f>VLOOKUP(A107,kurspris!$A$1:$Q$809,16)</f>
        <v>15773</v>
      </c>
      <c r="P107" s="26">
        <f>VLOOKUP(A107,kurspris!$A$1:$Q$809,17)</f>
        <v>5800</v>
      </c>
      <c r="Q107" s="26">
        <f t="shared" ref="Q107" si="195">K107*N107+M107*O107</f>
        <v>128838.80249999999</v>
      </c>
      <c r="R107" s="26">
        <f>(Q107*Prislapp!$R$5)*-1</f>
        <v>-9018.7161749999996</v>
      </c>
      <c r="S107" s="26">
        <f t="shared" ref="S107" si="196">Q107+R107</f>
        <v>119820.086325</v>
      </c>
      <c r="T107" s="26">
        <f t="shared" ref="T107" si="197">K107*P107</f>
        <v>23490</v>
      </c>
    </row>
  </sheetData>
  <sheetProtection sheet="1" objects="1" scenarios="1"/>
  <autoFilter ref="A1:T107"/>
  <sortState ref="A2:T88">
    <sortCondition ref="A2:A88"/>
  </sortState>
  <phoneticPr fontId="41" type="noConversion"/>
  <pageMargins left="0.70866141732283472" right="0.70866141732283472" top="0.74803149606299213" bottom="0.74803149606299213" header="0.31496062992125984" footer="0.31496062992125984"/>
  <pageSetup paperSize="9" scale="5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tabColor rgb="FF92D050"/>
    <pageSetUpPr autoPageBreaks="0" fitToPage="1"/>
  </sheetPr>
  <dimension ref="A1:V109"/>
  <sheetViews>
    <sheetView workbookViewId="0">
      <selection activeCell="C1" sqref="C1"/>
    </sheetView>
  </sheetViews>
  <sheetFormatPr defaultColWidth="8.85546875" defaultRowHeight="15" x14ac:dyDescent="0.25"/>
  <cols>
    <col min="1" max="1" width="6.42578125" style="6" customWidth="1"/>
    <col min="2" max="2" width="77.85546875" style="6" bestFit="1" customWidth="1"/>
    <col min="3" max="3" width="16.42578125" style="6" bestFit="1" customWidth="1"/>
    <col min="4" max="4" width="12.5703125" style="6" bestFit="1" customWidth="1"/>
    <col min="5" max="5" width="13.7109375" style="6" customWidth="1"/>
    <col min="6" max="6" width="10.5703125" style="6" bestFit="1" customWidth="1"/>
    <col min="7" max="7" width="12.42578125" style="6" bestFit="1" customWidth="1"/>
    <col min="8" max="9" width="13.5703125" style="6" customWidth="1"/>
    <col min="10" max="17" width="8.85546875" style="6"/>
    <col min="18" max="18" width="20.42578125" style="6" bestFit="1" customWidth="1"/>
    <col min="19" max="19" width="16.140625" style="6" bestFit="1" customWidth="1"/>
    <col min="20" max="16384" width="8.85546875" style="6"/>
  </cols>
  <sheetData>
    <row r="1" spans="1:22" ht="20.25" x14ac:dyDescent="0.3">
      <c r="B1" s="2" t="s">
        <v>634</v>
      </c>
      <c r="M1" s="8"/>
      <c r="N1" s="8"/>
      <c r="O1" s="8"/>
      <c r="P1" s="8"/>
      <c r="Q1" s="8"/>
      <c r="R1" s="8"/>
      <c r="S1" s="8"/>
      <c r="T1" s="8"/>
    </row>
    <row r="2" spans="1:22" ht="7.5" customHeight="1" x14ac:dyDescent="0.25">
      <c r="M2" s="8"/>
      <c r="N2" s="8"/>
      <c r="O2" s="8"/>
      <c r="P2" s="8"/>
      <c r="Q2" s="8"/>
      <c r="R2" s="8"/>
      <c r="S2" s="8"/>
      <c r="T2" s="8"/>
    </row>
    <row r="3" spans="1:22" s="3" customFormat="1" ht="15.75" x14ac:dyDescent="0.25">
      <c r="B3" s="5" t="s">
        <v>2175</v>
      </c>
      <c r="M3" s="7"/>
      <c r="N3" s="7"/>
      <c r="O3" s="7"/>
      <c r="P3" s="7"/>
      <c r="Q3" s="7"/>
      <c r="R3" s="7"/>
      <c r="S3" s="7"/>
      <c r="T3" s="7"/>
    </row>
    <row r="4" spans="1:22" s="3" customFormat="1" ht="15.75" x14ac:dyDescent="0.25">
      <c r="M4" s="7"/>
      <c r="N4" s="7"/>
      <c r="O4" s="7"/>
      <c r="P4" s="7"/>
      <c r="Q4" s="7"/>
      <c r="R4" s="7"/>
      <c r="S4" s="7"/>
      <c r="T4" s="7"/>
    </row>
    <row r="5" spans="1:22" s="3" customFormat="1" ht="19.5" thickBot="1" x14ac:dyDescent="0.35">
      <c r="B5" s="4" t="s">
        <v>156</v>
      </c>
      <c r="C5" s="23">
        <v>2019</v>
      </c>
      <c r="M5" s="7"/>
      <c r="N5" s="7"/>
      <c r="O5" s="7"/>
      <c r="P5" s="7"/>
      <c r="Q5" s="7"/>
      <c r="R5" s="7"/>
      <c r="S5" s="7"/>
      <c r="T5" s="7"/>
    </row>
    <row r="6" spans="1:22" s="3" customFormat="1" ht="21.75" customHeight="1" thickTop="1" thickBot="1" x14ac:dyDescent="0.3">
      <c r="B6" s="20" t="s">
        <v>58</v>
      </c>
      <c r="C6" s="178">
        <v>1620</v>
      </c>
      <c r="M6" s="7"/>
      <c r="N6" s="7"/>
      <c r="O6" s="7"/>
      <c r="P6" s="7"/>
      <c r="Q6" s="7"/>
      <c r="R6" s="7"/>
      <c r="S6" s="7"/>
      <c r="T6" s="7"/>
    </row>
    <row r="7" spans="1:22" s="3" customFormat="1" ht="21.75" customHeight="1" thickTop="1" thickBot="1" x14ac:dyDescent="0.3">
      <c r="B7" s="350" t="s">
        <v>71</v>
      </c>
      <c r="C7" s="177" t="str">
        <f>VLOOKUP($C$6,Orgenheter!$A$1:$C$165,3,FALSE)</f>
        <v>Hum</v>
      </c>
      <c r="N7" s="7"/>
      <c r="O7" s="7"/>
      <c r="P7" s="7"/>
      <c r="Q7" s="7"/>
      <c r="R7" s="7"/>
      <c r="S7" s="7"/>
      <c r="T7" s="7"/>
      <c r="U7" s="7"/>
    </row>
    <row r="8" spans="1:22" s="3" customFormat="1" ht="15.75" x14ac:dyDescent="0.25">
      <c r="N8" s="7"/>
      <c r="O8" s="7"/>
      <c r="P8" s="7"/>
      <c r="Q8" s="7"/>
      <c r="R8" s="7"/>
      <c r="S8" s="7"/>
      <c r="T8" s="7"/>
      <c r="U8" s="7"/>
    </row>
    <row r="9" spans="1:22" ht="26.25" customHeight="1" x14ac:dyDescent="0.25">
      <c r="B9" s="594" t="str">
        <f>VLOOKUP(C6,Orgenheter!A2:B213,2,FALSE)</f>
        <v>Inst för språkstudier</v>
      </c>
      <c r="C9" s="595"/>
      <c r="D9" s="347" t="s">
        <v>61</v>
      </c>
      <c r="E9" s="347" t="s">
        <v>62</v>
      </c>
      <c r="G9" s="46"/>
      <c r="H9" s="46" t="str">
        <f>IF($C$6=1650,"MUSIK","")</f>
        <v/>
      </c>
      <c r="I9" s="46" t="str">
        <f>IF($C$6=1650,"DESIGN","")</f>
        <v/>
      </c>
      <c r="N9" s="8"/>
      <c r="O9" s="8"/>
      <c r="P9" s="8"/>
      <c r="Q9" s="8"/>
      <c r="R9" s="8"/>
      <c r="S9" s="8"/>
      <c r="T9" s="8"/>
      <c r="U9" s="8"/>
    </row>
    <row r="10" spans="1:22" ht="15.75" x14ac:dyDescent="0.25">
      <c r="B10" s="83"/>
      <c r="C10" s="24"/>
      <c r="D10" s="339"/>
      <c r="E10" s="339"/>
      <c r="G10" s="46"/>
      <c r="H10" s="46"/>
      <c r="I10" s="46"/>
      <c r="N10" s="8"/>
      <c r="O10" s="8"/>
      <c r="P10" s="8"/>
      <c r="Q10" s="8"/>
      <c r="R10" s="8"/>
      <c r="S10" s="8"/>
      <c r="T10" s="8"/>
      <c r="U10" s="8"/>
    </row>
    <row r="11" spans="1:22" ht="19.5" thickBot="1" x14ac:dyDescent="0.35">
      <c r="B11" s="212" t="s">
        <v>416</v>
      </c>
      <c r="C11" s="257">
        <f>VLOOKUP($C$6,'Totalt per inst'!$B$4:$S$40,4,FALSE)</f>
        <v>9313270.9299220014</v>
      </c>
      <c r="D11" s="340">
        <f>VLOOKUP($B$9,'Totalt per inst'!$C$4:$S$40,4,FALSE)</f>
        <v>286.95833000000005</v>
      </c>
      <c r="E11" s="341">
        <f>VLOOKUP($B$9,'Totalt per inst'!$C$4:$S$40,5,FALSE)</f>
        <v>241.76041400000003</v>
      </c>
      <c r="G11" s="46" t="str">
        <f>IF($C$6=1650,"HST","")</f>
        <v/>
      </c>
      <c r="H11" s="259" t="str">
        <f>IF($C$6=1650,'kurser alla'!AZ485,"")</f>
        <v/>
      </c>
      <c r="I11" s="259" t="str">
        <f>IF($C$6=1650,'kurser alla'!AR485,"")</f>
        <v/>
      </c>
      <c r="N11" s="8"/>
      <c r="O11" s="8"/>
      <c r="P11" s="8"/>
      <c r="Q11" s="8"/>
      <c r="R11" s="8"/>
      <c r="S11" s="8"/>
      <c r="T11" s="8"/>
      <c r="U11" s="8"/>
    </row>
    <row r="12" spans="1:22" s="3" customFormat="1" ht="19.5" thickBot="1" x14ac:dyDescent="0.35">
      <c r="B12" s="212" t="s">
        <v>418</v>
      </c>
      <c r="C12" s="257">
        <f>VLOOKUP($C$6,'Totalt per inst'!$B$4:$S$40,8,FALSE)</f>
        <v>955282.16857500002</v>
      </c>
      <c r="D12" s="340">
        <f>VLOOKUP($B$9,'Totalt per inst'!$C$4:$S$40,8,FALSE)</f>
        <v>22.766666666666666</v>
      </c>
      <c r="E12" s="341">
        <f>VLOOKUP($B$9,'Totalt per inst'!$C$4:$S$40,9,FALSE)</f>
        <v>19.351666666666667</v>
      </c>
      <c r="G12" s="46" t="str">
        <f>IF($C$6=1650,"HPR","")</f>
        <v/>
      </c>
      <c r="H12" s="259" t="str">
        <f>IF($C$6=1650,'kurser alla'!BA485,"")</f>
        <v/>
      </c>
      <c r="I12" s="259" t="str">
        <f>IF($C$6=1650,'kurser alla'!AS485,"")</f>
        <v/>
      </c>
      <c r="O12" s="7"/>
      <c r="P12" s="7"/>
      <c r="Q12" s="7"/>
      <c r="R12" s="7"/>
      <c r="S12" s="7"/>
      <c r="T12" s="7"/>
      <c r="U12" s="7"/>
      <c r="V12" s="7"/>
    </row>
    <row r="13" spans="1:22" ht="19.5" thickBot="1" x14ac:dyDescent="0.35">
      <c r="B13" s="212" t="s">
        <v>417</v>
      </c>
      <c r="C13" s="257">
        <f>VLOOKUP($C$6,'Totalt per inst'!$B$4:$S$40,12,FALSE)</f>
        <v>-949951.1675499999</v>
      </c>
      <c r="D13" s="340">
        <f>VLOOKUP($B$9,'Totalt per inst'!$C$4:$S$40,12,FALSE)</f>
        <v>-31.266666666666666</v>
      </c>
      <c r="E13" s="341">
        <f>VLOOKUP($B$9,'Totalt per inst'!$C$4:$S$40,13,FALSE)</f>
        <v>-26.576666666666668</v>
      </c>
      <c r="G13" s="46"/>
      <c r="H13" s="46"/>
      <c r="I13" s="46"/>
      <c r="N13" s="8"/>
      <c r="O13" s="8"/>
      <c r="P13" s="8"/>
      <c r="Q13" s="8"/>
      <c r="R13" s="8"/>
      <c r="S13" s="8"/>
      <c r="T13" s="8"/>
      <c r="U13" s="8"/>
    </row>
    <row r="14" spans="1:22" ht="19.5" thickBot="1" x14ac:dyDescent="0.35">
      <c r="B14" s="213" t="s">
        <v>466</v>
      </c>
      <c r="C14" s="261">
        <f>IF(C6=1650,H16+I16,0)</f>
        <v>0</v>
      </c>
      <c r="D14" s="340"/>
      <c r="E14" s="341"/>
      <c r="G14" s="46"/>
      <c r="H14" s="46"/>
      <c r="I14" s="46"/>
      <c r="N14" s="8"/>
      <c r="O14" s="8"/>
      <c r="P14" s="8"/>
      <c r="Q14" s="8"/>
      <c r="R14" s="8"/>
      <c r="S14" s="8"/>
      <c r="T14" s="8"/>
      <c r="U14" s="8"/>
    </row>
    <row r="15" spans="1:22" ht="16.5" thickBot="1" x14ac:dyDescent="0.3">
      <c r="A15" s="97"/>
      <c r="B15" s="83"/>
      <c r="C15" s="257"/>
      <c r="D15" s="342"/>
      <c r="E15" s="343"/>
      <c r="G15" s="46" t="str">
        <f>IF($C$6=1650,"Avdrag","")</f>
        <v/>
      </c>
      <c r="H15" s="46"/>
      <c r="I15" s="46"/>
      <c r="N15" s="8"/>
      <c r="O15" s="8"/>
      <c r="P15" s="8"/>
      <c r="Q15" s="8"/>
      <c r="R15" s="8"/>
      <c r="S15" s="8"/>
      <c r="T15" s="8"/>
      <c r="U15" s="8"/>
    </row>
    <row r="16" spans="1:22" ht="19.5" thickBot="1" x14ac:dyDescent="0.35">
      <c r="B16" s="84" t="s">
        <v>452</v>
      </c>
      <c r="C16" s="257">
        <f>SUM(C11:C15)</f>
        <v>9318601.930947002</v>
      </c>
      <c r="D16" s="342">
        <f>SUM(D11:D15)</f>
        <v>278.45833000000005</v>
      </c>
      <c r="E16" s="343">
        <f>SUM(E11:E15)</f>
        <v>234.53541400000006</v>
      </c>
      <c r="G16" s="46" t="str">
        <f>IF($C$6=1650,"Kursintäkter","")</f>
        <v/>
      </c>
      <c r="H16" s="260" t="str">
        <f>IF($C$6=1650,'kurser alla'!AZ486+'kurser alla'!BA486,"")</f>
        <v/>
      </c>
      <c r="I16" s="260" t="str">
        <f>IF($C$6=1650,'kurser alla'!AR486+'kurser alla'!AS486,"")</f>
        <v/>
      </c>
      <c r="J16" s="155"/>
      <c r="N16" s="8"/>
      <c r="O16" s="8"/>
      <c r="P16" s="8"/>
      <c r="Q16" s="8"/>
      <c r="R16" s="8"/>
      <c r="S16" s="8"/>
      <c r="T16" s="8"/>
      <c r="U16" s="8"/>
    </row>
    <row r="17" spans="2:21" ht="19.5" thickBot="1" x14ac:dyDescent="0.35">
      <c r="B17" s="84"/>
      <c r="C17" s="257"/>
      <c r="D17" s="344"/>
      <c r="E17" s="345"/>
      <c r="G17" s="46" t="str">
        <f>IF($C$6=1650,"Lokalintäkter","")</f>
        <v/>
      </c>
      <c r="H17" s="260" t="str">
        <f>IF($C$6=1650,'kurser alla'!AZ487,"")</f>
        <v/>
      </c>
      <c r="I17" s="260" t="str">
        <f>IF($C$6=1650,'kurser alla'!AR487,"")</f>
        <v/>
      </c>
      <c r="J17" s="155"/>
      <c r="N17" s="8"/>
      <c r="O17" s="8"/>
      <c r="P17" s="8"/>
      <c r="Q17" s="8"/>
      <c r="R17" s="8"/>
      <c r="S17" s="8"/>
      <c r="T17" s="8"/>
      <c r="U17" s="8"/>
    </row>
    <row r="18" spans="2:21" ht="19.5" thickBot="1" x14ac:dyDescent="0.35">
      <c r="B18" s="84" t="s">
        <v>454</v>
      </c>
      <c r="C18" s="257">
        <f>VLOOKUP($C$6,'Totalt per inst'!$B$4:$S$40,15,FALSE)</f>
        <v>1590604.9806666665</v>
      </c>
      <c r="D18" s="344"/>
      <c r="E18" s="345"/>
      <c r="H18" s="155"/>
      <c r="I18" s="155"/>
      <c r="J18" s="155"/>
      <c r="N18" s="8"/>
      <c r="O18" s="8"/>
      <c r="P18" s="8"/>
      <c r="Q18" s="8"/>
      <c r="R18" s="8"/>
      <c r="S18" s="8"/>
      <c r="T18" s="8"/>
      <c r="U18" s="8"/>
    </row>
    <row r="19" spans="2:21" ht="19.5" thickBot="1" x14ac:dyDescent="0.35">
      <c r="B19" s="213" t="s">
        <v>466</v>
      </c>
      <c r="C19" s="261">
        <f>IF(C6=1650,H17+I17,0)</f>
        <v>0</v>
      </c>
      <c r="D19" s="344"/>
      <c r="E19" s="345"/>
      <c r="H19" s="155"/>
      <c r="I19" s="155"/>
      <c r="J19" s="155"/>
      <c r="N19" s="8"/>
      <c r="O19" s="8"/>
      <c r="P19" s="8"/>
      <c r="Q19" s="8"/>
      <c r="R19" s="8"/>
      <c r="S19" s="8"/>
      <c r="T19" s="8"/>
      <c r="U19" s="8"/>
    </row>
    <row r="20" spans="2:21" ht="19.5" thickBot="1" x14ac:dyDescent="0.35">
      <c r="B20" s="84"/>
      <c r="C20" s="257"/>
      <c r="D20" s="344"/>
      <c r="E20" s="345"/>
      <c r="N20" s="8"/>
      <c r="O20" s="8"/>
      <c r="P20" s="8"/>
      <c r="Q20" s="8"/>
      <c r="R20" s="8"/>
      <c r="S20" s="8"/>
      <c r="T20" s="8"/>
      <c r="U20" s="8"/>
    </row>
    <row r="21" spans="2:21" ht="19.5" thickBot="1" x14ac:dyDescent="0.35">
      <c r="B21" s="84" t="s">
        <v>456</v>
      </c>
      <c r="C21" s="257">
        <f>IF($C$7="Sam",$C$16,$C$16+$C$18+$C$19)</f>
        <v>10909206.911613669</v>
      </c>
      <c r="D21" s="344"/>
      <c r="E21" s="345"/>
      <c r="N21" s="8"/>
      <c r="O21" s="8"/>
      <c r="P21" s="8"/>
      <c r="Q21" s="8"/>
      <c r="R21" s="8"/>
      <c r="S21" s="8"/>
      <c r="T21" s="8"/>
      <c r="U21" s="8"/>
    </row>
    <row r="22" spans="2:21" ht="18.75" x14ac:dyDescent="0.3">
      <c r="B22" s="84"/>
      <c r="C22" s="30"/>
      <c r="D22" s="345"/>
      <c r="E22" s="345"/>
      <c r="N22" s="8"/>
      <c r="O22" s="8"/>
      <c r="P22" s="8"/>
      <c r="Q22" s="8"/>
      <c r="R22" s="8"/>
      <c r="S22" s="8"/>
      <c r="T22" s="8"/>
      <c r="U22" s="8"/>
    </row>
    <row r="23" spans="2:21" x14ac:dyDescent="0.25">
      <c r="B23" s="86"/>
      <c r="C23" s="85"/>
      <c r="D23" s="346"/>
      <c r="E23" s="346"/>
      <c r="N23" s="8"/>
      <c r="O23" s="8"/>
      <c r="P23" s="8"/>
      <c r="Q23" s="8"/>
      <c r="R23" s="8"/>
      <c r="S23" s="8"/>
      <c r="T23" s="8"/>
      <c r="U23" s="8"/>
    </row>
    <row r="24" spans="2:21" x14ac:dyDescent="0.25">
      <c r="N24" s="8"/>
      <c r="O24" s="8"/>
      <c r="P24" s="8"/>
      <c r="Q24" s="8"/>
      <c r="R24" s="8"/>
      <c r="S24" s="8"/>
      <c r="T24" s="8"/>
      <c r="U24" s="8"/>
    </row>
    <row r="25" spans="2:21" x14ac:dyDescent="0.25">
      <c r="B25" s="46" t="s">
        <v>635</v>
      </c>
      <c r="M25" s="8"/>
      <c r="N25" s="8"/>
      <c r="O25" s="8"/>
      <c r="P25" s="8"/>
      <c r="Q25" s="8"/>
      <c r="R25" s="8"/>
      <c r="S25" s="8"/>
      <c r="T25" s="8"/>
    </row>
    <row r="26" spans="2:21" x14ac:dyDescent="0.25">
      <c r="B26" s="93" t="s">
        <v>636</v>
      </c>
      <c r="M26" s="8"/>
      <c r="N26" s="8"/>
      <c r="O26" s="8"/>
      <c r="P26" s="8"/>
      <c r="Q26" s="8"/>
      <c r="R26" s="8"/>
      <c r="S26" s="8"/>
      <c r="T26" s="8"/>
    </row>
    <row r="27" spans="2:21" ht="47.25" customHeight="1" x14ac:dyDescent="0.25">
      <c r="H27" s="596" t="str">
        <f>IF(C7="Sam","Till Samfak lokalintäkter att reglera vid prel avräkning dec-19","")</f>
        <v/>
      </c>
      <c r="I27" s="596"/>
      <c r="M27" s="8"/>
      <c r="N27" s="8"/>
      <c r="O27" s="8"/>
      <c r="P27" s="8"/>
      <c r="Q27" s="8"/>
      <c r="R27" s="8"/>
      <c r="S27" s="8"/>
      <c r="T27" s="8"/>
    </row>
    <row r="28" spans="2:21" ht="16.5" thickBot="1" x14ac:dyDescent="0.3">
      <c r="F28" s="24"/>
      <c r="I28" s="258" t="str">
        <f>IF(C7="Sam",($C$18-D30),"")</f>
        <v/>
      </c>
      <c r="J28" s="100"/>
      <c r="M28" s="8"/>
      <c r="N28" s="8"/>
      <c r="O28" s="8"/>
      <c r="P28" s="8"/>
      <c r="Q28" s="8"/>
      <c r="R28" s="8"/>
      <c r="S28" s="8"/>
      <c r="T28" s="8"/>
    </row>
    <row r="29" spans="2:21" ht="16.5" thickBot="1" x14ac:dyDescent="0.3">
      <c r="B29" s="88" t="s">
        <v>321</v>
      </c>
      <c r="C29" s="89" t="s">
        <v>375</v>
      </c>
      <c r="D29" s="89" t="s">
        <v>149</v>
      </c>
      <c r="E29" s="90" t="s">
        <v>455</v>
      </c>
      <c r="F29" s="348"/>
      <c r="J29" s="100"/>
      <c r="M29" s="8"/>
      <c r="N29" s="8"/>
      <c r="O29" s="8"/>
      <c r="P29" s="8"/>
      <c r="Q29" s="8"/>
      <c r="R29" s="8"/>
      <c r="S29" s="8"/>
      <c r="T29" s="8"/>
    </row>
    <row r="30" spans="2:21" ht="25.5" customHeight="1" thickBot="1" x14ac:dyDescent="0.3">
      <c r="B30" s="546" t="s">
        <v>2184</v>
      </c>
      <c r="C30" s="545">
        <f>VLOOKUP(C6,'Utfördelat tom nov'!$A$3:$L$28,10,FALSE)</f>
        <v>8990587.2502192631</v>
      </c>
      <c r="D30" s="545">
        <f>VLOOKUP($C$6,'Utfördelat tom nov'!$A$3:$L$28,11,FALSE)</f>
        <v>1545672.7103174599</v>
      </c>
      <c r="E30" s="545">
        <f>SUM(C30:D30)</f>
        <v>10536259.960536722</v>
      </c>
      <c r="F30" s="349"/>
      <c r="J30" s="100"/>
      <c r="M30" s="8"/>
      <c r="N30" s="8"/>
      <c r="O30" s="8"/>
      <c r="P30" s="8"/>
      <c r="Q30" s="8"/>
      <c r="R30" s="8"/>
      <c r="S30" s="8"/>
      <c r="T30" s="8"/>
    </row>
    <row r="31" spans="2:21" ht="27" customHeight="1" thickBot="1" x14ac:dyDescent="0.3">
      <c r="B31" s="181" t="s">
        <v>2185</v>
      </c>
      <c r="C31" s="257">
        <f>($C$16-C30)</f>
        <v>328014.68072773889</v>
      </c>
      <c r="D31" s="257">
        <f>(IF($C$7="Sam",0,($C$18+$C$19-D30)))</f>
        <v>44932.270349206636</v>
      </c>
      <c r="E31" s="257">
        <f>SUM(C31:D31)</f>
        <v>372946.95107694552</v>
      </c>
      <c r="F31" s="349"/>
      <c r="H31" s="100"/>
      <c r="N31" s="8"/>
      <c r="O31" s="8"/>
      <c r="P31" s="8"/>
      <c r="Q31" s="8"/>
      <c r="R31" s="8"/>
      <c r="S31" s="8"/>
      <c r="T31" s="8"/>
      <c r="U31" s="8"/>
    </row>
    <row r="32" spans="2:21" ht="16.5" thickBot="1" x14ac:dyDescent="0.3">
      <c r="B32" s="87"/>
      <c r="C32" s="156"/>
      <c r="D32" s="156"/>
      <c r="E32" s="157"/>
      <c r="F32" s="349"/>
      <c r="H32" s="100"/>
      <c r="N32" s="8"/>
      <c r="O32" s="8"/>
      <c r="P32" s="8"/>
      <c r="Q32" s="8"/>
      <c r="R32" s="8"/>
      <c r="S32" s="8"/>
      <c r="T32" s="8"/>
      <c r="U32" s="8"/>
    </row>
    <row r="33" spans="2:21" ht="16.5" thickBot="1" x14ac:dyDescent="0.3">
      <c r="B33" s="87"/>
      <c r="C33" s="156"/>
      <c r="D33" s="156"/>
      <c r="E33" s="157"/>
      <c r="F33" s="349"/>
      <c r="H33" s="100"/>
      <c r="I33" s="100"/>
      <c r="N33" s="8"/>
      <c r="O33" s="8"/>
      <c r="P33" s="8"/>
      <c r="Q33" s="8"/>
      <c r="R33" s="8"/>
      <c r="S33" s="10"/>
      <c r="T33" s="7"/>
      <c r="U33" s="7"/>
    </row>
    <row r="34" spans="2:21" ht="15.75" x14ac:dyDescent="0.25">
      <c r="F34" s="24"/>
      <c r="M34" s="8"/>
      <c r="N34" s="8"/>
      <c r="O34" s="8"/>
      <c r="P34" s="8"/>
      <c r="Q34" s="8"/>
      <c r="R34" s="8"/>
      <c r="S34" s="7"/>
      <c r="T34" s="7"/>
    </row>
    <row r="35" spans="2:21" ht="15.75" x14ac:dyDescent="0.25">
      <c r="M35" s="8"/>
      <c r="N35" s="8"/>
      <c r="O35" s="8"/>
      <c r="P35" s="8"/>
      <c r="Q35" s="8"/>
      <c r="R35" s="7"/>
      <c r="S35" s="7"/>
      <c r="T35" s="7"/>
    </row>
    <row r="36" spans="2:21" ht="15.75" x14ac:dyDescent="0.25">
      <c r="M36" s="8"/>
      <c r="N36" s="8"/>
      <c r="O36" s="8"/>
      <c r="P36" s="8"/>
      <c r="Q36" s="8"/>
      <c r="R36" s="8"/>
      <c r="S36" s="7"/>
      <c r="T36" s="7"/>
    </row>
    <row r="37" spans="2:21" ht="15.75" x14ac:dyDescent="0.25">
      <c r="M37" s="8"/>
      <c r="N37" s="8"/>
      <c r="O37" s="8"/>
      <c r="P37" s="8"/>
      <c r="Q37" s="8"/>
      <c r="R37" s="8"/>
      <c r="S37" s="7"/>
      <c r="T37" s="7"/>
    </row>
    <row r="38" spans="2:21" x14ac:dyDescent="0.25">
      <c r="M38" s="8"/>
      <c r="N38" s="8"/>
      <c r="O38" s="8"/>
      <c r="P38" s="8"/>
      <c r="Q38" s="8"/>
      <c r="R38" s="8"/>
      <c r="S38" s="8"/>
      <c r="T38" s="8"/>
    </row>
    <row r="39" spans="2:21" x14ac:dyDescent="0.25">
      <c r="M39" s="8"/>
      <c r="N39" s="8"/>
      <c r="O39" s="8"/>
      <c r="P39" s="8"/>
      <c r="Q39" s="8"/>
      <c r="R39" s="8"/>
      <c r="S39" s="8"/>
      <c r="T39" s="8"/>
    </row>
    <row r="40" spans="2:21" ht="15.75" x14ac:dyDescent="0.25">
      <c r="M40" s="8"/>
      <c r="N40" s="8"/>
      <c r="O40" s="8"/>
      <c r="P40" s="8"/>
      <c r="Q40" s="8"/>
      <c r="R40" s="7"/>
      <c r="S40" s="17"/>
      <c r="T40" s="17"/>
    </row>
    <row r="41" spans="2:21" ht="15.75" x14ac:dyDescent="0.25">
      <c r="M41" s="8"/>
      <c r="N41" s="8"/>
      <c r="O41" s="8"/>
      <c r="P41" s="8"/>
      <c r="Q41" s="8"/>
      <c r="R41" s="7"/>
      <c r="S41" s="8"/>
      <c r="T41" s="8"/>
    </row>
    <row r="42" spans="2:21" x14ac:dyDescent="0.25">
      <c r="M42" s="8"/>
      <c r="N42" s="8"/>
      <c r="O42" s="8"/>
      <c r="P42" s="8"/>
      <c r="Q42" s="8"/>
      <c r="R42" s="8"/>
      <c r="S42" s="8"/>
      <c r="T42" s="8"/>
    </row>
    <row r="43" spans="2:21" x14ac:dyDescent="0.25">
      <c r="M43" s="8"/>
      <c r="N43" s="8"/>
      <c r="O43" s="8"/>
      <c r="P43" s="8"/>
      <c r="Q43" s="8"/>
      <c r="R43" s="8"/>
      <c r="S43" s="8"/>
      <c r="T43" s="8"/>
    </row>
    <row r="44" spans="2:21" x14ac:dyDescent="0.25">
      <c r="M44" s="8"/>
      <c r="N44" s="8"/>
      <c r="O44" s="8"/>
      <c r="P44" s="8"/>
      <c r="Q44" s="8"/>
      <c r="R44" s="8"/>
      <c r="S44" s="8"/>
      <c r="T44" s="8"/>
    </row>
    <row r="45" spans="2:21" ht="15.75" x14ac:dyDescent="0.25">
      <c r="M45" s="8"/>
      <c r="N45" s="8"/>
      <c r="O45" s="8"/>
      <c r="P45" s="8"/>
      <c r="Q45" s="8"/>
      <c r="R45" s="7"/>
      <c r="S45" s="8"/>
      <c r="T45" s="8"/>
    </row>
    <row r="46" spans="2:21" ht="15.75" x14ac:dyDescent="0.25">
      <c r="M46" s="8"/>
      <c r="N46" s="8"/>
      <c r="O46" s="8"/>
      <c r="P46" s="8"/>
      <c r="Q46" s="8"/>
      <c r="R46" s="7"/>
      <c r="S46" s="8"/>
      <c r="T46" s="8"/>
    </row>
    <row r="47" spans="2:21" x14ac:dyDescent="0.25">
      <c r="M47" s="8"/>
      <c r="N47" s="8"/>
      <c r="O47" s="8"/>
      <c r="P47" s="8"/>
      <c r="Q47" s="8"/>
      <c r="R47" s="8"/>
      <c r="S47" s="8"/>
      <c r="T47" s="8"/>
    </row>
    <row r="48" spans="2:21" x14ac:dyDescent="0.25">
      <c r="M48" s="8"/>
      <c r="N48" s="8"/>
      <c r="O48" s="8"/>
      <c r="P48" s="8"/>
      <c r="Q48" s="8"/>
      <c r="R48" s="8"/>
      <c r="S48" s="8"/>
      <c r="T48" s="8"/>
    </row>
    <row r="49" spans="13:20" x14ac:dyDescent="0.25">
      <c r="M49" s="8"/>
      <c r="N49" s="8"/>
      <c r="O49" s="8"/>
      <c r="P49" s="8"/>
      <c r="Q49" s="8"/>
      <c r="R49" s="17"/>
      <c r="S49" s="8"/>
      <c r="T49" s="8"/>
    </row>
    <row r="50" spans="13:20" x14ac:dyDescent="0.25">
      <c r="M50" s="8"/>
      <c r="N50" s="8"/>
      <c r="O50" s="8"/>
      <c r="P50" s="8"/>
      <c r="Q50" s="8"/>
      <c r="R50" s="21"/>
      <c r="S50" s="17"/>
      <c r="T50" s="8"/>
    </row>
    <row r="51" spans="13:20" x14ac:dyDescent="0.25">
      <c r="M51" s="8"/>
      <c r="N51" s="8"/>
      <c r="O51" s="8"/>
      <c r="P51" s="8"/>
      <c r="Q51" s="8"/>
      <c r="R51" s="22"/>
      <c r="S51" s="8"/>
      <c r="T51" s="8"/>
    </row>
    <row r="52" spans="13:20" x14ac:dyDescent="0.25">
      <c r="M52" s="8"/>
      <c r="N52" s="8"/>
      <c r="O52" s="8"/>
      <c r="P52" s="8"/>
      <c r="Q52" s="8"/>
      <c r="R52" s="22"/>
      <c r="S52" s="8"/>
      <c r="T52" s="8"/>
    </row>
    <row r="53" spans="13:20" x14ac:dyDescent="0.25">
      <c r="M53" s="8"/>
      <c r="N53" s="8"/>
      <c r="O53" s="8"/>
      <c r="P53" s="8"/>
      <c r="Q53" s="8"/>
      <c r="R53" s="22"/>
      <c r="S53" s="22"/>
      <c r="T53" s="8"/>
    </row>
    <row r="54" spans="13:20" x14ac:dyDescent="0.25">
      <c r="M54" s="8"/>
      <c r="N54" s="8"/>
      <c r="O54" s="8"/>
      <c r="P54" s="8"/>
      <c r="Q54" s="8"/>
      <c r="R54" s="22"/>
      <c r="S54" s="22"/>
      <c r="T54" s="8"/>
    </row>
    <row r="55" spans="13:20" x14ac:dyDescent="0.25">
      <c r="M55" s="8"/>
      <c r="N55" s="8"/>
      <c r="O55" s="8"/>
      <c r="P55" s="8"/>
      <c r="Q55" s="8"/>
      <c r="R55" s="22"/>
      <c r="S55" s="8"/>
      <c r="T55" s="8"/>
    </row>
    <row r="56" spans="13:20" x14ac:dyDescent="0.25">
      <c r="M56" s="8"/>
      <c r="N56" s="8"/>
      <c r="O56" s="8"/>
      <c r="P56" s="8"/>
      <c r="Q56" s="8"/>
      <c r="R56" s="22"/>
      <c r="S56" s="8"/>
      <c r="T56" s="8"/>
    </row>
    <row r="57" spans="13:20" x14ac:dyDescent="0.25">
      <c r="M57" s="8"/>
      <c r="N57" s="8"/>
      <c r="O57" s="8"/>
      <c r="P57" s="8"/>
      <c r="Q57" s="8"/>
      <c r="R57" s="22"/>
      <c r="S57" s="8"/>
      <c r="T57" s="8"/>
    </row>
    <row r="58" spans="13:20" x14ac:dyDescent="0.25">
      <c r="M58" s="8"/>
      <c r="N58" s="8"/>
      <c r="O58" s="8"/>
      <c r="P58" s="8"/>
      <c r="Q58" s="8"/>
      <c r="R58" s="22"/>
      <c r="S58" s="22"/>
      <c r="T58" s="8"/>
    </row>
    <row r="59" spans="13:20" x14ac:dyDescent="0.25">
      <c r="M59" s="8"/>
      <c r="N59" s="8"/>
      <c r="O59" s="8"/>
      <c r="P59" s="8"/>
      <c r="Q59" s="8"/>
      <c r="R59" s="22"/>
      <c r="S59" s="22"/>
      <c r="T59" s="8"/>
    </row>
    <row r="60" spans="13:20" x14ac:dyDescent="0.25">
      <c r="M60" s="8"/>
      <c r="N60" s="8"/>
      <c r="O60" s="8"/>
      <c r="P60" s="8"/>
      <c r="Q60" s="8"/>
      <c r="R60" s="22"/>
      <c r="S60" s="22"/>
      <c r="T60" s="8"/>
    </row>
    <row r="61" spans="13:20" x14ac:dyDescent="0.25">
      <c r="M61" s="8"/>
      <c r="N61" s="8"/>
      <c r="O61" s="8"/>
      <c r="P61" s="8"/>
      <c r="Q61" s="8"/>
      <c r="R61" s="22"/>
      <c r="S61" s="22"/>
      <c r="T61" s="8"/>
    </row>
    <row r="62" spans="13:20" x14ac:dyDescent="0.25">
      <c r="M62" s="8"/>
      <c r="N62" s="8"/>
      <c r="O62" s="8"/>
      <c r="P62" s="8"/>
      <c r="Q62" s="8"/>
      <c r="R62" s="22"/>
      <c r="S62" s="22"/>
      <c r="T62" s="8"/>
    </row>
    <row r="63" spans="13:20" x14ac:dyDescent="0.25">
      <c r="M63" s="8"/>
      <c r="N63" s="8"/>
      <c r="O63" s="8"/>
      <c r="P63" s="8"/>
      <c r="Q63" s="8"/>
      <c r="R63" s="22"/>
      <c r="S63" s="22"/>
      <c r="T63" s="8"/>
    </row>
    <row r="64" spans="13:20" x14ac:dyDescent="0.25">
      <c r="M64" s="8"/>
      <c r="N64" s="8"/>
      <c r="O64" s="8"/>
      <c r="P64" s="8"/>
      <c r="Q64" s="8"/>
      <c r="R64" s="22"/>
      <c r="S64" s="22"/>
      <c r="T64" s="8"/>
    </row>
    <row r="65" spans="13:20" x14ac:dyDescent="0.25">
      <c r="M65" s="8"/>
      <c r="N65" s="8"/>
      <c r="O65" s="8"/>
      <c r="P65" s="8"/>
      <c r="Q65" s="8"/>
      <c r="R65" s="22"/>
      <c r="S65" s="22"/>
      <c r="T65" s="8"/>
    </row>
    <row r="66" spans="13:20" x14ac:dyDescent="0.25">
      <c r="M66" s="8"/>
      <c r="N66" s="8"/>
      <c r="O66" s="8"/>
      <c r="P66" s="8"/>
      <c r="Q66" s="8"/>
      <c r="R66" s="22"/>
      <c r="S66" s="22"/>
      <c r="T66" s="8"/>
    </row>
    <row r="67" spans="13:20" x14ac:dyDescent="0.25">
      <c r="M67" s="8"/>
      <c r="N67" s="8"/>
      <c r="O67" s="8"/>
      <c r="P67" s="8"/>
      <c r="Q67" s="8"/>
      <c r="R67" s="22"/>
      <c r="S67" s="22"/>
      <c r="T67" s="8"/>
    </row>
    <row r="68" spans="13:20" x14ac:dyDescent="0.25">
      <c r="M68" s="8"/>
      <c r="N68" s="8"/>
      <c r="O68" s="8"/>
      <c r="P68" s="8"/>
      <c r="Q68" s="8"/>
      <c r="R68" s="22"/>
      <c r="S68" s="22"/>
      <c r="T68" s="8"/>
    </row>
    <row r="69" spans="13:20" x14ac:dyDescent="0.25">
      <c r="M69" s="8"/>
      <c r="N69" s="8"/>
      <c r="O69" s="8"/>
      <c r="P69" s="8"/>
      <c r="Q69" s="8"/>
      <c r="R69" s="22"/>
      <c r="S69" s="22"/>
      <c r="T69" s="8"/>
    </row>
    <row r="70" spans="13:20" x14ac:dyDescent="0.25">
      <c r="M70" s="8"/>
      <c r="N70" s="8"/>
      <c r="O70" s="8"/>
      <c r="P70" s="8"/>
      <c r="Q70" s="8"/>
      <c r="R70" s="22"/>
      <c r="S70" s="22"/>
      <c r="T70" s="8"/>
    </row>
    <row r="71" spans="13:20" x14ac:dyDescent="0.25">
      <c r="M71" s="8"/>
      <c r="N71" s="8"/>
      <c r="O71" s="8"/>
      <c r="P71" s="8"/>
      <c r="Q71" s="8"/>
      <c r="R71" s="22"/>
      <c r="S71" s="22"/>
      <c r="T71" s="8"/>
    </row>
    <row r="72" spans="13:20" x14ac:dyDescent="0.25">
      <c r="M72" s="8"/>
      <c r="N72" s="8"/>
      <c r="O72" s="8"/>
      <c r="P72" s="8"/>
      <c r="Q72" s="8"/>
      <c r="R72" s="8"/>
      <c r="S72" s="22"/>
      <c r="T72" s="8"/>
    </row>
    <row r="73" spans="13:20" x14ac:dyDescent="0.25">
      <c r="M73" s="8"/>
      <c r="N73" s="8"/>
      <c r="O73" s="8"/>
      <c r="P73" s="8"/>
      <c r="Q73" s="8"/>
      <c r="R73" s="8"/>
      <c r="S73" s="22"/>
      <c r="T73" s="8"/>
    </row>
    <row r="74" spans="13:20" x14ac:dyDescent="0.25">
      <c r="M74" s="8"/>
      <c r="N74" s="8"/>
      <c r="O74" s="8"/>
      <c r="P74" s="8"/>
      <c r="Q74" s="8"/>
      <c r="R74" s="17"/>
      <c r="S74" s="22"/>
      <c r="T74" s="8"/>
    </row>
    <row r="75" spans="13:20" x14ac:dyDescent="0.25">
      <c r="M75" s="8"/>
      <c r="N75" s="8"/>
      <c r="O75" s="8"/>
      <c r="P75" s="8"/>
      <c r="Q75" s="8"/>
      <c r="R75" s="22"/>
      <c r="S75" s="22"/>
      <c r="T75" s="8"/>
    </row>
    <row r="76" spans="13:20" x14ac:dyDescent="0.25">
      <c r="M76" s="8"/>
      <c r="N76" s="8"/>
      <c r="O76" s="8"/>
      <c r="P76" s="8"/>
      <c r="Q76" s="8"/>
      <c r="R76" s="22"/>
      <c r="S76" s="22"/>
      <c r="T76" s="8"/>
    </row>
    <row r="77" spans="13:20" x14ac:dyDescent="0.25">
      <c r="M77" s="8"/>
      <c r="N77" s="8"/>
      <c r="O77" s="8"/>
      <c r="P77" s="8"/>
      <c r="Q77" s="8"/>
      <c r="R77" s="22"/>
      <c r="S77" s="22"/>
      <c r="T77" s="8"/>
    </row>
    <row r="78" spans="13:20" x14ac:dyDescent="0.25">
      <c r="M78" s="8"/>
      <c r="N78" s="8"/>
      <c r="O78" s="8"/>
      <c r="P78" s="8"/>
      <c r="Q78" s="8"/>
      <c r="R78" s="22"/>
      <c r="S78" s="22"/>
      <c r="T78" s="8"/>
    </row>
    <row r="79" spans="13:20" x14ac:dyDescent="0.25">
      <c r="M79" s="8"/>
      <c r="N79" s="8"/>
      <c r="O79" s="8"/>
      <c r="P79" s="8"/>
      <c r="Q79" s="8"/>
      <c r="R79" s="22"/>
      <c r="S79" s="22"/>
      <c r="T79" s="8"/>
    </row>
    <row r="80" spans="13:20" x14ac:dyDescent="0.25">
      <c r="M80" s="8"/>
      <c r="N80" s="8"/>
      <c r="O80" s="8"/>
      <c r="P80" s="8"/>
      <c r="Q80" s="8"/>
      <c r="R80" s="17"/>
      <c r="S80" s="22"/>
      <c r="T80" s="8"/>
    </row>
    <row r="81" spans="13:20" x14ac:dyDescent="0.25">
      <c r="M81" s="8"/>
      <c r="N81" s="8"/>
      <c r="O81" s="8"/>
      <c r="P81" s="8"/>
      <c r="Q81" s="8"/>
      <c r="R81" s="8"/>
      <c r="S81" s="22"/>
      <c r="T81" s="8"/>
    </row>
    <row r="82" spans="13:20" x14ac:dyDescent="0.25">
      <c r="M82" s="8"/>
      <c r="N82" s="8"/>
      <c r="O82" s="8"/>
      <c r="P82" s="8"/>
      <c r="Q82" s="8"/>
      <c r="R82" s="22"/>
      <c r="S82" s="22"/>
      <c r="T82" s="8"/>
    </row>
    <row r="83" spans="13:20" x14ac:dyDescent="0.25">
      <c r="M83" s="8"/>
      <c r="N83" s="8"/>
      <c r="O83" s="8"/>
      <c r="P83" s="8"/>
      <c r="Q83" s="8"/>
      <c r="R83" s="22"/>
      <c r="S83" s="22"/>
      <c r="T83" s="8"/>
    </row>
    <row r="84" spans="13:20" x14ac:dyDescent="0.25">
      <c r="M84" s="8"/>
      <c r="N84" s="8"/>
      <c r="O84" s="8"/>
      <c r="P84" s="8"/>
      <c r="Q84" s="8"/>
      <c r="R84" s="22"/>
      <c r="S84" s="22"/>
      <c r="T84" s="8"/>
    </row>
    <row r="85" spans="13:20" x14ac:dyDescent="0.25">
      <c r="M85" s="8"/>
      <c r="N85" s="8"/>
      <c r="O85" s="8"/>
      <c r="P85" s="8"/>
      <c r="Q85" s="8"/>
      <c r="R85" s="22"/>
      <c r="S85" s="22"/>
      <c r="T85" s="8"/>
    </row>
    <row r="86" spans="13:20" x14ac:dyDescent="0.25">
      <c r="M86" s="8"/>
      <c r="N86" s="8"/>
      <c r="O86" s="8"/>
      <c r="P86" s="8"/>
      <c r="Q86" s="8"/>
      <c r="R86" s="17"/>
      <c r="S86" s="22"/>
      <c r="T86" s="8"/>
    </row>
    <row r="87" spans="13:20" x14ac:dyDescent="0.25">
      <c r="M87" s="8"/>
      <c r="N87" s="8"/>
      <c r="O87" s="8"/>
      <c r="P87" s="8"/>
      <c r="Q87" s="8"/>
      <c r="R87" s="8"/>
      <c r="S87" s="22"/>
      <c r="T87" s="8"/>
    </row>
    <row r="88" spans="13:20" x14ac:dyDescent="0.25">
      <c r="M88" s="8"/>
      <c r="N88" s="8"/>
      <c r="O88" s="8"/>
      <c r="P88" s="8"/>
      <c r="Q88" s="8"/>
      <c r="R88" s="22"/>
      <c r="S88" s="22"/>
      <c r="T88" s="8"/>
    </row>
    <row r="89" spans="13:20" x14ac:dyDescent="0.25">
      <c r="M89" s="8"/>
      <c r="N89" s="8"/>
      <c r="O89" s="8"/>
      <c r="P89" s="8"/>
      <c r="Q89" s="8"/>
      <c r="R89" s="22"/>
      <c r="S89" s="22"/>
      <c r="T89" s="8"/>
    </row>
    <row r="90" spans="13:20" x14ac:dyDescent="0.25">
      <c r="M90" s="8"/>
      <c r="N90" s="8"/>
      <c r="O90" s="8"/>
      <c r="P90" s="8"/>
      <c r="Q90" s="8"/>
      <c r="R90" s="22"/>
      <c r="S90" s="22"/>
      <c r="T90" s="8"/>
    </row>
    <row r="91" spans="13:20" x14ac:dyDescent="0.25">
      <c r="M91" s="8"/>
      <c r="N91" s="8"/>
      <c r="O91" s="8"/>
      <c r="P91" s="8"/>
      <c r="Q91" s="8"/>
      <c r="R91" s="22"/>
      <c r="S91" s="22"/>
      <c r="T91" s="8"/>
    </row>
    <row r="92" spans="13:20" x14ac:dyDescent="0.25">
      <c r="M92" s="8"/>
      <c r="N92" s="8"/>
      <c r="O92" s="8"/>
      <c r="P92" s="8"/>
      <c r="Q92" s="8"/>
      <c r="R92" s="22"/>
      <c r="S92" s="22"/>
      <c r="T92" s="8"/>
    </row>
    <row r="93" spans="13:20" x14ac:dyDescent="0.25">
      <c r="M93" s="8"/>
      <c r="N93" s="8"/>
      <c r="O93" s="8"/>
      <c r="P93" s="8"/>
      <c r="Q93" s="8"/>
      <c r="R93" s="22"/>
      <c r="S93" s="22"/>
      <c r="T93" s="8"/>
    </row>
    <row r="94" spans="13:20" x14ac:dyDescent="0.25">
      <c r="M94" s="8"/>
      <c r="N94" s="8"/>
      <c r="O94" s="8"/>
      <c r="P94" s="8"/>
      <c r="Q94" s="8"/>
      <c r="R94" s="22"/>
      <c r="S94" s="22"/>
      <c r="T94" s="8"/>
    </row>
    <row r="95" spans="13:20" x14ac:dyDescent="0.25">
      <c r="M95" s="8"/>
      <c r="N95" s="8"/>
      <c r="O95" s="8"/>
      <c r="P95" s="8"/>
      <c r="Q95" s="8"/>
      <c r="R95" s="22"/>
      <c r="S95" s="22"/>
      <c r="T95" s="8"/>
    </row>
    <row r="96" spans="13:20" x14ac:dyDescent="0.25">
      <c r="M96" s="8"/>
      <c r="N96" s="8"/>
      <c r="O96" s="8"/>
      <c r="P96" s="8"/>
      <c r="Q96" s="8"/>
      <c r="R96" s="22"/>
      <c r="S96" s="22"/>
      <c r="T96" s="8"/>
    </row>
    <row r="97" spans="13:20" x14ac:dyDescent="0.25">
      <c r="M97" s="8"/>
      <c r="N97" s="8"/>
      <c r="O97" s="8"/>
      <c r="P97" s="8"/>
      <c r="Q97" s="8"/>
      <c r="R97" s="22"/>
      <c r="S97" s="22"/>
      <c r="T97" s="8"/>
    </row>
    <row r="98" spans="13:20" x14ac:dyDescent="0.25">
      <c r="M98" s="8"/>
      <c r="N98" s="8"/>
      <c r="O98" s="8"/>
      <c r="P98" s="8"/>
      <c r="Q98" s="8"/>
      <c r="R98" s="22"/>
      <c r="S98" s="22"/>
      <c r="T98" s="8"/>
    </row>
    <row r="99" spans="13:20" x14ac:dyDescent="0.25">
      <c r="M99" s="8"/>
      <c r="N99" s="8"/>
      <c r="O99" s="8"/>
      <c r="P99" s="8"/>
      <c r="Q99" s="8"/>
      <c r="R99" s="22"/>
      <c r="S99" s="22"/>
      <c r="T99" s="8"/>
    </row>
    <row r="100" spans="13:20" x14ac:dyDescent="0.25">
      <c r="M100" s="8"/>
      <c r="N100" s="8"/>
      <c r="O100" s="8"/>
      <c r="P100" s="8"/>
      <c r="Q100" s="8"/>
      <c r="R100" s="22"/>
      <c r="S100" s="22"/>
      <c r="T100" s="8"/>
    </row>
    <row r="101" spans="13:20" x14ac:dyDescent="0.25">
      <c r="M101" s="8"/>
      <c r="N101" s="8"/>
      <c r="O101" s="8"/>
      <c r="P101" s="8"/>
      <c r="Q101" s="8"/>
      <c r="R101" s="22"/>
      <c r="S101" s="22"/>
      <c r="T101" s="8"/>
    </row>
    <row r="102" spans="13:20" x14ac:dyDescent="0.25">
      <c r="M102" s="8"/>
      <c r="N102" s="8"/>
      <c r="O102" s="8"/>
      <c r="P102" s="8"/>
      <c r="Q102" s="8"/>
      <c r="R102" s="22"/>
      <c r="S102" s="22"/>
      <c r="T102" s="8"/>
    </row>
    <row r="103" spans="13:20" x14ac:dyDescent="0.25">
      <c r="M103" s="8"/>
      <c r="N103" s="8"/>
      <c r="O103" s="8"/>
      <c r="P103" s="8"/>
      <c r="Q103" s="8"/>
      <c r="R103" s="22"/>
      <c r="S103" s="22"/>
      <c r="T103" s="8"/>
    </row>
    <row r="104" spans="13:20" x14ac:dyDescent="0.25">
      <c r="M104" s="8"/>
      <c r="N104" s="8"/>
      <c r="O104" s="8"/>
      <c r="P104" s="8"/>
      <c r="Q104" s="8"/>
      <c r="R104" s="22"/>
      <c r="S104" s="22"/>
      <c r="T104" s="8"/>
    </row>
    <row r="105" spans="13:20" x14ac:dyDescent="0.25">
      <c r="M105" s="8"/>
      <c r="N105" s="8"/>
      <c r="O105" s="8"/>
      <c r="P105" s="8"/>
      <c r="Q105" s="8"/>
      <c r="R105" s="22"/>
      <c r="S105" s="22"/>
      <c r="T105" s="8"/>
    </row>
    <row r="106" spans="13:20" x14ac:dyDescent="0.25">
      <c r="M106" s="8"/>
      <c r="N106" s="8"/>
      <c r="O106" s="8"/>
      <c r="P106" s="8"/>
      <c r="Q106" s="8"/>
      <c r="R106" s="22"/>
      <c r="S106" s="22"/>
      <c r="T106" s="8"/>
    </row>
    <row r="107" spans="13:20" x14ac:dyDescent="0.25">
      <c r="M107" s="8"/>
      <c r="N107" s="8"/>
      <c r="O107" s="8"/>
      <c r="P107" s="8"/>
      <c r="Q107" s="8"/>
      <c r="R107" s="22"/>
      <c r="S107" s="22"/>
      <c r="T107" s="8"/>
    </row>
    <row r="108" spans="13:20" x14ac:dyDescent="0.25">
      <c r="M108" s="8"/>
      <c r="N108" s="8"/>
      <c r="O108" s="8"/>
      <c r="P108" s="8"/>
      <c r="Q108" s="8"/>
      <c r="R108" s="22"/>
      <c r="S108" s="22"/>
      <c r="T108" s="8"/>
    </row>
    <row r="109" spans="13:20" x14ac:dyDescent="0.25">
      <c r="M109" s="8"/>
      <c r="N109" s="8"/>
      <c r="O109" s="8"/>
      <c r="P109" s="8"/>
      <c r="Q109" s="8"/>
      <c r="R109" s="22"/>
      <c r="S109" s="22"/>
      <c r="T109" s="8"/>
    </row>
  </sheetData>
  <sheetProtection sheet="1" objects="1" scenarios="1"/>
  <dataConsolidate link="1"/>
  <mergeCells count="2">
    <mergeCell ref="B9:C9"/>
    <mergeCell ref="H27:I27"/>
  </mergeCells>
  <phoneticPr fontId="14" type="noConversion"/>
  <printOptions horizontalCentered="1"/>
  <pageMargins left="0.55118110236220474" right="0.39370078740157483" top="0.98425196850393704" bottom="0.78740157480314965" header="0.51181102362204722" footer="0.51181102362204722"/>
  <pageSetup paperSize="9" scale="73"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Orgenheter!$G$3:$G$27</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0">
    <tabColor indexed="17"/>
    <pageSetUpPr fitToPage="1"/>
  </sheetPr>
  <dimension ref="A1:AL89"/>
  <sheetViews>
    <sheetView workbookViewId="0"/>
  </sheetViews>
  <sheetFormatPr defaultColWidth="8.85546875" defaultRowHeight="15" x14ac:dyDescent="0.25"/>
  <cols>
    <col min="3" max="3" width="32.85546875" customWidth="1"/>
    <col min="4" max="4" width="14" customWidth="1"/>
    <col min="5" max="5" width="15.140625" customWidth="1"/>
    <col min="6" max="6" width="9.5703125" style="15" customWidth="1"/>
    <col min="7" max="7" width="6.5703125" style="15" customWidth="1"/>
    <col min="8" max="8" width="13.5703125" customWidth="1"/>
    <col min="9" max="11" width="10.42578125" customWidth="1"/>
    <col min="12" max="12" width="14.5703125" customWidth="1"/>
    <col min="13" max="13" width="12" customWidth="1"/>
    <col min="14" max="15" width="10.42578125" style="26" customWidth="1"/>
    <col min="16" max="17" width="14.42578125" customWidth="1"/>
    <col min="18" max="18" width="11.140625" customWidth="1"/>
    <col min="19" max="19" width="9.42578125" customWidth="1"/>
    <col min="20" max="20" width="9.5703125" customWidth="1"/>
    <col min="21" max="21" width="14.42578125" customWidth="1"/>
    <col min="22" max="22" width="13.42578125" customWidth="1"/>
    <col min="23" max="23" width="2" customWidth="1"/>
    <col min="24" max="32" width="8.85546875" customWidth="1"/>
    <col min="34" max="34" width="12.42578125" customWidth="1"/>
    <col min="35" max="35" width="22.28515625" customWidth="1"/>
    <col min="36" max="36" width="24" customWidth="1"/>
    <col min="37" max="37" width="11.5703125" customWidth="1"/>
    <col min="38" max="38" width="11.85546875" customWidth="1"/>
    <col min="39" max="39" width="5.85546875" customWidth="1"/>
    <col min="40" max="40" width="20.42578125" customWidth="1"/>
  </cols>
  <sheetData>
    <row r="1" spans="1:38" ht="18.75" x14ac:dyDescent="0.3">
      <c r="A1" s="76"/>
      <c r="B1" s="77"/>
      <c r="C1" s="77"/>
      <c r="D1" s="77"/>
      <c r="E1" s="78"/>
      <c r="F1" s="113"/>
      <c r="G1" s="113"/>
      <c r="H1" s="78"/>
      <c r="I1" s="78"/>
      <c r="J1" s="78"/>
      <c r="K1" s="78"/>
      <c r="L1" s="78"/>
      <c r="M1" s="78"/>
      <c r="N1" s="119"/>
      <c r="O1" s="119"/>
      <c r="P1" s="78"/>
      <c r="Q1" s="78"/>
      <c r="R1" s="78"/>
      <c r="S1" s="79"/>
      <c r="AG1">
        <v>1</v>
      </c>
      <c r="AH1" s="391"/>
      <c r="AI1" s="392" t="s">
        <v>4</v>
      </c>
      <c r="AJ1" s="393"/>
      <c r="AK1" s="393"/>
      <c r="AL1" s="394"/>
    </row>
    <row r="2" spans="1:38" ht="15.75" thickBot="1" x14ac:dyDescent="0.3">
      <c r="A2" s="74"/>
      <c r="B2" s="18"/>
      <c r="C2" s="18"/>
      <c r="D2" s="105" t="s">
        <v>406</v>
      </c>
      <c r="E2" s="106"/>
      <c r="F2" s="114"/>
      <c r="G2" s="115"/>
      <c r="H2" s="67" t="s">
        <v>408</v>
      </c>
      <c r="I2" s="69"/>
      <c r="J2" s="106"/>
      <c r="K2" s="106"/>
      <c r="L2" s="138" t="s">
        <v>409</v>
      </c>
      <c r="M2" s="139"/>
      <c r="N2" s="140"/>
      <c r="O2" s="141"/>
      <c r="P2" s="18"/>
      <c r="Q2" s="18"/>
      <c r="R2" s="18"/>
      <c r="S2" s="75"/>
      <c r="AG2">
        <v>2</v>
      </c>
      <c r="AH2" s="392" t="s">
        <v>60</v>
      </c>
      <c r="AI2" s="391" t="s">
        <v>447</v>
      </c>
      <c r="AJ2" s="395" t="s">
        <v>448</v>
      </c>
      <c r="AK2" s="395" t="s">
        <v>445</v>
      </c>
      <c r="AL2" s="396" t="s">
        <v>446</v>
      </c>
    </row>
    <row r="3" spans="1:38" ht="29.25" x14ac:dyDescent="0.25">
      <c r="A3" s="122" t="s">
        <v>71</v>
      </c>
      <c r="B3" s="123" t="s">
        <v>564</v>
      </c>
      <c r="C3" s="123" t="s">
        <v>35</v>
      </c>
      <c r="D3" s="124" t="s">
        <v>404</v>
      </c>
      <c r="E3" s="123" t="s">
        <v>415</v>
      </c>
      <c r="F3" s="125" t="s">
        <v>61</v>
      </c>
      <c r="G3" s="126" t="s">
        <v>62</v>
      </c>
      <c r="H3" s="124" t="s">
        <v>404</v>
      </c>
      <c r="I3" s="123" t="s">
        <v>415</v>
      </c>
      <c r="J3" s="125" t="s">
        <v>61</v>
      </c>
      <c r="K3" s="126" t="s">
        <v>62</v>
      </c>
      <c r="L3" s="124" t="s">
        <v>404</v>
      </c>
      <c r="M3" s="123" t="s">
        <v>415</v>
      </c>
      <c r="N3" s="127" t="s">
        <v>61</v>
      </c>
      <c r="O3" s="149" t="s">
        <v>62</v>
      </c>
      <c r="P3" s="71" t="s">
        <v>453</v>
      </c>
      <c r="Q3" s="71" t="s">
        <v>452</v>
      </c>
      <c r="R3" s="123" t="s">
        <v>61</v>
      </c>
      <c r="S3" s="72" t="s">
        <v>62</v>
      </c>
      <c r="T3" s="1"/>
      <c r="X3" s="1"/>
      <c r="Y3" s="1"/>
      <c r="Z3" s="1"/>
      <c r="AA3" s="1"/>
      <c r="AB3" s="1"/>
      <c r="AC3" s="1"/>
      <c r="AD3" s="1"/>
      <c r="AE3" s="1"/>
      <c r="AG3">
        <v>3</v>
      </c>
      <c r="AH3" s="391">
        <v>1620</v>
      </c>
      <c r="AI3" s="407">
        <v>1623258.314</v>
      </c>
      <c r="AJ3" s="408">
        <v>9313270.9299220014</v>
      </c>
      <c r="AK3" s="409">
        <v>286.95833000000005</v>
      </c>
      <c r="AL3" s="399">
        <v>241.76041400000003</v>
      </c>
    </row>
    <row r="4" spans="1:38" x14ac:dyDescent="0.25">
      <c r="A4" s="80" t="s">
        <v>410</v>
      </c>
      <c r="B4" s="64">
        <v>1620</v>
      </c>
      <c r="C4" s="81" t="str">
        <f>VLOOKUP(B4,Orgenheter!$A$3:$C$165,2,FALSE)</f>
        <v>Inst för språkstudier</v>
      </c>
      <c r="D4" s="301">
        <f>IF(ISERROR(VLOOKUP(B4,$AH$3:$AJ$20,2,FALSE)),"",VLOOKUP(B4,$AH$3:$AJ$20,2,FALSE))</f>
        <v>1623258.314</v>
      </c>
      <c r="E4" s="70">
        <f>IF(ISERROR(VLOOKUP(B4,$AH$3:$AJ$20,3,FALSE)),"",VLOOKUP(B4,$AH$3:$AJ$20,3,FALSE))</f>
        <v>9313270.9299220014</v>
      </c>
      <c r="F4" s="49">
        <f>IF(ISERROR(VLOOKUP(B4,$AH$3:$AM$20,4,FALSE)),"",VLOOKUP(B4,$AH$3:$AM$20,4,FALSE))</f>
        <v>286.95833000000005</v>
      </c>
      <c r="G4" s="49">
        <f>IF(ISERROR(VLOOKUP(B4,$AH$3:$AM$20,5,FALSE)),"",VLOOKUP(B4,$AH$3:$AM$20,5,FALSE))</f>
        <v>241.76041400000003</v>
      </c>
      <c r="H4" s="301">
        <f>IF(ISERROR(VLOOKUP(B4,$AH$28:$AJ$47,2,FALSE)),"",VLOOKUP(B4,$AH$28:$AJ$47,2,FALSE))</f>
        <v>143653.33333333334</v>
      </c>
      <c r="I4" s="70">
        <f>IF(ISERROR(VLOOKUP(B4,$AH$28:$AJ$47,3,FALSE)),"",VLOOKUP(B4,$AH$28:$AJ$47,3,FALSE))</f>
        <v>955282.16857500002</v>
      </c>
      <c r="J4" s="49">
        <f>IF(ISERROR(VLOOKUP(B4,$AH$28:$AM$47,4,FALSE)),"",VLOOKUP(B4,$AH$28:$AM$47,4,FALSE))</f>
        <v>22.766666666666666</v>
      </c>
      <c r="K4" s="49">
        <f>IF(ISERROR(VLOOKUP(B4,$AH$28:$AM$47,5,FALSE)),"",VLOOKUP(B4,$AH$28:$AM$47,5,FALSE))</f>
        <v>19.351666666666667</v>
      </c>
      <c r="L4" s="301">
        <f>IF(ISERROR(VLOOKUP(B4,$AH$53:$AJ$64,2,FALSE)),"",VLOOKUP(B4,$AH$53:$AJ$64,2,FALSE)*-1)</f>
        <v>-176306.66666666666</v>
      </c>
      <c r="M4" s="70">
        <f>IF(ISERROR(VLOOKUP(B4,$AH$53:$AJ$64,3,FALSE)),"",VLOOKUP(B4,$AH$53:$AJ$64,3,FALSE)*-1)</f>
        <v>-949951.1675499999</v>
      </c>
      <c r="N4" s="120">
        <f>IF(ISERROR(VLOOKUP(B4,$AH$53:$AM$64,4,FALSE)),"",VLOOKUP(B4,$AH$53:$AM$64,4,FALSE)*-1)</f>
        <v>-31.266666666666666</v>
      </c>
      <c r="O4" s="150">
        <f>IF(ISERROR(VLOOKUP(B4,$AH$53:$AM$64,5,FALSE)),"",VLOOKUP(B4,$AH$53:$AM$64,5,FALSE)*-1)</f>
        <v>-26.576666666666668</v>
      </c>
      <c r="P4" s="70">
        <f t="shared" ref="P4:S7" si="0">SUM(D4,H4,L4)</f>
        <v>1590604.9806666665</v>
      </c>
      <c r="Q4" s="70">
        <f t="shared" si="0"/>
        <v>9318601.930947002</v>
      </c>
      <c r="R4" s="49">
        <f t="shared" si="0"/>
        <v>278.45833000000005</v>
      </c>
      <c r="S4" s="128">
        <f t="shared" si="0"/>
        <v>234.53541400000006</v>
      </c>
      <c r="T4" s="34"/>
      <c r="U4" t="s">
        <v>467</v>
      </c>
      <c r="V4" t="s">
        <v>468</v>
      </c>
      <c r="AG4">
        <v>4</v>
      </c>
      <c r="AH4" s="400">
        <v>1630</v>
      </c>
      <c r="AI4" s="410">
        <v>1053403.372</v>
      </c>
      <c r="AJ4" s="34">
        <v>7657222.417394002</v>
      </c>
      <c r="AK4" s="15">
        <v>184.38334</v>
      </c>
      <c r="AL4" s="402">
        <v>156.72583900000001</v>
      </c>
    </row>
    <row r="5" spans="1:38" x14ac:dyDescent="0.25">
      <c r="A5" s="74"/>
      <c r="B5" s="18">
        <v>1630</v>
      </c>
      <c r="C5" s="81" t="str">
        <f>VLOOKUP(B5,Orgenheter!$A$3:$C$165,2,FALSE)</f>
        <v>Inst för ide- o samhällsstudier</v>
      </c>
      <c r="D5" s="301">
        <f>IF(ISERROR(VLOOKUP(B5,$AH$3:$AJ$20,2,FALSE)),"",VLOOKUP(B5,$AH$3:$AJ$20,2,FALSE))</f>
        <v>1053403.372</v>
      </c>
      <c r="E5" s="70">
        <f>IF(ISERROR(VLOOKUP(B5,$AH$3:$AJ$20,3,FALSE)),"",VLOOKUP(B5,$AH$3:$AJ$20,3,FALSE))</f>
        <v>7657222.417394002</v>
      </c>
      <c r="F5" s="49">
        <f>IF(ISERROR(VLOOKUP(B5,$AH$3:$AM$20,4,FALSE)),"",VLOOKUP(B5,$AH$3:$AM$20,4,FALSE))</f>
        <v>184.38334</v>
      </c>
      <c r="G5" s="49">
        <f>IF(ISERROR(VLOOKUP(B5,$AH$3:$AM$20,5,FALSE)),"",VLOOKUP(B5,$AH$3:$AM$20,5,FALSE))</f>
        <v>156.72583900000001</v>
      </c>
      <c r="H5" s="301" t="str">
        <f>IF(ISERROR(VLOOKUP(B5,$AH$28:$AJ$47,2,FALSE)),"",VLOOKUP(B5,$AH$28:$AJ$47,2,FALSE))</f>
        <v/>
      </c>
      <c r="I5" s="70" t="str">
        <f>IF(ISERROR(VLOOKUP(B5,$AH$28:$AJ$47,3,FALSE)),"",VLOOKUP(B5,$AH$28:$AJ$47,3,FALSE))</f>
        <v/>
      </c>
      <c r="J5" s="49" t="str">
        <f>IF(ISERROR(VLOOKUP(B5,$AH$28:$AM$47,4,FALSE)),"",VLOOKUP(B5,$AH$28:$AM$47,4,FALSE))</f>
        <v/>
      </c>
      <c r="K5" s="49" t="str">
        <f>IF(ISERROR(VLOOKUP(B5,$AH$28:$AM$47,5,FALSE)),"",VLOOKUP(B5,$AH$28:$AM$47,5,FALSE))</f>
        <v/>
      </c>
      <c r="L5" s="301">
        <f>IF(ISERROR(VLOOKUP(B5,$AH$53:$AJ$64,2,FALSE)),"",VLOOKUP(B5,$AH$53:$AJ$64,2,FALSE)*-1)</f>
        <v>-280236.68599999999</v>
      </c>
      <c r="M5" s="70">
        <f>IF(ISERROR(VLOOKUP(B5,$AH$53:$AJ$64,3,FALSE)),"",VLOOKUP(B5,$AH$53:$AJ$64,3,FALSE)*-1)</f>
        <v>-2045560.5365882097</v>
      </c>
      <c r="N5" s="120">
        <f>IF(ISERROR(VLOOKUP(B5,$AH$53:$AM$64,4,FALSE)),"",VLOOKUP(B5,$AH$53:$AM$64,4,FALSE)*-1)</f>
        <v>-48.316670000000002</v>
      </c>
      <c r="O5" s="150">
        <f>IF(ISERROR(VLOOKUP(B5,$AH$53:$AM$64,5,FALSE)),"",VLOOKUP(B5,$AH$53:$AM$64,5,FALSE)*-1)</f>
        <v>-41.069169500000001</v>
      </c>
      <c r="P5" s="70">
        <f t="shared" si="0"/>
        <v>773166.68599999999</v>
      </c>
      <c r="Q5" s="70">
        <f t="shared" si="0"/>
        <v>5611661.8808057923</v>
      </c>
      <c r="R5" s="49">
        <f t="shared" si="0"/>
        <v>136.06666999999999</v>
      </c>
      <c r="S5" s="128">
        <f t="shared" si="0"/>
        <v>115.65666950000001</v>
      </c>
      <c r="T5" s="34"/>
      <c r="U5" s="597" t="s">
        <v>811</v>
      </c>
      <c r="V5" s="597"/>
      <c r="W5" s="597"/>
      <c r="AG5">
        <v>5</v>
      </c>
      <c r="AH5" s="400">
        <v>1650</v>
      </c>
      <c r="AI5" s="410">
        <v>6526840</v>
      </c>
      <c r="AJ5" s="34">
        <v>11532877.934999997</v>
      </c>
      <c r="AK5" s="15">
        <v>198.97500000000002</v>
      </c>
      <c r="AL5" s="402">
        <v>163.7225</v>
      </c>
    </row>
    <row r="6" spans="1:38" x14ac:dyDescent="0.25">
      <c r="A6" s="74"/>
      <c r="B6" s="18">
        <v>1640</v>
      </c>
      <c r="C6" s="81" t="str">
        <f>VLOOKUP(B6,Orgenheter!$A$3:$C$165,2,FALSE)</f>
        <v>Inst för kultur- o medievetenskap</v>
      </c>
      <c r="D6" s="301" t="str">
        <f>IF(ISERROR(VLOOKUP(B6,$AH$3:$AJ$20,2,FALSE)),"",VLOOKUP(B6,$AH$3:$AJ$20,2,FALSE))</f>
        <v/>
      </c>
      <c r="E6" s="70" t="str">
        <f>IF(ISERROR(VLOOKUP(B6,$AH$3:$AJ$20,3,FALSE)),"",VLOOKUP(B6,$AH$3:$AJ$20,3,FALSE))</f>
        <v/>
      </c>
      <c r="F6" s="49" t="str">
        <f>IF(ISERROR(VLOOKUP(B6,$AH$3:$AM$20,4,FALSE)),"",VLOOKUP(B6,$AH$3:$AM$20,4,FALSE))</f>
        <v/>
      </c>
      <c r="G6" s="49" t="str">
        <f>IF(ISERROR(VLOOKUP(B6,$AH$3:$AM$20,5,FALSE)),"",VLOOKUP(B6,$AH$3:$AM$20,5,FALSE))</f>
        <v/>
      </c>
      <c r="H6" s="301">
        <f>IF(ISERROR(VLOOKUP(B6,$AH$28:$AJ$47,2,FALSE)),"",VLOOKUP(B6,$AH$28:$AJ$47,2,FALSE))</f>
        <v>252686.68599999999</v>
      </c>
      <c r="I6" s="70">
        <f>IF(ISERROR(VLOOKUP(B6,$AH$28:$AJ$47,3,FALSE)),"",VLOOKUP(B6,$AH$28:$AJ$47,3,FALSE))</f>
        <v>1649900.4879632099</v>
      </c>
      <c r="J6" s="49">
        <f>IF(ISERROR(VLOOKUP(B6,$AH$28:$AM$47,4,FALSE)),"",VLOOKUP(B6,$AH$28:$AM$47,4,FALSE))</f>
        <v>43.566670000000002</v>
      </c>
      <c r="K6" s="49">
        <f>IF(ISERROR(VLOOKUP(B6,$AH$28:$AM$47,5,FALSE)),"",VLOOKUP(B6,$AH$28:$AM$47,5,FALSE))</f>
        <v>37.031669500000007</v>
      </c>
      <c r="L6" s="301" t="str">
        <f>IF(ISERROR(VLOOKUP(B6,$AH$53:$AJ$64,2,FALSE)),"",VLOOKUP(B6,$AH$53:$AJ$64,2,FALSE)*-1)</f>
        <v/>
      </c>
      <c r="M6" s="70" t="str">
        <f>IF(ISERROR(VLOOKUP(B6,$AH$53:$AJ$64,3,FALSE)),"",VLOOKUP(B6,$AH$53:$AJ$64,3,FALSE)*-1)</f>
        <v/>
      </c>
      <c r="N6" s="120" t="str">
        <f>IF(ISERROR(VLOOKUP(B6,$AH$53:$AM$64,4,FALSE)),"",VLOOKUP(B6,$AH$53:$AM$64,4,FALSE)*-1)</f>
        <v/>
      </c>
      <c r="O6" s="150" t="str">
        <f>IF(ISERROR(VLOOKUP(B6,$AH$53:$AM$64,5,FALSE)),"",VLOOKUP(B6,$AH$53:$AM$64,5,FALSE)*-1)</f>
        <v/>
      </c>
      <c r="P6" s="70">
        <f t="shared" si="0"/>
        <v>252686.68599999999</v>
      </c>
      <c r="Q6" s="70">
        <f t="shared" si="0"/>
        <v>1649900.4879632099</v>
      </c>
      <c r="R6" s="49">
        <f t="shared" si="0"/>
        <v>43.566670000000002</v>
      </c>
      <c r="S6" s="128">
        <f t="shared" si="0"/>
        <v>37.031669500000007</v>
      </c>
      <c r="T6" s="34"/>
      <c r="U6" s="180"/>
      <c r="V6" s="180"/>
      <c r="W6" s="180"/>
      <c r="AG6">
        <v>6</v>
      </c>
      <c r="AH6" s="400">
        <v>2180</v>
      </c>
      <c r="AI6" s="410">
        <v>2870593.2673333329</v>
      </c>
      <c r="AJ6" s="34">
        <v>13551026.500035668</v>
      </c>
      <c r="AK6" s="15">
        <v>300.7083233333334</v>
      </c>
      <c r="AL6" s="402">
        <v>254.20207483333334</v>
      </c>
    </row>
    <row r="7" spans="1:38" x14ac:dyDescent="0.25">
      <c r="A7" s="74"/>
      <c r="B7" s="159">
        <v>1650</v>
      </c>
      <c r="C7" s="81" t="str">
        <f>VLOOKUP(B7,Orgenheter!$A$3:$C$165,2,FALSE)</f>
        <v xml:space="preserve">Estetiska ämnen               </v>
      </c>
      <c r="D7" s="301">
        <f>IF(ISERROR(VLOOKUP(B7,$AH$3:$AJ$20,2,FALSE)),"",VLOOKUP(B7,$AH$3:$AJ$20,2,FALSE))</f>
        <v>6526840</v>
      </c>
      <c r="E7" s="70">
        <f>IF(ISERROR(VLOOKUP(B7,$AH$3:$AJ$20,3,FALSE)),"",VLOOKUP(B7,$AH$3:$AJ$20,3,FALSE))</f>
        <v>11532877.934999997</v>
      </c>
      <c r="F7" s="49">
        <f>IF(ISERROR(VLOOKUP(B7,$AH$3:$AM$20,4,FALSE)),"",VLOOKUP(B7,$AH$3:$AM$20,4,FALSE))</f>
        <v>198.97500000000002</v>
      </c>
      <c r="G7" s="49">
        <f>IF(ISERROR(VLOOKUP(B7,$AH$3:$AM$20,5,FALSE)),"",VLOOKUP(B7,$AH$3:$AM$20,5,FALSE))</f>
        <v>163.7225</v>
      </c>
      <c r="H7" s="301">
        <f>IF(ISERROR(VLOOKUP(B7,$AH$28:$AJ$47,2,FALSE)),"",VLOOKUP(B7,$AH$28:$AJ$47,2,FALSE))</f>
        <v>29984.999999999996</v>
      </c>
      <c r="I7" s="70">
        <f>IF(ISERROR(VLOOKUP(B7,$AH$28:$AJ$47,3,FALSE)),"",VLOOKUP(B7,$AH$28:$AJ$47,3,FALSE))</f>
        <v>225427.85219999996</v>
      </c>
      <c r="J7" s="49">
        <f>IF(ISERROR(VLOOKUP(B7,$AH$28:$AM$47,4,FALSE)),"",VLOOKUP(B7,$AH$28:$AM$47,4,FALSE))</f>
        <v>5.5249999999999995</v>
      </c>
      <c r="K7" s="49">
        <f>IF(ISERROR(VLOOKUP(B7,$AH$28:$AM$47,5,FALSE)),"",VLOOKUP(B7,$AH$28:$AM$47,5,FALSE))</f>
        <v>4.69625</v>
      </c>
      <c r="L7" s="301">
        <f>IF(ISERROR(VLOOKUP(B7,$AH$53:$AJ$64,2,FALSE)),"",VLOOKUP(B7,$AH$53:$AJ$64,2,FALSE)*-1)</f>
        <v>-142725</v>
      </c>
      <c r="M7" s="70">
        <f>IF(ISERROR(VLOOKUP(B7,$AH$53:$AJ$64,3,FALSE)),"",VLOOKUP(B7,$AH$53:$AJ$64,3,FALSE)*-1)</f>
        <v>-297179.70974999998</v>
      </c>
      <c r="N7" s="120">
        <f>IF(ISERROR(VLOOKUP(B7,$AH$53:$AM$64,4,FALSE)),"",VLOOKUP(B7,$AH$53:$AM$64,4,FALSE)*-1)</f>
        <v>-8.25</v>
      </c>
      <c r="O7" s="150">
        <f>IF(ISERROR(VLOOKUP(B7,$AH$53:$AM$64,5,FALSE)),"",VLOOKUP(B7,$AH$53:$AM$64,5,FALSE)*-1)</f>
        <v>-7.0125000000000002</v>
      </c>
      <c r="P7" s="70">
        <f t="shared" si="0"/>
        <v>6414100</v>
      </c>
      <c r="Q7" s="70">
        <f t="shared" si="0"/>
        <v>11461126.077449996</v>
      </c>
      <c r="R7" s="49">
        <f t="shared" si="0"/>
        <v>196.25000000000003</v>
      </c>
      <c r="S7" s="128">
        <f t="shared" si="0"/>
        <v>161.40625</v>
      </c>
      <c r="T7" s="180" t="s">
        <v>812</v>
      </c>
      <c r="U7" s="180">
        <f>'kurser alla'!AR487+'kurser alla'!AZ487</f>
        <v>-712212.5</v>
      </c>
      <c r="V7" s="180">
        <f>'kurser alla'!AR486+'kurser alla'!AS486+'kurser alla'!AZ486+'kurser alla'!BA486</f>
        <v>-451218.78749999992</v>
      </c>
      <c r="W7" s="180"/>
      <c r="AA7" s="64"/>
      <c r="AG7">
        <v>7</v>
      </c>
      <c r="AH7" s="400">
        <v>2193</v>
      </c>
      <c r="AI7" s="410">
        <v>2395753.372</v>
      </c>
      <c r="AJ7" s="34">
        <v>16494656.3656938</v>
      </c>
      <c r="AK7" s="15">
        <v>429.93333999999999</v>
      </c>
      <c r="AL7" s="402">
        <v>360.82583900000009</v>
      </c>
    </row>
    <row r="8" spans="1:38" ht="15.75" thickBot="1" x14ac:dyDescent="0.3">
      <c r="A8" s="98"/>
      <c r="B8" s="82"/>
      <c r="C8" s="82"/>
      <c r="D8" s="188"/>
      <c r="E8" s="70"/>
      <c r="F8" s="49"/>
      <c r="G8" s="189"/>
      <c r="H8" s="107"/>
      <c r="I8" s="108"/>
      <c r="J8" s="108"/>
      <c r="K8" s="109"/>
      <c r="L8" s="107"/>
      <c r="M8" s="108"/>
      <c r="N8" s="129"/>
      <c r="O8" s="151"/>
      <c r="P8" s="108"/>
      <c r="Q8" s="108"/>
      <c r="R8" s="108"/>
      <c r="S8" s="130"/>
      <c r="AA8" s="18"/>
      <c r="AG8">
        <v>8</v>
      </c>
      <c r="AH8" s="400">
        <v>2271</v>
      </c>
      <c r="AI8" s="410">
        <v>21750</v>
      </c>
      <c r="AJ8" s="34">
        <v>119295.1875</v>
      </c>
      <c r="AK8" s="15">
        <v>3.75</v>
      </c>
      <c r="AL8" s="402">
        <v>3.1875</v>
      </c>
    </row>
    <row r="9" spans="1:38" ht="15.75" thickBot="1" x14ac:dyDescent="0.3">
      <c r="A9" s="35" t="s">
        <v>36</v>
      </c>
      <c r="B9" s="91"/>
      <c r="C9" s="305"/>
      <c r="D9" s="131">
        <f>SUM(D4:D7)</f>
        <v>9203501.6860000007</v>
      </c>
      <c r="E9" s="132">
        <f>SUM(E4:E7)</f>
        <v>28503371.282315999</v>
      </c>
      <c r="F9" s="133">
        <f>SUM(F4:F7)</f>
        <v>670.31667000000004</v>
      </c>
      <c r="G9" s="133">
        <f>SUM(G4:G7)</f>
        <v>562.208753</v>
      </c>
      <c r="H9" s="132">
        <f>SUM(H4:H7)</f>
        <v>426325.01933333336</v>
      </c>
      <c r="I9" s="132">
        <f t="shared" ref="I9:Q9" si="1">SUM(I4:I7)</f>
        <v>2830610.50873821</v>
      </c>
      <c r="J9" s="134">
        <f>SUM(J4:J7)</f>
        <v>71.858336666666673</v>
      </c>
      <c r="K9" s="134">
        <f>SUM(K4:K7)</f>
        <v>61.079586166666672</v>
      </c>
      <c r="L9" s="132">
        <f t="shared" si="1"/>
        <v>-599268.35266666661</v>
      </c>
      <c r="M9" s="132">
        <f t="shared" si="1"/>
        <v>-3292691.4138882095</v>
      </c>
      <c r="N9" s="133">
        <f t="shared" si="1"/>
        <v>-87.833336666666668</v>
      </c>
      <c r="O9" s="304">
        <f t="shared" si="1"/>
        <v>-74.658336166666672</v>
      </c>
      <c r="P9" s="302">
        <f t="shared" si="1"/>
        <v>9030558.3526666667</v>
      </c>
      <c r="Q9" s="143">
        <f t="shared" si="1"/>
        <v>28041290.377165999</v>
      </c>
      <c r="R9" s="144">
        <f>SUM(R4:R7)</f>
        <v>654.34167000000002</v>
      </c>
      <c r="S9" s="145">
        <f>SUM(S4:S7)</f>
        <v>548.6300030000001</v>
      </c>
      <c r="U9" s="504"/>
      <c r="AA9" s="18"/>
      <c r="AG9">
        <v>9</v>
      </c>
      <c r="AH9" s="400">
        <v>2340</v>
      </c>
      <c r="AI9" s="410">
        <v>348725</v>
      </c>
      <c r="AJ9" s="34">
        <v>2052293</v>
      </c>
      <c r="AK9" s="15">
        <v>60.125</v>
      </c>
      <c r="AL9" s="402">
        <v>51.04999999999999</v>
      </c>
    </row>
    <row r="10" spans="1:38" x14ac:dyDescent="0.25">
      <c r="A10" s="74"/>
      <c r="B10" s="18"/>
      <c r="C10" s="18"/>
      <c r="D10" s="188"/>
      <c r="E10" s="70"/>
      <c r="F10" s="49"/>
      <c r="G10" s="189"/>
      <c r="H10" s="110"/>
      <c r="I10" s="111"/>
      <c r="J10" s="111"/>
      <c r="K10" s="112"/>
      <c r="L10" s="188"/>
      <c r="M10" s="70"/>
      <c r="N10" s="120"/>
      <c r="O10" s="150"/>
      <c r="P10" s="111"/>
      <c r="Q10" s="111"/>
      <c r="R10" s="111"/>
      <c r="S10" s="146"/>
      <c r="AA10" s="159"/>
      <c r="AG10">
        <v>10</v>
      </c>
      <c r="AH10" s="400">
        <v>2500</v>
      </c>
      <c r="AI10" s="410">
        <v>49625</v>
      </c>
      <c r="AJ10" s="34">
        <v>197266.70937500001</v>
      </c>
      <c r="AK10" s="15">
        <v>5.625</v>
      </c>
      <c r="AL10" s="402">
        <v>4.78125</v>
      </c>
    </row>
    <row r="11" spans="1:38" ht="29.25" x14ac:dyDescent="0.25">
      <c r="A11" s="183" t="s">
        <v>71</v>
      </c>
      <c r="B11" s="184" t="s">
        <v>564</v>
      </c>
      <c r="C11" s="185" t="s">
        <v>35</v>
      </c>
      <c r="D11" s="190" t="s">
        <v>404</v>
      </c>
      <c r="E11" s="27" t="s">
        <v>415</v>
      </c>
      <c r="F11" s="116" t="s">
        <v>61</v>
      </c>
      <c r="G11" s="191" t="s">
        <v>62</v>
      </c>
      <c r="H11" s="190" t="s">
        <v>404</v>
      </c>
      <c r="I11" s="27" t="s">
        <v>415</v>
      </c>
      <c r="J11" s="116" t="s">
        <v>61</v>
      </c>
      <c r="K11" s="191" t="s">
        <v>62</v>
      </c>
      <c r="L11" s="190" t="s">
        <v>404</v>
      </c>
      <c r="M11" s="27" t="s">
        <v>415</v>
      </c>
      <c r="N11" s="121" t="s">
        <v>61</v>
      </c>
      <c r="O11" s="152" t="s">
        <v>62</v>
      </c>
      <c r="P11" s="118" t="s">
        <v>453</v>
      </c>
      <c r="Q11" s="118" t="s">
        <v>452</v>
      </c>
      <c r="R11" s="27" t="s">
        <v>61</v>
      </c>
      <c r="S11" s="73" t="s">
        <v>62</v>
      </c>
      <c r="AG11">
        <v>11</v>
      </c>
      <c r="AH11" s="400">
        <v>2750</v>
      </c>
      <c r="AI11" s="410">
        <v>922425</v>
      </c>
      <c r="AJ11" s="34">
        <v>2110758.5687500001</v>
      </c>
      <c r="AK11" s="15">
        <v>46.625</v>
      </c>
      <c r="AL11" s="402">
        <v>37.318750000000001</v>
      </c>
    </row>
    <row r="12" spans="1:38" x14ac:dyDescent="0.25">
      <c r="A12" s="80" t="s">
        <v>411</v>
      </c>
      <c r="B12" s="18">
        <v>2180</v>
      </c>
      <c r="C12" s="81" t="str">
        <f>VLOOKUP(B12,Orgenheter!$A$3:$C$165,2,FALSE)</f>
        <v xml:space="preserve">Pedagogik                     </v>
      </c>
      <c r="D12" s="301">
        <f>IF(ISERROR(VLOOKUP(B12,$AH$3:$AJ$20,2,FALSE)),"",VLOOKUP(B12,$AH$3:$AJ$20,2,FALSE))</f>
        <v>2870593.2673333329</v>
      </c>
      <c r="E12" s="70">
        <f>IF(ISERROR(VLOOKUP(B12,$AH$3:$AJ$20,3,FALSE)),"",VLOOKUP(B12,$AH$3:$AJ$20,3,FALSE))</f>
        <v>13551026.500035668</v>
      </c>
      <c r="F12" s="49">
        <f>IF(ISERROR(VLOOKUP(B12,$AH$3:$AM$20,4,FALSE)),"",VLOOKUP(B12,$AH$3:$AM$20,4,FALSE))</f>
        <v>300.7083233333334</v>
      </c>
      <c r="G12" s="49">
        <f>IF(ISERROR(VLOOKUP(B12,$AH$3:$AM$20,5,FALSE)),"",VLOOKUP(B12,$AH$3:$AM$20,5,FALSE))</f>
        <v>254.20207483333334</v>
      </c>
      <c r="H12" s="301">
        <f>IF(ISERROR(VLOOKUP(B12,$AH$28:$AJ$47,2,FALSE)),"",VLOOKUP(B12,$AH$28:$AJ$47,2,FALSE))</f>
        <v>428337.48752121208</v>
      </c>
      <c r="I12" s="70">
        <f>IF(ISERROR(VLOOKUP(B12,$AH$28:$AJ$47,3,FALSE)),"",VLOOKUP(B12,$AH$28:$AJ$47,3,FALSE))</f>
        <v>2648411.9913527649</v>
      </c>
      <c r="J12" s="49">
        <f>IF(ISERROR(VLOOKUP(B12,$AH$28:$AM$47,4,FALSE)),"",VLOOKUP(B12,$AH$28:$AM$47,4,FALSE))</f>
        <v>66.499997848484853</v>
      </c>
      <c r="K12" s="49">
        <f>IF(ISERROR(VLOOKUP(B12,$AH$28:$AM$47,5,FALSE)),"",VLOOKUP(B12,$AH$28:$AM$47,5,FALSE))</f>
        <v>56.452498221212124</v>
      </c>
      <c r="L12" s="301">
        <f>IF(ISERROR(VLOOKUP(B12,$AH$53:$AJ$64,2,FALSE)),"",VLOOKUP(B12,$AH$53:$AJ$64,2,FALSE)*-1)</f>
        <v>-776767.46616666671</v>
      </c>
      <c r="M12" s="70">
        <f>IF(ISERROR(VLOOKUP(B12,$AH$53:$AJ$64,3,FALSE)),"",VLOOKUP(B12,$AH$53:$AJ$64,3,FALSE)*-1)</f>
        <v>-3641473.0281143822</v>
      </c>
      <c r="N12" s="120">
        <f>IF(ISERROR(VLOOKUP(B12,$AH$53:$AM$64,4,FALSE)),"",VLOOKUP(B12,$AH$53:$AM$64,4,FALSE)*-1)</f>
        <v>-82.19166083333333</v>
      </c>
      <c r="O12" s="150">
        <f>IF(ISERROR(VLOOKUP(B12,$AH$53:$AM$64,5,FALSE)),"",VLOOKUP(B12,$AH$53:$AM$64,5,FALSE)*-1)</f>
        <v>-69.767703374999996</v>
      </c>
      <c r="P12" s="70">
        <f>SUM(D12,H12,L12)</f>
        <v>2522163.2886878783</v>
      </c>
      <c r="Q12" s="70">
        <f t="shared" ref="Q12:S22" si="2">SUM(E12,I12,M12)</f>
        <v>12557965.463274051</v>
      </c>
      <c r="R12" s="49">
        <f t="shared" si="2"/>
        <v>285.01666034848489</v>
      </c>
      <c r="S12" s="128">
        <f t="shared" si="2"/>
        <v>240.8868696795455</v>
      </c>
      <c r="T12" s="34"/>
      <c r="AA12" s="18"/>
      <c r="AB12" s="18"/>
      <c r="AG12">
        <v>12</v>
      </c>
      <c r="AH12" s="400">
        <v>5100</v>
      </c>
      <c r="AI12" s="410">
        <v>305200</v>
      </c>
      <c r="AJ12" s="34">
        <v>686595.86249999981</v>
      </c>
      <c r="AK12" s="15">
        <v>14</v>
      </c>
      <c r="AL12" s="402">
        <v>11.893749999999997</v>
      </c>
    </row>
    <row r="13" spans="1:38" x14ac:dyDescent="0.25">
      <c r="A13" s="74"/>
      <c r="B13" s="18">
        <v>2193</v>
      </c>
      <c r="C13" s="81" t="str">
        <f>VLOOKUP(B13,Orgenheter!$A$3:$C$165,2,FALSE)</f>
        <v xml:space="preserve">TUV </v>
      </c>
      <c r="D13" s="301">
        <f>IF(ISERROR(VLOOKUP(B13,$AH$3:$AJ$20,2,FALSE)),"",VLOOKUP(B13,$AH$3:$AJ$20,2,FALSE))</f>
        <v>2395753.372</v>
      </c>
      <c r="E13" s="70">
        <f>IF(ISERROR(VLOOKUP(B13,$AH$3:$AJ$20,3,FALSE)),"",VLOOKUP(B13,$AH$3:$AJ$20,3,FALSE))</f>
        <v>16494656.3656938</v>
      </c>
      <c r="F13" s="49">
        <f>IF(ISERROR(VLOOKUP(B13,$AH$3:$AM$20,4,FALSE)),"",VLOOKUP(B13,$AH$3:$AM$20,4,FALSE))</f>
        <v>429.93333999999999</v>
      </c>
      <c r="G13" s="49">
        <f>IF(ISERROR(VLOOKUP(B13,$AH$3:$AM$20,5,FALSE)),"",VLOOKUP(B13,$AH$3:$AM$20,5,FALSE))</f>
        <v>360.82583900000009</v>
      </c>
      <c r="H13" s="301">
        <f t="shared" ref="H13:H22" si="3">IF(ISERROR(VLOOKUP(B13,$AH$28:$AJ$47,2,FALSE)),"",VLOOKUP(B13,$AH$28:$AJ$47,2,FALSE))</f>
        <v>429418.15998787881</v>
      </c>
      <c r="I13" s="70">
        <f t="shared" ref="I13:I22" si="4">IF(ISERROR(VLOOKUP(B13,$AH$28:$AJ$47,3,FALSE)),"",VLOOKUP(B13,$AH$28:$AJ$47,3,FALSE))</f>
        <v>2197425.605157027</v>
      </c>
      <c r="J13" s="49">
        <f t="shared" ref="J13:J22" si="5">IF(ISERROR(VLOOKUP(B13,$AH$28:$AM$47,4,FALSE)),"",VLOOKUP(B13,$AH$28:$AM$47,4,FALSE))</f>
        <v>52.829998848484848</v>
      </c>
      <c r="K13" s="49">
        <f t="shared" ref="K13:K22" si="6">IF(ISERROR(VLOOKUP(B13,$AH$28:$AM$47,5,FALSE)),"",VLOOKUP(B13,$AH$28:$AM$47,5,FALSE))</f>
        <v>44.892165687878787</v>
      </c>
      <c r="L13" s="301">
        <f>IF(ISERROR(VLOOKUP(B13,$AH$53:$AJ$64,2,FALSE)),"",VLOOKUP(B13,$AH$53:$AJ$64,2,FALSE)*-1)</f>
        <v>-296234.96520000004</v>
      </c>
      <c r="M13" s="70">
        <f>IF(ISERROR(VLOOKUP(B13,$AH$53:$AJ$64,3,FALSE)),"",VLOOKUP(B13,$AH$53:$AJ$64,3,FALSE)*-1)</f>
        <v>-2003771.7941543919</v>
      </c>
      <c r="N13" s="120">
        <f>IF(ISERROR(VLOOKUP(B13,$AH$53:$AM$64,4,FALSE)),"",VLOOKUP(B13,$AH$53:$AM$64,4,FALSE)*-1)</f>
        <v>-51.07499399999999</v>
      </c>
      <c r="O13" s="150">
        <f>IF(ISERROR(VLOOKUP(B13,$AH$53:$AM$64,5,FALSE)),"",VLOOKUP(B13,$AH$53:$AM$64,5,FALSE)*-1)</f>
        <v>-43.172078400000004</v>
      </c>
      <c r="P13" s="70">
        <f>SUM(D13,H13,L13)</f>
        <v>2528936.566787879</v>
      </c>
      <c r="Q13" s="70">
        <f t="shared" si="2"/>
        <v>16688310.176696433</v>
      </c>
      <c r="R13" s="49">
        <f t="shared" si="2"/>
        <v>431.68834484848486</v>
      </c>
      <c r="S13" s="128">
        <f t="shared" si="2"/>
        <v>362.54592628787884</v>
      </c>
      <c r="T13" s="34"/>
      <c r="AA13" s="18"/>
      <c r="AB13" s="18"/>
      <c r="AG13">
        <v>13</v>
      </c>
      <c r="AH13" s="400">
        <v>5160</v>
      </c>
      <c r="AI13" s="410">
        <v>49050</v>
      </c>
      <c r="AJ13" s="34">
        <v>110380.72499999999</v>
      </c>
      <c r="AK13" s="15">
        <v>2.25</v>
      </c>
      <c r="AL13" s="402">
        <v>1.9124999999999999</v>
      </c>
    </row>
    <row r="14" spans="1:38" x14ac:dyDescent="0.25">
      <c r="A14" s="74"/>
      <c r="B14" s="18">
        <v>2200</v>
      </c>
      <c r="C14" s="81" t="str">
        <f>VLOOKUP(B14,Orgenheter!$A$3:$C$165,2,FALSE)</f>
        <v xml:space="preserve">Inst för psykologi            </v>
      </c>
      <c r="D14" s="301" t="str">
        <f t="shared" ref="D14:D22" si="7">IF(ISERROR(VLOOKUP(B14,$AH$3:$AJ$20,2,FALSE)),"",VLOOKUP(B14,$AH$3:$AJ$20,2,FALSE))</f>
        <v/>
      </c>
      <c r="E14" s="70" t="str">
        <f t="shared" ref="E14:E22" si="8">IF(ISERROR(VLOOKUP(B14,$AH$3:$AJ$20,3,FALSE)),"",VLOOKUP(B14,$AH$3:$AJ$20,3,FALSE))</f>
        <v/>
      </c>
      <c r="F14" s="49" t="str">
        <f t="shared" ref="F14:F22" si="9">IF(ISERROR(VLOOKUP(B14,$AH$3:$AM$20,4,FALSE)),"",VLOOKUP(B14,$AH$3:$AM$20,4,FALSE))</f>
        <v/>
      </c>
      <c r="G14" s="49" t="str">
        <f t="shared" ref="G14:G22" si="10">IF(ISERROR(VLOOKUP(B14,$AH$3:$AM$20,5,FALSE)),"",VLOOKUP(B14,$AH$3:$AM$20,5,FALSE))</f>
        <v/>
      </c>
      <c r="H14" s="301">
        <f t="shared" si="3"/>
        <v>243454.98646666668</v>
      </c>
      <c r="I14" s="70">
        <f t="shared" si="4"/>
        <v>1692065.4375845031</v>
      </c>
      <c r="J14" s="49">
        <f t="shared" si="5"/>
        <v>41.974997666666667</v>
      </c>
      <c r="K14" s="49">
        <f t="shared" si="6"/>
        <v>35.659789683333337</v>
      </c>
      <c r="L14" s="301" t="str">
        <f t="shared" ref="L14:L22" si="11">IF(ISERROR(VLOOKUP(B14,$AH$53:$AJ$64,2,FALSE)),"",VLOOKUP(B14,$AH$53:$AJ$64,2,FALSE)*-1)</f>
        <v/>
      </c>
      <c r="M14" s="70" t="str">
        <f t="shared" ref="M14:M22" si="12">IF(ISERROR(VLOOKUP(B14,$AH$53:$AJ$64,3,FALSE)),"",VLOOKUP(B14,$AH$53:$AJ$64,3,FALSE)*-1)</f>
        <v/>
      </c>
      <c r="N14" s="120" t="str">
        <f t="shared" ref="N14:N22" si="13">IF(ISERROR(VLOOKUP(B14,$AH$53:$AM$64,4,FALSE)),"",VLOOKUP(B14,$AH$53:$AM$64,4,FALSE)*-1)</f>
        <v/>
      </c>
      <c r="O14" s="150" t="str">
        <f t="shared" ref="O14:O22" si="14">IF(ISERROR(VLOOKUP(B14,$AH$53:$AM$64,5,FALSE)),"",VLOOKUP(B14,$AH$53:$AM$64,5,FALSE)*-1)</f>
        <v/>
      </c>
      <c r="P14" s="70">
        <f>SUM(D14,H14,L14)</f>
        <v>243454.98646666668</v>
      </c>
      <c r="Q14" s="70">
        <f>SUM(E14,I14,M14)</f>
        <v>1692065.4375845031</v>
      </c>
      <c r="R14" s="49">
        <f t="shared" si="2"/>
        <v>41.974997666666667</v>
      </c>
      <c r="S14" s="128">
        <f t="shared" si="2"/>
        <v>35.659789683333337</v>
      </c>
      <c r="T14" s="34"/>
      <c r="AA14" s="18"/>
      <c r="AB14" s="18"/>
      <c r="AG14">
        <v>14</v>
      </c>
      <c r="AH14" s="400">
        <v>5400</v>
      </c>
      <c r="AI14" s="410">
        <v>147695</v>
      </c>
      <c r="AJ14" s="34">
        <v>327582.80250000005</v>
      </c>
      <c r="AK14" s="15">
        <v>6.7750000000000004</v>
      </c>
      <c r="AL14" s="402">
        <v>5.6212499999999999</v>
      </c>
    </row>
    <row r="15" spans="1:38" x14ac:dyDescent="0.25">
      <c r="A15" s="74"/>
      <c r="B15" s="159">
        <v>2220</v>
      </c>
      <c r="C15" s="81" t="str">
        <f>VLOOKUP(B15,Orgenheter!$A$3:$C$165,2,FALSE)</f>
        <v xml:space="preserve">Sociologi                     </v>
      </c>
      <c r="D15" s="301" t="str">
        <f t="shared" si="7"/>
        <v/>
      </c>
      <c r="E15" s="70" t="str">
        <f t="shared" si="8"/>
        <v/>
      </c>
      <c r="F15" s="49" t="str">
        <f t="shared" si="9"/>
        <v/>
      </c>
      <c r="G15" s="49" t="str">
        <f t="shared" si="10"/>
        <v/>
      </c>
      <c r="H15" s="301">
        <f t="shared" si="3"/>
        <v>20880</v>
      </c>
      <c r="I15" s="70">
        <f t="shared" si="4"/>
        <v>106506.74340000001</v>
      </c>
      <c r="J15" s="49">
        <f t="shared" si="5"/>
        <v>3.6</v>
      </c>
      <c r="K15" s="49">
        <f t="shared" si="6"/>
        <v>3.06</v>
      </c>
      <c r="L15" s="301" t="str">
        <f t="shared" si="11"/>
        <v/>
      </c>
      <c r="M15" s="70" t="str">
        <f t="shared" si="12"/>
        <v/>
      </c>
      <c r="N15" s="120" t="str">
        <f t="shared" si="13"/>
        <v/>
      </c>
      <c r="O15" s="150" t="str">
        <f t="shared" si="14"/>
        <v/>
      </c>
      <c r="P15" s="70">
        <f t="shared" ref="P15:P22" si="15">SUM(D15,H15,L15)</f>
        <v>20880</v>
      </c>
      <c r="Q15" s="70">
        <f t="shared" ref="Q15:Q22" si="16">SUM(E15,I15,M15)</f>
        <v>106506.74340000001</v>
      </c>
      <c r="R15" s="49">
        <f t="shared" si="2"/>
        <v>3.6</v>
      </c>
      <c r="S15" s="128">
        <f t="shared" si="2"/>
        <v>3.06</v>
      </c>
      <c r="T15" s="34"/>
      <c r="X15" s="18"/>
      <c r="Y15" s="81"/>
      <c r="AA15" s="159"/>
      <c r="AB15" s="159"/>
      <c r="AG15">
        <v>15</v>
      </c>
      <c r="AH15" s="400">
        <v>5410</v>
      </c>
      <c r="AI15" s="410">
        <v>2180</v>
      </c>
      <c r="AJ15" s="34">
        <v>4905.8100000000004</v>
      </c>
      <c r="AK15" s="15">
        <v>0.1</v>
      </c>
      <c r="AL15" s="402">
        <v>8.5000000000000006E-2</v>
      </c>
    </row>
    <row r="16" spans="1:38" x14ac:dyDescent="0.25">
      <c r="B16" s="18">
        <v>2271</v>
      </c>
      <c r="C16" s="81" t="str">
        <f>VLOOKUP(B16,Orgenheter!$A$3:$C$165,2,FALSE)</f>
        <v xml:space="preserve">Nationalekonomi               </v>
      </c>
      <c r="D16" s="301">
        <f t="shared" si="7"/>
        <v>21750</v>
      </c>
      <c r="E16" s="70">
        <f t="shared" si="8"/>
        <v>119295.1875</v>
      </c>
      <c r="F16" s="49">
        <f t="shared" si="9"/>
        <v>3.75</v>
      </c>
      <c r="G16" s="49">
        <f t="shared" si="10"/>
        <v>3.1875</v>
      </c>
      <c r="H16" s="301">
        <f t="shared" si="3"/>
        <v>25491</v>
      </c>
      <c r="I16" s="70">
        <f t="shared" si="4"/>
        <v>130026.9825675</v>
      </c>
      <c r="J16" s="49">
        <f t="shared" si="5"/>
        <v>4.3949999999999996</v>
      </c>
      <c r="K16" s="49">
        <f t="shared" si="6"/>
        <v>3.7357499999999999</v>
      </c>
      <c r="L16" s="301" t="str">
        <f t="shared" si="11"/>
        <v/>
      </c>
      <c r="M16" s="70" t="str">
        <f t="shared" si="12"/>
        <v/>
      </c>
      <c r="N16" s="120" t="str">
        <f t="shared" si="13"/>
        <v/>
      </c>
      <c r="O16" s="150" t="str">
        <f t="shared" si="14"/>
        <v/>
      </c>
      <c r="P16" s="70">
        <f t="shared" si="15"/>
        <v>47241</v>
      </c>
      <c r="Q16" s="70">
        <f t="shared" si="16"/>
        <v>249322.1700675</v>
      </c>
      <c r="R16" s="49">
        <f t="shared" si="2"/>
        <v>8.1449999999999996</v>
      </c>
      <c r="S16" s="128">
        <f t="shared" si="2"/>
        <v>6.9232499999999995</v>
      </c>
      <c r="T16" s="34"/>
      <c r="AA16" s="18"/>
      <c r="AB16" s="159"/>
      <c r="AG16">
        <v>16</v>
      </c>
      <c r="AH16" s="400">
        <v>5500</v>
      </c>
      <c r="AI16" s="410">
        <v>98100</v>
      </c>
      <c r="AJ16" s="34">
        <v>220761.44999999998</v>
      </c>
      <c r="AK16" s="15">
        <v>4.5</v>
      </c>
      <c r="AL16" s="402">
        <v>3.8249999999999997</v>
      </c>
    </row>
    <row r="17" spans="1:38" x14ac:dyDescent="0.25">
      <c r="A17" s="74"/>
      <c r="B17" s="192">
        <v>2272</v>
      </c>
      <c r="C17" s="81" t="str">
        <f>VLOOKUP(B17,Orgenheter!$A$3:$C$165,2,FALSE)</f>
        <v xml:space="preserve">Statistik                     </v>
      </c>
      <c r="D17" s="301" t="str">
        <f t="shared" si="7"/>
        <v/>
      </c>
      <c r="E17" s="70" t="str">
        <f t="shared" si="8"/>
        <v/>
      </c>
      <c r="F17" s="49" t="str">
        <f t="shared" si="9"/>
        <v/>
      </c>
      <c r="G17" s="49" t="str">
        <f t="shared" si="10"/>
        <v/>
      </c>
      <c r="H17" s="301">
        <f t="shared" si="3"/>
        <v>49010</v>
      </c>
      <c r="I17" s="70">
        <f t="shared" si="4"/>
        <v>378065.36235000001</v>
      </c>
      <c r="J17" s="49">
        <f t="shared" si="5"/>
        <v>8.4499999999999993</v>
      </c>
      <c r="K17" s="49">
        <f t="shared" si="6"/>
        <v>7.1825000000000001</v>
      </c>
      <c r="L17" s="301" t="str">
        <f t="shared" si="11"/>
        <v/>
      </c>
      <c r="M17" s="70" t="str">
        <f t="shared" si="12"/>
        <v/>
      </c>
      <c r="N17" s="120" t="str">
        <f t="shared" si="13"/>
        <v/>
      </c>
      <c r="O17" s="150" t="str">
        <f t="shared" si="14"/>
        <v/>
      </c>
      <c r="P17" s="70">
        <f t="shared" si="15"/>
        <v>49010</v>
      </c>
      <c r="Q17" s="70">
        <f t="shared" si="16"/>
        <v>378065.36235000001</v>
      </c>
      <c r="R17" s="49">
        <f t="shared" si="2"/>
        <v>8.4499999999999993</v>
      </c>
      <c r="S17" s="128">
        <f t="shared" si="2"/>
        <v>7.1825000000000001</v>
      </c>
      <c r="T17" s="34"/>
      <c r="X17" s="18"/>
      <c r="Y17" s="81"/>
      <c r="AA17" s="192"/>
      <c r="AB17" s="18"/>
      <c r="AG17">
        <v>17</v>
      </c>
      <c r="AH17" s="400">
        <v>5700</v>
      </c>
      <c r="AI17" s="410">
        <v>2725</v>
      </c>
      <c r="AJ17" s="34">
        <v>6132.2624999999998</v>
      </c>
      <c r="AK17" s="15">
        <v>0.125</v>
      </c>
      <c r="AL17" s="402">
        <v>0.10625</v>
      </c>
    </row>
    <row r="18" spans="1:38" x14ac:dyDescent="0.25">
      <c r="B18" s="159">
        <v>2300</v>
      </c>
      <c r="C18" s="81" t="str">
        <f>VLOOKUP(B18,Orgenheter!$A$3:$C$165,2,FALSE)</f>
        <v xml:space="preserve">Juridiska institutionen       </v>
      </c>
      <c r="D18" s="301" t="str">
        <f t="shared" si="7"/>
        <v/>
      </c>
      <c r="E18" s="70" t="str">
        <f t="shared" si="8"/>
        <v/>
      </c>
      <c r="F18" s="49" t="str">
        <f t="shared" si="9"/>
        <v/>
      </c>
      <c r="G18" s="49" t="str">
        <f t="shared" si="10"/>
        <v/>
      </c>
      <c r="H18" s="301">
        <f t="shared" si="3"/>
        <v>80992.17018181819</v>
      </c>
      <c r="I18" s="70">
        <f t="shared" si="4"/>
        <v>624693.61404603813</v>
      </c>
      <c r="J18" s="49">
        <f t="shared" si="5"/>
        <v>13.964167272727273</v>
      </c>
      <c r="K18" s="49">
        <f t="shared" si="6"/>
        <v>11.86641718181818</v>
      </c>
      <c r="L18" s="301" t="str">
        <f t="shared" si="11"/>
        <v/>
      </c>
      <c r="M18" s="70" t="str">
        <f t="shared" si="12"/>
        <v/>
      </c>
      <c r="N18" s="120" t="str">
        <f t="shared" si="13"/>
        <v/>
      </c>
      <c r="O18" s="150" t="str">
        <f t="shared" si="14"/>
        <v/>
      </c>
      <c r="P18" s="70">
        <f t="shared" si="15"/>
        <v>80992.17018181819</v>
      </c>
      <c r="Q18" s="70">
        <f t="shared" si="16"/>
        <v>624693.61404603813</v>
      </c>
      <c r="R18" s="49">
        <f t="shared" si="2"/>
        <v>13.964167272727273</v>
      </c>
      <c r="S18" s="128">
        <f t="shared" si="2"/>
        <v>11.86641718181818</v>
      </c>
      <c r="T18" s="34"/>
      <c r="AA18" s="159"/>
      <c r="AB18" s="192"/>
      <c r="AG18">
        <v>18</v>
      </c>
      <c r="AH18" s="400">
        <v>5730</v>
      </c>
      <c r="AI18" s="410">
        <v>706515</v>
      </c>
      <c r="AJ18" s="34">
        <v>1735034.9224999994</v>
      </c>
      <c r="AK18" s="15">
        <v>35.975000000000001</v>
      </c>
      <c r="AL18" s="402">
        <v>30.266249999999989</v>
      </c>
    </row>
    <row r="19" spans="1:38" x14ac:dyDescent="0.25">
      <c r="A19" s="74"/>
      <c r="B19" s="18">
        <v>2340</v>
      </c>
      <c r="C19" s="81" t="str">
        <f>VLOOKUP(B19,Orgenheter!$A$3:$C$165,2,FALSE)</f>
        <v xml:space="preserve">Statsvetenskap                </v>
      </c>
      <c r="D19" s="301">
        <f t="shared" si="7"/>
        <v>348725</v>
      </c>
      <c r="E19" s="70">
        <f t="shared" si="8"/>
        <v>2052293</v>
      </c>
      <c r="F19" s="49">
        <f t="shared" si="9"/>
        <v>60.125</v>
      </c>
      <c r="G19" s="49">
        <f t="shared" si="10"/>
        <v>51.04999999999999</v>
      </c>
      <c r="H19" s="301">
        <f t="shared" si="3"/>
        <v>27598.319800000001</v>
      </c>
      <c r="I19" s="70">
        <f t="shared" si="4"/>
        <v>159134.57240422198</v>
      </c>
      <c r="J19" s="49">
        <f t="shared" si="5"/>
        <v>4.7583310000000001</v>
      </c>
      <c r="K19" s="49">
        <f t="shared" si="6"/>
        <v>3.8754147999999997</v>
      </c>
      <c r="L19" s="301">
        <f t="shared" si="11"/>
        <v>-113462.5</v>
      </c>
      <c r="M19" s="70">
        <f t="shared" si="12"/>
        <v>-644038.299</v>
      </c>
      <c r="N19" s="120">
        <f t="shared" si="13"/>
        <v>-19.5625</v>
      </c>
      <c r="O19" s="150">
        <f t="shared" si="14"/>
        <v>-16.625</v>
      </c>
      <c r="P19" s="70">
        <f t="shared" si="15"/>
        <v>262860.8198</v>
      </c>
      <c r="Q19" s="70">
        <f t="shared" si="16"/>
        <v>1567389.273404222</v>
      </c>
      <c r="R19" s="49">
        <f t="shared" si="2"/>
        <v>45.320830999999998</v>
      </c>
      <c r="S19" s="128">
        <f t="shared" si="2"/>
        <v>38.300414799999992</v>
      </c>
      <c r="T19" s="34"/>
      <c r="AA19" s="18"/>
      <c r="AB19" s="18"/>
      <c r="AG19">
        <v>19</v>
      </c>
      <c r="AH19" s="400">
        <v>5740</v>
      </c>
      <c r="AI19" s="410">
        <v>3700254.9660000005</v>
      </c>
      <c r="AJ19" s="34">
        <v>13288100.454667997</v>
      </c>
      <c r="AK19" s="15">
        <v>277.44166999999999</v>
      </c>
      <c r="AL19" s="402">
        <v>235.15000299999994</v>
      </c>
    </row>
    <row r="20" spans="1:38" x14ac:dyDescent="0.25">
      <c r="A20" s="74"/>
      <c r="B20" s="192">
        <v>2360</v>
      </c>
      <c r="C20" s="81" t="str">
        <f>VLOOKUP(B20,Orgenheter!$A$3:$C$165,2,FALSE)</f>
        <v xml:space="preserve">Ekonomisk historia            </v>
      </c>
      <c r="D20" s="301" t="str">
        <f t="shared" si="7"/>
        <v/>
      </c>
      <c r="E20" s="70" t="str">
        <f t="shared" si="8"/>
        <v/>
      </c>
      <c r="F20" s="49" t="str">
        <f t="shared" si="9"/>
        <v/>
      </c>
      <c r="G20" s="49" t="str">
        <f t="shared" si="10"/>
        <v/>
      </c>
      <c r="H20" s="301">
        <f t="shared" si="3"/>
        <v>34394</v>
      </c>
      <c r="I20" s="70">
        <f t="shared" si="4"/>
        <v>175440.27454499999</v>
      </c>
      <c r="J20" s="49">
        <f t="shared" si="5"/>
        <v>5.93</v>
      </c>
      <c r="K20" s="49">
        <f t="shared" si="6"/>
        <v>5.0404999999999998</v>
      </c>
      <c r="L20" s="301" t="str">
        <f t="shared" si="11"/>
        <v/>
      </c>
      <c r="M20" s="70" t="str">
        <f t="shared" si="12"/>
        <v/>
      </c>
      <c r="N20" s="120" t="str">
        <f t="shared" si="13"/>
        <v/>
      </c>
      <c r="O20" s="150" t="str">
        <f t="shared" si="14"/>
        <v/>
      </c>
      <c r="P20" s="70">
        <f t="shared" si="15"/>
        <v>34394</v>
      </c>
      <c r="Q20" s="70">
        <f t="shared" si="16"/>
        <v>175440.27454499999</v>
      </c>
      <c r="R20" s="49">
        <f t="shared" si="2"/>
        <v>5.93</v>
      </c>
      <c r="S20" s="128">
        <f t="shared" si="2"/>
        <v>5.0404999999999998</v>
      </c>
      <c r="T20" s="34"/>
      <c r="AA20" s="192"/>
      <c r="AB20" s="192"/>
      <c r="AG20">
        <v>20</v>
      </c>
      <c r="AH20" s="403" t="s">
        <v>772</v>
      </c>
      <c r="AI20" s="411">
        <v>20824093.291333336</v>
      </c>
      <c r="AJ20" s="412">
        <v>79408161.903338477</v>
      </c>
      <c r="AK20" s="413">
        <v>1858.2500033333333</v>
      </c>
      <c r="AL20" s="406">
        <v>1562.434169833333</v>
      </c>
    </row>
    <row r="21" spans="1:38" x14ac:dyDescent="0.25">
      <c r="A21" s="74"/>
      <c r="B21" s="192">
        <v>2500</v>
      </c>
      <c r="C21" s="81" t="str">
        <f>VLOOKUP(B21,Orgenheter!$A$3:$C$165,2,FALSE)</f>
        <v>Geografi</v>
      </c>
      <c r="D21" s="301">
        <f t="shared" si="7"/>
        <v>49625</v>
      </c>
      <c r="E21" s="70">
        <f t="shared" si="8"/>
        <v>197266.70937500001</v>
      </c>
      <c r="F21" s="49">
        <f t="shared" si="9"/>
        <v>5.625</v>
      </c>
      <c r="G21" s="49">
        <f t="shared" si="10"/>
        <v>4.78125</v>
      </c>
      <c r="H21" s="301">
        <f t="shared" si="3"/>
        <v>6766.6666666666661</v>
      </c>
      <c r="I21" s="70">
        <f t="shared" si="4"/>
        <v>34516.074249999998</v>
      </c>
      <c r="J21" s="49">
        <f t="shared" si="5"/>
        <v>1.1666666666666665</v>
      </c>
      <c r="K21" s="49">
        <f t="shared" si="6"/>
        <v>0.9916666666666667</v>
      </c>
      <c r="L21" s="301">
        <f t="shared" si="11"/>
        <v>-7350</v>
      </c>
      <c r="M21" s="70">
        <f t="shared" si="12"/>
        <v>-25196.184843750001</v>
      </c>
      <c r="N21" s="120">
        <f t="shared" si="13"/>
        <v>-0.75</v>
      </c>
      <c r="O21" s="150">
        <f t="shared" si="14"/>
        <v>-0.63749999999999996</v>
      </c>
      <c r="P21" s="70">
        <f t="shared" si="15"/>
        <v>49041.666666666664</v>
      </c>
      <c r="Q21" s="70">
        <f t="shared" si="16"/>
        <v>206586.59878125001</v>
      </c>
      <c r="R21" s="49">
        <f t="shared" si="2"/>
        <v>6.0416666666666661</v>
      </c>
      <c r="S21" s="128">
        <f t="shared" si="2"/>
        <v>5.135416666666667</v>
      </c>
      <c r="T21" s="34"/>
      <c r="AA21" s="192"/>
      <c r="AB21" s="192"/>
      <c r="AG21">
        <v>21</v>
      </c>
    </row>
    <row r="22" spans="1:38" x14ac:dyDescent="0.25">
      <c r="A22" s="74"/>
      <c r="B22" s="192">
        <v>2750</v>
      </c>
      <c r="C22" s="81" t="str">
        <f>VLOOKUP(B22,Orgenheter!$A$3:$C$165,2,FALSE)</f>
        <v xml:space="preserve">Kostvetenskap                 </v>
      </c>
      <c r="D22" s="301">
        <f t="shared" si="7"/>
        <v>922425</v>
      </c>
      <c r="E22" s="70">
        <f t="shared" si="8"/>
        <v>2110758.5687500001</v>
      </c>
      <c r="F22" s="49">
        <f t="shared" si="9"/>
        <v>46.625</v>
      </c>
      <c r="G22" s="49">
        <f t="shared" si="10"/>
        <v>37.318750000000001</v>
      </c>
      <c r="H22" s="301">
        <f t="shared" si="3"/>
        <v>75037.5</v>
      </c>
      <c r="I22" s="70">
        <f t="shared" si="4"/>
        <v>144892.38296249998</v>
      </c>
      <c r="J22" s="49">
        <f t="shared" si="5"/>
        <v>2.1749999999999998</v>
      </c>
      <c r="K22" s="49">
        <f t="shared" si="6"/>
        <v>1.8337499999999998</v>
      </c>
      <c r="L22" s="301" t="str">
        <f t="shared" si="11"/>
        <v/>
      </c>
      <c r="M22" s="70" t="str">
        <f t="shared" si="12"/>
        <v/>
      </c>
      <c r="N22" s="120" t="str">
        <f t="shared" si="13"/>
        <v/>
      </c>
      <c r="O22" s="150" t="str">
        <f t="shared" si="14"/>
        <v/>
      </c>
      <c r="P22" s="70">
        <f t="shared" si="15"/>
        <v>997462.5</v>
      </c>
      <c r="Q22" s="70">
        <f t="shared" si="16"/>
        <v>2255650.9517125003</v>
      </c>
      <c r="R22" s="49">
        <f t="shared" si="2"/>
        <v>48.8</v>
      </c>
      <c r="S22" s="128">
        <f t="shared" si="2"/>
        <v>39.152500000000003</v>
      </c>
      <c r="AA22" s="192"/>
      <c r="AB22" s="192"/>
      <c r="AG22">
        <v>22</v>
      </c>
    </row>
    <row r="23" spans="1:38" ht="15.75" thickBot="1" x14ac:dyDescent="0.3">
      <c r="A23" s="74"/>
      <c r="B23" s="18"/>
      <c r="C23" s="18"/>
      <c r="D23" s="107"/>
      <c r="E23" s="108"/>
      <c r="F23" s="92"/>
      <c r="G23" s="117"/>
      <c r="H23" s="107"/>
      <c r="I23" s="108"/>
      <c r="J23" s="108"/>
      <c r="K23" s="109"/>
      <c r="L23" s="107"/>
      <c r="M23" s="108"/>
      <c r="N23" s="120"/>
      <c r="O23" s="150"/>
      <c r="P23" s="108"/>
      <c r="Q23" s="108"/>
      <c r="R23" s="108"/>
      <c r="S23" s="130"/>
      <c r="AG23">
        <v>23</v>
      </c>
    </row>
    <row r="24" spans="1:38" ht="15.75" thickBot="1" x14ac:dyDescent="0.3">
      <c r="A24" s="35" t="s">
        <v>37</v>
      </c>
      <c r="B24" s="91"/>
      <c r="C24" s="305"/>
      <c r="D24" s="131">
        <f t="shared" ref="D24:S24" si="17">SUM(D12:D22)</f>
        <v>6608871.6393333329</v>
      </c>
      <c r="E24" s="132">
        <f t="shared" si="17"/>
        <v>34525296.331354469</v>
      </c>
      <c r="F24" s="134">
        <f t="shared" si="17"/>
        <v>846.76666333333333</v>
      </c>
      <c r="G24" s="134">
        <f t="shared" si="17"/>
        <v>711.36541383333338</v>
      </c>
      <c r="H24" s="132">
        <f t="shared" si="17"/>
        <v>1421380.2906242423</v>
      </c>
      <c r="I24" s="132">
        <f t="shared" si="17"/>
        <v>8291179.040619554</v>
      </c>
      <c r="J24" s="134">
        <f t="shared" si="17"/>
        <v>205.7441593030303</v>
      </c>
      <c r="K24" s="134">
        <f t="shared" si="17"/>
        <v>174.59045224090912</v>
      </c>
      <c r="L24" s="132">
        <f t="shared" si="17"/>
        <v>-1193814.9313666667</v>
      </c>
      <c r="M24" s="132">
        <f t="shared" si="17"/>
        <v>-6314479.3061125232</v>
      </c>
      <c r="N24" s="133">
        <f t="shared" si="17"/>
        <v>-153.57915483333332</v>
      </c>
      <c r="O24" s="304">
        <f t="shared" si="17"/>
        <v>-130.20228177499999</v>
      </c>
      <c r="P24" s="302">
        <f t="shared" si="17"/>
        <v>6836436.9985909089</v>
      </c>
      <c r="Q24" s="143">
        <f t="shared" si="17"/>
        <v>36501996.065861493</v>
      </c>
      <c r="R24" s="144">
        <f t="shared" si="17"/>
        <v>898.93166780303034</v>
      </c>
      <c r="S24" s="145">
        <f t="shared" si="17"/>
        <v>755.75358429924245</v>
      </c>
      <c r="AG24">
        <v>24</v>
      </c>
    </row>
    <row r="25" spans="1:38" x14ac:dyDescent="0.25">
      <c r="A25" s="74"/>
      <c r="B25" s="18"/>
      <c r="C25" s="18"/>
      <c r="D25" s="188"/>
      <c r="E25" s="70"/>
      <c r="F25" s="49"/>
      <c r="G25" s="49"/>
      <c r="H25" s="110"/>
      <c r="I25" s="111"/>
      <c r="J25" s="111"/>
      <c r="K25" s="112"/>
      <c r="L25" s="188"/>
      <c r="M25" s="70"/>
      <c r="N25" s="120"/>
      <c r="O25" s="150"/>
      <c r="P25" s="111"/>
      <c r="Q25" s="111"/>
      <c r="R25" s="111"/>
      <c r="S25" s="146"/>
      <c r="AG25">
        <v>25</v>
      </c>
    </row>
    <row r="26" spans="1:38" ht="29.25" x14ac:dyDescent="0.25">
      <c r="A26" s="183" t="s">
        <v>71</v>
      </c>
      <c r="B26" s="184" t="s">
        <v>564</v>
      </c>
      <c r="C26" s="185" t="s">
        <v>35</v>
      </c>
      <c r="D26" s="190" t="s">
        <v>404</v>
      </c>
      <c r="E26" s="27" t="s">
        <v>415</v>
      </c>
      <c r="F26" s="116" t="s">
        <v>61</v>
      </c>
      <c r="G26" s="116" t="s">
        <v>62</v>
      </c>
      <c r="H26" s="190" t="s">
        <v>404</v>
      </c>
      <c r="I26" s="27" t="s">
        <v>415</v>
      </c>
      <c r="J26" s="116" t="s">
        <v>61</v>
      </c>
      <c r="K26" s="191" t="s">
        <v>62</v>
      </c>
      <c r="L26" s="190" t="s">
        <v>404</v>
      </c>
      <c r="M26" s="27" t="s">
        <v>415</v>
      </c>
      <c r="N26" s="121" t="s">
        <v>61</v>
      </c>
      <c r="O26" s="152" t="s">
        <v>62</v>
      </c>
      <c r="P26" s="118" t="s">
        <v>453</v>
      </c>
      <c r="Q26" s="118" t="s">
        <v>452</v>
      </c>
      <c r="R26" s="27" t="s">
        <v>61</v>
      </c>
      <c r="S26" s="73" t="s">
        <v>62</v>
      </c>
      <c r="T26" s="34"/>
      <c r="AA26" s="64"/>
      <c r="AG26">
        <v>26</v>
      </c>
      <c r="AI26" s="63" t="s">
        <v>403</v>
      </c>
    </row>
    <row r="27" spans="1:38" x14ac:dyDescent="0.25">
      <c r="A27" s="80" t="s">
        <v>413</v>
      </c>
      <c r="B27" s="182">
        <v>3306</v>
      </c>
      <c r="C27" s="81" t="str">
        <f>VLOOKUP(B27,Orgenheter!$A$3:$C$165,2,FALSE)</f>
        <v xml:space="preserve">Idrottsmedicin                </v>
      </c>
      <c r="D27" s="301" t="str">
        <f>IF(ISERROR(VLOOKUP(B27,$AH$3:$AJ$20,2,FALSE)),"",VLOOKUP(B27,$AH$3:$AJ$20,2,FALSE))</f>
        <v/>
      </c>
      <c r="E27" s="70" t="str">
        <f>IF(ISERROR(VLOOKUP(B27,$AH$3:$AJ$20,3,FALSE)),"",VLOOKUP(B27,$AH$3:$AJ$20,3,FALSE))</f>
        <v/>
      </c>
      <c r="F27" s="49" t="str">
        <f>IF(ISERROR(VLOOKUP(B27,$AH$3:$AM$20,4,FALSE)),"",VLOOKUP(B27,$AH$3:$AM$20,4,FALSE))</f>
        <v/>
      </c>
      <c r="G27" s="49" t="str">
        <f>IF(ISERROR(VLOOKUP(B27,$AH$3:$AM$20,5,FALSE)),"",VLOOKUP(B27,$AH$3:$AM$20,5,FALSE))</f>
        <v/>
      </c>
      <c r="H27" s="301">
        <f>IF(ISERROR(VLOOKUP(B27,$AH$28:$AJ$47,2,FALSE)),"",VLOOKUP(B27,$AH$28:$AJ$47,2,FALSE))</f>
        <v>232875</v>
      </c>
      <c r="I27" s="70">
        <f>IF(ISERROR(VLOOKUP(B27,$AH$28:$AJ$47,3,FALSE)),"",VLOOKUP(B27,$AH$28:$AJ$47,3,FALSE))</f>
        <v>450114.94893750001</v>
      </c>
      <c r="J27" s="49">
        <f>IF(ISERROR(VLOOKUP(B27,$AH$28:$AM$47,4,FALSE)),"",VLOOKUP(B27,$AH$28:$AM$47,4,FALSE))</f>
        <v>6.75</v>
      </c>
      <c r="K27" s="49">
        <f>IF(ISERROR(VLOOKUP(B27,$AH$28:$AM$47,5,FALSE)),"",VLOOKUP(B27,$AH$28:$AM$47,5,FALSE))</f>
        <v>5.7062499999999998</v>
      </c>
      <c r="L27" s="301" t="str">
        <f>IF(ISERROR(VLOOKUP(B27,$AH$53:$AJ$64,2,FALSE)),"",VLOOKUP(B27,$AH$53:$AJ$64,2,FALSE)*-1)</f>
        <v/>
      </c>
      <c r="M27" s="70" t="str">
        <f>IF(ISERROR(VLOOKUP(B27,$AH$53:$AJ$64,3,FALSE)),"",VLOOKUP(B27,$AH$53:$AJ$64,3,FALSE)*-1)</f>
        <v/>
      </c>
      <c r="N27" s="120" t="str">
        <f>IF(ISERROR(VLOOKUP(B27,$AH$53:$AM$64,4,FALSE)),"",VLOOKUP(B27,$AH$53:$AM$64,4,FALSE)*-1)</f>
        <v/>
      </c>
      <c r="O27" s="150" t="str">
        <f>IF(ISERROR(VLOOKUP(B27,$AH$53:$AM$64,5,FALSE)),"",VLOOKUP(B27,$AH$53:$AM$64,5,FALSE)*-1)</f>
        <v/>
      </c>
      <c r="P27" s="70">
        <f t="shared" ref="P27:S28" si="18">SUM(D27,H27,L27)</f>
        <v>232875</v>
      </c>
      <c r="Q27" s="70">
        <f t="shared" si="18"/>
        <v>450114.94893750001</v>
      </c>
      <c r="R27" s="49">
        <f t="shared" si="18"/>
        <v>6.75</v>
      </c>
      <c r="S27" s="128">
        <f t="shared" si="18"/>
        <v>5.7062499999999998</v>
      </c>
      <c r="AA27" s="64"/>
      <c r="AG27">
        <v>27</v>
      </c>
      <c r="AH27" s="63" t="s">
        <v>399</v>
      </c>
      <c r="AI27" t="s">
        <v>910</v>
      </c>
      <c r="AJ27" t="s">
        <v>458</v>
      </c>
      <c r="AK27" t="s">
        <v>449</v>
      </c>
      <c r="AL27" t="s">
        <v>450</v>
      </c>
    </row>
    <row r="28" spans="1:38" x14ac:dyDescent="0.25">
      <c r="A28" s="80"/>
      <c r="B28" s="64">
        <v>3850</v>
      </c>
      <c r="C28" s="81" t="str">
        <f>VLOOKUP(B28,Orgenheter!$A$3:$C$165,2,FALSE)</f>
        <v>Epidemiologi och global hälsa</v>
      </c>
      <c r="D28" s="301" t="str">
        <f>IF(ISERROR(VLOOKUP(B28,$AH$3:$AJ$20,2,FALSE)),"",VLOOKUP(B28,$AH$3:$AJ$20,2,FALSE))</f>
        <v/>
      </c>
      <c r="E28" s="70" t="str">
        <f>IF(ISERROR(VLOOKUP(B28,$AH$3:$AJ$20,3,FALSE)),"",VLOOKUP(B28,$AH$3:$AJ$20,3,FALSE))</f>
        <v/>
      </c>
      <c r="F28" s="49" t="str">
        <f>IF(ISERROR(VLOOKUP(B28,$AH$3:$AM$20,4,FALSE)),"",VLOOKUP(B28,$AH$3:$AM$20,4,FALSE))</f>
        <v/>
      </c>
      <c r="G28" s="49" t="str">
        <f>IF(ISERROR(VLOOKUP(B28,$AH$3:$AM$20,5,FALSE)),"",VLOOKUP(B28,$AH$3:$AM$20,5,FALSE))</f>
        <v/>
      </c>
      <c r="H28" s="301">
        <f>IF(ISERROR(VLOOKUP(B28,$AH$28:$AJ$47,2,FALSE)),"",VLOOKUP(B28,$AH$28:$AJ$47,2,FALSE))</f>
        <v>66125</v>
      </c>
      <c r="I28" s="70">
        <f>IF(ISERROR(VLOOKUP(B28,$AH$28:$AJ$47,3,FALSE)),"",VLOOKUP(B28,$AH$28:$AJ$47,3,FALSE))</f>
        <v>127581.774875</v>
      </c>
      <c r="J28" s="49">
        <f>IF(ISERROR(VLOOKUP(B28,$AH$28:$AM$47,4,FALSE)),"",VLOOKUP(B28,$AH$28:$AM$47,4,FALSE))</f>
        <v>1.9166666666666665</v>
      </c>
      <c r="K28" s="49">
        <f>IF(ISERROR(VLOOKUP(B28,$AH$28:$AM$47,5,FALSE)),"",VLOOKUP(B28,$AH$28:$AM$47,5,FALSE))</f>
        <v>1.6124999999999998</v>
      </c>
      <c r="L28" s="301" t="str">
        <f>IF(ISERROR(VLOOKUP(B28,$AH$53:$AJ$64,2,FALSE)),"",VLOOKUP(B28,$AH$53:$AJ$64,2,FALSE)*-1)</f>
        <v/>
      </c>
      <c r="M28" s="70" t="str">
        <f>IF(ISERROR(VLOOKUP(B28,$AH$53:$AJ$64,3,FALSE)),"",VLOOKUP(B28,$AH$53:$AJ$64,3,FALSE)*-1)</f>
        <v/>
      </c>
      <c r="N28" s="120" t="str">
        <f>IF(ISERROR(VLOOKUP(B28,$AH$53:$AM$64,4,FALSE)),"",VLOOKUP(B28,$AH$53:$AM$64,4,FALSE)*-1)</f>
        <v/>
      </c>
      <c r="O28" s="150" t="str">
        <f>IF(ISERROR(VLOOKUP(B28,$AH$53:$AM$64,5,FALSE)),"",VLOOKUP(B28,$AH$53:$AM$64,5,FALSE)*-1)</f>
        <v/>
      </c>
      <c r="P28" s="70">
        <f t="shared" si="18"/>
        <v>66125</v>
      </c>
      <c r="Q28" s="70">
        <f t="shared" si="18"/>
        <v>127581.774875</v>
      </c>
      <c r="R28" s="49">
        <f t="shared" si="18"/>
        <v>1.9166666666666665</v>
      </c>
      <c r="S28" s="128">
        <f t="shared" si="18"/>
        <v>1.6124999999999998</v>
      </c>
      <c r="AG28">
        <v>28</v>
      </c>
      <c r="AH28">
        <v>1620</v>
      </c>
      <c r="AI28" s="34">
        <v>143653.33333333334</v>
      </c>
      <c r="AJ28" s="34">
        <v>955282.16857500002</v>
      </c>
      <c r="AK28" s="15">
        <v>22.766666666666666</v>
      </c>
      <c r="AL28" s="15">
        <v>19.351666666666667</v>
      </c>
    </row>
    <row r="29" spans="1:38" ht="15.75" thickBot="1" x14ac:dyDescent="0.3">
      <c r="A29" s="74"/>
      <c r="B29" s="18"/>
      <c r="C29" s="18"/>
      <c r="D29" s="188"/>
      <c r="E29" s="70"/>
      <c r="F29" s="49"/>
      <c r="G29" s="49"/>
      <c r="H29" s="107"/>
      <c r="I29" s="108"/>
      <c r="J29" s="108"/>
      <c r="K29" s="109"/>
      <c r="L29" s="188"/>
      <c r="M29" s="70"/>
      <c r="N29" s="120"/>
      <c r="O29" s="150"/>
      <c r="P29" s="108"/>
      <c r="Q29" s="108"/>
      <c r="R29" s="108"/>
      <c r="S29" s="130"/>
      <c r="AG29">
        <v>29</v>
      </c>
      <c r="AH29">
        <v>1640</v>
      </c>
      <c r="AI29" s="34">
        <v>252686.68599999999</v>
      </c>
      <c r="AJ29" s="34">
        <v>1649900.4879632099</v>
      </c>
      <c r="AK29" s="15">
        <v>43.566670000000002</v>
      </c>
      <c r="AL29" s="15">
        <v>37.031669500000007</v>
      </c>
    </row>
    <row r="30" spans="1:38" ht="15.75" thickBot="1" x14ac:dyDescent="0.3">
      <c r="A30" s="35" t="s">
        <v>38</v>
      </c>
      <c r="B30" s="91"/>
      <c r="C30" s="305"/>
      <c r="D30" s="131">
        <f t="shared" ref="D30:O30" si="19">SUM(D27)</f>
        <v>0</v>
      </c>
      <c r="E30" s="132">
        <f t="shared" si="19"/>
        <v>0</v>
      </c>
      <c r="F30" s="134">
        <f t="shared" si="19"/>
        <v>0</v>
      </c>
      <c r="G30" s="134">
        <f t="shared" si="19"/>
        <v>0</v>
      </c>
      <c r="H30" s="132">
        <f>SUM(H27:H28)</f>
        <v>299000</v>
      </c>
      <c r="I30" s="132">
        <f>SUM(I27:I28)</f>
        <v>577696.72381250001</v>
      </c>
      <c r="J30" s="134">
        <f>SUM(J27:J28)</f>
        <v>8.6666666666666661</v>
      </c>
      <c r="K30" s="134">
        <f>SUM(K27:K28)</f>
        <v>7.3187499999999996</v>
      </c>
      <c r="L30" s="132">
        <f t="shared" si="19"/>
        <v>0</v>
      </c>
      <c r="M30" s="132">
        <f t="shared" si="19"/>
        <v>0</v>
      </c>
      <c r="N30" s="133">
        <f t="shared" si="19"/>
        <v>0</v>
      </c>
      <c r="O30" s="304">
        <f t="shared" si="19"/>
        <v>0</v>
      </c>
      <c r="P30" s="302">
        <f>SUM(P27:P28)</f>
        <v>299000</v>
      </c>
      <c r="Q30" s="143">
        <f>SUM(Q27:Q28)</f>
        <v>577696.72381250001</v>
      </c>
      <c r="R30" s="144">
        <f>SUM(R27:R28)</f>
        <v>8.6666666666666661</v>
      </c>
      <c r="S30" s="145">
        <f>SUM(S27:S28)</f>
        <v>7.3187499999999996</v>
      </c>
      <c r="AG30">
        <v>30</v>
      </c>
      <c r="AH30">
        <v>1650</v>
      </c>
      <c r="AI30" s="34">
        <v>29984.999999999996</v>
      </c>
      <c r="AJ30" s="34">
        <v>225427.85219999996</v>
      </c>
      <c r="AK30" s="15">
        <v>5.5249999999999995</v>
      </c>
      <c r="AL30" s="15">
        <v>4.69625</v>
      </c>
    </row>
    <row r="31" spans="1:38" x14ac:dyDescent="0.25">
      <c r="A31" s="74"/>
      <c r="B31" s="18"/>
      <c r="C31" s="18"/>
      <c r="D31" s="188"/>
      <c r="E31" s="70"/>
      <c r="F31" s="49"/>
      <c r="G31" s="189"/>
      <c r="H31" s="110"/>
      <c r="I31" s="111"/>
      <c r="J31" s="111"/>
      <c r="K31" s="112"/>
      <c r="L31" s="188"/>
      <c r="M31" s="70"/>
      <c r="N31" s="120"/>
      <c r="O31" s="150"/>
      <c r="P31" s="111"/>
      <c r="Q31" s="111"/>
      <c r="R31" s="111"/>
      <c r="S31" s="146"/>
      <c r="T31" s="34"/>
      <c r="AG31">
        <v>31</v>
      </c>
      <c r="AH31">
        <v>2180</v>
      </c>
      <c r="AI31" s="34">
        <v>428337.48752121208</v>
      </c>
      <c r="AJ31" s="34">
        <v>2648411.9913527649</v>
      </c>
      <c r="AK31" s="15">
        <v>66.499997848484853</v>
      </c>
      <c r="AL31" s="15">
        <v>56.452498221212124</v>
      </c>
    </row>
    <row r="32" spans="1:38" ht="29.25" x14ac:dyDescent="0.25">
      <c r="A32" s="183" t="s">
        <v>71</v>
      </c>
      <c r="B32" s="184" t="s">
        <v>564</v>
      </c>
      <c r="C32" s="185" t="s">
        <v>35</v>
      </c>
      <c r="D32" s="190" t="s">
        <v>404</v>
      </c>
      <c r="E32" s="27" t="s">
        <v>415</v>
      </c>
      <c r="F32" s="116" t="s">
        <v>61</v>
      </c>
      <c r="G32" s="191" t="s">
        <v>62</v>
      </c>
      <c r="H32" s="190" t="s">
        <v>404</v>
      </c>
      <c r="I32" s="27" t="s">
        <v>415</v>
      </c>
      <c r="J32" s="116" t="s">
        <v>61</v>
      </c>
      <c r="K32" s="191" t="s">
        <v>62</v>
      </c>
      <c r="L32" s="190" t="s">
        <v>404</v>
      </c>
      <c r="M32" s="27" t="s">
        <v>415</v>
      </c>
      <c r="N32" s="121" t="s">
        <v>61</v>
      </c>
      <c r="O32" s="152" t="s">
        <v>62</v>
      </c>
      <c r="P32" s="118" t="s">
        <v>453</v>
      </c>
      <c r="Q32" s="118" t="s">
        <v>452</v>
      </c>
      <c r="R32" s="27" t="s">
        <v>61</v>
      </c>
      <c r="S32" s="73" t="s">
        <v>62</v>
      </c>
      <c r="T32" s="34"/>
      <c r="AG32">
        <v>32</v>
      </c>
      <c r="AH32">
        <v>2193</v>
      </c>
      <c r="AI32" s="34">
        <v>429418.15998787881</v>
      </c>
      <c r="AJ32" s="34">
        <v>2197425.605157027</v>
      </c>
      <c r="AK32" s="15">
        <v>52.829998848484848</v>
      </c>
      <c r="AL32" s="15">
        <v>44.892165687878787</v>
      </c>
    </row>
    <row r="33" spans="1:38" x14ac:dyDescent="0.25">
      <c r="A33" s="80" t="s">
        <v>412</v>
      </c>
      <c r="B33">
        <v>5100</v>
      </c>
      <c r="C33" s="81" t="str">
        <f>VLOOKUP(B33,Orgenheter!$A$3:$C$165,2,FALSE)</f>
        <v>EMG</v>
      </c>
      <c r="D33" s="301">
        <f>IF(ISERROR(VLOOKUP(B33,$AH$3:$AJ$20,2,FALSE)),"",VLOOKUP(B33,$AH$3:$AJ$20,2,FALSE))</f>
        <v>305200</v>
      </c>
      <c r="E33" s="70">
        <f>IF(ISERROR(VLOOKUP(B33,$AH$3:$AJ$20,3,FALSE)),"",VLOOKUP(B33,$AH$3:$AJ$20,3,FALSE))</f>
        <v>686595.86249999981</v>
      </c>
      <c r="F33" s="49">
        <f>IF(ISERROR(VLOOKUP(B33,$AH$3:$AM$20,4,FALSE)),"",VLOOKUP(B33,$AH$3:$AM$20,4,FALSE))</f>
        <v>14</v>
      </c>
      <c r="G33" s="49">
        <f>IF(ISERROR(VLOOKUP(B33,$AH$3:$AM$20,5,FALSE)),"",VLOOKUP(B33,$AH$3:$AM$20,5,FALSE))</f>
        <v>11.893749999999997</v>
      </c>
      <c r="H33" s="301">
        <f>IF(ISERROR(VLOOKUP(B33,$AH$28:$AJ$47,2,FALSE)),"",VLOOKUP(B33,$AH$28:$AJ$47,2,FALSE))</f>
        <v>7350</v>
      </c>
      <c r="I33" s="70">
        <f>IF(ISERROR(VLOOKUP(B33,$AH$28:$AJ$47,3,FALSE)),"",VLOOKUP(B33,$AH$28:$AJ$47,3,FALSE))</f>
        <v>25196.184843750001</v>
      </c>
      <c r="J33" s="49">
        <f>IF(ISERROR(VLOOKUP(B33,$AH$28:$AM$47,4,FALSE)),"",VLOOKUP(B33,$AH$28:$AM$47,4,FALSE))</f>
        <v>0.75</v>
      </c>
      <c r="K33" s="49">
        <f>IF(ISERROR(VLOOKUP(B33,$AH$28:$AM$47,5,FALSE)),"",VLOOKUP(B33,$AH$28:$AM$47,5,FALSE))</f>
        <v>0.63749999999999996</v>
      </c>
      <c r="L33" s="301" t="str">
        <f t="shared" ref="L33:L38" si="20">IF(ISERROR(VLOOKUP(B33,$AH$53:$AJ$64,2,FALSE)),"",VLOOKUP(B33,$AH$53:$AJ$64,2,FALSE)*-1)</f>
        <v/>
      </c>
      <c r="M33" s="70" t="str">
        <f t="shared" ref="M33:M38" si="21">IF(ISERROR(VLOOKUP(B33,$AH$53:$AJ$64,3,FALSE)),"",VLOOKUP(B33,$AH$53:$AJ$64,3,FALSE)*-1)</f>
        <v/>
      </c>
      <c r="N33" s="120" t="str">
        <f t="shared" ref="N33:N38" si="22">IF(ISERROR(VLOOKUP(B33,$AH$53:$AM$64,4,FALSE)),"",VLOOKUP(B33,$AH$53:$AM$64,4,FALSE)*-1)</f>
        <v/>
      </c>
      <c r="O33" s="150" t="str">
        <f t="shared" ref="O33:O38" si="23">IF(ISERROR(VLOOKUP(B33,$AH$53:$AM$64,5,FALSE)),"",VLOOKUP(B33,$AH$53:$AM$64,5,FALSE)*-1)</f>
        <v/>
      </c>
      <c r="P33" s="70">
        <f>SUM(D33,H33,L33)</f>
        <v>312550</v>
      </c>
      <c r="Q33" s="70">
        <f>SUM(E33,I33,M33)</f>
        <v>711792.04734374979</v>
      </c>
      <c r="R33" s="49">
        <f>SUM(F33,J33,N33)</f>
        <v>14.75</v>
      </c>
      <c r="S33" s="128">
        <f>SUM(G33,K33,O33)</f>
        <v>12.531249999999996</v>
      </c>
      <c r="T33" s="34"/>
      <c r="AG33">
        <v>33</v>
      </c>
      <c r="AH33">
        <v>2200</v>
      </c>
      <c r="AI33" s="34">
        <v>243454.98646666668</v>
      </c>
      <c r="AJ33" s="34">
        <v>1692065.4375845031</v>
      </c>
      <c r="AK33" s="15">
        <v>41.974997666666667</v>
      </c>
      <c r="AL33" s="15">
        <v>35.659789683333337</v>
      </c>
    </row>
    <row r="34" spans="1:38" x14ac:dyDescent="0.25">
      <c r="B34">
        <v>5160</v>
      </c>
      <c r="C34" s="81" t="s">
        <v>305</v>
      </c>
      <c r="D34" s="301">
        <f t="shared" ref="D34:D38" si="24">IF(ISERROR(VLOOKUP(B34,$AH$3:$AJ$20,2,FALSE)),"",VLOOKUP(B34,$AH$3:$AJ$20,2,FALSE))</f>
        <v>49050</v>
      </c>
      <c r="E34" s="70">
        <f t="shared" ref="E34:E38" si="25">IF(ISERROR(VLOOKUP(B34,$AH$3:$AJ$20,3,FALSE)),"",VLOOKUP(B34,$AH$3:$AJ$20,3,FALSE))</f>
        <v>110380.72499999999</v>
      </c>
      <c r="F34" s="49">
        <f t="shared" ref="F34:F38" si="26">IF(ISERROR(VLOOKUP(B34,$AH$3:$AM$20,4,FALSE)),"",VLOOKUP(B34,$AH$3:$AM$20,4,FALSE))</f>
        <v>2.25</v>
      </c>
      <c r="G34" s="49">
        <f t="shared" ref="G34:G38" si="27">IF(ISERROR(VLOOKUP(B34,$AH$3:$AM$20,5,FALSE)),"",VLOOKUP(B34,$AH$3:$AM$20,5,FALSE))</f>
        <v>1.9124999999999999</v>
      </c>
      <c r="H34" s="301" t="str">
        <f t="shared" ref="H34:H38" si="28">IF(ISERROR(VLOOKUP(B34,$AH$28:$AJ$47,2,FALSE)),"",VLOOKUP(B34,$AH$28:$AJ$47,2,FALSE))</f>
        <v/>
      </c>
      <c r="I34" s="70" t="str">
        <f t="shared" ref="I34:I38" si="29">IF(ISERROR(VLOOKUP(B34,$AH$28:$AJ$47,3,FALSE)),"",VLOOKUP(B34,$AH$28:$AJ$47,3,FALSE))</f>
        <v/>
      </c>
      <c r="J34" s="49" t="str">
        <f t="shared" ref="J34:J38" si="30">IF(ISERROR(VLOOKUP(B34,$AH$28:$AM$47,4,FALSE)),"",VLOOKUP(B34,$AH$28:$AM$47,4,FALSE))</f>
        <v/>
      </c>
      <c r="K34" s="49" t="str">
        <f t="shared" ref="K34:K38" si="31">IF(ISERROR(VLOOKUP(B34,$AH$28:$AM$47,5,FALSE)),"",VLOOKUP(B34,$AH$28:$AM$47,5,FALSE))</f>
        <v/>
      </c>
      <c r="L34" s="301" t="str">
        <f t="shared" si="20"/>
        <v/>
      </c>
      <c r="M34" s="70" t="str">
        <f t="shared" si="21"/>
        <v/>
      </c>
      <c r="N34" s="120" t="str">
        <f t="shared" si="22"/>
        <v/>
      </c>
      <c r="O34" s="150" t="str">
        <f t="shared" si="23"/>
        <v/>
      </c>
      <c r="P34" s="70">
        <f t="shared" ref="P34:P38" si="32">SUM(D34,H34,L34)</f>
        <v>49050</v>
      </c>
      <c r="Q34" s="70">
        <f t="shared" ref="Q34:Q38" si="33">SUM(E34,I34,M34)</f>
        <v>110380.72499999999</v>
      </c>
      <c r="R34" s="49">
        <f t="shared" ref="R34:R38" si="34">SUM(F34,J34,N34)</f>
        <v>2.25</v>
      </c>
      <c r="S34" s="128">
        <f t="shared" ref="S34:S38" si="35">SUM(G34,K34,O34)</f>
        <v>1.9124999999999999</v>
      </c>
      <c r="T34" s="34"/>
      <c r="AA34" s="18"/>
      <c r="AG34">
        <v>34</v>
      </c>
      <c r="AH34">
        <v>2220</v>
      </c>
      <c r="AI34" s="34">
        <v>20880</v>
      </c>
      <c r="AJ34" s="34">
        <v>106506.74340000001</v>
      </c>
      <c r="AK34" s="15">
        <v>3.6</v>
      </c>
      <c r="AL34" s="15">
        <v>3.06</v>
      </c>
    </row>
    <row r="35" spans="1:38" x14ac:dyDescent="0.25">
      <c r="A35" s="74"/>
      <c r="B35">
        <v>5400</v>
      </c>
      <c r="C35" s="81" t="str">
        <f>VLOOKUP(B35,Orgenheter!$A$3:$C$165,2,FALSE)</f>
        <v xml:space="preserve">Inst för Fysik                </v>
      </c>
      <c r="D35" s="301">
        <f t="shared" si="24"/>
        <v>147695</v>
      </c>
      <c r="E35" s="70">
        <f t="shared" si="25"/>
        <v>327582.80250000005</v>
      </c>
      <c r="F35" s="49">
        <f t="shared" si="26"/>
        <v>6.7750000000000004</v>
      </c>
      <c r="G35" s="49">
        <f t="shared" si="27"/>
        <v>5.6212499999999999</v>
      </c>
      <c r="H35" s="301" t="str">
        <f t="shared" si="28"/>
        <v/>
      </c>
      <c r="I35" s="70" t="str">
        <f t="shared" si="29"/>
        <v/>
      </c>
      <c r="J35" s="49" t="str">
        <f t="shared" si="30"/>
        <v/>
      </c>
      <c r="K35" s="49" t="str">
        <f t="shared" si="31"/>
        <v/>
      </c>
      <c r="L35" s="301" t="str">
        <f t="shared" si="20"/>
        <v/>
      </c>
      <c r="M35" s="70" t="str">
        <f t="shared" si="21"/>
        <v/>
      </c>
      <c r="N35" s="120" t="str">
        <f t="shared" si="22"/>
        <v/>
      </c>
      <c r="O35" s="150" t="str">
        <f t="shared" si="23"/>
        <v/>
      </c>
      <c r="P35" s="70">
        <f t="shared" si="32"/>
        <v>147695</v>
      </c>
      <c r="Q35" s="70">
        <f t="shared" si="33"/>
        <v>327582.80250000005</v>
      </c>
      <c r="R35" s="49">
        <f t="shared" si="34"/>
        <v>6.7750000000000004</v>
      </c>
      <c r="S35" s="128">
        <f t="shared" si="35"/>
        <v>5.6212499999999999</v>
      </c>
      <c r="T35" s="34"/>
      <c r="AA35" s="18"/>
      <c r="AG35">
        <v>35</v>
      </c>
      <c r="AH35">
        <v>2271</v>
      </c>
      <c r="AI35" s="34">
        <v>25491</v>
      </c>
      <c r="AJ35" s="34">
        <v>130026.9825675</v>
      </c>
      <c r="AK35" s="15">
        <v>4.3949999999999996</v>
      </c>
      <c r="AL35" s="15">
        <v>3.7357499999999999</v>
      </c>
    </row>
    <row r="36" spans="1:38" x14ac:dyDescent="0.25">
      <c r="B36">
        <v>5410</v>
      </c>
      <c r="C36" s="81" t="str">
        <f>VLOOKUP(B36,Orgenheter!$A$3:$C$165,2,FALSE)</f>
        <v>TFE</v>
      </c>
      <c r="D36" s="301">
        <f t="shared" si="24"/>
        <v>2180</v>
      </c>
      <c r="E36" s="70">
        <f t="shared" si="25"/>
        <v>4905.8100000000004</v>
      </c>
      <c r="F36" s="49">
        <f t="shared" si="26"/>
        <v>0.1</v>
      </c>
      <c r="G36" s="49">
        <f t="shared" si="27"/>
        <v>8.5000000000000006E-2</v>
      </c>
      <c r="H36" s="301" t="str">
        <f t="shared" si="28"/>
        <v/>
      </c>
      <c r="I36" s="70" t="str">
        <f t="shared" si="29"/>
        <v/>
      </c>
      <c r="J36" s="49" t="str">
        <f t="shared" si="30"/>
        <v/>
      </c>
      <c r="K36" s="49" t="str">
        <f t="shared" si="31"/>
        <v/>
      </c>
      <c r="L36" s="301" t="str">
        <f t="shared" si="20"/>
        <v/>
      </c>
      <c r="M36" s="70" t="str">
        <f t="shared" si="21"/>
        <v/>
      </c>
      <c r="N36" s="120" t="str">
        <f t="shared" si="22"/>
        <v/>
      </c>
      <c r="O36" s="150" t="str">
        <f t="shared" si="23"/>
        <v/>
      </c>
      <c r="P36" s="70">
        <f t="shared" si="32"/>
        <v>2180</v>
      </c>
      <c r="Q36" s="70">
        <f t="shared" si="33"/>
        <v>4905.8100000000004</v>
      </c>
      <c r="R36" s="49">
        <f t="shared" si="34"/>
        <v>0.1</v>
      </c>
      <c r="S36" s="128">
        <f t="shared" si="35"/>
        <v>8.5000000000000006E-2</v>
      </c>
      <c r="T36" s="34"/>
      <c r="AA36" s="18"/>
      <c r="AG36">
        <v>36</v>
      </c>
      <c r="AH36">
        <v>2272</v>
      </c>
      <c r="AI36" s="34">
        <v>49010</v>
      </c>
      <c r="AJ36" s="34">
        <v>378065.36235000001</v>
      </c>
      <c r="AK36" s="15">
        <v>8.4499999999999993</v>
      </c>
      <c r="AL36" s="15">
        <v>7.1825000000000001</v>
      </c>
    </row>
    <row r="37" spans="1:38" x14ac:dyDescent="0.25">
      <c r="A37" s="74"/>
      <c r="B37" s="18">
        <v>5500</v>
      </c>
      <c r="C37" s="81" t="str">
        <f>VLOOKUP(B37,Orgenheter!$A$3:$C$165,2,FALSE)</f>
        <v xml:space="preserve">Kemiska institutionen         </v>
      </c>
      <c r="D37" s="301">
        <f t="shared" si="24"/>
        <v>98100</v>
      </c>
      <c r="E37" s="70">
        <f t="shared" si="25"/>
        <v>220761.44999999998</v>
      </c>
      <c r="F37" s="49">
        <f t="shared" si="26"/>
        <v>4.5</v>
      </c>
      <c r="G37" s="49">
        <f t="shared" si="27"/>
        <v>3.8249999999999997</v>
      </c>
      <c r="H37" s="301" t="str">
        <f t="shared" si="28"/>
        <v/>
      </c>
      <c r="I37" s="70" t="str">
        <f t="shared" si="29"/>
        <v/>
      </c>
      <c r="J37" s="49" t="str">
        <f t="shared" si="30"/>
        <v/>
      </c>
      <c r="K37" s="49" t="str">
        <f t="shared" si="31"/>
        <v/>
      </c>
      <c r="L37" s="301" t="str">
        <f t="shared" si="20"/>
        <v/>
      </c>
      <c r="M37" s="70" t="str">
        <f t="shared" si="21"/>
        <v/>
      </c>
      <c r="N37" s="120" t="str">
        <f t="shared" si="22"/>
        <v/>
      </c>
      <c r="O37" s="150" t="str">
        <f t="shared" si="23"/>
        <v/>
      </c>
      <c r="P37" s="70">
        <f t="shared" si="32"/>
        <v>98100</v>
      </c>
      <c r="Q37" s="70">
        <f t="shared" si="33"/>
        <v>220761.44999999998</v>
      </c>
      <c r="R37" s="49">
        <f t="shared" si="34"/>
        <v>4.5</v>
      </c>
      <c r="S37" s="128">
        <f t="shared" si="35"/>
        <v>3.8249999999999997</v>
      </c>
      <c r="AG37">
        <v>37</v>
      </c>
      <c r="AH37">
        <v>2300</v>
      </c>
      <c r="AI37" s="34">
        <v>80992.17018181819</v>
      </c>
      <c r="AJ37" s="34">
        <v>624693.61404603813</v>
      </c>
      <c r="AK37" s="15">
        <v>13.964167272727273</v>
      </c>
      <c r="AL37" s="15">
        <v>11.86641718181818</v>
      </c>
    </row>
    <row r="38" spans="1:38" x14ac:dyDescent="0.25">
      <c r="B38" s="159">
        <v>5700</v>
      </c>
      <c r="C38" s="81" t="str">
        <f>VLOOKUP(B38,Orgenheter!$A$3:$C$165,2,FALSE)</f>
        <v xml:space="preserve">Inst för datavetenskap        </v>
      </c>
      <c r="D38" s="456">
        <f t="shared" si="24"/>
        <v>2725</v>
      </c>
      <c r="E38" s="186">
        <f t="shared" si="25"/>
        <v>6132.2624999999998</v>
      </c>
      <c r="F38" s="15">
        <f t="shared" si="26"/>
        <v>0.125</v>
      </c>
      <c r="G38" s="15">
        <f t="shared" si="27"/>
        <v>0.10625</v>
      </c>
      <c r="H38" s="456" t="str">
        <f t="shared" si="28"/>
        <v/>
      </c>
      <c r="I38" s="186" t="str">
        <f t="shared" si="29"/>
        <v/>
      </c>
      <c r="J38" s="248" t="str">
        <f t="shared" si="30"/>
        <v/>
      </c>
      <c r="K38" s="248" t="str">
        <f t="shared" si="31"/>
        <v/>
      </c>
      <c r="L38" s="456" t="str">
        <f t="shared" si="20"/>
        <v/>
      </c>
      <c r="M38" s="186" t="str">
        <f t="shared" si="21"/>
        <v/>
      </c>
      <c r="N38" s="26" t="str">
        <f t="shared" si="22"/>
        <v/>
      </c>
      <c r="O38" s="150" t="str">
        <f t="shared" si="23"/>
        <v/>
      </c>
      <c r="P38" s="186">
        <f t="shared" si="32"/>
        <v>2725</v>
      </c>
      <c r="Q38" s="186">
        <f t="shared" si="33"/>
        <v>6132.2624999999998</v>
      </c>
      <c r="R38" s="248">
        <f t="shared" si="34"/>
        <v>0.125</v>
      </c>
      <c r="S38" s="457">
        <f t="shared" si="35"/>
        <v>0.10625</v>
      </c>
      <c r="AG38">
        <v>38</v>
      </c>
      <c r="AH38">
        <v>2340</v>
      </c>
      <c r="AI38" s="34">
        <v>27598.319800000001</v>
      </c>
      <c r="AJ38" s="34">
        <v>159134.57240422198</v>
      </c>
      <c r="AK38" s="15">
        <v>4.7583310000000001</v>
      </c>
      <c r="AL38" s="15">
        <v>3.8754147999999997</v>
      </c>
    </row>
    <row r="39" spans="1:38" x14ac:dyDescent="0.25">
      <c r="A39" s="74"/>
      <c r="B39" s="18">
        <v>5730</v>
      </c>
      <c r="C39" s="81" t="str">
        <f>VLOOKUP(B39,Orgenheter!$A$3:$C$165,2,FALSE)</f>
        <v>Inst för MA och MA statistik</v>
      </c>
      <c r="D39" s="301">
        <f>IF(ISERROR(VLOOKUP(B39,$AH$3:$AJ$20,2,FALSE)),"",VLOOKUP(B39,$AH$3:$AJ$20,2,FALSE))</f>
        <v>706515</v>
      </c>
      <c r="E39" s="70">
        <f>IF(ISERROR(VLOOKUP(B39,$AH$3:$AJ$20,3,FALSE)),"",VLOOKUP(B39,$AH$3:$AJ$20,3,FALSE))</f>
        <v>1735034.9224999994</v>
      </c>
      <c r="F39" s="49">
        <f>IF(ISERROR(VLOOKUP(B39,$AH$3:$AM$20,4,FALSE)),"",VLOOKUP(B39,$AH$3:$AM$20,4,FALSE))</f>
        <v>35.975000000000001</v>
      </c>
      <c r="G39" s="49">
        <f>IF(ISERROR(VLOOKUP(B39,$AH$3:$AM$20,5,FALSE)),"",VLOOKUP(B39,$AH$3:$AM$20,5,FALSE))</f>
        <v>30.266249999999989</v>
      </c>
      <c r="H39" s="301">
        <f>IF(ISERROR(VLOOKUP(B39,$AH$28:$AJ$47,2,FALSE)),"",VLOOKUP(B39,$AH$28:$AJ$47,2,FALSE))</f>
        <v>74483.333333333328</v>
      </c>
      <c r="I39" s="70">
        <f>IF(ISERROR(VLOOKUP(B39,$AH$28:$AJ$47,3,FALSE)),"",VLOOKUP(B39,$AH$28:$AJ$47,3,FALSE))</f>
        <v>155882.11274999997</v>
      </c>
      <c r="J39" s="49">
        <f>IF(ISERROR(VLOOKUP(B39,$AH$28:$AM$47,4,FALSE)),"",VLOOKUP(B39,$AH$28:$AM$47,4,FALSE))</f>
        <v>3.4166666666666665</v>
      </c>
      <c r="K39" s="49">
        <f>IF(ISERROR(VLOOKUP(B39,$AH$28:$AM$47,5,FALSE)),"",VLOOKUP(B39,$AH$28:$AM$47,5,FALSE))</f>
        <v>2.9041666666666668</v>
      </c>
      <c r="L39" s="301" t="str">
        <f>IF(ISERROR(VLOOKUP(B39,$AH$53:$AJ$64,2,FALSE)),"",VLOOKUP(B39,$AH$53:$AJ$64,2,FALSE)*-1)</f>
        <v/>
      </c>
      <c r="M39" s="70" t="str">
        <f>IF(ISERROR(VLOOKUP(B39,$AH$53:$AJ$64,3,FALSE)),"",VLOOKUP(B39,$AH$53:$AJ$64,3,FALSE)*-1)</f>
        <v/>
      </c>
      <c r="N39" s="120" t="str">
        <f>IF(ISERROR(VLOOKUP(B39,$AH$53:$AM$64,4,FALSE)),"",VLOOKUP(B39,$AH$53:$AM$64,4,FALSE)*-1)</f>
        <v/>
      </c>
      <c r="O39" s="150" t="str">
        <f>IF(ISERROR(VLOOKUP(B39,$AH$53:$AM$64,5,FALSE)),"",VLOOKUP(B39,$AH$53:$AM$64,5,FALSE)*-1)</f>
        <v/>
      </c>
      <c r="P39" s="70">
        <f t="shared" ref="P39:S40" si="36">SUM(D39,H39,L39)</f>
        <v>780998.33333333337</v>
      </c>
      <c r="Q39" s="70">
        <f t="shared" si="36"/>
        <v>1890917.0352499993</v>
      </c>
      <c r="R39" s="49">
        <f t="shared" si="36"/>
        <v>39.391666666666666</v>
      </c>
      <c r="S39" s="128">
        <f t="shared" si="36"/>
        <v>33.170416666666654</v>
      </c>
      <c r="AG39">
        <v>39</v>
      </c>
      <c r="AH39">
        <v>2360</v>
      </c>
      <c r="AI39" s="34">
        <v>34394</v>
      </c>
      <c r="AJ39" s="34">
        <v>175440.27454499999</v>
      </c>
      <c r="AK39" s="15">
        <v>5.93</v>
      </c>
      <c r="AL39" s="15">
        <v>5.0404999999999998</v>
      </c>
    </row>
    <row r="40" spans="1:38" x14ac:dyDescent="0.25">
      <c r="A40" s="74"/>
      <c r="B40" s="18">
        <v>5740</v>
      </c>
      <c r="C40" s="81" t="str">
        <f>VLOOKUP(B40,Orgenheter!$A$3:$C$165,2,FALSE)</f>
        <v>NMD</v>
      </c>
      <c r="D40" s="301">
        <f>IF(ISERROR(VLOOKUP(B40,$AH$3:$AJ$20,2,FALSE)),"",VLOOKUP(B40,$AH$3:$AJ$20,2,FALSE))</f>
        <v>3700254.9660000005</v>
      </c>
      <c r="E40" s="70">
        <f>IF(ISERROR(VLOOKUP(B40,$AH$3:$AJ$20,3,FALSE)),"",VLOOKUP(B40,$AH$3:$AJ$20,3,FALSE))</f>
        <v>13288100.454667997</v>
      </c>
      <c r="F40" s="49">
        <f>IF(ISERROR(VLOOKUP(B40,$AH$3:$AM$20,4,FALSE)),"",VLOOKUP(B40,$AH$3:$AM$20,4,FALSE))</f>
        <v>277.44166999999999</v>
      </c>
      <c r="G40" s="49">
        <f>IF(ISERROR(VLOOKUP(B40,$AH$3:$AM$20,5,FALSE)),"",VLOOKUP(B40,$AH$3:$AM$20,5,FALSE))</f>
        <v>235.15000299999994</v>
      </c>
      <c r="H40" s="301">
        <f>IF(ISERROR(VLOOKUP(B40,$AH$28:$AJ$47,2,FALSE)),"",VLOOKUP(B40,$AH$28:$AJ$47,2,FALSE))</f>
        <v>78141.661833333346</v>
      </c>
      <c r="I40" s="70">
        <f>IF(ISERROR(VLOOKUP(B40,$AH$28:$AJ$47,3,FALSE)),"",VLOOKUP(B40,$AH$28:$AJ$47,3,FALSE))</f>
        <v>529297.06542794744</v>
      </c>
      <c r="J40" s="49">
        <f>IF(ISERROR(VLOOKUP(B40,$AH$28:$AM$47,4,FALSE)),"",VLOOKUP(B40,$AH$28:$AM$47,4,FALSE))</f>
        <v>14.341665833333334</v>
      </c>
      <c r="K40" s="49">
        <f>IF(ISERROR(VLOOKUP(B40,$AH$28:$AM$47,5,FALSE)),"",VLOOKUP(B40,$AH$28:$AM$47,5,FALSE))</f>
        <v>12.190415958333334</v>
      </c>
      <c r="L40" s="301">
        <f>IF(ISERROR(VLOOKUP(B40,$AH$53:$AJ$64,2,FALSE)),"",VLOOKUP(B40,$AH$53:$AJ$64,2,FALSE)*-1)</f>
        <v>-513597.02109090897</v>
      </c>
      <c r="M40" s="70">
        <f>IF(ISERROR(VLOOKUP(B40,$AH$53:$AJ$64,3,FALSE)),"",VLOOKUP(B40,$AH$53:$AJ$64,3,FALSE)*-1)</f>
        <v>-2802690.9161912282</v>
      </c>
      <c r="N40" s="120">
        <f>IF(ISERROR(VLOOKUP(B40,$AH$53:$AM$64,4,FALSE)),"",VLOOKUP(B40,$AH$53:$AM$64,4,FALSE)*-1)</f>
        <v>-63.365003636363639</v>
      </c>
      <c r="O40" s="150">
        <f>IF(ISERROR(VLOOKUP(B40,$AH$53:$AM$64,5,FALSE)),"",VLOOKUP(B40,$AH$53:$AM$64,5,FALSE)*-1)</f>
        <v>-53.860253090909083</v>
      </c>
      <c r="P40" s="70">
        <f t="shared" si="36"/>
        <v>3264799.6067424249</v>
      </c>
      <c r="Q40" s="70">
        <f t="shared" si="36"/>
        <v>11014706.603904717</v>
      </c>
      <c r="R40" s="49">
        <f t="shared" si="36"/>
        <v>228.41833219696966</v>
      </c>
      <c r="S40" s="128">
        <f t="shared" si="36"/>
        <v>193.4801658674242</v>
      </c>
      <c r="AG40">
        <v>40</v>
      </c>
      <c r="AH40">
        <v>2500</v>
      </c>
      <c r="AI40" s="34">
        <v>6766.6666666666661</v>
      </c>
      <c r="AJ40" s="34">
        <v>34516.074249999998</v>
      </c>
      <c r="AK40" s="15">
        <v>1.1666666666666665</v>
      </c>
      <c r="AL40" s="15">
        <v>0.9916666666666667</v>
      </c>
    </row>
    <row r="41" spans="1:38" ht="15.75" thickBot="1" x14ac:dyDescent="0.3">
      <c r="A41" s="74"/>
      <c r="B41" s="18"/>
      <c r="C41" s="18"/>
      <c r="D41" s="193"/>
      <c r="E41" s="18"/>
      <c r="F41" s="49"/>
      <c r="G41" s="189"/>
      <c r="H41" s="147"/>
      <c r="I41" s="82"/>
      <c r="J41" s="82"/>
      <c r="K41" s="148"/>
      <c r="L41" s="188"/>
      <c r="M41" s="70"/>
      <c r="N41" s="120"/>
      <c r="O41" s="150"/>
      <c r="P41" s="82"/>
      <c r="Q41" s="82"/>
      <c r="R41" s="82"/>
      <c r="S41" s="99"/>
      <c r="AG41">
        <v>41</v>
      </c>
      <c r="AH41">
        <v>2750</v>
      </c>
      <c r="AI41" s="34">
        <v>75037.5</v>
      </c>
      <c r="AJ41" s="34">
        <v>144892.38296249998</v>
      </c>
      <c r="AK41" s="15">
        <v>2.1749999999999998</v>
      </c>
      <c r="AL41" s="15">
        <v>1.8337499999999998</v>
      </c>
    </row>
    <row r="42" spans="1:38" ht="15.75" thickBot="1" x14ac:dyDescent="0.3">
      <c r="A42" s="135" t="s">
        <v>39</v>
      </c>
      <c r="B42" s="91"/>
      <c r="C42" s="305"/>
      <c r="D42" s="131">
        <f t="shared" ref="D42:S42" si="37">SUM(D33:D40)</f>
        <v>5011719.966</v>
      </c>
      <c r="E42" s="132">
        <f t="shared" si="37"/>
        <v>16379494.289667996</v>
      </c>
      <c r="F42" s="134">
        <f t="shared" si="37"/>
        <v>341.16667000000001</v>
      </c>
      <c r="G42" s="134">
        <f t="shared" si="37"/>
        <v>288.86000299999989</v>
      </c>
      <c r="H42" s="132">
        <f t="shared" si="37"/>
        <v>159974.99516666669</v>
      </c>
      <c r="I42" s="132">
        <f t="shared" si="37"/>
        <v>710375.36302169738</v>
      </c>
      <c r="J42" s="134">
        <f t="shared" si="37"/>
        <v>18.508332500000002</v>
      </c>
      <c r="K42" s="134">
        <f t="shared" si="37"/>
        <v>15.732082625</v>
      </c>
      <c r="L42" s="132">
        <f t="shared" si="37"/>
        <v>-513597.02109090897</v>
      </c>
      <c r="M42" s="132">
        <f t="shared" si="37"/>
        <v>-2802690.9161912282</v>
      </c>
      <c r="N42" s="133">
        <f t="shared" si="37"/>
        <v>-63.365003636363639</v>
      </c>
      <c r="O42" s="304">
        <f t="shared" si="37"/>
        <v>-53.860253090909083</v>
      </c>
      <c r="P42" s="303">
        <f t="shared" si="37"/>
        <v>4658097.9400757588</v>
      </c>
      <c r="Q42" s="136">
        <f t="shared" si="37"/>
        <v>14287178.736498466</v>
      </c>
      <c r="R42" s="137">
        <f t="shared" si="37"/>
        <v>296.30999886363634</v>
      </c>
      <c r="S42" s="142">
        <f t="shared" si="37"/>
        <v>250.73183253409087</v>
      </c>
      <c r="AG42">
        <v>42</v>
      </c>
      <c r="AH42">
        <v>3306</v>
      </c>
      <c r="AI42" s="34">
        <v>232875</v>
      </c>
      <c r="AJ42" s="34">
        <v>450114.94893750001</v>
      </c>
      <c r="AK42" s="15">
        <v>6.75</v>
      </c>
      <c r="AL42" s="15">
        <v>5.7062499999999998</v>
      </c>
    </row>
    <row r="43" spans="1:38" ht="15.75" thickBot="1" x14ac:dyDescent="0.3">
      <c r="O43" s="150"/>
      <c r="S43" s="75"/>
      <c r="AG43">
        <v>43</v>
      </c>
      <c r="AH43">
        <v>3850</v>
      </c>
      <c r="AI43" s="34">
        <v>66125</v>
      </c>
      <c r="AJ43" s="34">
        <v>127581.774875</v>
      </c>
      <c r="AK43" s="15">
        <v>1.9166666666666665</v>
      </c>
      <c r="AL43" s="15">
        <v>1.6124999999999998</v>
      </c>
    </row>
    <row r="44" spans="1:38" ht="15" customHeight="1" thickBot="1" x14ac:dyDescent="0.3">
      <c r="A44" s="153" t="s">
        <v>159</v>
      </c>
      <c r="B44" s="154"/>
      <c r="C44" s="154"/>
      <c r="D44" s="308">
        <f t="shared" ref="D44:S44" si="38">D9+D24+D30+D42</f>
        <v>20824093.291333333</v>
      </c>
      <c r="E44" s="309">
        <f t="shared" si="38"/>
        <v>79408161.903338462</v>
      </c>
      <c r="F44" s="310">
        <f t="shared" si="38"/>
        <v>1858.2500033333336</v>
      </c>
      <c r="G44" s="311">
        <f t="shared" si="38"/>
        <v>1562.4341698333333</v>
      </c>
      <c r="H44" s="308">
        <f t="shared" si="38"/>
        <v>2306680.3051242423</v>
      </c>
      <c r="I44" s="309">
        <f t="shared" si="38"/>
        <v>12409861.636191962</v>
      </c>
      <c r="J44" s="310">
        <f t="shared" si="38"/>
        <v>304.77749513636365</v>
      </c>
      <c r="K44" s="311">
        <f t="shared" si="38"/>
        <v>258.72087103257576</v>
      </c>
      <c r="L44" s="308">
        <f t="shared" si="38"/>
        <v>-2306680.3051242423</v>
      </c>
      <c r="M44" s="309">
        <f t="shared" si="38"/>
        <v>-12409861.63619196</v>
      </c>
      <c r="N44" s="310">
        <f t="shared" si="38"/>
        <v>-304.77749513636365</v>
      </c>
      <c r="O44" s="311">
        <f t="shared" si="38"/>
        <v>-258.7208710325757</v>
      </c>
      <c r="P44" s="308">
        <f t="shared" si="38"/>
        <v>20824093.291333333</v>
      </c>
      <c r="Q44" s="309">
        <f t="shared" si="38"/>
        <v>79408161.903338462</v>
      </c>
      <c r="R44" s="310">
        <f t="shared" si="38"/>
        <v>1858.2500033333333</v>
      </c>
      <c r="S44" s="311">
        <f t="shared" si="38"/>
        <v>1562.4341698333335</v>
      </c>
      <c r="AG44">
        <v>44</v>
      </c>
      <c r="AH44">
        <v>5100</v>
      </c>
      <c r="AI44" s="34">
        <v>7350</v>
      </c>
      <c r="AJ44" s="34">
        <v>25196.184843750001</v>
      </c>
      <c r="AK44" s="15">
        <v>0.75</v>
      </c>
      <c r="AL44" s="15">
        <v>0.63749999999999996</v>
      </c>
    </row>
    <row r="45" spans="1:38" x14ac:dyDescent="0.25">
      <c r="AG45">
        <v>45</v>
      </c>
      <c r="AH45">
        <v>5730</v>
      </c>
      <c r="AI45" s="34">
        <v>74483.333333333328</v>
      </c>
      <c r="AJ45" s="34">
        <v>155882.11274999997</v>
      </c>
      <c r="AK45" s="15">
        <v>3.4166666666666665</v>
      </c>
      <c r="AL45" s="15">
        <v>2.9041666666666668</v>
      </c>
    </row>
    <row r="46" spans="1:38" x14ac:dyDescent="0.25">
      <c r="C46" s="284"/>
      <c r="D46" s="280" t="s">
        <v>467</v>
      </c>
      <c r="E46" s="281" t="s">
        <v>468</v>
      </c>
      <c r="F46"/>
      <c r="O46" s="187"/>
      <c r="P46" s="186"/>
      <c r="Q46" s="159"/>
      <c r="R46" s="159"/>
      <c r="AG46">
        <v>46</v>
      </c>
      <c r="AH46">
        <v>5740</v>
      </c>
      <c r="AI46" s="34">
        <v>78141.661833333346</v>
      </c>
      <c r="AJ46" s="34">
        <v>529297.06542794744</v>
      </c>
      <c r="AK46" s="15">
        <v>14.341665833333334</v>
      </c>
      <c r="AL46" s="15">
        <v>12.190415958333334</v>
      </c>
    </row>
    <row r="47" spans="1:38" ht="15.75" thickBot="1" x14ac:dyDescent="0.3">
      <c r="C47" s="285"/>
      <c r="D47" s="18" t="s">
        <v>811</v>
      </c>
      <c r="E47" s="283"/>
      <c r="F47"/>
      <c r="O47" s="164"/>
      <c r="P47" s="318">
        <f>D49</f>
        <v>-712212.5</v>
      </c>
      <c r="Q47" s="318">
        <f>E49</f>
        <v>-451218.78749999992</v>
      </c>
      <c r="R47" s="159"/>
      <c r="U47" s="26"/>
      <c r="AG47">
        <v>47</v>
      </c>
      <c r="AH47" t="s">
        <v>772</v>
      </c>
      <c r="AI47" s="34">
        <v>2306680.3051242428</v>
      </c>
      <c r="AJ47" s="34">
        <v>12409861.636191966</v>
      </c>
      <c r="AK47" s="15">
        <v>304.77749513636365</v>
      </c>
      <c r="AL47" s="15">
        <v>258.72087103257581</v>
      </c>
    </row>
    <row r="48" spans="1:38" ht="16.5" thickBot="1" x14ac:dyDescent="0.3">
      <c r="C48" s="285"/>
      <c r="D48" s="70"/>
      <c r="E48" s="286"/>
      <c r="F48" s="34"/>
      <c r="O48" s="164"/>
      <c r="P48" s="308">
        <f>P44+P47</f>
        <v>20111880.791333333</v>
      </c>
      <c r="Q48" s="308">
        <f>Q44+Q47</f>
        <v>78956943.115838468</v>
      </c>
      <c r="R48" s="159"/>
      <c r="AG48">
        <v>48</v>
      </c>
    </row>
    <row r="49" spans="3:38" x14ac:dyDescent="0.25">
      <c r="C49" s="285" t="s">
        <v>812</v>
      </c>
      <c r="D49" s="70">
        <f>U7</f>
        <v>-712212.5</v>
      </c>
      <c r="E49" s="286">
        <f>V7</f>
        <v>-451218.78749999992</v>
      </c>
      <c r="F49" s="34"/>
      <c r="O49" s="164"/>
      <c r="P49" s="248"/>
      <c r="Q49" s="159"/>
      <c r="R49" s="159"/>
      <c r="AG49">
        <v>49</v>
      </c>
    </row>
    <row r="50" spans="3:38" x14ac:dyDescent="0.25">
      <c r="C50" s="282"/>
      <c r="D50" s="70">
        <f>P7</f>
        <v>6414100</v>
      </c>
      <c r="E50" s="286">
        <f>Q7</f>
        <v>11461126.077449996</v>
      </c>
      <c r="P50" s="26"/>
      <c r="AG50">
        <v>50</v>
      </c>
    </row>
    <row r="51" spans="3:38" x14ac:dyDescent="0.25">
      <c r="C51" s="287"/>
      <c r="D51" s="290">
        <f>SUM(D49:D50)</f>
        <v>5701887.5</v>
      </c>
      <c r="E51" s="291">
        <f>SUM(E49:E50)</f>
        <v>11009907.289949996</v>
      </c>
      <c r="P51" s="15"/>
      <c r="AG51">
        <v>51</v>
      </c>
      <c r="AI51" s="63" t="s">
        <v>403</v>
      </c>
    </row>
    <row r="52" spans="3:38" x14ac:dyDescent="0.25">
      <c r="AG52">
        <v>52</v>
      </c>
      <c r="AH52" s="63" t="s">
        <v>327</v>
      </c>
      <c r="AI52" t="s">
        <v>910</v>
      </c>
      <c r="AJ52" t="s">
        <v>458</v>
      </c>
      <c r="AK52" t="s">
        <v>449</v>
      </c>
      <c r="AL52" t="s">
        <v>451</v>
      </c>
    </row>
    <row r="53" spans="3:38" x14ac:dyDescent="0.25">
      <c r="AG53">
        <v>53</v>
      </c>
      <c r="AH53">
        <v>1620</v>
      </c>
      <c r="AI53" s="34">
        <v>176306.66666666666</v>
      </c>
      <c r="AJ53" s="34">
        <v>949951.1675499999</v>
      </c>
      <c r="AK53" s="15">
        <v>31.266666666666666</v>
      </c>
      <c r="AL53" s="15">
        <v>26.576666666666668</v>
      </c>
    </row>
    <row r="54" spans="3:38" x14ac:dyDescent="0.25">
      <c r="E54" s="15"/>
      <c r="AG54">
        <v>54</v>
      </c>
      <c r="AH54">
        <v>1630</v>
      </c>
      <c r="AI54" s="34">
        <v>280236.68599999999</v>
      </c>
      <c r="AJ54" s="34">
        <v>2045560.5365882097</v>
      </c>
      <c r="AK54" s="15">
        <v>48.316670000000002</v>
      </c>
      <c r="AL54" s="15">
        <v>41.069169500000001</v>
      </c>
    </row>
    <row r="55" spans="3:38" x14ac:dyDescent="0.25">
      <c r="AG55">
        <v>55</v>
      </c>
      <c r="AH55">
        <v>1650</v>
      </c>
      <c r="AI55" s="34">
        <v>142725</v>
      </c>
      <c r="AJ55" s="34">
        <v>297179.70974999998</v>
      </c>
      <c r="AK55" s="15">
        <v>8.25</v>
      </c>
      <c r="AL55" s="15">
        <v>7.0125000000000002</v>
      </c>
    </row>
    <row r="56" spans="3:38" x14ac:dyDescent="0.25">
      <c r="AG56">
        <v>56</v>
      </c>
      <c r="AH56">
        <v>2180</v>
      </c>
      <c r="AI56" s="34">
        <v>776767.46616666671</v>
      </c>
      <c r="AJ56" s="34">
        <v>3641473.0281143822</v>
      </c>
      <c r="AK56" s="15">
        <v>82.19166083333333</v>
      </c>
      <c r="AL56" s="15">
        <v>69.767703374999996</v>
      </c>
    </row>
    <row r="57" spans="3:38" x14ac:dyDescent="0.25">
      <c r="AG57">
        <v>57</v>
      </c>
      <c r="AH57">
        <v>2193</v>
      </c>
      <c r="AI57" s="34">
        <v>296234.96520000004</v>
      </c>
      <c r="AJ57" s="34">
        <v>2003771.7941543919</v>
      </c>
      <c r="AK57" s="15">
        <v>51.07499399999999</v>
      </c>
      <c r="AL57" s="15">
        <v>43.172078400000004</v>
      </c>
    </row>
    <row r="58" spans="3:38" x14ac:dyDescent="0.25">
      <c r="AG58">
        <v>58</v>
      </c>
      <c r="AH58">
        <v>2340</v>
      </c>
      <c r="AI58" s="34">
        <v>113462.5</v>
      </c>
      <c r="AJ58" s="34">
        <v>644038.299</v>
      </c>
      <c r="AK58" s="15">
        <v>19.5625</v>
      </c>
      <c r="AL58" s="15">
        <v>16.625</v>
      </c>
    </row>
    <row r="59" spans="3:38" x14ac:dyDescent="0.25">
      <c r="AG59">
        <v>59</v>
      </c>
      <c r="AH59">
        <v>2500</v>
      </c>
      <c r="AI59" s="34">
        <v>7350</v>
      </c>
      <c r="AJ59" s="34">
        <v>25196.184843750001</v>
      </c>
      <c r="AK59" s="15">
        <v>0.75</v>
      </c>
      <c r="AL59" s="15">
        <v>0.63749999999999996</v>
      </c>
    </row>
    <row r="60" spans="3:38" x14ac:dyDescent="0.25">
      <c r="AG60">
        <v>60</v>
      </c>
      <c r="AH60">
        <v>5740</v>
      </c>
      <c r="AI60" s="34">
        <v>513597.02109090897</v>
      </c>
      <c r="AJ60" s="34">
        <v>2802690.9161912282</v>
      </c>
      <c r="AK60" s="15">
        <v>63.365003636363639</v>
      </c>
      <c r="AL60" s="15">
        <v>53.860253090909083</v>
      </c>
    </row>
    <row r="61" spans="3:38" x14ac:dyDescent="0.25">
      <c r="AG61">
        <v>61</v>
      </c>
      <c r="AH61" t="s">
        <v>772</v>
      </c>
      <c r="AI61" s="34">
        <v>2306680.3051242423</v>
      </c>
      <c r="AJ61" s="34">
        <v>12409861.636191962</v>
      </c>
      <c r="AK61" s="15">
        <v>304.77749513636365</v>
      </c>
      <c r="AL61" s="15">
        <v>258.72087103257576</v>
      </c>
    </row>
    <row r="62" spans="3:38" x14ac:dyDescent="0.25">
      <c r="AG62">
        <v>62</v>
      </c>
    </row>
    <row r="63" spans="3:38" x14ac:dyDescent="0.25">
      <c r="AG63">
        <v>63</v>
      </c>
    </row>
    <row r="64" spans="3:38" x14ac:dyDescent="0.25">
      <c r="AG64">
        <v>64</v>
      </c>
    </row>
    <row r="65" spans="33:33" x14ac:dyDescent="0.25">
      <c r="AG65">
        <v>65</v>
      </c>
    </row>
    <row r="66" spans="33:33" x14ac:dyDescent="0.25">
      <c r="AG66">
        <v>66</v>
      </c>
    </row>
    <row r="67" spans="33:33" x14ac:dyDescent="0.25">
      <c r="AG67">
        <v>67</v>
      </c>
    </row>
    <row r="68" spans="33:33" x14ac:dyDescent="0.25">
      <c r="AG68">
        <v>68</v>
      </c>
    </row>
    <row r="69" spans="33:33" x14ac:dyDescent="0.25">
      <c r="AG69">
        <v>69</v>
      </c>
    </row>
    <row r="70" spans="33:33" x14ac:dyDescent="0.25">
      <c r="AG70">
        <v>70</v>
      </c>
    </row>
    <row r="71" spans="33:33" x14ac:dyDescent="0.25">
      <c r="AG71">
        <v>71</v>
      </c>
    </row>
    <row r="72" spans="33:33" x14ac:dyDescent="0.25">
      <c r="AG72">
        <v>72</v>
      </c>
    </row>
    <row r="73" spans="33:33" x14ac:dyDescent="0.25">
      <c r="AG73">
        <v>73</v>
      </c>
    </row>
    <row r="74" spans="33:33" x14ac:dyDescent="0.25">
      <c r="AG74">
        <v>74</v>
      </c>
    </row>
    <row r="75" spans="33:33" x14ac:dyDescent="0.25">
      <c r="AG75">
        <v>75</v>
      </c>
    </row>
    <row r="76" spans="33:33" x14ac:dyDescent="0.25">
      <c r="AG76">
        <v>76</v>
      </c>
    </row>
    <row r="77" spans="33:33" x14ac:dyDescent="0.25">
      <c r="AG77">
        <v>77</v>
      </c>
    </row>
    <row r="78" spans="33:33" x14ac:dyDescent="0.25">
      <c r="AG78">
        <v>78</v>
      </c>
    </row>
    <row r="79" spans="33:33" x14ac:dyDescent="0.25">
      <c r="AG79">
        <v>79</v>
      </c>
    </row>
    <row r="80" spans="33:33" x14ac:dyDescent="0.25">
      <c r="AG80">
        <v>80</v>
      </c>
    </row>
    <row r="81" spans="33:33" x14ac:dyDescent="0.25">
      <c r="AG81">
        <v>81</v>
      </c>
    </row>
    <row r="82" spans="33:33" x14ac:dyDescent="0.25">
      <c r="AG82">
        <v>82</v>
      </c>
    </row>
    <row r="83" spans="33:33" x14ac:dyDescent="0.25">
      <c r="AG83">
        <v>83</v>
      </c>
    </row>
    <row r="84" spans="33:33" x14ac:dyDescent="0.25">
      <c r="AG84">
        <v>84</v>
      </c>
    </row>
    <row r="85" spans="33:33" x14ac:dyDescent="0.25">
      <c r="AG85">
        <v>85</v>
      </c>
    </row>
    <row r="86" spans="33:33" x14ac:dyDescent="0.25">
      <c r="AG86">
        <v>86</v>
      </c>
    </row>
    <row r="87" spans="33:33" x14ac:dyDescent="0.25">
      <c r="AG87">
        <v>87</v>
      </c>
    </row>
    <row r="88" spans="33:33" x14ac:dyDescent="0.25">
      <c r="AG88">
        <v>88</v>
      </c>
    </row>
    <row r="89" spans="33:33" x14ac:dyDescent="0.25">
      <c r="AG89">
        <v>89</v>
      </c>
    </row>
  </sheetData>
  <sheetProtection sheet="1" objects="1" scenarios="1"/>
  <mergeCells count="1">
    <mergeCell ref="U5:W5"/>
  </mergeCells>
  <pageMargins left="0.35433070866141736" right="0.35433070866141736" top="0.98425196850393704" bottom="0.98425196850393704" header="0.51181102362204722" footer="0.51181102362204722"/>
  <pageSetup paperSize="9" scale="59" orientation="landscape" r:id="rId4"/>
  <headerFooter alignWithMargins="0">
    <oddFooter>&amp;L&amp;F&amp;C&amp;A&amp;R&amp;D</oddFooter>
  </headerFooter>
  <legacyDrawing r:id="rId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Y73"/>
  <sheetViews>
    <sheetView workbookViewId="0"/>
  </sheetViews>
  <sheetFormatPr defaultRowHeight="15" x14ac:dyDescent="0.25"/>
  <cols>
    <col min="1" max="2" width="11.5703125" customWidth="1"/>
    <col min="3" max="3" width="34.5703125" customWidth="1"/>
    <col min="4" max="4" width="17" customWidth="1"/>
    <col min="5" max="5" width="16.85546875" customWidth="1"/>
    <col min="6" max="6" width="4.42578125" customWidth="1"/>
    <col min="8" max="8" width="13.42578125" customWidth="1"/>
    <col min="9" max="9" width="3.42578125" customWidth="1"/>
    <col min="10" max="10" width="6.5703125" customWidth="1"/>
    <col min="11" max="11" width="13.85546875" customWidth="1"/>
    <col min="12" max="12" width="19" customWidth="1"/>
    <col min="13" max="13" width="5" customWidth="1"/>
    <col min="14" max="14" width="32.42578125" customWidth="1"/>
    <col min="15" max="15" width="12.5703125" customWidth="1"/>
    <col min="16" max="17" width="13.85546875" customWidth="1"/>
    <col min="18" max="18" width="82.85546875" customWidth="1"/>
    <col min="19" max="19" width="8" customWidth="1"/>
    <col min="20" max="20" width="30.85546875" customWidth="1"/>
    <col min="21" max="21" width="13.85546875" customWidth="1"/>
    <col min="22" max="22" width="12.42578125" customWidth="1"/>
    <col min="24" max="25" width="14.28515625" customWidth="1"/>
  </cols>
  <sheetData>
    <row r="1" spans="1:25" ht="28.5" customHeight="1" x14ac:dyDescent="0.25">
      <c r="C1" s="39" t="s">
        <v>321</v>
      </c>
      <c r="L1" s="511" t="s">
        <v>420</v>
      </c>
      <c r="M1" s="511"/>
      <c r="N1" s="512"/>
      <c r="O1" s="18"/>
      <c r="P1" s="18"/>
      <c r="Q1" s="18"/>
    </row>
    <row r="2" spans="1:25" ht="27.75" customHeight="1" x14ac:dyDescent="0.3">
      <c r="C2" s="160" t="s">
        <v>2176</v>
      </c>
      <c r="D2" s="160"/>
      <c r="L2" s="511" t="s">
        <v>421</v>
      </c>
      <c r="M2" s="511"/>
      <c r="N2" s="512"/>
      <c r="O2" s="18"/>
      <c r="P2" s="18"/>
      <c r="Q2" s="18"/>
    </row>
    <row r="3" spans="1:25" ht="27.75" customHeight="1" x14ac:dyDescent="0.25">
      <c r="A3" s="18"/>
      <c r="B3" s="18"/>
      <c r="O3" s="598"/>
      <c r="P3" s="599"/>
      <c r="Q3" s="599"/>
      <c r="R3" s="599"/>
      <c r="S3" s="599"/>
      <c r="T3" s="599"/>
    </row>
    <row r="4" spans="1:25" ht="51.75" customHeight="1" x14ac:dyDescent="0.25">
      <c r="A4" s="27" t="s">
        <v>71</v>
      </c>
      <c r="B4" s="27" t="s">
        <v>808</v>
      </c>
      <c r="C4" s="27" t="s">
        <v>35</v>
      </c>
      <c r="D4" s="544" t="s">
        <v>2177</v>
      </c>
      <c r="E4" s="162" t="s">
        <v>2178</v>
      </c>
      <c r="G4" s="161" t="s">
        <v>423</v>
      </c>
      <c r="H4" s="161" t="s">
        <v>424</v>
      </c>
      <c r="I4" s="161"/>
      <c r="J4" s="161" t="s">
        <v>425</v>
      </c>
      <c r="K4" s="540" t="s">
        <v>2179</v>
      </c>
      <c r="L4" s="425" t="s">
        <v>2180</v>
      </c>
      <c r="M4" s="161" t="s">
        <v>428</v>
      </c>
      <c r="N4" s="161" t="s">
        <v>426</v>
      </c>
      <c r="O4" s="247"/>
      <c r="P4" s="255"/>
      <c r="Q4" s="255"/>
      <c r="T4" s="64" t="s">
        <v>462</v>
      </c>
    </row>
    <row r="5" spans="1:25" ht="22.5" customHeight="1" x14ac:dyDescent="0.25">
      <c r="O5" s="18"/>
      <c r="P5" s="18"/>
      <c r="Q5" s="18"/>
      <c r="T5">
        <v>2019</v>
      </c>
      <c r="U5" t="s">
        <v>375</v>
      </c>
      <c r="V5" t="s">
        <v>149</v>
      </c>
      <c r="X5" s="49" t="s">
        <v>453</v>
      </c>
      <c r="Y5" t="s">
        <v>452</v>
      </c>
    </row>
    <row r="6" spans="1:25" ht="22.5" customHeight="1" x14ac:dyDescent="0.25">
      <c r="A6" s="198" t="s">
        <v>410</v>
      </c>
      <c r="B6" s="198">
        <v>1620</v>
      </c>
      <c r="C6" s="199" t="s">
        <v>176</v>
      </c>
      <c r="D6" s="200">
        <f>U6</f>
        <v>9318601.930947002</v>
      </c>
      <c r="E6" s="200">
        <f>V6</f>
        <v>1590604.9806666665</v>
      </c>
      <c r="F6" s="201"/>
      <c r="G6" s="201">
        <v>3094</v>
      </c>
      <c r="H6" s="201">
        <v>162000100</v>
      </c>
      <c r="I6" s="201"/>
      <c r="J6" s="201">
        <v>11</v>
      </c>
      <c r="K6" s="26">
        <f>VLOOKUP(B6,'Utfördelat tom nov'!$A$3:$L$28,12,FALSE)</f>
        <v>10536259.960536722</v>
      </c>
      <c r="L6" s="200">
        <f>(D6+E6-K6)</f>
        <v>372946.95107694715</v>
      </c>
      <c r="M6" s="201" t="s">
        <v>809</v>
      </c>
      <c r="N6" s="201" t="s">
        <v>427</v>
      </c>
      <c r="O6" s="64"/>
      <c r="P6" s="81"/>
      <c r="Q6" s="120"/>
      <c r="S6" s="64">
        <v>1620</v>
      </c>
      <c r="T6" s="81" t="s">
        <v>176</v>
      </c>
      <c r="U6" s="15">
        <v>9318601.930947002</v>
      </c>
      <c r="V6" s="15">
        <v>1590604.9806666665</v>
      </c>
      <c r="X6" s="15">
        <v>1590604.9806666665</v>
      </c>
      <c r="Y6" s="15">
        <v>9318601.930947002</v>
      </c>
    </row>
    <row r="7" spans="1:25" ht="22.5" customHeight="1" x14ac:dyDescent="0.25">
      <c r="A7" s="201"/>
      <c r="B7" s="201"/>
      <c r="C7" s="198"/>
      <c r="D7" s="201"/>
      <c r="E7" s="201"/>
      <c r="F7" s="201"/>
      <c r="G7" s="201">
        <v>3094</v>
      </c>
      <c r="H7" s="201">
        <v>600011100</v>
      </c>
      <c r="I7" s="201"/>
      <c r="J7" s="201">
        <v>11</v>
      </c>
      <c r="K7" s="26"/>
      <c r="L7" s="200">
        <f>L6</f>
        <v>372946.95107694715</v>
      </c>
      <c r="M7" s="201" t="s">
        <v>810</v>
      </c>
      <c r="N7" s="201" t="s">
        <v>427</v>
      </c>
      <c r="O7" s="18"/>
      <c r="P7" s="81"/>
      <c r="Q7" s="120"/>
      <c r="S7" s="18">
        <v>1630</v>
      </c>
      <c r="T7" s="81" t="s">
        <v>172</v>
      </c>
      <c r="U7" s="15">
        <v>5611661.8808057923</v>
      </c>
      <c r="V7" s="15">
        <v>773166.68599999999</v>
      </c>
      <c r="X7" s="15">
        <v>773166.68599999999</v>
      </c>
      <c r="Y7" s="15">
        <v>5611661.8808057923</v>
      </c>
    </row>
    <row r="8" spans="1:25" ht="22.5" customHeight="1" x14ac:dyDescent="0.25">
      <c r="A8" s="201"/>
      <c r="B8" s="201">
        <v>1630</v>
      </c>
      <c r="C8" s="199" t="s">
        <v>172</v>
      </c>
      <c r="D8" s="200">
        <f>U7</f>
        <v>5611661.8808057923</v>
      </c>
      <c r="E8" s="200">
        <f>V7</f>
        <v>773166.68599999999</v>
      </c>
      <c r="F8" s="201"/>
      <c r="G8" s="201">
        <v>3094</v>
      </c>
      <c r="H8" s="205">
        <v>163000100</v>
      </c>
      <c r="I8" s="201"/>
      <c r="J8" s="201">
        <v>11</v>
      </c>
      <c r="K8" s="26">
        <f>VLOOKUP(B8,'Utfördelat tom nov'!$A$3:$L$28,12,FALSE)</f>
        <v>6074279.0982614774</v>
      </c>
      <c r="L8" s="200">
        <f>(D8+E8-K8)</f>
        <v>310549.46854431462</v>
      </c>
      <c r="M8" s="201" t="s">
        <v>809</v>
      </c>
      <c r="N8" s="201" t="s">
        <v>427</v>
      </c>
      <c r="O8" s="18"/>
      <c r="P8" s="81"/>
      <c r="Q8" s="120"/>
      <c r="S8" s="18">
        <v>1640</v>
      </c>
      <c r="T8" s="81" t="s">
        <v>173</v>
      </c>
      <c r="U8" s="15">
        <v>1649900.4879632099</v>
      </c>
      <c r="V8" s="15">
        <v>252686.68599999999</v>
      </c>
      <c r="X8" s="15">
        <v>252686.68599999999</v>
      </c>
      <c r="Y8" s="15">
        <v>1649900.4879632099</v>
      </c>
    </row>
    <row r="9" spans="1:25" ht="22.5" customHeight="1" x14ac:dyDescent="0.25">
      <c r="A9" s="201"/>
      <c r="B9" s="201"/>
      <c r="C9" s="198"/>
      <c r="D9" s="201"/>
      <c r="E9" s="201"/>
      <c r="F9" s="201"/>
      <c r="G9" s="201">
        <v>3094</v>
      </c>
      <c r="H9" s="201">
        <v>600011100</v>
      </c>
      <c r="I9" s="201"/>
      <c r="J9" s="201">
        <v>11</v>
      </c>
      <c r="K9" s="26"/>
      <c r="L9" s="200">
        <f>L8</f>
        <v>310549.46854431462</v>
      </c>
      <c r="M9" s="201" t="s">
        <v>810</v>
      </c>
      <c r="N9" s="201" t="s">
        <v>427</v>
      </c>
      <c r="O9" s="159"/>
      <c r="P9" s="81"/>
      <c r="Q9" s="120"/>
      <c r="S9" s="240">
        <v>1650</v>
      </c>
      <c r="T9" s="241" t="s">
        <v>11</v>
      </c>
      <c r="U9" s="242">
        <v>11461126.077449996</v>
      </c>
      <c r="V9" s="242">
        <v>6414100</v>
      </c>
      <c r="X9" s="15">
        <v>6414100</v>
      </c>
      <c r="Y9" s="15">
        <v>11461126.077449996</v>
      </c>
    </row>
    <row r="10" spans="1:25" ht="22.5" customHeight="1" x14ac:dyDescent="0.25">
      <c r="A10" s="201"/>
      <c r="B10" s="201">
        <v>1640</v>
      </c>
      <c r="C10" s="202" t="s">
        <v>173</v>
      </c>
      <c r="D10" s="200">
        <f>U8</f>
        <v>1649900.4879632099</v>
      </c>
      <c r="E10" s="200">
        <f>V8</f>
        <v>252686.68599999999</v>
      </c>
      <c r="F10" s="201"/>
      <c r="G10" s="201">
        <v>3094</v>
      </c>
      <c r="H10" s="201">
        <v>164016100</v>
      </c>
      <c r="I10" s="201"/>
      <c r="J10" s="201">
        <v>11</v>
      </c>
      <c r="K10" s="26">
        <f>VLOOKUP(B10,'Utfördelat tom nov'!$A$3:$L$28,12,FALSE)</f>
        <v>1813514.9751134138</v>
      </c>
      <c r="L10" s="200">
        <f>(D10+E10-K10)</f>
        <v>89072.198849796085</v>
      </c>
      <c r="M10" s="201" t="s">
        <v>809</v>
      </c>
      <c r="N10" s="201" t="s">
        <v>427</v>
      </c>
      <c r="O10" s="120"/>
      <c r="P10" s="120"/>
      <c r="Q10" s="120"/>
      <c r="T10" s="39" t="s">
        <v>466</v>
      </c>
      <c r="U10" s="243">
        <v>-451218.78749999992</v>
      </c>
      <c r="V10" s="243">
        <v>-712212.5</v>
      </c>
      <c r="X10" s="15">
        <v>-712212.5</v>
      </c>
      <c r="Y10" s="15">
        <v>-451218.78749999992</v>
      </c>
    </row>
    <row r="11" spans="1:25" ht="22.5" customHeight="1" x14ac:dyDescent="0.25">
      <c r="A11" s="201"/>
      <c r="B11" s="201"/>
      <c r="C11" s="198"/>
      <c r="D11" s="201"/>
      <c r="E11" s="201"/>
      <c r="F11" s="201"/>
      <c r="G11" s="201">
        <v>3094</v>
      </c>
      <c r="H11" s="201">
        <v>600011100</v>
      </c>
      <c r="I11" s="201"/>
      <c r="J11" s="201">
        <v>11</v>
      </c>
      <c r="K11" s="26"/>
      <c r="L11" s="200">
        <f>L10</f>
        <v>89072.198849796085</v>
      </c>
      <c r="M11" s="201" t="s">
        <v>810</v>
      </c>
      <c r="N11" s="201" t="s">
        <v>427</v>
      </c>
      <c r="O11" s="120"/>
      <c r="P11" s="120"/>
      <c r="Q11" s="120"/>
      <c r="X11" s="15">
        <v>9030558.3526666667</v>
      </c>
      <c r="Y11" s="15">
        <v>28041290.377165999</v>
      </c>
    </row>
    <row r="12" spans="1:25" ht="22.5" customHeight="1" x14ac:dyDescent="0.25">
      <c r="A12" s="201"/>
      <c r="B12" s="205">
        <v>1650</v>
      </c>
      <c r="C12" s="202" t="s">
        <v>11</v>
      </c>
      <c r="D12" s="206">
        <f>U9+U10</f>
        <v>11009907.289949996</v>
      </c>
      <c r="E12" s="206">
        <f>V9+V10</f>
        <v>5701887.5</v>
      </c>
      <c r="F12" s="205"/>
      <c r="G12" s="205">
        <v>3094</v>
      </c>
      <c r="H12" s="205">
        <v>165000001</v>
      </c>
      <c r="I12" s="205"/>
      <c r="J12" s="205">
        <v>11</v>
      </c>
      <c r="K12" s="26">
        <f>VLOOKUP(B12,'Utfördelat tom nov'!$A$3:$L$28,12,FALSE)</f>
        <v>16884210.636424944</v>
      </c>
      <c r="L12" s="200">
        <f>(D12+E12-K12)</f>
        <v>-172415.84647494741</v>
      </c>
      <c r="M12" s="580" t="s">
        <v>810</v>
      </c>
      <c r="N12" s="205" t="s">
        <v>427</v>
      </c>
      <c r="O12" s="120"/>
      <c r="P12" s="120"/>
      <c r="Q12" s="120"/>
      <c r="R12" s="39"/>
      <c r="X12" s="15"/>
      <c r="Y12" s="15"/>
    </row>
    <row r="13" spans="1:25" ht="22.5" customHeight="1" x14ac:dyDescent="0.25">
      <c r="A13" s="201"/>
      <c r="B13" s="205"/>
      <c r="C13" s="202"/>
      <c r="D13" s="205"/>
      <c r="E13" s="205"/>
      <c r="F13" s="205"/>
      <c r="G13" s="205">
        <v>3094</v>
      </c>
      <c r="H13" s="205">
        <v>600011100</v>
      </c>
      <c r="I13" s="205"/>
      <c r="J13" s="205">
        <v>11</v>
      </c>
      <c r="K13" s="26"/>
      <c r="L13" s="206">
        <f>L12</f>
        <v>-172415.84647494741</v>
      </c>
      <c r="M13" s="580" t="s">
        <v>809</v>
      </c>
      <c r="N13" s="205" t="s">
        <v>427</v>
      </c>
      <c r="O13" s="120"/>
      <c r="P13" s="120"/>
      <c r="Q13" s="120"/>
    </row>
    <row r="14" spans="1:25" ht="22.5" customHeight="1" x14ac:dyDescent="0.25">
      <c r="A14" s="513"/>
      <c r="B14" s="513"/>
      <c r="C14" s="513"/>
      <c r="D14" s="513"/>
      <c r="E14" s="513"/>
      <c r="F14" s="513"/>
      <c r="G14" s="513"/>
      <c r="H14" s="513"/>
      <c r="I14" s="513"/>
      <c r="J14" s="513"/>
      <c r="K14" s="514"/>
      <c r="L14" s="515"/>
      <c r="M14" s="513"/>
      <c r="N14" s="513"/>
      <c r="O14" s="120"/>
      <c r="P14" s="120"/>
      <c r="Q14" s="120"/>
    </row>
    <row r="15" spans="1:25" ht="22.5" customHeight="1" x14ac:dyDescent="0.25">
      <c r="A15" s="198"/>
      <c r="K15" s="26"/>
      <c r="O15" s="120"/>
      <c r="P15" s="120"/>
      <c r="Q15" s="120"/>
      <c r="T15">
        <v>2019</v>
      </c>
      <c r="U15" t="s">
        <v>375</v>
      </c>
      <c r="V15" t="s">
        <v>149</v>
      </c>
      <c r="X15" s="15" t="s">
        <v>453</v>
      </c>
      <c r="Y15" s="15" t="s">
        <v>452</v>
      </c>
    </row>
    <row r="16" spans="1:25" ht="22.5" customHeight="1" x14ac:dyDescent="0.25">
      <c r="A16" s="201" t="s">
        <v>411</v>
      </c>
      <c r="B16" s="201">
        <v>2180</v>
      </c>
      <c r="C16" s="199" t="s">
        <v>192</v>
      </c>
      <c r="D16" s="200">
        <f>U16</f>
        <v>12557965.463274051</v>
      </c>
      <c r="E16" s="203">
        <f>V16</f>
        <v>2522163.2886878783</v>
      </c>
      <c r="F16" s="201"/>
      <c r="G16" s="201">
        <v>3094</v>
      </c>
      <c r="H16" s="205">
        <v>218000101</v>
      </c>
      <c r="I16" s="201"/>
      <c r="J16" s="201">
        <v>11</v>
      </c>
      <c r="K16" s="26">
        <f>VLOOKUP(B16,'Utfördelat tom nov'!$A$3:$L$28,10,FALSE)</f>
        <v>12255700.9318639</v>
      </c>
      <c r="L16" s="200">
        <f>(D16-K16)</f>
        <v>302264.53141015023</v>
      </c>
      <c r="M16" s="201" t="s">
        <v>809</v>
      </c>
      <c r="N16" s="201" t="s">
        <v>464</v>
      </c>
      <c r="O16" s="18"/>
      <c r="P16" s="120"/>
      <c r="Q16" s="254"/>
      <c r="S16" s="18">
        <v>2180</v>
      </c>
      <c r="T16" s="81" t="s">
        <v>192</v>
      </c>
      <c r="U16" s="15">
        <v>12557965.463274051</v>
      </c>
      <c r="V16" s="15">
        <v>2522163.2886878783</v>
      </c>
      <c r="X16" s="15">
        <v>2522163.2886878783</v>
      </c>
      <c r="Y16" s="15">
        <v>12557965.463274051</v>
      </c>
    </row>
    <row r="17" spans="1:25" ht="22.5" customHeight="1" x14ac:dyDescent="0.25">
      <c r="B17" s="201"/>
      <c r="C17" s="202"/>
      <c r="D17" s="200"/>
      <c r="E17" s="203"/>
      <c r="F17" s="201"/>
      <c r="G17" s="201">
        <v>3094</v>
      </c>
      <c r="H17" s="201">
        <v>600011100</v>
      </c>
      <c r="I17" s="201"/>
      <c r="J17" s="201">
        <v>11</v>
      </c>
      <c r="K17" s="26"/>
      <c r="L17" s="200">
        <f>L16</f>
        <v>302264.53141015023</v>
      </c>
      <c r="M17" s="201" t="s">
        <v>810</v>
      </c>
      <c r="N17" s="201" t="s">
        <v>464</v>
      </c>
      <c r="O17" s="18"/>
      <c r="P17" s="120"/>
      <c r="S17" s="18">
        <v>2193</v>
      </c>
      <c r="T17" s="81" t="s">
        <v>1121</v>
      </c>
      <c r="U17" s="15">
        <v>16688310.176696433</v>
      </c>
      <c r="V17" s="15">
        <v>2528936.566787879</v>
      </c>
      <c r="X17" s="15">
        <v>2528936.566787879</v>
      </c>
      <c r="Y17" s="15">
        <v>16688310.176696433</v>
      </c>
    </row>
    <row r="18" spans="1:25" ht="22.5" customHeight="1" x14ac:dyDescent="0.25">
      <c r="B18" s="201">
        <v>2193</v>
      </c>
      <c r="C18" s="199" t="s">
        <v>441</v>
      </c>
      <c r="D18" s="200">
        <f>U17</f>
        <v>16688310.176696433</v>
      </c>
      <c r="E18" s="203">
        <f>V17</f>
        <v>2528936.566787879</v>
      </c>
      <c r="F18" s="201"/>
      <c r="G18" s="201">
        <v>3094</v>
      </c>
      <c r="H18" s="201">
        <v>219300001</v>
      </c>
      <c r="I18" s="201"/>
      <c r="J18" s="201">
        <v>11</v>
      </c>
      <c r="K18" s="26">
        <f>VLOOKUP(B18,'Utfördelat tom nov'!$A$3:$L$28,10,FALSE)</f>
        <v>17395986.9584722</v>
      </c>
      <c r="L18" s="200">
        <f>(D18-K18)</f>
        <v>-707676.78177576698</v>
      </c>
      <c r="M18" s="580" t="s">
        <v>810</v>
      </c>
      <c r="N18" s="201" t="s">
        <v>464</v>
      </c>
      <c r="O18" s="18"/>
      <c r="P18" s="120"/>
      <c r="Q18" s="254"/>
      <c r="S18" s="18">
        <v>2200</v>
      </c>
      <c r="T18" s="81" t="s">
        <v>194</v>
      </c>
      <c r="U18" s="15">
        <v>1692065.4375845031</v>
      </c>
      <c r="V18" s="15">
        <v>243454.98646666668</v>
      </c>
      <c r="X18" s="15">
        <v>243454.98646666668</v>
      </c>
      <c r="Y18" s="15">
        <v>1692065.4375845031</v>
      </c>
    </row>
    <row r="19" spans="1:25" ht="22.5" customHeight="1" x14ac:dyDescent="0.25">
      <c r="B19" s="201"/>
      <c r="C19" s="198"/>
      <c r="D19" s="201"/>
      <c r="E19" s="204"/>
      <c r="F19" s="201"/>
      <c r="G19" s="201">
        <v>3094</v>
      </c>
      <c r="H19" s="201">
        <v>600011100</v>
      </c>
      <c r="I19" s="201"/>
      <c r="J19" s="201">
        <v>11</v>
      </c>
      <c r="K19" s="26"/>
      <c r="L19" s="200">
        <f>L18</f>
        <v>-707676.78177576698</v>
      </c>
      <c r="M19" s="580" t="s">
        <v>809</v>
      </c>
      <c r="N19" s="201" t="s">
        <v>464</v>
      </c>
      <c r="O19" s="159"/>
      <c r="P19" s="120"/>
      <c r="Q19" s="254"/>
      <c r="S19" s="159">
        <v>2220</v>
      </c>
      <c r="T19" s="81" t="s">
        <v>195</v>
      </c>
      <c r="U19" s="15">
        <v>106506.74340000001</v>
      </c>
      <c r="V19" s="15">
        <v>20880</v>
      </c>
      <c r="X19" s="15">
        <v>20880</v>
      </c>
      <c r="Y19" s="15">
        <v>106506.74340000001</v>
      </c>
    </row>
    <row r="20" spans="1:25" ht="22.5" customHeight="1" x14ac:dyDescent="0.25">
      <c r="A20" s="201"/>
      <c r="B20" s="201">
        <v>2200</v>
      </c>
      <c r="C20" s="199" t="s">
        <v>574</v>
      </c>
      <c r="D20" s="200">
        <f>U18</f>
        <v>1692065.4375845031</v>
      </c>
      <c r="E20" s="203">
        <f>V18</f>
        <v>243454.98646666668</v>
      </c>
      <c r="F20" s="201"/>
      <c r="G20" s="201">
        <v>3094</v>
      </c>
      <c r="H20" s="201">
        <v>220000100</v>
      </c>
      <c r="I20" s="201"/>
      <c r="J20" s="201">
        <v>11</v>
      </c>
      <c r="K20" s="26">
        <f>VLOOKUP(B20,'Utfördelat tom nov'!$A$3:$L$28,10,FALSE)</f>
        <v>1629470.5477465475</v>
      </c>
      <c r="L20" s="200">
        <f>(D20-K20)</f>
        <v>62594.88983795559</v>
      </c>
      <c r="M20" s="201" t="s">
        <v>809</v>
      </c>
      <c r="N20" s="201" t="s">
        <v>464</v>
      </c>
      <c r="O20" s="18"/>
      <c r="P20" s="120"/>
      <c r="Q20" s="254"/>
      <c r="S20" s="18">
        <v>2271</v>
      </c>
      <c r="T20" s="81" t="s">
        <v>1384</v>
      </c>
      <c r="U20" s="15">
        <v>249322.1700675</v>
      </c>
      <c r="V20" s="15">
        <v>47241</v>
      </c>
      <c r="X20" s="15">
        <v>47241</v>
      </c>
      <c r="Y20" s="15">
        <v>249322.1700675</v>
      </c>
    </row>
    <row r="21" spans="1:25" ht="22.5" customHeight="1" x14ac:dyDescent="0.25">
      <c r="A21" s="201"/>
      <c r="B21" s="201"/>
      <c r="C21" s="198"/>
      <c r="D21" s="201"/>
      <c r="E21" s="204"/>
      <c r="F21" s="201"/>
      <c r="G21" s="201">
        <v>3094</v>
      </c>
      <c r="H21" s="201">
        <v>600011100</v>
      </c>
      <c r="I21" s="201"/>
      <c r="J21" s="201">
        <v>11</v>
      </c>
      <c r="K21" s="26"/>
      <c r="L21" s="200">
        <f>L20</f>
        <v>62594.88983795559</v>
      </c>
      <c r="M21" s="201" t="s">
        <v>810</v>
      </c>
      <c r="N21" s="201" t="s">
        <v>464</v>
      </c>
      <c r="O21" s="516"/>
      <c r="P21" s="120"/>
      <c r="Q21" s="254"/>
      <c r="S21" s="516">
        <v>2272</v>
      </c>
      <c r="T21" s="81" t="s">
        <v>200</v>
      </c>
      <c r="U21" s="15">
        <v>378065.36235000001</v>
      </c>
      <c r="V21" s="15">
        <v>49010</v>
      </c>
      <c r="X21" s="15">
        <v>49010</v>
      </c>
      <c r="Y21" s="15">
        <v>378065.36235000001</v>
      </c>
    </row>
    <row r="22" spans="1:25" ht="22.5" customHeight="1" x14ac:dyDescent="0.25">
      <c r="A22" s="201"/>
      <c r="B22" s="201">
        <v>2220</v>
      </c>
      <c r="C22" s="199" t="s">
        <v>195</v>
      </c>
      <c r="D22" s="200">
        <f>U19</f>
        <v>106506.74340000001</v>
      </c>
      <c r="E22" s="203">
        <f>V19</f>
        <v>20880</v>
      </c>
      <c r="F22" s="201"/>
      <c r="G22" s="201">
        <v>3094</v>
      </c>
      <c r="H22" s="201">
        <v>222000100</v>
      </c>
      <c r="I22" s="201"/>
      <c r="J22" s="201">
        <v>11</v>
      </c>
      <c r="K22" s="26">
        <f>VLOOKUP(B22,'Utfördelat tom nov'!$A$3:$L$28,10,FALSE)</f>
        <v>114606.042107143</v>
      </c>
      <c r="L22" s="200">
        <f>(D22-K22)</f>
        <v>-8099.2987071429961</v>
      </c>
      <c r="M22" s="580" t="s">
        <v>810</v>
      </c>
      <c r="N22" s="201" t="s">
        <v>464</v>
      </c>
      <c r="O22" s="159"/>
      <c r="P22" s="120"/>
      <c r="Q22" s="254"/>
      <c r="S22" s="159">
        <v>2300</v>
      </c>
      <c r="T22" s="81" t="s">
        <v>197</v>
      </c>
      <c r="U22" s="15">
        <v>624693.61404603813</v>
      </c>
      <c r="V22" s="15">
        <v>80992.17018181819</v>
      </c>
      <c r="X22" s="15">
        <v>80992.17018181819</v>
      </c>
      <c r="Y22" s="15">
        <v>624693.61404603813</v>
      </c>
    </row>
    <row r="23" spans="1:25" ht="22.5" customHeight="1" x14ac:dyDescent="0.25">
      <c r="A23" s="201"/>
      <c r="B23" s="201"/>
      <c r="C23" s="202"/>
      <c r="F23" s="201"/>
      <c r="G23" s="201">
        <v>3094</v>
      </c>
      <c r="H23" s="201">
        <v>600011100</v>
      </c>
      <c r="I23" s="201"/>
      <c r="J23" s="201">
        <v>11</v>
      </c>
      <c r="K23" s="26"/>
      <c r="L23" s="200">
        <f>L22</f>
        <v>-8099.2987071429961</v>
      </c>
      <c r="M23" s="580" t="s">
        <v>809</v>
      </c>
      <c r="N23" s="201" t="s">
        <v>464</v>
      </c>
      <c r="O23" s="18"/>
      <c r="P23" s="120"/>
      <c r="Q23" s="254"/>
      <c r="S23" s="18">
        <v>2340</v>
      </c>
      <c r="T23" s="81" t="s">
        <v>198</v>
      </c>
      <c r="U23" s="15">
        <v>1567389.273404222</v>
      </c>
      <c r="V23" s="15">
        <v>262860.8198</v>
      </c>
      <c r="X23" s="15">
        <v>262860.8198</v>
      </c>
      <c r="Y23" s="15">
        <v>1567389.273404222</v>
      </c>
    </row>
    <row r="24" spans="1:25" ht="22.5" customHeight="1" x14ac:dyDescent="0.25">
      <c r="B24" s="201">
        <v>2271</v>
      </c>
      <c r="C24" s="202" t="s">
        <v>1384</v>
      </c>
      <c r="D24" s="200">
        <f>U20</f>
        <v>249322.1700675</v>
      </c>
      <c r="E24" s="203">
        <f>V20</f>
        <v>47241</v>
      </c>
      <c r="G24" s="205">
        <v>3094</v>
      </c>
      <c r="H24" s="205">
        <v>227100100</v>
      </c>
      <c r="J24" s="201">
        <v>11</v>
      </c>
      <c r="K24" s="26">
        <f>VLOOKUP(B24,'Utfördelat tom nov'!$A$3:$L$28,10,FALSE)</f>
        <v>225609.9006514881</v>
      </c>
      <c r="L24" s="200">
        <f>(D24-K24)</f>
        <v>23712.269416011899</v>
      </c>
      <c r="M24" s="201" t="s">
        <v>809</v>
      </c>
      <c r="N24" s="201" t="s">
        <v>464</v>
      </c>
      <c r="O24" s="516"/>
      <c r="P24" s="120"/>
      <c r="Q24" s="254"/>
      <c r="S24" s="516">
        <v>2360</v>
      </c>
      <c r="T24" s="81" t="s">
        <v>199</v>
      </c>
      <c r="U24" s="15">
        <v>175440.27454499999</v>
      </c>
      <c r="V24" s="15">
        <v>34394</v>
      </c>
      <c r="X24" s="15">
        <v>34394</v>
      </c>
      <c r="Y24" s="15">
        <v>175440.27454499999</v>
      </c>
    </row>
    <row r="25" spans="1:25" ht="22.5" customHeight="1" x14ac:dyDescent="0.25">
      <c r="G25" s="205">
        <v>3094</v>
      </c>
      <c r="H25" s="205">
        <v>600011100</v>
      </c>
      <c r="J25" s="201">
        <v>11</v>
      </c>
      <c r="K25" s="26"/>
      <c r="L25" s="200">
        <f>L24</f>
        <v>23712.269416011899</v>
      </c>
      <c r="M25" s="201" t="s">
        <v>810</v>
      </c>
      <c r="N25" s="201" t="s">
        <v>464</v>
      </c>
      <c r="O25" s="516"/>
      <c r="P25" s="120"/>
      <c r="Q25" s="254"/>
      <c r="S25" s="516">
        <v>2500</v>
      </c>
      <c r="T25" s="81" t="s">
        <v>2096</v>
      </c>
      <c r="U25" s="15">
        <v>206586.59878125001</v>
      </c>
      <c r="V25" s="15">
        <v>49041.666666666664</v>
      </c>
      <c r="X25" s="15">
        <v>49041.666666666664</v>
      </c>
      <c r="Y25" s="15">
        <v>206586.59878125001</v>
      </c>
    </row>
    <row r="26" spans="1:25" ht="22.5" customHeight="1" x14ac:dyDescent="0.25">
      <c r="A26" s="201"/>
      <c r="B26" s="201">
        <v>2272</v>
      </c>
      <c r="C26" s="199" t="s">
        <v>200</v>
      </c>
      <c r="D26" s="200">
        <f>U21</f>
        <v>378065.36235000001</v>
      </c>
      <c r="E26" s="203">
        <f>V21</f>
        <v>49010</v>
      </c>
      <c r="F26" s="201"/>
      <c r="G26" s="201">
        <v>3094</v>
      </c>
      <c r="H26" s="205">
        <v>227200100</v>
      </c>
      <c r="I26" s="201"/>
      <c r="J26" s="201">
        <v>11</v>
      </c>
      <c r="K26" s="26">
        <f>VLOOKUP(B26,'Utfördelat tom nov'!$A$3:$L$28,10,FALSE)</f>
        <v>375005.54137819097</v>
      </c>
      <c r="L26" s="200">
        <f>(D26-K26)</f>
        <v>3059.8209718090366</v>
      </c>
      <c r="M26" s="201" t="s">
        <v>809</v>
      </c>
      <c r="N26" s="201" t="s">
        <v>464</v>
      </c>
      <c r="O26" s="516"/>
      <c r="P26" s="120"/>
      <c r="Q26" s="254"/>
      <c r="S26" s="516">
        <v>2750</v>
      </c>
      <c r="T26" s="81" t="s">
        <v>205</v>
      </c>
      <c r="U26" s="15">
        <v>2255650.9517125003</v>
      </c>
      <c r="V26" s="15">
        <v>997462.5</v>
      </c>
      <c r="X26" s="15">
        <v>997462.5</v>
      </c>
      <c r="Y26" s="15">
        <v>2255650.9517125003</v>
      </c>
    </row>
    <row r="27" spans="1:25" ht="22.5" customHeight="1" x14ac:dyDescent="0.25">
      <c r="A27" s="201"/>
      <c r="G27" s="201">
        <v>3094</v>
      </c>
      <c r="H27" s="201">
        <v>600011100</v>
      </c>
      <c r="J27" s="201">
        <v>11</v>
      </c>
      <c r="K27" s="26"/>
      <c r="L27" s="200">
        <f>L26</f>
        <v>3059.8209718090366</v>
      </c>
      <c r="M27" s="201" t="s">
        <v>810</v>
      </c>
      <c r="N27" s="201" t="s">
        <v>464</v>
      </c>
      <c r="O27" s="120"/>
      <c r="P27" s="120"/>
      <c r="Q27" s="254"/>
      <c r="X27" s="15"/>
      <c r="Y27" s="15"/>
    </row>
    <row r="28" spans="1:25" ht="22.5" customHeight="1" x14ac:dyDescent="0.25">
      <c r="B28" s="201">
        <v>2300</v>
      </c>
      <c r="C28" s="199" t="s">
        <v>915</v>
      </c>
      <c r="D28" s="200">
        <f>U22</f>
        <v>624693.61404603813</v>
      </c>
      <c r="E28" s="203">
        <f>V22</f>
        <v>80992.17018181819</v>
      </c>
      <c r="F28" s="201"/>
      <c r="G28" s="201">
        <v>3094</v>
      </c>
      <c r="H28" s="205">
        <v>230000100</v>
      </c>
      <c r="I28" s="201"/>
      <c r="J28" s="201">
        <v>11</v>
      </c>
      <c r="K28" s="26">
        <f>VLOOKUP(B28,'Utfördelat tom nov'!$A$3:$L$28,10,FALSE)</f>
        <v>594177.31812101195</v>
      </c>
      <c r="L28" s="200">
        <f>(D28-K28)</f>
        <v>30516.295925026177</v>
      </c>
      <c r="M28" s="201" t="s">
        <v>809</v>
      </c>
      <c r="N28" s="201" t="s">
        <v>464</v>
      </c>
      <c r="O28" s="120"/>
      <c r="P28" s="120"/>
      <c r="Q28" s="254"/>
      <c r="X28" s="15">
        <v>6836436.9985909089</v>
      </c>
      <c r="Y28" s="15">
        <v>36501996.065861493</v>
      </c>
    </row>
    <row r="29" spans="1:25" ht="22.5" customHeight="1" x14ac:dyDescent="0.25">
      <c r="G29" s="201">
        <v>3094</v>
      </c>
      <c r="H29" s="201">
        <v>600011100</v>
      </c>
      <c r="J29" s="201">
        <v>11</v>
      </c>
      <c r="K29" s="26"/>
      <c r="L29" s="200">
        <f>L28</f>
        <v>30516.295925026177</v>
      </c>
      <c r="M29" s="201" t="s">
        <v>810</v>
      </c>
      <c r="N29" s="201" t="s">
        <v>464</v>
      </c>
      <c r="O29" s="120"/>
      <c r="P29" s="120"/>
      <c r="Q29" s="254"/>
      <c r="X29" s="15"/>
      <c r="Y29" s="15"/>
    </row>
    <row r="30" spans="1:25" ht="22.5" customHeight="1" x14ac:dyDescent="0.25">
      <c r="A30" s="201"/>
      <c r="B30" s="201">
        <v>2340</v>
      </c>
      <c r="C30" s="199" t="s">
        <v>198</v>
      </c>
      <c r="D30" s="206">
        <f>U23</f>
        <v>1567389.273404222</v>
      </c>
      <c r="E30" s="207">
        <f>V23</f>
        <v>262860.8198</v>
      </c>
      <c r="F30" s="201"/>
      <c r="G30" s="201">
        <v>3094</v>
      </c>
      <c r="H30" s="201">
        <v>234000100</v>
      </c>
      <c r="I30" s="201"/>
      <c r="J30" s="201">
        <v>11</v>
      </c>
      <c r="K30" s="26">
        <f>VLOOKUP(B30,'Utfördelat tom nov'!$A$3:$L$28,10,FALSE)</f>
        <v>1426573.1940506501</v>
      </c>
      <c r="L30" s="200">
        <f>(D30-K30)</f>
        <v>140816.07935357187</v>
      </c>
      <c r="M30" s="201" t="s">
        <v>809</v>
      </c>
      <c r="N30" s="201" t="s">
        <v>464</v>
      </c>
      <c r="O30" s="120"/>
      <c r="P30" s="120"/>
      <c r="Q30" s="254"/>
    </row>
    <row r="31" spans="1:25" ht="22.5" customHeight="1" x14ac:dyDescent="0.25">
      <c r="A31" s="201"/>
      <c r="B31" s="201"/>
      <c r="C31" s="198"/>
      <c r="D31" s="201"/>
      <c r="E31" s="204"/>
      <c r="F31" s="201"/>
      <c r="G31" s="201">
        <v>3094</v>
      </c>
      <c r="H31" s="201">
        <v>600011100</v>
      </c>
      <c r="I31" s="201"/>
      <c r="J31" s="201">
        <v>11</v>
      </c>
      <c r="K31" s="26"/>
      <c r="L31" s="200">
        <f>L30</f>
        <v>140816.07935357187</v>
      </c>
      <c r="M31" s="201" t="s">
        <v>810</v>
      </c>
      <c r="N31" s="201" t="s">
        <v>464</v>
      </c>
      <c r="O31" s="120"/>
      <c r="P31" s="120"/>
      <c r="Q31" s="254"/>
    </row>
    <row r="32" spans="1:25" ht="22.5" customHeight="1" x14ac:dyDescent="0.25">
      <c r="A32" s="201"/>
      <c r="B32" s="201">
        <v>2360</v>
      </c>
      <c r="C32" s="199" t="s">
        <v>575</v>
      </c>
      <c r="D32" s="200">
        <f>U24</f>
        <v>175440.27454499999</v>
      </c>
      <c r="E32" s="203">
        <f>V24</f>
        <v>34394</v>
      </c>
      <c r="F32" s="201"/>
      <c r="G32" s="205">
        <v>3094</v>
      </c>
      <c r="H32" s="201">
        <v>236000100</v>
      </c>
      <c r="I32" s="201"/>
      <c r="J32" s="201">
        <v>11</v>
      </c>
      <c r="K32" s="26">
        <f>VLOOKUP(B32,'Utfördelat tom nov'!$A$3:$L$28,10,FALSE)</f>
        <v>160599.97273839285</v>
      </c>
      <c r="L32" s="200">
        <f>(D32-K32)</f>
        <v>14840.301806607138</v>
      </c>
      <c r="M32" s="201" t="s">
        <v>809</v>
      </c>
      <c r="N32" s="201" t="s">
        <v>464</v>
      </c>
      <c r="O32" s="120"/>
      <c r="P32" s="120"/>
      <c r="Q32" s="254"/>
      <c r="S32" s="164"/>
      <c r="T32" s="164"/>
      <c r="U32" s="164"/>
    </row>
    <row r="33" spans="1:25" ht="22.5" customHeight="1" x14ac:dyDescent="0.25">
      <c r="A33" s="201"/>
      <c r="G33" s="205">
        <v>3094</v>
      </c>
      <c r="H33" s="201">
        <v>600011100</v>
      </c>
      <c r="J33" s="201">
        <v>11</v>
      </c>
      <c r="K33" s="26"/>
      <c r="L33" s="200">
        <f>L32</f>
        <v>14840.301806607138</v>
      </c>
      <c r="M33" s="201" t="s">
        <v>810</v>
      </c>
      <c r="N33" s="201" t="s">
        <v>464</v>
      </c>
      <c r="O33" s="120"/>
      <c r="P33" s="120"/>
      <c r="Q33" s="254"/>
    </row>
    <row r="34" spans="1:25" ht="22.5" customHeight="1" x14ac:dyDescent="0.25">
      <c r="A34" s="201"/>
      <c r="B34" s="201">
        <v>2500</v>
      </c>
      <c r="C34" s="199" t="s">
        <v>2096</v>
      </c>
      <c r="D34" s="200">
        <f>U25</f>
        <v>206586.59878125001</v>
      </c>
      <c r="E34" s="203">
        <f>V25</f>
        <v>49041.666666666664</v>
      </c>
      <c r="F34" s="201"/>
      <c r="G34" s="201">
        <v>3094</v>
      </c>
      <c r="H34" s="201">
        <v>250000010</v>
      </c>
      <c r="I34" s="201"/>
      <c r="J34" s="201">
        <v>11</v>
      </c>
      <c r="K34" s="26">
        <f>VLOOKUP(B34,'Utfördelat tom nov'!$A$3:$L$28,10,FALSE)</f>
        <v>197280.40534970199</v>
      </c>
      <c r="L34" s="200">
        <f>(D34-K34)</f>
        <v>9306.1934315480175</v>
      </c>
      <c r="M34" s="201" t="s">
        <v>809</v>
      </c>
      <c r="N34" s="201" t="s">
        <v>464</v>
      </c>
      <c r="O34" s="120"/>
      <c r="P34" s="120"/>
      <c r="Q34" s="254"/>
    </row>
    <row r="35" spans="1:25" ht="22.5" customHeight="1" x14ac:dyDescent="0.25">
      <c r="A35" s="201"/>
      <c r="G35" s="201">
        <v>3094</v>
      </c>
      <c r="H35" s="201">
        <v>600011100</v>
      </c>
      <c r="J35" s="201">
        <v>11</v>
      </c>
      <c r="K35" s="26"/>
      <c r="L35" s="200">
        <f>L34</f>
        <v>9306.1934315480175</v>
      </c>
      <c r="M35" s="201" t="s">
        <v>810</v>
      </c>
      <c r="N35" s="201" t="s">
        <v>464</v>
      </c>
      <c r="O35" s="120"/>
      <c r="P35" s="120"/>
      <c r="Q35" s="254"/>
    </row>
    <row r="36" spans="1:25" ht="22.5" customHeight="1" x14ac:dyDescent="0.25">
      <c r="A36" s="201"/>
      <c r="B36" s="201">
        <v>2750</v>
      </c>
      <c r="C36" s="199" t="s">
        <v>205</v>
      </c>
      <c r="D36" s="200">
        <f>U26</f>
        <v>2255650.9517125003</v>
      </c>
      <c r="E36" s="203">
        <f>V26</f>
        <v>997462.5</v>
      </c>
      <c r="F36" s="201"/>
      <c r="G36" s="201">
        <v>3094</v>
      </c>
      <c r="H36" s="201">
        <v>275000100</v>
      </c>
      <c r="I36" s="201"/>
      <c r="J36" s="201">
        <v>11</v>
      </c>
      <c r="K36" s="26">
        <f>VLOOKUP(B36,'Utfördelat tom nov'!$A$3:$L$28,10,FALSE)</f>
        <v>2036661.24051786</v>
      </c>
      <c r="L36" s="200">
        <f>(D36-K36)</f>
        <v>218989.71119464026</v>
      </c>
      <c r="M36" s="201" t="s">
        <v>809</v>
      </c>
      <c r="N36" s="201" t="s">
        <v>464</v>
      </c>
      <c r="O36" s="120"/>
      <c r="P36" s="120"/>
      <c r="Q36" s="254"/>
    </row>
    <row r="37" spans="1:25" ht="22.5" customHeight="1" x14ac:dyDescent="0.25">
      <c r="A37" s="201"/>
      <c r="B37" s="201"/>
      <c r="C37" s="198"/>
      <c r="D37" s="201"/>
      <c r="E37" s="204"/>
      <c r="F37" s="201"/>
      <c r="G37" s="201">
        <v>3094</v>
      </c>
      <c r="H37" s="201">
        <v>600011100</v>
      </c>
      <c r="I37" s="201"/>
      <c r="J37" s="201">
        <v>11</v>
      </c>
      <c r="K37" s="26"/>
      <c r="L37" s="200">
        <f>L36</f>
        <v>218989.71119464026</v>
      </c>
      <c r="M37" s="201" t="s">
        <v>810</v>
      </c>
      <c r="N37" s="201" t="s">
        <v>464</v>
      </c>
      <c r="O37" s="120"/>
      <c r="P37" s="120"/>
      <c r="Q37" s="254"/>
    </row>
    <row r="38" spans="1:25" ht="22.5" customHeight="1" x14ac:dyDescent="0.25">
      <c r="A38" s="198"/>
      <c r="B38" s="198">
        <v>2000</v>
      </c>
      <c r="C38" s="202" t="s">
        <v>463</v>
      </c>
      <c r="D38" s="198"/>
      <c r="E38" s="208">
        <f>SUM(E16:E37)</f>
        <v>6836436.9985909089</v>
      </c>
      <c r="F38" s="198"/>
      <c r="G38" s="198">
        <v>3094</v>
      </c>
      <c r="H38" s="198">
        <v>200000001</v>
      </c>
      <c r="I38" s="198"/>
      <c r="J38" s="201">
        <v>11</v>
      </c>
      <c r="K38" s="26">
        <f>VLOOKUP(B38,'Utfördelat tom nov'!$A$3:$L$28,11,FALSE)</f>
        <v>6773365.7273809556</v>
      </c>
      <c r="L38" s="200">
        <f>(E38-K38)</f>
        <v>63071.271209953353</v>
      </c>
      <c r="M38" s="201" t="s">
        <v>809</v>
      </c>
      <c r="N38" s="198" t="s">
        <v>404</v>
      </c>
      <c r="O38" s="120"/>
      <c r="P38" s="120"/>
      <c r="Q38" s="254"/>
    </row>
    <row r="39" spans="1:25" ht="22.5" customHeight="1" x14ac:dyDescent="0.25">
      <c r="G39" s="239">
        <v>3094</v>
      </c>
      <c r="H39" s="201">
        <v>600011100</v>
      </c>
      <c r="J39" s="201">
        <v>11</v>
      </c>
      <c r="K39" s="26"/>
      <c r="L39" s="200">
        <f>L38</f>
        <v>63071.271209953353</v>
      </c>
      <c r="M39" s="201" t="s">
        <v>810</v>
      </c>
      <c r="N39" s="198" t="s">
        <v>404</v>
      </c>
      <c r="O39" s="120"/>
      <c r="P39" s="120"/>
      <c r="Q39" s="120"/>
    </row>
    <row r="40" spans="1:25" ht="22.5" customHeight="1" x14ac:dyDescent="0.25">
      <c r="A40" s="513"/>
      <c r="B40" s="513"/>
      <c r="C40" s="517"/>
      <c r="D40" s="513"/>
      <c r="E40" s="518"/>
      <c r="F40" s="513"/>
      <c r="G40" s="513"/>
      <c r="H40" s="513"/>
      <c r="I40" s="513"/>
      <c r="J40" s="513"/>
      <c r="K40" s="514"/>
      <c r="L40" s="519"/>
      <c r="M40" s="513"/>
      <c r="N40" s="513"/>
      <c r="O40" s="120"/>
      <c r="P40" s="120"/>
      <c r="Q40" s="120"/>
    </row>
    <row r="41" spans="1:25" ht="22.5" customHeight="1" x14ac:dyDescent="0.25">
      <c r="A41" s="198"/>
      <c r="K41" s="26"/>
      <c r="O41" s="120"/>
      <c r="P41" s="120"/>
      <c r="Q41" s="120"/>
      <c r="T41">
        <v>2019</v>
      </c>
      <c r="U41" t="s">
        <v>375</v>
      </c>
      <c r="V41" t="s">
        <v>149</v>
      </c>
      <c r="X41" s="15" t="s">
        <v>453</v>
      </c>
      <c r="Y41" s="15" t="s">
        <v>452</v>
      </c>
    </row>
    <row r="42" spans="1:25" ht="22.5" customHeight="1" x14ac:dyDescent="0.25">
      <c r="A42" s="198" t="s">
        <v>413</v>
      </c>
      <c r="B42" s="201">
        <v>3306</v>
      </c>
      <c r="C42" s="199" t="s">
        <v>242</v>
      </c>
      <c r="D42" s="209">
        <f>U42</f>
        <v>450114.94893750001</v>
      </c>
      <c r="E42" s="209">
        <f>V42</f>
        <v>232875</v>
      </c>
      <c r="F42" s="198"/>
      <c r="G42" s="239">
        <v>3094</v>
      </c>
      <c r="H42" s="239">
        <v>330600100</v>
      </c>
      <c r="I42" s="239"/>
      <c r="J42" s="239">
        <v>11</v>
      </c>
      <c r="K42" s="26">
        <f>VLOOKUP(B42,'Utfördelat tom nov'!$A$3:$L$28,12,FALSE)</f>
        <v>685700.01642857143</v>
      </c>
      <c r="L42" s="200">
        <f>(D42+E42-K42)</f>
        <v>-2710.0674910714151</v>
      </c>
      <c r="M42" s="580" t="s">
        <v>810</v>
      </c>
      <c r="N42" s="198" t="s">
        <v>427</v>
      </c>
      <c r="O42" s="120"/>
      <c r="P42" s="120"/>
      <c r="Q42" s="120"/>
      <c r="S42" s="64">
        <v>3306</v>
      </c>
      <c r="T42" s="81" t="s">
        <v>242</v>
      </c>
      <c r="U42" s="15">
        <v>450114.94893750001</v>
      </c>
      <c r="V42" s="15">
        <v>232875</v>
      </c>
      <c r="X42" s="15">
        <v>232875</v>
      </c>
      <c r="Y42" s="15">
        <v>450114.94893750001</v>
      </c>
    </row>
    <row r="43" spans="1:25" ht="22.5" customHeight="1" x14ac:dyDescent="0.25">
      <c r="B43" s="201"/>
      <c r="C43" s="199"/>
      <c r="G43" s="239">
        <v>3094</v>
      </c>
      <c r="H43" s="201">
        <v>600011100</v>
      </c>
      <c r="J43" s="239">
        <v>11</v>
      </c>
      <c r="K43" s="26"/>
      <c r="L43" s="209">
        <f>L42</f>
        <v>-2710.0674910714151</v>
      </c>
      <c r="M43" s="580" t="s">
        <v>809</v>
      </c>
      <c r="N43" s="198" t="s">
        <v>427</v>
      </c>
      <c r="O43" s="120"/>
      <c r="P43" s="120"/>
      <c r="Q43" s="120"/>
      <c r="S43">
        <v>3850</v>
      </c>
      <c r="T43" s="81" t="s">
        <v>813</v>
      </c>
      <c r="U43" s="15">
        <v>127581.774875</v>
      </c>
      <c r="V43" s="15">
        <v>66125</v>
      </c>
      <c r="X43" s="15">
        <v>66125</v>
      </c>
      <c r="Y43" s="15">
        <v>127581.774875</v>
      </c>
    </row>
    <row r="44" spans="1:25" ht="22.5" customHeight="1" x14ac:dyDescent="0.25">
      <c r="B44" s="201">
        <v>3850</v>
      </c>
      <c r="C44" s="81" t="s">
        <v>813</v>
      </c>
      <c r="D44" s="209">
        <f>U43</f>
        <v>127581.774875</v>
      </c>
      <c r="E44" s="209">
        <f>V43</f>
        <v>66125</v>
      </c>
      <c r="G44" s="239">
        <v>3094</v>
      </c>
      <c r="H44" s="520">
        <v>385000002</v>
      </c>
      <c r="J44" s="239">
        <v>11</v>
      </c>
      <c r="K44" s="26">
        <f>VLOOKUP(B44,'Utfördelat tom nov'!$A$3:$L$28,12,FALSE)</f>
        <v>172431.769047618</v>
      </c>
      <c r="L44" s="200">
        <f>(D44+E44-K44)</f>
        <v>21275.005827382003</v>
      </c>
      <c r="M44" s="201" t="s">
        <v>809</v>
      </c>
      <c r="N44" s="198" t="s">
        <v>427</v>
      </c>
      <c r="O44" s="120"/>
      <c r="P44" s="120"/>
      <c r="Q44" s="120"/>
      <c r="T44" s="81"/>
      <c r="X44" s="15"/>
      <c r="Y44" s="15"/>
    </row>
    <row r="45" spans="1:25" ht="22.5" customHeight="1" x14ac:dyDescent="0.25">
      <c r="G45" s="239">
        <v>3094</v>
      </c>
      <c r="H45" s="201">
        <v>600011100</v>
      </c>
      <c r="J45" s="239">
        <v>11</v>
      </c>
      <c r="K45" s="26"/>
      <c r="L45" s="209">
        <f>L44</f>
        <v>21275.005827382003</v>
      </c>
      <c r="M45" s="201" t="s">
        <v>810</v>
      </c>
      <c r="N45" s="198" t="s">
        <v>427</v>
      </c>
      <c r="O45" s="120"/>
      <c r="P45" s="120"/>
      <c r="Q45" s="120"/>
      <c r="X45" s="15">
        <v>299000</v>
      </c>
      <c r="Y45" s="15">
        <v>577696.72381250001</v>
      </c>
    </row>
    <row r="46" spans="1:25" ht="22.5" customHeight="1" x14ac:dyDescent="0.25">
      <c r="A46" s="513"/>
      <c r="B46" s="513"/>
      <c r="C46" s="521"/>
      <c r="D46" s="519"/>
      <c r="E46" s="519"/>
      <c r="F46" s="513"/>
      <c r="G46" s="522"/>
      <c r="H46" s="522"/>
      <c r="I46" s="522"/>
      <c r="J46" s="522"/>
      <c r="K46" s="514"/>
      <c r="L46" s="519"/>
      <c r="M46" s="513"/>
      <c r="N46" s="513"/>
      <c r="O46" s="120"/>
      <c r="P46" s="120"/>
      <c r="Q46" s="120"/>
      <c r="X46" s="15"/>
      <c r="Y46" s="15"/>
    </row>
    <row r="47" spans="1:25" ht="22.5" customHeight="1" x14ac:dyDescent="0.25">
      <c r="K47" s="26"/>
      <c r="O47" s="120"/>
      <c r="P47" s="120"/>
      <c r="Q47" s="120"/>
      <c r="S47" s="120"/>
      <c r="T47">
        <v>2019</v>
      </c>
      <c r="U47" t="s">
        <v>375</v>
      </c>
      <c r="V47" t="s">
        <v>149</v>
      </c>
      <c r="X47" s="15" t="s">
        <v>453</v>
      </c>
      <c r="Y47" s="15" t="s">
        <v>452</v>
      </c>
    </row>
    <row r="48" spans="1:25" ht="22.5" customHeight="1" x14ac:dyDescent="0.25">
      <c r="A48" s="201" t="s">
        <v>465</v>
      </c>
      <c r="B48" s="201">
        <v>5100</v>
      </c>
      <c r="C48" s="199" t="s">
        <v>164</v>
      </c>
      <c r="D48" s="278">
        <f>U48</f>
        <v>711792.04734374979</v>
      </c>
      <c r="E48" s="278">
        <f>V48</f>
        <v>312550</v>
      </c>
      <c r="G48" s="239">
        <v>3094</v>
      </c>
      <c r="H48" s="205">
        <v>510010100</v>
      </c>
      <c r="J48" s="239">
        <v>11</v>
      </c>
      <c r="K48" s="26">
        <f>VLOOKUP(B48,'Utfördelat tom nov'!$A$3:$L$28,12,FALSE)</f>
        <v>932951.35999256</v>
      </c>
      <c r="L48" s="200">
        <f>(D48+E48-K48)</f>
        <v>91390.687351189787</v>
      </c>
      <c r="M48" s="239" t="s">
        <v>809</v>
      </c>
      <c r="N48" s="198" t="s">
        <v>427</v>
      </c>
      <c r="P48" s="120"/>
      <c r="Q48" s="120"/>
      <c r="S48">
        <v>5100</v>
      </c>
      <c r="T48" s="81" t="s">
        <v>164</v>
      </c>
      <c r="U48" s="15">
        <v>711792.04734374979</v>
      </c>
      <c r="V48" s="15">
        <v>312550</v>
      </c>
      <c r="X48" s="15">
        <v>312550</v>
      </c>
      <c r="Y48" s="15">
        <v>711792.04734374979</v>
      </c>
    </row>
    <row r="49" spans="1:25" ht="22.5" customHeight="1" x14ac:dyDescent="0.25">
      <c r="G49" s="239">
        <v>3094</v>
      </c>
      <c r="H49" s="205">
        <v>600011100</v>
      </c>
      <c r="J49" s="239">
        <v>11</v>
      </c>
      <c r="L49" s="209">
        <f>L48</f>
        <v>91390.687351189787</v>
      </c>
      <c r="M49" s="239" t="s">
        <v>810</v>
      </c>
      <c r="N49" s="198" t="s">
        <v>427</v>
      </c>
      <c r="P49" s="120"/>
      <c r="Q49" s="120"/>
      <c r="S49">
        <v>5160</v>
      </c>
      <c r="T49" s="81" t="s">
        <v>305</v>
      </c>
      <c r="U49" s="15">
        <v>110380.72499999999</v>
      </c>
      <c r="V49" s="15">
        <v>49050</v>
      </c>
      <c r="X49" s="15">
        <v>49050</v>
      </c>
      <c r="Y49" s="15">
        <v>110380.72499999999</v>
      </c>
    </row>
    <row r="50" spans="1:25" ht="22.5" customHeight="1" x14ac:dyDescent="0.25">
      <c r="B50" s="201">
        <v>5160</v>
      </c>
      <c r="C50" s="199" t="s">
        <v>305</v>
      </c>
      <c r="D50" s="278">
        <f>U49</f>
        <v>110380.72499999999</v>
      </c>
      <c r="E50" s="278">
        <f>V49</f>
        <v>49050</v>
      </c>
      <c r="G50" s="205">
        <v>3094</v>
      </c>
      <c r="H50" s="205">
        <v>516001100</v>
      </c>
      <c r="J50" s="239">
        <v>11</v>
      </c>
      <c r="K50" s="26">
        <f>VLOOKUP(B50,'Utfördelat tom nov'!$A$3:$L$28,12,FALSE)</f>
        <v>147196.8095238095</v>
      </c>
      <c r="L50" s="200">
        <f>(D50+E50-K50)</f>
        <v>12233.915476190479</v>
      </c>
      <c r="M50" s="239" t="s">
        <v>809</v>
      </c>
      <c r="N50" s="198" t="s">
        <v>427</v>
      </c>
      <c r="O50" s="18"/>
      <c r="P50" s="120"/>
      <c r="Q50" s="120"/>
      <c r="S50">
        <v>5400</v>
      </c>
      <c r="T50" s="81" t="s">
        <v>308</v>
      </c>
      <c r="U50" s="15">
        <v>327582.80250000005</v>
      </c>
      <c r="V50" s="15">
        <v>147695</v>
      </c>
      <c r="X50" s="15">
        <v>147695</v>
      </c>
      <c r="Y50" s="15">
        <v>327582.80250000005</v>
      </c>
    </row>
    <row r="51" spans="1:25" ht="22.5" customHeight="1" x14ac:dyDescent="0.25">
      <c r="G51" s="205">
        <v>3094</v>
      </c>
      <c r="H51" s="205">
        <v>600011100</v>
      </c>
      <c r="I51" s="31"/>
      <c r="J51" s="239">
        <v>11</v>
      </c>
      <c r="L51" s="209">
        <f>L50</f>
        <v>12233.915476190479</v>
      </c>
      <c r="M51" s="239" t="s">
        <v>810</v>
      </c>
      <c r="N51" s="198" t="s">
        <v>427</v>
      </c>
      <c r="O51" s="18"/>
      <c r="P51" s="120"/>
      <c r="Q51" s="120"/>
      <c r="S51">
        <v>5410</v>
      </c>
      <c r="T51" s="81" t="s">
        <v>1096</v>
      </c>
      <c r="U51" s="15">
        <v>4905.8100000000004</v>
      </c>
      <c r="V51" s="15">
        <v>2180</v>
      </c>
      <c r="X51" s="15">
        <v>2180</v>
      </c>
      <c r="Y51" s="15">
        <v>4905.8100000000004</v>
      </c>
    </row>
    <row r="52" spans="1:25" ht="22.5" customHeight="1" x14ac:dyDescent="0.25">
      <c r="B52" s="205">
        <v>5400</v>
      </c>
      <c r="C52" s="202" t="s">
        <v>914</v>
      </c>
      <c r="D52" s="278">
        <f>U50</f>
        <v>327582.80250000005</v>
      </c>
      <c r="E52" s="278">
        <f>V50</f>
        <v>147695</v>
      </c>
      <c r="F52" s="31"/>
      <c r="G52" s="205">
        <v>3094</v>
      </c>
      <c r="H52" s="205">
        <v>540000100</v>
      </c>
      <c r="I52" s="31"/>
      <c r="J52" s="239">
        <v>11</v>
      </c>
      <c r="K52" s="26">
        <f>VLOOKUP(B52,'Utfördelat tom nov'!$A$3:$L$28,12,FALSE)</f>
        <v>358427.04345238104</v>
      </c>
      <c r="L52" s="200">
        <f>(D52+E52-K52)</f>
        <v>116850.75904761901</v>
      </c>
      <c r="M52" s="205" t="s">
        <v>809</v>
      </c>
      <c r="N52" s="239" t="s">
        <v>427</v>
      </c>
      <c r="O52" s="18"/>
      <c r="P52" s="120"/>
      <c r="Q52" s="120"/>
      <c r="S52" s="18">
        <v>5500</v>
      </c>
      <c r="T52" s="81" t="s">
        <v>165</v>
      </c>
      <c r="U52" s="15">
        <v>220761.44999999998</v>
      </c>
      <c r="V52" s="15">
        <v>98100</v>
      </c>
      <c r="X52" s="15">
        <v>98100</v>
      </c>
      <c r="Y52" s="15">
        <v>220761.44999999998</v>
      </c>
    </row>
    <row r="53" spans="1:25" ht="22.5" customHeight="1" x14ac:dyDescent="0.25">
      <c r="B53" s="205"/>
      <c r="C53" s="202"/>
      <c r="D53" s="205"/>
      <c r="E53" s="205"/>
      <c r="F53" s="31"/>
      <c r="G53" s="205">
        <v>3094</v>
      </c>
      <c r="H53" s="205">
        <v>600011100</v>
      </c>
      <c r="I53" s="31"/>
      <c r="J53" s="239">
        <v>11</v>
      </c>
      <c r="K53" s="279"/>
      <c r="L53" s="278">
        <f>L52</f>
        <v>116850.75904761901</v>
      </c>
      <c r="M53" s="205" t="s">
        <v>810</v>
      </c>
      <c r="N53" s="239" t="s">
        <v>427</v>
      </c>
      <c r="O53" s="120"/>
      <c r="P53" s="120"/>
      <c r="Q53" s="120"/>
      <c r="S53" s="159">
        <v>5700</v>
      </c>
      <c r="T53" s="81" t="s">
        <v>313</v>
      </c>
      <c r="U53" s="15">
        <v>6132.2624999999998</v>
      </c>
      <c r="V53" s="15">
        <v>2725</v>
      </c>
      <c r="X53" s="15">
        <v>2725</v>
      </c>
      <c r="Y53" s="15">
        <v>6132.2624999999998</v>
      </c>
    </row>
    <row r="54" spans="1:25" ht="22.5" customHeight="1" x14ac:dyDescent="0.25">
      <c r="B54" s="205">
        <v>5410</v>
      </c>
      <c r="C54" s="202" t="s">
        <v>1096</v>
      </c>
      <c r="D54" s="278">
        <f>U51</f>
        <v>4905.8100000000004</v>
      </c>
      <c r="E54" s="278">
        <f>V51</f>
        <v>2180</v>
      </c>
      <c r="F54" s="31"/>
      <c r="G54" s="205">
        <v>3094</v>
      </c>
      <c r="H54" s="205">
        <v>541000100</v>
      </c>
      <c r="I54" s="31"/>
      <c r="J54" s="239">
        <v>11</v>
      </c>
      <c r="K54" s="26">
        <f>VLOOKUP(B54,'Utfördelat tom nov'!$A$3:$L$28,12,FALSE)</f>
        <v>6918.390476190476</v>
      </c>
      <c r="L54" s="200">
        <f>(D54+E54-K54)</f>
        <v>167.41952380952443</v>
      </c>
      <c r="M54" s="205" t="s">
        <v>809</v>
      </c>
      <c r="N54" s="239" t="s">
        <v>427</v>
      </c>
      <c r="O54" s="120"/>
      <c r="P54" s="120"/>
      <c r="Q54" s="120"/>
      <c r="S54" s="18">
        <v>5730</v>
      </c>
      <c r="T54" s="81" t="s">
        <v>166</v>
      </c>
      <c r="U54" s="15">
        <v>1890917.0352499993</v>
      </c>
      <c r="V54" s="15">
        <v>780998.33333333337</v>
      </c>
      <c r="X54" s="15">
        <v>780998.33333333337</v>
      </c>
      <c r="Y54" s="15">
        <v>1890917.0352499993</v>
      </c>
    </row>
    <row r="55" spans="1:25" ht="22.5" customHeight="1" x14ac:dyDescent="0.25">
      <c r="B55" s="205"/>
      <c r="C55" s="202"/>
      <c r="D55" s="205"/>
      <c r="E55" s="205"/>
      <c r="F55" s="31"/>
      <c r="G55" s="205">
        <v>3094</v>
      </c>
      <c r="H55" s="205">
        <v>600011100</v>
      </c>
      <c r="I55" s="31"/>
      <c r="J55" s="239">
        <v>11</v>
      </c>
      <c r="K55" s="279"/>
      <c r="L55" s="278">
        <f>L54</f>
        <v>167.41952380952443</v>
      </c>
      <c r="M55" s="205" t="s">
        <v>810</v>
      </c>
      <c r="N55" s="239" t="s">
        <v>427</v>
      </c>
      <c r="O55" s="120"/>
      <c r="P55" s="120"/>
      <c r="Q55" s="120"/>
      <c r="S55" s="18">
        <v>5740</v>
      </c>
      <c r="T55" s="81" t="s">
        <v>461</v>
      </c>
      <c r="U55" s="15">
        <v>11014706.603904717</v>
      </c>
      <c r="V55" s="15">
        <v>3264799.6067424249</v>
      </c>
      <c r="X55" s="15">
        <v>3264799.6067424249</v>
      </c>
      <c r="Y55" s="15">
        <v>11014706.603904717</v>
      </c>
    </row>
    <row r="56" spans="1:25" ht="22.5" customHeight="1" x14ac:dyDescent="0.25">
      <c r="B56" s="205">
        <v>5500</v>
      </c>
      <c r="C56" s="202" t="s">
        <v>165</v>
      </c>
      <c r="D56" s="278">
        <f>U52</f>
        <v>220761.44999999998</v>
      </c>
      <c r="E56" s="278">
        <f>V52</f>
        <v>98100</v>
      </c>
      <c r="F56" s="205"/>
      <c r="G56" s="205">
        <v>3094</v>
      </c>
      <c r="H56" s="205">
        <v>550001100</v>
      </c>
      <c r="I56" s="205"/>
      <c r="J56" s="205">
        <v>11</v>
      </c>
      <c r="K56" s="26">
        <f>VLOOKUP(B56,'Utfördelat tom nov'!$A$3:$L$28,12,FALSE)</f>
        <v>288074.38690476189</v>
      </c>
      <c r="L56" s="200">
        <f>(D56+E56-K56)</f>
        <v>30787.06309523806</v>
      </c>
      <c r="M56" s="205" t="s">
        <v>809</v>
      </c>
      <c r="N56" s="205" t="s">
        <v>427</v>
      </c>
      <c r="O56" s="120"/>
      <c r="P56" s="120"/>
      <c r="Q56" s="120"/>
      <c r="X56" s="15"/>
      <c r="Y56" s="15"/>
    </row>
    <row r="57" spans="1:25" ht="22.5" customHeight="1" x14ac:dyDescent="0.25">
      <c r="A57" s="201"/>
      <c r="B57" s="205"/>
      <c r="C57" s="202"/>
      <c r="D57" s="205"/>
      <c r="E57" s="205"/>
      <c r="F57" s="205"/>
      <c r="G57" s="205">
        <v>3094</v>
      </c>
      <c r="H57" s="205">
        <v>600011100</v>
      </c>
      <c r="I57" s="205"/>
      <c r="J57" s="205">
        <v>11</v>
      </c>
      <c r="K57" s="279"/>
      <c r="L57" s="278">
        <f>L56</f>
        <v>30787.06309523806</v>
      </c>
      <c r="M57" s="205" t="s">
        <v>810</v>
      </c>
      <c r="N57" s="205" t="s">
        <v>427</v>
      </c>
      <c r="O57" s="163"/>
      <c r="P57" s="163"/>
      <c r="Q57" s="163"/>
      <c r="X57" s="15">
        <v>4658097.9400757588</v>
      </c>
      <c r="Y57" s="15">
        <v>14287178.736498466</v>
      </c>
    </row>
    <row r="58" spans="1:25" ht="22.5" customHeight="1" x14ac:dyDescent="0.25">
      <c r="B58" s="205">
        <v>5700</v>
      </c>
      <c r="C58" s="202" t="s">
        <v>313</v>
      </c>
      <c r="D58" s="278">
        <f>U53</f>
        <v>6132.2624999999998</v>
      </c>
      <c r="E58" s="278">
        <f>V53</f>
        <v>2725</v>
      </c>
      <c r="G58" s="205">
        <v>3094</v>
      </c>
      <c r="H58" s="205">
        <v>570001100</v>
      </c>
      <c r="J58" s="205">
        <v>11</v>
      </c>
      <c r="K58" s="26">
        <f>VLOOKUP(B58,'Utfördelat tom nov'!$A$3:$L$28,12,FALSE)</f>
        <v>86790.324404761908</v>
      </c>
      <c r="L58" s="200">
        <f>(D58+E58-K58)</f>
        <v>-77933.061904761911</v>
      </c>
      <c r="M58" s="580" t="s">
        <v>810</v>
      </c>
      <c r="N58" s="205" t="s">
        <v>427</v>
      </c>
      <c r="O58" s="120"/>
      <c r="P58" s="120"/>
      <c r="Q58" s="120"/>
      <c r="X58" s="49"/>
    </row>
    <row r="59" spans="1:25" ht="22.5" customHeight="1" x14ac:dyDescent="0.25">
      <c r="G59" s="205">
        <v>3094</v>
      </c>
      <c r="H59" s="205">
        <v>600011100</v>
      </c>
      <c r="I59" s="205"/>
      <c r="J59" s="205">
        <v>11</v>
      </c>
      <c r="L59" s="278">
        <f>L58</f>
        <v>-77933.061904761911</v>
      </c>
      <c r="M59" s="580" t="s">
        <v>809</v>
      </c>
      <c r="N59" s="205" t="s">
        <v>427</v>
      </c>
      <c r="O59" s="163"/>
      <c r="P59" s="163"/>
      <c r="Q59" s="163"/>
      <c r="X59" s="49"/>
    </row>
    <row r="60" spans="1:25" ht="22.5" customHeight="1" x14ac:dyDescent="0.25">
      <c r="A60" s="201"/>
      <c r="B60" s="201">
        <v>5730</v>
      </c>
      <c r="C60" s="199" t="s">
        <v>166</v>
      </c>
      <c r="D60" s="209">
        <f>U54</f>
        <v>1890917.0352499993</v>
      </c>
      <c r="E60" s="209">
        <f>V54</f>
        <v>780998.33333333337</v>
      </c>
      <c r="F60" s="201"/>
      <c r="G60" s="201">
        <v>3094</v>
      </c>
      <c r="H60" s="201">
        <v>573000111</v>
      </c>
      <c r="I60" s="201"/>
      <c r="J60" s="201">
        <v>11</v>
      </c>
      <c r="K60" s="26">
        <f>VLOOKUP(B60,'Utfördelat tom nov'!$A$3:$L$28,12,FALSE)</f>
        <v>2554941.34331151</v>
      </c>
      <c r="L60" s="200">
        <f>(D60+E60-K60)</f>
        <v>116974.0252718227</v>
      </c>
      <c r="M60" s="201" t="s">
        <v>809</v>
      </c>
      <c r="N60" s="201" t="s">
        <v>427</v>
      </c>
      <c r="O60" s="120"/>
      <c r="P60" s="120"/>
      <c r="Q60" s="120"/>
      <c r="X60" s="49"/>
    </row>
    <row r="61" spans="1:25" ht="22.5" customHeight="1" x14ac:dyDescent="0.25">
      <c r="A61" s="201"/>
      <c r="B61" s="201"/>
      <c r="C61" s="199"/>
      <c r="F61" s="201"/>
      <c r="G61" s="201">
        <v>3094</v>
      </c>
      <c r="H61" s="201">
        <v>600011100</v>
      </c>
      <c r="I61" s="201"/>
      <c r="J61" s="201">
        <v>11</v>
      </c>
      <c r="K61" s="26"/>
      <c r="L61" s="209">
        <f>L60</f>
        <v>116974.0252718227</v>
      </c>
      <c r="M61" s="201" t="s">
        <v>810</v>
      </c>
      <c r="N61" s="201" t="s">
        <v>427</v>
      </c>
      <c r="O61" s="120"/>
      <c r="P61" s="120"/>
      <c r="Q61" s="120"/>
      <c r="X61" s="49"/>
    </row>
    <row r="62" spans="1:25" ht="22.5" customHeight="1" x14ac:dyDescent="0.25">
      <c r="B62" s="201">
        <v>5740</v>
      </c>
      <c r="C62" s="199" t="s">
        <v>461</v>
      </c>
      <c r="D62" s="209">
        <f>U55</f>
        <v>11014706.603904717</v>
      </c>
      <c r="E62" s="209">
        <f>V55</f>
        <v>3264799.6067424249</v>
      </c>
      <c r="F62" s="201"/>
      <c r="G62" s="201">
        <v>3094</v>
      </c>
      <c r="H62" s="205">
        <v>574002011</v>
      </c>
      <c r="I62" s="201"/>
      <c r="J62" s="201">
        <v>11</v>
      </c>
      <c r="K62" s="26">
        <f>VLOOKUP(B62,'Utfördelat tom nov'!$A$3:$L$28,12,FALSE)</f>
        <v>13860257.678551219</v>
      </c>
      <c r="L62" s="200">
        <f>(D62+E62-K62)</f>
        <v>419248.53209592216</v>
      </c>
      <c r="M62" s="201" t="s">
        <v>809</v>
      </c>
      <c r="N62" s="201" t="s">
        <v>427</v>
      </c>
      <c r="O62" s="163"/>
      <c r="P62" s="163"/>
      <c r="Q62" s="163"/>
      <c r="X62" s="49"/>
    </row>
    <row r="63" spans="1:25" ht="22.5" customHeight="1" x14ac:dyDescent="0.25">
      <c r="B63" s="201"/>
      <c r="C63" s="198"/>
      <c r="D63" s="201"/>
      <c r="E63" s="201"/>
      <c r="F63" s="201"/>
      <c r="G63" s="201">
        <v>3094</v>
      </c>
      <c r="H63" s="201">
        <v>600011100</v>
      </c>
      <c r="I63" s="201"/>
      <c r="J63" s="201">
        <v>11</v>
      </c>
      <c r="K63" s="26"/>
      <c r="L63" s="209">
        <f>L62</f>
        <v>419248.53209592216</v>
      </c>
      <c r="M63" s="201" t="s">
        <v>810</v>
      </c>
      <c r="N63" s="201" t="s">
        <v>427</v>
      </c>
      <c r="O63" s="120"/>
      <c r="P63" s="120"/>
      <c r="Q63" s="120"/>
      <c r="X63" s="49"/>
    </row>
    <row r="64" spans="1:25" ht="25.5" customHeight="1" x14ac:dyDescent="0.25">
      <c r="A64" s="513"/>
      <c r="B64" s="513"/>
      <c r="C64" s="513"/>
      <c r="D64" s="513"/>
      <c r="E64" s="513"/>
      <c r="F64" s="513"/>
      <c r="G64" s="513"/>
      <c r="H64" s="513"/>
      <c r="I64" s="513"/>
      <c r="J64" s="513"/>
      <c r="K64" s="523"/>
      <c r="L64" s="515"/>
      <c r="M64" s="513"/>
      <c r="N64" s="513"/>
      <c r="O64" s="18"/>
      <c r="P64" s="18"/>
      <c r="Q64" s="18"/>
      <c r="X64" s="49"/>
    </row>
    <row r="65" spans="3:24" ht="15" customHeight="1" x14ac:dyDescent="0.25">
      <c r="O65" s="18"/>
      <c r="P65" s="18"/>
      <c r="Q65" s="18"/>
      <c r="X65" s="49"/>
    </row>
    <row r="66" spans="3:24" ht="15" customHeight="1" x14ac:dyDescent="0.25">
      <c r="D66" s="26">
        <f>SUM(D6:D63)</f>
        <v>78956943.115838468</v>
      </c>
      <c r="E66" s="26">
        <f>SUM(E6:E36,E42:E62)</f>
        <v>20111880.791333333</v>
      </c>
      <c r="L66" s="26"/>
      <c r="X66" s="49"/>
    </row>
    <row r="67" spans="3:24" x14ac:dyDescent="0.25">
      <c r="I67" s="524" t="s">
        <v>469</v>
      </c>
      <c r="J67" s="525"/>
      <c r="K67" s="525"/>
      <c r="L67" s="525"/>
      <c r="M67" s="525"/>
      <c r="N67" s="526"/>
    </row>
    <row r="68" spans="3:24" x14ac:dyDescent="0.25">
      <c r="I68" s="527"/>
      <c r="J68" s="523"/>
      <c r="K68" s="523"/>
      <c r="L68" s="523"/>
      <c r="M68" s="523"/>
      <c r="N68" s="528"/>
    </row>
    <row r="69" spans="3:24" x14ac:dyDescent="0.25">
      <c r="I69" s="529" t="s">
        <v>565</v>
      </c>
      <c r="J69" s="530"/>
      <c r="K69" s="530"/>
      <c r="L69" s="530"/>
      <c r="M69" s="530"/>
      <c r="N69" s="512"/>
    </row>
    <row r="70" spans="3:24" x14ac:dyDescent="0.25">
      <c r="C70" s="81"/>
      <c r="D70" s="120"/>
      <c r="E70" s="120"/>
    </row>
    <row r="71" spans="3:24" x14ac:dyDescent="0.25">
      <c r="I71" s="531" t="s">
        <v>422</v>
      </c>
      <c r="J71" s="525"/>
      <c r="K71" s="525"/>
      <c r="L71" s="525"/>
      <c r="M71" s="525"/>
      <c r="N71" s="526"/>
    </row>
    <row r="72" spans="3:24" x14ac:dyDescent="0.25">
      <c r="I72" s="527"/>
      <c r="J72" s="523"/>
      <c r="K72" s="523"/>
      <c r="L72" s="523"/>
      <c r="M72" s="523"/>
      <c r="N72" s="528"/>
    </row>
    <row r="73" spans="3:24" x14ac:dyDescent="0.25">
      <c r="I73" s="529" t="s">
        <v>1723</v>
      </c>
      <c r="J73" s="530"/>
      <c r="K73" s="530"/>
      <c r="L73" s="530"/>
      <c r="M73" s="530"/>
      <c r="N73" s="512"/>
    </row>
  </sheetData>
  <sheetProtection sheet="1" objects="1" scenarios="1"/>
  <mergeCells count="1">
    <mergeCell ref="O3:T3"/>
  </mergeCells>
  <printOptions gridLines="1"/>
  <pageMargins left="0.43307086614173229" right="0.39370078740157483" top="0.86614173228346458" bottom="0.78740157480314965" header="0.31496062992125984" footer="0.31496062992125984"/>
  <pageSetup paperSize="9" scale="58" fitToHeight="2" orientation="landscape" cellComments="asDisplayed" r:id="rId1"/>
  <headerFooter>
    <oddHeader xml:space="preserve">&amp;LUMEÅ UNIVERSITET
Lärarhögskolan
A Simm&amp;CGU-RESURSER
2019&amp;RBOKFÖRINGSORDER
</oddHeader>
    <oddFooter>&amp;L&amp;F&amp;C&amp;A&amp;R&amp;P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workbookViewId="0"/>
  </sheetViews>
  <sheetFormatPr defaultRowHeight="15" x14ac:dyDescent="0.25"/>
  <cols>
    <col min="2" max="2" width="38.42578125" customWidth="1"/>
    <col min="3" max="6" width="16.28515625" customWidth="1"/>
    <col min="7" max="7" width="18.5703125" customWidth="1"/>
    <col min="8" max="9" width="17" customWidth="1"/>
    <col min="10" max="11" width="16.85546875" customWidth="1"/>
    <col min="12" max="12" width="17.7109375" customWidth="1"/>
    <col min="13" max="13" width="16" customWidth="1"/>
    <col min="14" max="15" width="5.5703125" customWidth="1"/>
    <col min="16" max="17" width="16.85546875" customWidth="1"/>
    <col min="18" max="18" width="18" customWidth="1"/>
    <col min="20" max="22" width="17.42578125" customWidth="1"/>
    <col min="24" max="26" width="18.28515625" customWidth="1"/>
  </cols>
  <sheetData>
    <row r="1" spans="1:26" ht="45" x14ac:dyDescent="0.25">
      <c r="A1" s="565" t="s">
        <v>808</v>
      </c>
      <c r="B1" s="565" t="s">
        <v>35</v>
      </c>
      <c r="C1" s="535" t="s">
        <v>2137</v>
      </c>
      <c r="D1" s="535" t="s">
        <v>2138</v>
      </c>
      <c r="E1" s="535" t="s">
        <v>2139</v>
      </c>
      <c r="F1" s="535" t="s">
        <v>2140</v>
      </c>
      <c r="G1" s="535" t="s">
        <v>2141</v>
      </c>
      <c r="H1" s="535" t="s">
        <v>2164</v>
      </c>
      <c r="I1" s="535" t="s">
        <v>2165</v>
      </c>
      <c r="J1" s="535" t="s">
        <v>2181</v>
      </c>
      <c r="K1" s="535" t="s">
        <v>2182</v>
      </c>
      <c r="L1" s="535" t="s">
        <v>2183</v>
      </c>
      <c r="M1" s="535" t="s">
        <v>2187</v>
      </c>
      <c r="P1" s="535"/>
      <c r="Q1" s="535"/>
      <c r="R1" s="535"/>
      <c r="T1" s="535"/>
      <c r="U1" s="535"/>
      <c r="V1" s="535"/>
      <c r="X1" s="535"/>
      <c r="Y1" s="535"/>
      <c r="Z1" s="535"/>
    </row>
    <row r="2" spans="1:26" x14ac:dyDescent="0.25">
      <c r="L2" s="26"/>
      <c r="M2" s="26"/>
    </row>
    <row r="3" spans="1:26" x14ac:dyDescent="0.25">
      <c r="A3">
        <v>1620</v>
      </c>
      <c r="B3" t="s">
        <v>176</v>
      </c>
      <c r="C3" s="26">
        <v>10500482.090158761</v>
      </c>
      <c r="D3" s="26">
        <v>1806084.9166666667</v>
      </c>
      <c r="E3" s="15">
        <f>C3/12*5</f>
        <v>4375200.8708994836</v>
      </c>
      <c r="F3" s="15">
        <f>D3/12*5</f>
        <v>752535.3819444445</v>
      </c>
      <c r="G3" s="15">
        <f>SUM(E3:F3)</f>
        <v>5127736.2528439276</v>
      </c>
      <c r="H3" s="15">
        <v>9849095.7614191771</v>
      </c>
      <c r="I3" s="15">
        <v>1687177.4166666667</v>
      </c>
      <c r="J3" s="26">
        <v>8990587.2502192631</v>
      </c>
      <c r="K3" s="26">
        <f>1545673.71031746-1</f>
        <v>1545672.7103174599</v>
      </c>
      <c r="L3" s="568">
        <f>SUM(J3:K3)</f>
        <v>10536259.960536722</v>
      </c>
      <c r="M3" s="26">
        <v>10536260</v>
      </c>
      <c r="P3" s="26"/>
      <c r="Q3" s="26"/>
      <c r="R3" s="26"/>
      <c r="T3" s="26"/>
      <c r="U3" s="26"/>
      <c r="V3" s="26"/>
      <c r="X3" s="26"/>
      <c r="Y3" s="26"/>
      <c r="Z3" s="26"/>
    </row>
    <row r="4" spans="1:26" x14ac:dyDescent="0.25">
      <c r="A4">
        <v>1630</v>
      </c>
      <c r="B4" t="s">
        <v>172</v>
      </c>
      <c r="C4" s="26">
        <v>5937676.3254366769</v>
      </c>
      <c r="D4" s="26">
        <v>807286.16666666651</v>
      </c>
      <c r="E4" s="15">
        <f t="shared" ref="E4:F19" si="0">C4/12*5</f>
        <v>2474031.8022652818</v>
      </c>
      <c r="F4" s="15">
        <f t="shared" si="0"/>
        <v>336369.23611111101</v>
      </c>
      <c r="G4" s="15">
        <f t="shared" ref="G4:G26" si="1">SUM(E4:F4)</f>
        <v>2810401.0383763928</v>
      </c>
      <c r="H4" s="15">
        <v>5968480.0704908334</v>
      </c>
      <c r="I4" s="15">
        <v>814452.83333333337</v>
      </c>
      <c r="J4" s="26">
        <v>5343000.2950868746</v>
      </c>
      <c r="K4" s="26">
        <v>731278.80317460315</v>
      </c>
      <c r="L4" s="568">
        <f t="shared" ref="L4:L17" si="2">SUM(J4:K4)</f>
        <v>6074279.0982614774</v>
      </c>
      <c r="M4" s="26">
        <v>6074279</v>
      </c>
      <c r="P4" s="26"/>
      <c r="Q4" s="26"/>
      <c r="R4" s="26"/>
      <c r="T4" s="26"/>
      <c r="U4" s="26"/>
      <c r="V4" s="26"/>
      <c r="X4" s="26"/>
      <c r="Y4" s="26"/>
      <c r="Z4" s="26"/>
    </row>
    <row r="5" spans="1:26" x14ac:dyDescent="0.25">
      <c r="A5">
        <v>1640</v>
      </c>
      <c r="B5" t="s">
        <v>173</v>
      </c>
      <c r="C5" s="26">
        <v>1745740.1951175001</v>
      </c>
      <c r="D5" s="26">
        <v>267075.5</v>
      </c>
      <c r="E5" s="15">
        <f t="shared" si="0"/>
        <v>727391.74796562514</v>
      </c>
      <c r="F5" s="15">
        <f t="shared" si="0"/>
        <v>111281.45833333334</v>
      </c>
      <c r="G5" s="15">
        <f t="shared" si="1"/>
        <v>838673.20629895851</v>
      </c>
      <c r="H5" s="15">
        <v>1714900.08207375</v>
      </c>
      <c r="I5" s="15">
        <v>262218</v>
      </c>
      <c r="J5" s="26">
        <f>1573703.02630389+1</f>
        <v>1573704.0263038899</v>
      </c>
      <c r="K5" s="26">
        <v>239810.94880952383</v>
      </c>
      <c r="L5" s="568">
        <f t="shared" si="2"/>
        <v>1813514.9751134138</v>
      </c>
      <c r="M5" s="26">
        <v>1813515</v>
      </c>
      <c r="P5" s="26"/>
      <c r="Q5" s="26"/>
      <c r="R5" s="26"/>
      <c r="T5" s="26"/>
      <c r="U5" s="26"/>
      <c r="V5" s="26"/>
      <c r="X5" s="26"/>
      <c r="Y5" s="26"/>
      <c r="Z5" s="26"/>
    </row>
    <row r="6" spans="1:26" x14ac:dyDescent="0.25">
      <c r="A6">
        <v>1650</v>
      </c>
      <c r="B6" t="s">
        <v>11</v>
      </c>
      <c r="C6" s="26">
        <v>13175763.181762923</v>
      </c>
      <c r="D6" s="26">
        <v>6655855.75</v>
      </c>
      <c r="E6" s="15">
        <f t="shared" si="0"/>
        <v>5489901.3257345511</v>
      </c>
      <c r="F6" s="15">
        <f t="shared" si="0"/>
        <v>2773273.229166667</v>
      </c>
      <c r="G6" s="15">
        <f t="shared" si="1"/>
        <v>8263174.554901218</v>
      </c>
      <c r="H6" s="15">
        <v>12077292.521921251</v>
      </c>
      <c r="I6" s="15">
        <v>6184859.083333333</v>
      </c>
      <c r="J6" s="26">
        <f>11169436.2435678-1</f>
        <v>11169435.2435678</v>
      </c>
      <c r="K6" s="26">
        <v>5714775.3928571427</v>
      </c>
      <c r="L6" s="568">
        <f t="shared" si="2"/>
        <v>16884210.636424944</v>
      </c>
      <c r="M6" s="26">
        <v>16884211</v>
      </c>
      <c r="P6" s="26"/>
      <c r="Q6" s="26"/>
      <c r="R6" s="26"/>
      <c r="T6" s="26"/>
      <c r="U6" s="26"/>
      <c r="V6" s="26"/>
      <c r="X6" s="26"/>
      <c r="Y6" s="26"/>
      <c r="Z6" s="26"/>
    </row>
    <row r="7" spans="1:26" x14ac:dyDescent="0.25">
      <c r="A7">
        <v>2180</v>
      </c>
      <c r="B7" t="s">
        <v>192</v>
      </c>
      <c r="C7" s="26">
        <v>14752023.060662922</v>
      </c>
      <c r="D7" s="536">
        <v>2922218.166666667</v>
      </c>
      <c r="E7" s="422">
        <f t="shared" si="0"/>
        <v>6146676.2752762167</v>
      </c>
      <c r="F7" s="537">
        <f t="shared" si="0"/>
        <v>1217590.902777778</v>
      </c>
      <c r="G7" s="15">
        <f t="shared" si="1"/>
        <v>7364267.1780539947</v>
      </c>
      <c r="H7" s="15">
        <v>13937076.470072009</v>
      </c>
      <c r="I7" s="537">
        <v>2726217.2333333371</v>
      </c>
      <c r="J7" s="568">
        <f>12255701.9318639-1</f>
        <v>12255700.9318639</v>
      </c>
      <c r="K7" s="536">
        <v>2451505.1722222245</v>
      </c>
      <c r="L7" s="26">
        <f t="shared" si="2"/>
        <v>14707206.104086125</v>
      </c>
      <c r="M7" s="26">
        <v>12255701</v>
      </c>
      <c r="P7" s="26"/>
      <c r="Q7" s="536"/>
      <c r="R7" s="26"/>
      <c r="T7" s="26"/>
      <c r="U7" s="536"/>
      <c r="V7" s="26"/>
      <c r="X7" s="26"/>
      <c r="Y7" s="536"/>
      <c r="Z7" s="26"/>
    </row>
    <row r="8" spans="1:26" x14ac:dyDescent="0.25">
      <c r="A8">
        <v>2193</v>
      </c>
      <c r="B8" t="s">
        <v>441</v>
      </c>
      <c r="C8" s="26">
        <v>19848427.626996201</v>
      </c>
      <c r="D8" s="536">
        <v>3081263.833333333</v>
      </c>
      <c r="E8" s="422">
        <f t="shared" si="0"/>
        <v>8270178.1779150842</v>
      </c>
      <c r="F8" s="537">
        <f t="shared" si="0"/>
        <v>1283859.9305555555</v>
      </c>
      <c r="G8" s="15">
        <f t="shared" si="1"/>
        <v>9554038.1084706392</v>
      </c>
      <c r="H8" s="15">
        <v>19270790.545138761</v>
      </c>
      <c r="I8" s="537">
        <v>2992382.5</v>
      </c>
      <c r="J8" s="568">
        <f>17395985.9584722+1</f>
        <v>17395986.9584722</v>
      </c>
      <c r="K8" s="536">
        <v>2679594.319444445</v>
      </c>
      <c r="L8" s="26">
        <f t="shared" si="2"/>
        <v>20075581.277916644</v>
      </c>
      <c r="M8" s="26">
        <v>17395987</v>
      </c>
      <c r="P8" s="26"/>
      <c r="Q8" s="536"/>
      <c r="R8" s="26"/>
      <c r="T8" s="26"/>
      <c r="U8" s="536"/>
      <c r="V8" s="26"/>
      <c r="X8" s="26"/>
      <c r="Y8" s="536"/>
      <c r="Z8" s="26"/>
    </row>
    <row r="9" spans="1:26" x14ac:dyDescent="0.25">
      <c r="A9">
        <v>2200</v>
      </c>
      <c r="B9" t="s">
        <v>574</v>
      </c>
      <c r="C9" s="26">
        <v>1910286.98263</v>
      </c>
      <c r="D9" s="536">
        <v>274059.66666666663</v>
      </c>
      <c r="E9" s="422">
        <f t="shared" si="0"/>
        <v>795952.90942916658</v>
      </c>
      <c r="F9" s="537">
        <f t="shared" si="0"/>
        <v>114191.52777777775</v>
      </c>
      <c r="G9" s="15">
        <f t="shared" si="1"/>
        <v>910144.43720694433</v>
      </c>
      <c r="H9" s="15">
        <v>1897573.3062237499</v>
      </c>
      <c r="I9" s="537">
        <v>271232.16666666663</v>
      </c>
      <c r="J9" s="568">
        <v>1629470.5477465475</v>
      </c>
      <c r="K9" s="536">
        <v>234240.07936507935</v>
      </c>
      <c r="L9" s="26">
        <f t="shared" si="2"/>
        <v>1863710.6271116268</v>
      </c>
      <c r="M9" s="26">
        <v>1629471</v>
      </c>
      <c r="P9" s="26"/>
      <c r="Q9" s="536"/>
      <c r="R9" s="26"/>
      <c r="T9" s="26"/>
      <c r="U9" s="536"/>
      <c r="V9" s="26"/>
      <c r="X9" s="26"/>
      <c r="Y9" s="536"/>
      <c r="Z9" s="26"/>
    </row>
    <row r="10" spans="1:26" x14ac:dyDescent="0.25">
      <c r="A10">
        <v>2220</v>
      </c>
      <c r="B10" t="s">
        <v>195</v>
      </c>
      <c r="C10" s="26">
        <v>136091.94990000001</v>
      </c>
      <c r="D10" s="536">
        <v>26680.000000000004</v>
      </c>
      <c r="E10" s="422">
        <f t="shared" si="0"/>
        <v>56704.979124999998</v>
      </c>
      <c r="F10" s="537">
        <f t="shared" si="0"/>
        <v>11116.666666666668</v>
      </c>
      <c r="G10" s="15">
        <f t="shared" si="1"/>
        <v>67821.64579166667</v>
      </c>
      <c r="H10" s="15">
        <v>124257.86729999998</v>
      </c>
      <c r="I10" s="537">
        <v>24360</v>
      </c>
      <c r="J10" s="568">
        <f>114607.042107143-1</f>
        <v>114606.042107143</v>
      </c>
      <c r="K10" s="536">
        <v>22468.190476190477</v>
      </c>
      <c r="L10" s="26">
        <f t="shared" si="2"/>
        <v>137074.23258333348</v>
      </c>
      <c r="M10" s="26">
        <v>114606</v>
      </c>
      <c r="N10" s="31"/>
      <c r="P10" s="26"/>
      <c r="Q10" s="536"/>
      <c r="R10" s="26"/>
      <c r="T10" s="26"/>
      <c r="U10" s="536"/>
      <c r="V10" s="26"/>
      <c r="X10" s="26"/>
      <c r="Y10" s="536"/>
      <c r="Z10" s="26"/>
    </row>
    <row r="11" spans="1:26" x14ac:dyDescent="0.25">
      <c r="A11">
        <v>2271</v>
      </c>
      <c r="B11" t="s">
        <v>196</v>
      </c>
      <c r="C11" s="26">
        <v>257275.18256749999</v>
      </c>
      <c r="D11" s="536">
        <v>48691</v>
      </c>
      <c r="E11" s="422">
        <f t="shared" si="0"/>
        <v>107197.99273645833</v>
      </c>
      <c r="F11" s="537">
        <f t="shared" si="0"/>
        <v>20287.916666666668</v>
      </c>
      <c r="G11" s="15">
        <f t="shared" si="1"/>
        <v>127485.909403125</v>
      </c>
      <c r="H11" s="15">
        <v>245345.6638175</v>
      </c>
      <c r="I11" s="537">
        <v>46516</v>
      </c>
      <c r="J11" s="568">
        <v>225609.9006514881</v>
      </c>
      <c r="K11" s="536">
        <v>42769.261904761908</v>
      </c>
      <c r="L11" s="26">
        <f t="shared" si="2"/>
        <v>268379.16255625</v>
      </c>
      <c r="M11" s="26">
        <v>225610</v>
      </c>
      <c r="N11" s="31"/>
      <c r="P11" s="26"/>
      <c r="Q11" s="536"/>
      <c r="R11" s="26"/>
      <c r="T11" s="26"/>
      <c r="U11" s="536"/>
      <c r="V11" s="26"/>
      <c r="X11" s="26"/>
      <c r="Y11" s="536"/>
      <c r="Z11" s="26"/>
    </row>
    <row r="12" spans="1:26" x14ac:dyDescent="0.25">
      <c r="A12">
        <v>2272</v>
      </c>
      <c r="B12" t="s">
        <v>200</v>
      </c>
      <c r="C12" s="26">
        <v>459793.1014300001</v>
      </c>
      <c r="D12" s="536">
        <v>59604.666666666672</v>
      </c>
      <c r="E12" s="422">
        <f t="shared" si="0"/>
        <v>191580.45892916672</v>
      </c>
      <c r="F12" s="537">
        <f t="shared" si="0"/>
        <v>24835.277777777777</v>
      </c>
      <c r="G12" s="15">
        <f t="shared" si="1"/>
        <v>216415.7367069445</v>
      </c>
      <c r="H12" s="15">
        <v>456810.33723000012</v>
      </c>
      <c r="I12" s="537">
        <v>59218.000000000015</v>
      </c>
      <c r="J12" s="568">
        <f>375006.541378191-1</f>
        <v>375005.54137819097</v>
      </c>
      <c r="K12" s="536">
        <v>48613.231746031757</v>
      </c>
      <c r="L12" s="26">
        <f t="shared" si="2"/>
        <v>423618.77312422276</v>
      </c>
      <c r="M12" s="26">
        <v>375006</v>
      </c>
      <c r="N12" s="31"/>
      <c r="P12" s="26"/>
      <c r="Q12" s="536"/>
      <c r="R12" s="26"/>
      <c r="T12" s="26"/>
      <c r="U12" s="536"/>
      <c r="V12" s="26"/>
      <c r="X12" s="26"/>
      <c r="Y12" s="536"/>
      <c r="Z12" s="26"/>
    </row>
    <row r="13" spans="1:26" x14ac:dyDescent="0.25">
      <c r="A13">
        <v>2300</v>
      </c>
      <c r="B13" t="s">
        <v>915</v>
      </c>
      <c r="C13" s="26">
        <v>737078.31837250013</v>
      </c>
      <c r="D13" s="536">
        <v>95550.166666666672</v>
      </c>
      <c r="E13" s="422">
        <f t="shared" si="0"/>
        <v>307115.96598854172</v>
      </c>
      <c r="F13" s="537">
        <f t="shared" si="0"/>
        <v>39812.569444444445</v>
      </c>
      <c r="G13" s="15">
        <f t="shared" si="1"/>
        <v>346928.53543298616</v>
      </c>
      <c r="H13" s="15">
        <v>705050.88777500007</v>
      </c>
      <c r="I13" s="537">
        <v>91398.333333333343</v>
      </c>
      <c r="J13" s="568">
        <v>594177.31812101195</v>
      </c>
      <c r="K13" s="536">
        <v>77025.543650793654</v>
      </c>
      <c r="L13" s="26">
        <f t="shared" si="2"/>
        <v>671202.86177180556</v>
      </c>
      <c r="M13" s="26">
        <v>594177</v>
      </c>
      <c r="N13" s="31"/>
      <c r="P13" s="26"/>
      <c r="Q13" s="536"/>
      <c r="R13" s="26"/>
      <c r="T13" s="26"/>
      <c r="U13" s="536"/>
      <c r="V13" s="26"/>
      <c r="X13" s="26"/>
      <c r="Y13" s="536"/>
      <c r="Z13" s="26"/>
    </row>
    <row r="14" spans="1:26" x14ac:dyDescent="0.25">
      <c r="A14">
        <v>2340</v>
      </c>
      <c r="B14" t="s">
        <v>198</v>
      </c>
      <c r="C14" s="26">
        <v>1666798.5926274997</v>
      </c>
      <c r="D14" s="536">
        <v>278433.83333333331</v>
      </c>
      <c r="E14" s="422">
        <f t="shared" si="0"/>
        <v>694499.41359479155</v>
      </c>
      <c r="F14" s="537">
        <f t="shared" si="0"/>
        <v>116014.0972222222</v>
      </c>
      <c r="G14" s="15">
        <f t="shared" si="1"/>
        <v>810513.5108170138</v>
      </c>
      <c r="H14" s="15">
        <v>1550977.6054729992</v>
      </c>
      <c r="I14" s="537">
        <v>259213.59999999998</v>
      </c>
      <c r="J14" s="568">
        <f>1426572.19405065+1</f>
        <v>1426573.1940506501</v>
      </c>
      <c r="K14" s="536">
        <v>238647.95634920633</v>
      </c>
      <c r="L14" s="26">
        <f t="shared" si="2"/>
        <v>1665221.1503998565</v>
      </c>
      <c r="M14" s="26">
        <v>1426573</v>
      </c>
      <c r="N14" s="31"/>
      <c r="P14" s="26"/>
      <c r="Q14" s="536"/>
      <c r="R14" s="26"/>
      <c r="T14" s="26"/>
      <c r="U14" s="536"/>
      <c r="V14" s="26"/>
      <c r="X14" s="26"/>
      <c r="Y14" s="536"/>
      <c r="Z14" s="26"/>
    </row>
    <row r="15" spans="1:26" x14ac:dyDescent="0.25">
      <c r="A15">
        <v>2360</v>
      </c>
      <c r="B15" t="s">
        <v>575</v>
      </c>
      <c r="C15" s="26">
        <v>171742.12373249998</v>
      </c>
      <c r="D15" s="536">
        <v>33669</v>
      </c>
      <c r="E15" s="422">
        <f t="shared" si="0"/>
        <v>71559.218221874995</v>
      </c>
      <c r="F15" s="537">
        <f t="shared" si="0"/>
        <v>14028.75</v>
      </c>
      <c r="G15" s="15">
        <f t="shared" si="1"/>
        <v>85587.968221874995</v>
      </c>
      <c r="H15" s="15">
        <v>175440.27454499999</v>
      </c>
      <c r="I15" s="537">
        <v>34394</v>
      </c>
      <c r="J15" s="568">
        <v>160599.97273839285</v>
      </c>
      <c r="K15" s="536">
        <v>31484.357142857145</v>
      </c>
      <c r="L15" s="26">
        <f t="shared" si="2"/>
        <v>192084.32988124999</v>
      </c>
      <c r="M15" s="26">
        <v>160600</v>
      </c>
      <c r="N15" s="31"/>
      <c r="P15" s="26"/>
      <c r="Q15" s="536"/>
      <c r="R15" s="26"/>
      <c r="T15" s="26"/>
      <c r="U15" s="536"/>
      <c r="V15" s="26"/>
      <c r="X15" s="26"/>
      <c r="Y15" s="536"/>
      <c r="Z15" s="26"/>
    </row>
    <row r="16" spans="1:26" x14ac:dyDescent="0.25">
      <c r="A16">
        <v>2500</v>
      </c>
      <c r="B16" t="s">
        <v>2096</v>
      </c>
      <c r="C16" s="26">
        <v>211615.26814062503</v>
      </c>
      <c r="D16" s="536">
        <v>46221.666666666664</v>
      </c>
      <c r="E16" s="422">
        <f t="shared" si="0"/>
        <v>88173.028391927088</v>
      </c>
      <c r="F16" s="537">
        <f t="shared" si="0"/>
        <v>19259.027777777777</v>
      </c>
      <c r="G16" s="15">
        <f t="shared" si="1"/>
        <v>107432.05616970487</v>
      </c>
      <c r="H16" s="15">
        <v>218546.47669531254</v>
      </c>
      <c r="I16" s="537">
        <v>48059.166666666664</v>
      </c>
      <c r="J16" s="568">
        <f>197278.405349702+2</f>
        <v>197280.40534970199</v>
      </c>
      <c r="K16" s="536">
        <v>47184.555555555555</v>
      </c>
      <c r="L16" s="26">
        <f t="shared" si="2"/>
        <v>244464.96090525755</v>
      </c>
      <c r="M16" s="26">
        <v>197280</v>
      </c>
      <c r="N16" s="31"/>
      <c r="P16" s="26"/>
      <c r="Q16" s="536"/>
      <c r="R16" s="26"/>
      <c r="T16" s="26"/>
      <c r="U16" s="536"/>
      <c r="V16" s="26"/>
      <c r="X16" s="26"/>
      <c r="Y16" s="536"/>
      <c r="Z16" s="26"/>
    </row>
    <row r="17" spans="1:26" x14ac:dyDescent="0.25">
      <c r="A17">
        <v>2750</v>
      </c>
      <c r="B17" t="s">
        <v>205</v>
      </c>
      <c r="C17" s="26">
        <v>2245587.2100749998</v>
      </c>
      <c r="D17" s="536">
        <v>989187.5</v>
      </c>
      <c r="E17" s="422">
        <f t="shared" si="0"/>
        <v>935661.33753124985</v>
      </c>
      <c r="F17" s="537">
        <f t="shared" si="0"/>
        <v>412161.45833333337</v>
      </c>
      <c r="G17" s="15">
        <f t="shared" si="1"/>
        <v>1347822.7958645832</v>
      </c>
      <c r="H17" s="15">
        <v>2220162.6017124997</v>
      </c>
      <c r="I17" s="537">
        <v>981112.5</v>
      </c>
      <c r="J17" s="568">
        <f>2036662.24051786-1</f>
        <v>2036661.24051786</v>
      </c>
      <c r="K17" s="536">
        <v>899834.05952380947</v>
      </c>
      <c r="L17" s="26">
        <f t="shared" si="2"/>
        <v>2936495.3000416695</v>
      </c>
      <c r="M17" s="26">
        <v>2036661</v>
      </c>
      <c r="N17" s="31"/>
      <c r="P17" s="26"/>
      <c r="Q17" s="536"/>
      <c r="R17" s="26"/>
      <c r="T17" s="26"/>
      <c r="U17" s="536"/>
      <c r="V17" s="26"/>
      <c r="X17" s="26"/>
      <c r="Y17" s="536"/>
      <c r="Z17" s="26"/>
    </row>
    <row r="18" spans="1:26" x14ac:dyDescent="0.25">
      <c r="A18">
        <v>2000</v>
      </c>
      <c r="B18" t="s">
        <v>463</v>
      </c>
      <c r="D18" s="539">
        <v>7855579.5000000009</v>
      </c>
      <c r="E18" s="15">
        <f>C18/12*5</f>
        <v>0</v>
      </c>
      <c r="F18" s="422">
        <f t="shared" si="0"/>
        <v>3273158.1250000005</v>
      </c>
      <c r="G18" s="15">
        <f t="shared" si="1"/>
        <v>3273158.1250000005</v>
      </c>
      <c r="I18" s="562">
        <f>SUM(I7:I17)</f>
        <v>7534103.5000000037</v>
      </c>
      <c r="J18" s="26"/>
      <c r="K18" s="563">
        <f>SUM(K7:K17)-1</f>
        <v>6773365.7273809556</v>
      </c>
      <c r="L18" s="26"/>
      <c r="M18" s="563">
        <v>6773366</v>
      </c>
      <c r="N18" s="31"/>
      <c r="P18" s="26"/>
      <c r="Q18" s="279"/>
      <c r="R18" s="279"/>
      <c r="S18" s="31"/>
      <c r="T18" s="279"/>
      <c r="U18" s="279"/>
      <c r="V18" s="279"/>
      <c r="W18" s="31"/>
      <c r="X18" s="279"/>
      <c r="Y18" s="279"/>
      <c r="Z18" s="26"/>
    </row>
    <row r="19" spans="1:26" x14ac:dyDescent="0.25">
      <c r="A19">
        <v>3306</v>
      </c>
      <c r="B19" t="s">
        <v>242</v>
      </c>
      <c r="C19" s="26">
        <v>516017.63775000005</v>
      </c>
      <c r="D19" s="26">
        <v>267375</v>
      </c>
      <c r="E19" s="15">
        <f>C19/12*5</f>
        <v>215007.34906250003</v>
      </c>
      <c r="F19" s="15">
        <f t="shared" si="0"/>
        <v>111406.25</v>
      </c>
      <c r="G19" s="15">
        <f t="shared" si="1"/>
        <v>326413.59906250006</v>
      </c>
      <c r="H19" s="15">
        <v>491143.68337500002</v>
      </c>
      <c r="I19" s="15">
        <v>254437.5</v>
      </c>
      <c r="J19" s="26">
        <v>451695.58785714291</v>
      </c>
      <c r="K19" s="26">
        <v>234004.42857142858</v>
      </c>
      <c r="L19" s="568">
        <f t="shared" ref="L19:L28" si="3">SUM(J19:K19)</f>
        <v>685700.01642857143</v>
      </c>
      <c r="M19" s="26">
        <v>685700</v>
      </c>
      <c r="N19" s="31"/>
      <c r="P19" s="26"/>
      <c r="Q19" s="26"/>
      <c r="R19" s="26"/>
      <c r="T19" s="26"/>
      <c r="U19" s="26"/>
      <c r="V19" s="26"/>
      <c r="X19" s="26"/>
      <c r="Y19" s="567"/>
      <c r="Z19" s="26"/>
    </row>
    <row r="20" spans="1:26" x14ac:dyDescent="0.25">
      <c r="A20">
        <v>3850</v>
      </c>
      <c r="B20" t="s">
        <v>813</v>
      </c>
      <c r="C20" s="26">
        <v>149732.70475</v>
      </c>
      <c r="D20" s="26">
        <v>77625</v>
      </c>
      <c r="E20" s="15">
        <f t="shared" ref="E20:F26" si="4">C20/12*5</f>
        <v>62388.626979166664</v>
      </c>
      <c r="F20" s="15">
        <f t="shared" si="4"/>
        <v>32343.75</v>
      </c>
      <c r="G20" s="15">
        <f t="shared" si="1"/>
        <v>94732.376979166671</v>
      </c>
      <c r="H20" s="15">
        <v>122135.72587499999</v>
      </c>
      <c r="I20" s="15">
        <v>63250</v>
      </c>
      <c r="J20" s="26">
        <f>113600.126190476-2</f>
        <v>113598.126190476</v>
      </c>
      <c r="K20" s="26">
        <f>58834.642857142-1</f>
        <v>58833.642857141997</v>
      </c>
      <c r="L20" s="568">
        <f t="shared" si="3"/>
        <v>172431.769047618</v>
      </c>
      <c r="M20" s="26">
        <v>172432</v>
      </c>
      <c r="N20" s="31"/>
      <c r="P20" s="26"/>
      <c r="Q20" s="26"/>
      <c r="R20" s="26"/>
      <c r="T20" s="26"/>
      <c r="U20" s="26"/>
      <c r="V20" s="26"/>
      <c r="X20" s="26"/>
      <c r="Y20" s="567"/>
      <c r="Z20" s="26"/>
    </row>
    <row r="21" spans="1:26" x14ac:dyDescent="0.25">
      <c r="A21">
        <v>5100</v>
      </c>
      <c r="B21" t="s">
        <v>164</v>
      </c>
      <c r="C21" s="26">
        <v>753431.78235937527</v>
      </c>
      <c r="D21" s="26">
        <v>330125</v>
      </c>
      <c r="E21" s="15">
        <f t="shared" si="4"/>
        <v>313929.90931640635</v>
      </c>
      <c r="F21" s="15">
        <f t="shared" si="4"/>
        <v>137552.08333333334</v>
      </c>
      <c r="G21" s="15">
        <f t="shared" si="1"/>
        <v>451481.99264973972</v>
      </c>
      <c r="H21" s="15">
        <v>694208.83942968783</v>
      </c>
      <c r="I21" s="15">
        <v>303487.5</v>
      </c>
      <c r="J21" s="26">
        <f>649081.979040179-1</f>
        <v>649080.97904017905</v>
      </c>
      <c r="K21" s="26">
        <v>283870.38095238095</v>
      </c>
      <c r="L21" s="568">
        <f t="shared" si="3"/>
        <v>932951.35999256</v>
      </c>
      <c r="M21" s="26">
        <v>932951</v>
      </c>
      <c r="N21" s="31"/>
      <c r="P21" s="26"/>
      <c r="Q21" s="26"/>
      <c r="R21" s="26"/>
      <c r="T21" s="26"/>
      <c r="U21" s="26"/>
      <c r="V21" s="26"/>
      <c r="X21" s="26"/>
      <c r="Y21" s="567"/>
      <c r="Z21" s="26"/>
    </row>
    <row r="22" spans="1:26" x14ac:dyDescent="0.25">
      <c r="A22">
        <v>5160</v>
      </c>
      <c r="B22" t="s">
        <v>305</v>
      </c>
      <c r="C22" s="26">
        <v>122645.24999999999</v>
      </c>
      <c r="D22" s="26">
        <v>54500</v>
      </c>
      <c r="E22" s="15">
        <f t="shared" si="4"/>
        <v>51102.187499999993</v>
      </c>
      <c r="F22" s="15">
        <f t="shared" si="4"/>
        <v>22708.333333333336</v>
      </c>
      <c r="G22" s="15">
        <f t="shared" si="1"/>
        <v>73810.520833333328</v>
      </c>
      <c r="H22" s="15">
        <v>110380.72499999998</v>
      </c>
      <c r="I22" s="15">
        <v>49050</v>
      </c>
      <c r="J22" s="26">
        <f>101912-1</f>
        <v>101911</v>
      </c>
      <c r="K22" s="26">
        <f>45286.8095238095-1</f>
        <v>45285.809523809497</v>
      </c>
      <c r="L22" s="568">
        <f t="shared" si="3"/>
        <v>147196.8095238095</v>
      </c>
      <c r="M22" s="26">
        <v>147197</v>
      </c>
      <c r="N22" s="31"/>
      <c r="P22" s="26"/>
      <c r="Q22" s="26"/>
      <c r="R22" s="26"/>
      <c r="T22" s="26"/>
      <c r="U22" s="26"/>
      <c r="V22" s="26"/>
      <c r="X22" s="26"/>
      <c r="Y22" s="567"/>
      <c r="Z22" s="26"/>
    </row>
    <row r="23" spans="1:26" x14ac:dyDescent="0.25">
      <c r="A23">
        <v>5400</v>
      </c>
      <c r="B23" t="s">
        <v>914</v>
      </c>
      <c r="C23" s="26">
        <v>236705.33250000002</v>
      </c>
      <c r="D23" s="26">
        <v>105185</v>
      </c>
      <c r="E23" s="15">
        <f t="shared" si="4"/>
        <v>98627.221875000017</v>
      </c>
      <c r="F23" s="15">
        <f t="shared" si="4"/>
        <v>43827.083333333328</v>
      </c>
      <c r="G23" s="15">
        <f t="shared" si="1"/>
        <v>142454.30520833336</v>
      </c>
      <c r="H23" s="15">
        <v>183967.875</v>
      </c>
      <c r="I23" s="15">
        <v>81750</v>
      </c>
      <c r="J23" s="26">
        <f>247352.6625-1</f>
        <v>247351.66250000001</v>
      </c>
      <c r="K23" s="26">
        <f>111076.380952381-1</f>
        <v>111075.38095238101</v>
      </c>
      <c r="L23" s="568">
        <f t="shared" si="3"/>
        <v>358427.04345238104</v>
      </c>
      <c r="M23" s="26">
        <v>358427</v>
      </c>
      <c r="N23" s="31"/>
      <c r="P23" s="26"/>
      <c r="Q23" s="26"/>
      <c r="R23" s="26"/>
      <c r="T23" s="26"/>
      <c r="U23" s="26"/>
      <c r="V23" s="26"/>
      <c r="X23" s="26"/>
      <c r="Y23" s="567"/>
      <c r="Z23" s="26"/>
    </row>
    <row r="24" spans="1:26" x14ac:dyDescent="0.25">
      <c r="A24">
        <v>5410</v>
      </c>
      <c r="B24" t="s">
        <v>1096</v>
      </c>
      <c r="C24" s="26">
        <v>9811.6200000000008</v>
      </c>
      <c r="D24" s="26">
        <v>4360</v>
      </c>
      <c r="E24" s="15">
        <f t="shared" si="4"/>
        <v>4088.1750000000006</v>
      </c>
      <c r="F24" s="15">
        <f t="shared" si="4"/>
        <v>1816.6666666666665</v>
      </c>
      <c r="G24" s="15">
        <f t="shared" si="1"/>
        <v>5904.8416666666672</v>
      </c>
      <c r="H24" s="15">
        <v>4905.8100000000004</v>
      </c>
      <c r="I24" s="15">
        <v>2180</v>
      </c>
      <c r="J24" s="26">
        <f>4789.2+1</f>
        <v>4790.2</v>
      </c>
      <c r="K24" s="26">
        <v>2128.1904761904761</v>
      </c>
      <c r="L24" s="568">
        <f t="shared" si="3"/>
        <v>6918.390476190476</v>
      </c>
      <c r="M24" s="26">
        <v>6918</v>
      </c>
      <c r="N24" s="31"/>
      <c r="P24" s="26"/>
      <c r="Q24" s="26"/>
      <c r="R24" s="26"/>
      <c r="T24" s="26"/>
      <c r="U24" s="26"/>
      <c r="V24" s="26"/>
      <c r="X24" s="26"/>
      <c r="Y24" s="567"/>
      <c r="Z24" s="26"/>
    </row>
    <row r="25" spans="1:26" x14ac:dyDescent="0.25">
      <c r="A25">
        <v>5500</v>
      </c>
      <c r="B25" t="s">
        <v>165</v>
      </c>
      <c r="C25" s="26">
        <v>171703.34999999995</v>
      </c>
      <c r="D25" s="26">
        <v>76300</v>
      </c>
      <c r="E25" s="15">
        <f t="shared" si="4"/>
        <v>71543.062499999971</v>
      </c>
      <c r="F25" s="15">
        <f t="shared" si="4"/>
        <v>31791.666666666664</v>
      </c>
      <c r="G25" s="15">
        <f t="shared" si="1"/>
        <v>103334.72916666663</v>
      </c>
      <c r="H25" s="15">
        <v>220761.44999999998</v>
      </c>
      <c r="I25" s="15">
        <v>98100</v>
      </c>
      <c r="J25" s="26">
        <f>199444.625+1</f>
        <v>199445.625</v>
      </c>
      <c r="K25" s="26">
        <f>88627.7619047619+1</f>
        <v>88628.761904761894</v>
      </c>
      <c r="L25" s="568">
        <f t="shared" si="3"/>
        <v>288074.38690476189</v>
      </c>
      <c r="M25" s="26">
        <v>288074</v>
      </c>
      <c r="N25" s="31"/>
      <c r="P25" s="26"/>
      <c r="Q25" s="26"/>
      <c r="R25" s="26"/>
      <c r="T25" s="26"/>
      <c r="U25" s="26"/>
      <c r="V25" s="26"/>
      <c r="X25" s="26"/>
      <c r="Y25" s="567"/>
      <c r="Z25" s="26"/>
    </row>
    <row r="26" spans="1:26" x14ac:dyDescent="0.25">
      <c r="A26">
        <v>5700</v>
      </c>
      <c r="B26" t="s">
        <v>313</v>
      </c>
      <c r="C26" s="26">
        <v>59147.25</v>
      </c>
      <c r="D26" s="26">
        <v>27250</v>
      </c>
      <c r="E26" s="15">
        <f t="shared" si="4"/>
        <v>24644.6875</v>
      </c>
      <c r="F26" s="15">
        <f t="shared" si="4"/>
        <v>11354.166666666668</v>
      </c>
      <c r="G26" s="15">
        <f t="shared" si="1"/>
        <v>35998.854166666672</v>
      </c>
      <c r="H26" s="15">
        <v>65279.512499999997</v>
      </c>
      <c r="I26" s="15">
        <v>29975</v>
      </c>
      <c r="J26" s="26">
        <f>59474.5625+1</f>
        <v>59475.5625</v>
      </c>
      <c r="K26" s="26">
        <v>27314.761904761905</v>
      </c>
      <c r="L26" s="568">
        <f t="shared" si="3"/>
        <v>86790.324404761908</v>
      </c>
      <c r="M26" s="26">
        <v>86790</v>
      </c>
      <c r="N26" s="31"/>
      <c r="P26" s="26"/>
      <c r="Q26" s="26"/>
      <c r="R26" s="26"/>
      <c r="T26" s="26"/>
      <c r="U26" s="26"/>
      <c r="V26" s="26"/>
      <c r="X26" s="26"/>
      <c r="Y26" s="567"/>
      <c r="Z26" s="26"/>
    </row>
    <row r="27" spans="1:26" x14ac:dyDescent="0.25">
      <c r="A27">
        <v>5730</v>
      </c>
      <c r="B27" t="s">
        <v>166</v>
      </c>
      <c r="C27" s="26">
        <v>2125550.8831249992</v>
      </c>
      <c r="D27" s="26">
        <v>876851.66666666663</v>
      </c>
      <c r="E27" s="15">
        <f>C27/12*5</f>
        <v>885646.20130208309</v>
      </c>
      <c r="F27" s="15">
        <f>D27/12*5</f>
        <v>365354.86111111112</v>
      </c>
      <c r="G27" s="15">
        <f>SUM(E27:F27)</f>
        <v>1251001.0624131942</v>
      </c>
      <c r="H27" s="15">
        <v>2010175.2217499991</v>
      </c>
      <c r="I27" s="15">
        <v>819653.33333333337</v>
      </c>
      <c r="J27" s="26">
        <f>1811619.57347024-2</f>
        <v>1811617.57347024</v>
      </c>
      <c r="K27" s="26">
        <v>743323.76984126982</v>
      </c>
      <c r="L27" s="568">
        <f t="shared" si="3"/>
        <v>2554941.34331151</v>
      </c>
      <c r="M27" s="26">
        <v>2554941</v>
      </c>
      <c r="N27" s="31"/>
      <c r="P27" s="26"/>
      <c r="Q27" s="26"/>
      <c r="R27" s="26"/>
      <c r="T27" s="26"/>
      <c r="U27" s="26"/>
      <c r="V27" s="26"/>
      <c r="X27" s="26"/>
      <c r="Y27" s="567"/>
      <c r="Z27" s="26"/>
    </row>
    <row r="28" spans="1:26" x14ac:dyDescent="0.25">
      <c r="A28">
        <v>5740</v>
      </c>
      <c r="B28" t="s">
        <v>461</v>
      </c>
      <c r="C28" s="26">
        <v>12539896.395488337</v>
      </c>
      <c r="D28" s="26">
        <v>3828075.9166666674</v>
      </c>
      <c r="E28" s="15">
        <f>C28/12*5</f>
        <v>5224956.8314534733</v>
      </c>
      <c r="F28" s="15">
        <f>D28/12*5</f>
        <v>1595031.6319444447</v>
      </c>
      <c r="G28" s="15">
        <f>SUM(E28:F28)</f>
        <v>6819988.4633979183</v>
      </c>
      <c r="H28" s="15">
        <v>11970171.842724178</v>
      </c>
      <c r="I28" s="15">
        <v>3590959.9166666688</v>
      </c>
      <c r="J28" s="26">
        <f>10661311.8610909+1</f>
        <v>10661312.8610909</v>
      </c>
      <c r="K28" s="26">
        <v>3198944.8174603181</v>
      </c>
      <c r="L28" s="568">
        <f t="shared" si="3"/>
        <v>13860257.678551219</v>
      </c>
      <c r="M28" s="26">
        <v>13860258</v>
      </c>
      <c r="N28" s="31"/>
      <c r="P28" s="26"/>
      <c r="Q28" s="26"/>
      <c r="R28" s="26"/>
      <c r="T28" s="26"/>
      <c r="U28" s="26"/>
      <c r="V28" s="26"/>
      <c r="X28" s="26"/>
      <c r="Y28" s="567"/>
      <c r="Z28" s="26"/>
    </row>
    <row r="29" spans="1:26" x14ac:dyDescent="0.25">
      <c r="L29" s="26"/>
      <c r="M29" s="538"/>
      <c r="N29" s="31"/>
    </row>
    <row r="30" spans="1:26" x14ac:dyDescent="0.25">
      <c r="L30" s="26"/>
      <c r="M30" s="536"/>
      <c r="N30" s="31"/>
    </row>
    <row r="31" spans="1:26" x14ac:dyDescent="0.25">
      <c r="L31" s="26"/>
      <c r="M31" s="536"/>
    </row>
    <row r="33" spans="12:13" x14ac:dyDescent="0.25">
      <c r="M33" s="26"/>
    </row>
    <row r="35" spans="12:13" x14ac:dyDescent="0.25">
      <c r="L35" s="26"/>
      <c r="M35" s="26"/>
    </row>
    <row r="37" spans="12:13" x14ac:dyDescent="0.25">
      <c r="L37" s="26"/>
      <c r="M37" s="26"/>
    </row>
    <row r="39" spans="12:13" x14ac:dyDescent="0.25">
      <c r="L39" s="26"/>
      <c r="M39" s="26"/>
    </row>
    <row r="41" spans="12:13" x14ac:dyDescent="0.25">
      <c r="L41" s="26"/>
      <c r="M41" s="26"/>
    </row>
    <row r="43" spans="12:13" x14ac:dyDescent="0.25">
      <c r="L43" s="26"/>
      <c r="M43" s="26"/>
    </row>
    <row r="45" spans="12:13" x14ac:dyDescent="0.25">
      <c r="L45" s="26"/>
      <c r="M45" s="26"/>
    </row>
    <row r="47" spans="12:13" x14ac:dyDescent="0.25">
      <c r="L47" s="26"/>
      <c r="M47" s="26"/>
    </row>
    <row r="49" spans="12:13" x14ac:dyDescent="0.25">
      <c r="L49" s="26"/>
      <c r="M49" s="26"/>
    </row>
    <row r="51" spans="12:13" x14ac:dyDescent="0.25">
      <c r="L51" s="26"/>
      <c r="M51" s="26"/>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topLeftCell="C1" workbookViewId="0">
      <selection activeCell="J3" sqref="J3"/>
    </sheetView>
  </sheetViews>
  <sheetFormatPr defaultRowHeight="15" x14ac:dyDescent="0.25"/>
  <cols>
    <col min="2" max="2" width="38.42578125" customWidth="1"/>
    <col min="3" max="6" width="16.28515625" customWidth="1"/>
    <col min="7" max="7" width="18.5703125" customWidth="1"/>
    <col min="8" max="9" width="17" customWidth="1"/>
    <col min="10" max="11" width="16.85546875" customWidth="1"/>
    <col min="12" max="12" width="17.7109375" customWidth="1"/>
    <col min="13" max="15" width="5.5703125" customWidth="1"/>
  </cols>
  <sheetData>
    <row r="1" spans="1:14" ht="45" x14ac:dyDescent="0.25">
      <c r="A1" s="564" t="s">
        <v>808</v>
      </c>
      <c r="B1" s="564" t="s">
        <v>35</v>
      </c>
      <c r="C1" s="535" t="s">
        <v>2137</v>
      </c>
      <c r="D1" s="535" t="s">
        <v>2138</v>
      </c>
      <c r="E1" s="535" t="s">
        <v>2139</v>
      </c>
      <c r="F1" s="535" t="s">
        <v>2140</v>
      </c>
      <c r="G1" s="535" t="s">
        <v>2141</v>
      </c>
      <c r="H1" s="535" t="s">
        <v>2164</v>
      </c>
      <c r="I1" s="535" t="s">
        <v>2165</v>
      </c>
      <c r="J1" s="535" t="s">
        <v>2169</v>
      </c>
      <c r="K1" s="535" t="s">
        <v>2170</v>
      </c>
      <c r="L1" s="535" t="s">
        <v>2171</v>
      </c>
      <c r="M1" s="564"/>
    </row>
    <row r="2" spans="1:14" x14ac:dyDescent="0.25">
      <c r="L2" s="26"/>
      <c r="M2" s="26"/>
    </row>
    <row r="3" spans="1:14" x14ac:dyDescent="0.25">
      <c r="A3">
        <v>1620</v>
      </c>
      <c r="B3" t="s">
        <v>176</v>
      </c>
      <c r="C3" s="26">
        <v>10500482.090158761</v>
      </c>
      <c r="D3" s="26">
        <v>1806084.9166666667</v>
      </c>
      <c r="E3" s="15">
        <f>C3/12*5</f>
        <v>4375200.8708994836</v>
      </c>
      <c r="F3" s="15">
        <f>D3/12*5</f>
        <v>752535.3819444445</v>
      </c>
      <c r="G3" s="15">
        <f>SUM(E3:F3)</f>
        <v>5127736.2528439276</v>
      </c>
      <c r="H3" s="15">
        <v>9849095.7614191771</v>
      </c>
      <c r="I3" s="15">
        <v>1687177.4166666667</v>
      </c>
      <c r="J3" s="26">
        <v>8234109.8239793517</v>
      </c>
      <c r="K3" s="26">
        <v>1414814.253968254</v>
      </c>
      <c r="L3" s="26">
        <f>SUM(J3:K3)</f>
        <v>9648924.0779476054</v>
      </c>
    </row>
    <row r="4" spans="1:14" x14ac:dyDescent="0.25">
      <c r="A4">
        <v>1630</v>
      </c>
      <c r="B4" t="s">
        <v>172</v>
      </c>
      <c r="C4" s="26">
        <v>5937676.3254366769</v>
      </c>
      <c r="D4" s="26">
        <v>807286.16666666651</v>
      </c>
      <c r="E4" s="15">
        <f t="shared" ref="E4:F19" si="0">C4/12*5</f>
        <v>2474031.8022652818</v>
      </c>
      <c r="F4" s="15">
        <f t="shared" si="0"/>
        <v>336369.23611111101</v>
      </c>
      <c r="G4" s="15">
        <f t="shared" ref="G4:G26" si="1">SUM(E4:F4)</f>
        <v>2810401.0383763928</v>
      </c>
      <c r="H4" s="15">
        <v>5968480.0704908334</v>
      </c>
      <c r="I4" s="15">
        <v>814452.83333333337</v>
      </c>
      <c r="J4" s="26">
        <v>4885884.4886476612</v>
      </c>
      <c r="K4" s="26">
        <v>667940.20634920627</v>
      </c>
      <c r="L4" s="26">
        <f t="shared" ref="L4:L17" si="2">SUM(J4:K4)</f>
        <v>5553824.6949968673</v>
      </c>
      <c r="M4" s="26"/>
    </row>
    <row r="5" spans="1:14" x14ac:dyDescent="0.25">
      <c r="A5">
        <v>1640</v>
      </c>
      <c r="B5" t="s">
        <v>173</v>
      </c>
      <c r="C5" s="26">
        <v>1745740.1951175001</v>
      </c>
      <c r="D5" s="26">
        <v>267075.5</v>
      </c>
      <c r="E5" s="15">
        <f t="shared" si="0"/>
        <v>727391.74796562514</v>
      </c>
      <c r="F5" s="15">
        <f t="shared" si="0"/>
        <v>111281.45833333334</v>
      </c>
      <c r="G5" s="15">
        <f t="shared" si="1"/>
        <v>838673.20629895851</v>
      </c>
      <c r="H5" s="15">
        <v>1714900.08207375</v>
      </c>
      <c r="I5" s="15">
        <v>262218</v>
      </c>
      <c r="J5" s="26">
        <v>1432671.6054405358</v>
      </c>
      <c r="K5" s="26">
        <v>218530.54761904763</v>
      </c>
      <c r="L5" s="26">
        <f t="shared" si="2"/>
        <v>1651202.1530595834</v>
      </c>
    </row>
    <row r="6" spans="1:14" x14ac:dyDescent="0.25">
      <c r="A6">
        <v>1650</v>
      </c>
      <c r="B6" t="s">
        <v>11</v>
      </c>
      <c r="C6" s="26">
        <v>13175763.181762923</v>
      </c>
      <c r="D6" s="26">
        <v>6655855.75</v>
      </c>
      <c r="E6" s="15">
        <f t="shared" si="0"/>
        <v>5489901.3257345511</v>
      </c>
      <c r="F6" s="15">
        <f t="shared" si="0"/>
        <v>2773273.229166667</v>
      </c>
      <c r="G6" s="15">
        <f t="shared" si="1"/>
        <v>8263174.554901218</v>
      </c>
      <c r="H6" s="15">
        <v>12077292.521921251</v>
      </c>
      <c r="I6" s="15">
        <v>6184859.083333333</v>
      </c>
      <c r="J6" s="26">
        <v>10267744.981243137</v>
      </c>
      <c r="K6" s="26">
        <v>5245863.4523809524</v>
      </c>
      <c r="L6" s="26">
        <f t="shared" si="2"/>
        <v>15513608.433624089</v>
      </c>
      <c r="M6" s="26"/>
    </row>
    <row r="7" spans="1:14" x14ac:dyDescent="0.25">
      <c r="A7">
        <v>2180</v>
      </c>
      <c r="B7" t="s">
        <v>192</v>
      </c>
      <c r="C7" s="26">
        <v>14752023.060662922</v>
      </c>
      <c r="D7" s="536">
        <v>2922218.166666667</v>
      </c>
      <c r="E7" s="422">
        <f t="shared" si="0"/>
        <v>6146676.2752762167</v>
      </c>
      <c r="F7" s="537">
        <f t="shared" si="0"/>
        <v>1217590.902777778</v>
      </c>
      <c r="G7" s="15">
        <f t="shared" si="1"/>
        <v>7364267.1780539947</v>
      </c>
      <c r="H7" s="15">
        <v>13937076.470072009</v>
      </c>
      <c r="I7" s="537">
        <v>2726217.2333333371</v>
      </c>
      <c r="J7" s="26">
        <v>11307059.215902984</v>
      </c>
      <c r="K7" s="536">
        <v>2243609.0444444465</v>
      </c>
      <c r="L7" s="26">
        <f t="shared" si="2"/>
        <v>13550668.26034743</v>
      </c>
    </row>
    <row r="8" spans="1:14" x14ac:dyDescent="0.25">
      <c r="A8">
        <v>2193</v>
      </c>
      <c r="B8" t="s">
        <v>441</v>
      </c>
      <c r="C8" s="26">
        <v>19848427.626996201</v>
      </c>
      <c r="D8" s="536">
        <v>3081263.833333333</v>
      </c>
      <c r="E8" s="422">
        <f t="shared" si="0"/>
        <v>8270178.1779150842</v>
      </c>
      <c r="F8" s="537">
        <f t="shared" si="0"/>
        <v>1283859.9305555555</v>
      </c>
      <c r="G8" s="15">
        <f t="shared" si="1"/>
        <v>9554038.1084706392</v>
      </c>
      <c r="H8" s="15">
        <v>19270790.545138761</v>
      </c>
      <c r="I8" s="537">
        <v>2992382.5</v>
      </c>
      <c r="J8" s="26">
        <v>15900350.335296661</v>
      </c>
      <c r="K8" s="536">
        <v>2446313.888888889</v>
      </c>
      <c r="L8" s="26">
        <f t="shared" si="2"/>
        <v>18346664.224185549</v>
      </c>
      <c r="M8" s="26"/>
    </row>
    <row r="9" spans="1:14" x14ac:dyDescent="0.25">
      <c r="A9">
        <v>2200</v>
      </c>
      <c r="B9" t="s">
        <v>574</v>
      </c>
      <c r="C9" s="26">
        <v>1910286.98263</v>
      </c>
      <c r="D9" s="536">
        <v>274059.66666666663</v>
      </c>
      <c r="E9" s="422">
        <f t="shared" si="0"/>
        <v>795952.90942916658</v>
      </c>
      <c r="F9" s="537">
        <f t="shared" si="0"/>
        <v>114191.52777777775</v>
      </c>
      <c r="G9" s="15">
        <f t="shared" si="1"/>
        <v>910144.43720694433</v>
      </c>
      <c r="H9" s="15">
        <v>1897573.3062237499</v>
      </c>
      <c r="I9" s="537">
        <v>271232.16666666663</v>
      </c>
      <c r="J9" s="26">
        <v>1509005.936626845</v>
      </c>
      <c r="K9" s="536">
        <v>216658.6587301587</v>
      </c>
      <c r="L9" s="26">
        <f t="shared" si="2"/>
        <v>1725664.5953570036</v>
      </c>
      <c r="M9" s="26"/>
    </row>
    <row r="10" spans="1:14" x14ac:dyDescent="0.25">
      <c r="A10">
        <v>2220</v>
      </c>
      <c r="B10" t="s">
        <v>195</v>
      </c>
      <c r="C10" s="26">
        <v>136091.94990000001</v>
      </c>
      <c r="D10" s="536">
        <v>26680.000000000004</v>
      </c>
      <c r="E10" s="422">
        <f t="shared" si="0"/>
        <v>56704.979124999998</v>
      </c>
      <c r="F10" s="537">
        <f t="shared" si="0"/>
        <v>11116.666666666668</v>
      </c>
      <c r="G10" s="15">
        <f t="shared" si="1"/>
        <v>67821.64579166667</v>
      </c>
      <c r="H10" s="15">
        <v>124257.86729999998</v>
      </c>
      <c r="I10" s="537">
        <v>24360</v>
      </c>
      <c r="J10" s="26">
        <v>104956.2169142857</v>
      </c>
      <c r="K10" s="536">
        <v>20576.380952380954</v>
      </c>
      <c r="L10" s="26">
        <f t="shared" si="2"/>
        <v>125532.59786666665</v>
      </c>
      <c r="M10" s="536"/>
      <c r="N10" s="31"/>
    </row>
    <row r="11" spans="1:14" x14ac:dyDescent="0.25">
      <c r="A11">
        <v>2271</v>
      </c>
      <c r="B11" t="s">
        <v>196</v>
      </c>
      <c r="C11" s="26">
        <v>257275.18256749999</v>
      </c>
      <c r="D11" s="536">
        <v>48691</v>
      </c>
      <c r="E11" s="422">
        <f t="shared" si="0"/>
        <v>107197.99273645833</v>
      </c>
      <c r="F11" s="537">
        <f t="shared" si="0"/>
        <v>20287.916666666668</v>
      </c>
      <c r="G11" s="15">
        <f t="shared" si="1"/>
        <v>127485.909403125</v>
      </c>
      <c r="H11" s="15">
        <v>245345.6638175</v>
      </c>
      <c r="I11" s="537">
        <v>46516</v>
      </c>
      <c r="J11" s="26">
        <v>205874.13748547618</v>
      </c>
      <c r="K11" s="536">
        <v>39022.523809523809</v>
      </c>
      <c r="L11" s="26">
        <f t="shared" si="2"/>
        <v>244896.661295</v>
      </c>
      <c r="M11" s="536"/>
      <c r="N11" s="31"/>
    </row>
    <row r="12" spans="1:14" x14ac:dyDescent="0.25">
      <c r="A12">
        <v>2272</v>
      </c>
      <c r="B12" t="s">
        <v>200</v>
      </c>
      <c r="C12" s="26">
        <v>459793.1014300001</v>
      </c>
      <c r="D12" s="536">
        <v>59604.666666666672</v>
      </c>
      <c r="E12" s="422">
        <f t="shared" si="0"/>
        <v>191580.45892916672</v>
      </c>
      <c r="F12" s="537">
        <f t="shared" si="0"/>
        <v>24835.277777777777</v>
      </c>
      <c r="G12" s="15">
        <f t="shared" si="1"/>
        <v>216415.7367069445</v>
      </c>
      <c r="H12" s="15">
        <v>456810.33723000012</v>
      </c>
      <c r="I12" s="537">
        <v>59218.000000000015</v>
      </c>
      <c r="J12" s="26">
        <v>351754.40677238104</v>
      </c>
      <c r="K12" s="536">
        <v>45598.730158730163</v>
      </c>
      <c r="L12" s="26">
        <f t="shared" si="2"/>
        <v>397353.13693111122</v>
      </c>
      <c r="M12" s="536"/>
      <c r="N12" s="31"/>
    </row>
    <row r="13" spans="1:14" x14ac:dyDescent="0.25">
      <c r="A13">
        <v>2300</v>
      </c>
      <c r="B13" t="s">
        <v>915</v>
      </c>
      <c r="C13" s="26">
        <v>737078.31837250013</v>
      </c>
      <c r="D13" s="536">
        <v>95550.166666666672</v>
      </c>
      <c r="E13" s="422">
        <f t="shared" si="0"/>
        <v>307115.96598854172</v>
      </c>
      <c r="F13" s="537">
        <f t="shared" si="0"/>
        <v>39812.569444444445</v>
      </c>
      <c r="G13" s="15">
        <f t="shared" si="1"/>
        <v>346928.53543298616</v>
      </c>
      <c r="H13" s="15">
        <v>705050.88777500007</v>
      </c>
      <c r="I13" s="537">
        <v>91398.333333333343</v>
      </c>
      <c r="J13" s="26">
        <v>555337.50389702385</v>
      </c>
      <c r="K13" s="536">
        <v>71990.753968253965</v>
      </c>
      <c r="L13" s="26">
        <f t="shared" si="2"/>
        <v>627328.25786527782</v>
      </c>
      <c r="M13" s="538"/>
      <c r="N13" s="31"/>
    </row>
    <row r="14" spans="1:14" x14ac:dyDescent="0.25">
      <c r="A14">
        <v>2340</v>
      </c>
      <c r="B14" t="s">
        <v>198</v>
      </c>
      <c r="C14" s="26">
        <v>1666798.5926274997</v>
      </c>
      <c r="D14" s="536">
        <v>278433.83333333331</v>
      </c>
      <c r="E14" s="422">
        <f t="shared" si="0"/>
        <v>694499.41359479155</v>
      </c>
      <c r="F14" s="537">
        <f t="shared" si="0"/>
        <v>116014.0972222222</v>
      </c>
      <c r="G14" s="15">
        <f t="shared" si="1"/>
        <v>810513.5108170138</v>
      </c>
      <c r="H14" s="15">
        <v>1550977.6054729992</v>
      </c>
      <c r="I14" s="537">
        <v>259213.59999999998</v>
      </c>
      <c r="J14" s="26">
        <v>1304901.4958283091</v>
      </c>
      <c r="K14" s="536">
        <v>218227.31269841269</v>
      </c>
      <c r="L14" s="26">
        <f t="shared" si="2"/>
        <v>1523128.8085267218</v>
      </c>
      <c r="M14" s="536"/>
      <c r="N14" s="31"/>
    </row>
    <row r="15" spans="1:14" x14ac:dyDescent="0.25">
      <c r="A15">
        <v>2360</v>
      </c>
      <c r="B15" t="s">
        <v>575</v>
      </c>
      <c r="C15" s="26">
        <v>171742.12373249998</v>
      </c>
      <c r="D15" s="536">
        <v>33669</v>
      </c>
      <c r="E15" s="422">
        <f t="shared" si="0"/>
        <v>71559.218221874995</v>
      </c>
      <c r="F15" s="537">
        <f t="shared" si="0"/>
        <v>14028.75</v>
      </c>
      <c r="G15" s="15">
        <f t="shared" si="1"/>
        <v>85587.968221874995</v>
      </c>
      <c r="H15" s="15">
        <v>175440.27454499999</v>
      </c>
      <c r="I15" s="537">
        <v>34394</v>
      </c>
      <c r="J15" s="26">
        <v>145759.67093178572</v>
      </c>
      <c r="K15" s="536">
        <v>28574.714285714286</v>
      </c>
      <c r="L15" s="26">
        <f t="shared" si="2"/>
        <v>174334.38521750001</v>
      </c>
      <c r="M15" s="538"/>
      <c r="N15" s="31"/>
    </row>
    <row r="16" spans="1:14" x14ac:dyDescent="0.25">
      <c r="A16">
        <v>2500</v>
      </c>
      <c r="B16" t="s">
        <v>2096</v>
      </c>
      <c r="C16" s="26">
        <v>211615.26814062503</v>
      </c>
      <c r="D16" s="536">
        <v>46221.666666666664</v>
      </c>
      <c r="E16" s="422">
        <f t="shared" si="0"/>
        <v>88173.028391927088</v>
      </c>
      <c r="F16" s="537">
        <f t="shared" si="0"/>
        <v>19259.027777777777</v>
      </c>
      <c r="G16" s="15">
        <f t="shared" si="1"/>
        <v>107432.05616970487</v>
      </c>
      <c r="H16" s="15">
        <v>218546.47669531254</v>
      </c>
      <c r="I16" s="537">
        <v>48059.166666666664</v>
      </c>
      <c r="J16" s="26">
        <v>179535.36337909228</v>
      </c>
      <c r="K16" s="536">
        <v>41989.944444444445</v>
      </c>
      <c r="L16" s="26">
        <f t="shared" si="2"/>
        <v>221525.30782353671</v>
      </c>
      <c r="M16" s="536"/>
      <c r="N16" s="31"/>
    </row>
    <row r="17" spans="1:14" x14ac:dyDescent="0.25">
      <c r="A17">
        <v>2750</v>
      </c>
      <c r="B17" t="s">
        <v>205</v>
      </c>
      <c r="C17" s="26">
        <v>2245587.2100749998</v>
      </c>
      <c r="D17" s="536">
        <v>989187.5</v>
      </c>
      <c r="E17" s="422">
        <f t="shared" si="0"/>
        <v>935661.33753124985</v>
      </c>
      <c r="F17" s="537">
        <f t="shared" si="0"/>
        <v>412161.45833333337</v>
      </c>
      <c r="G17" s="15">
        <f t="shared" si="1"/>
        <v>1347822.7958645832</v>
      </c>
      <c r="H17" s="15">
        <v>2220162.6017124997</v>
      </c>
      <c r="I17" s="537">
        <v>981112.5</v>
      </c>
      <c r="J17" s="26">
        <v>1853161.8793232141</v>
      </c>
      <c r="K17" s="536">
        <v>818555.61904761905</v>
      </c>
      <c r="L17" s="26">
        <f t="shared" si="2"/>
        <v>2671717.4983708332</v>
      </c>
      <c r="M17" s="538"/>
      <c r="N17" s="31"/>
    </row>
    <row r="18" spans="1:14" x14ac:dyDescent="0.25">
      <c r="A18">
        <v>2000</v>
      </c>
      <c r="B18" t="s">
        <v>463</v>
      </c>
      <c r="D18" s="539">
        <v>7855579.5000000009</v>
      </c>
      <c r="E18" s="15">
        <f>C18/12*5</f>
        <v>0</v>
      </c>
      <c r="F18" s="422">
        <f t="shared" si="0"/>
        <v>3273158.1250000005</v>
      </c>
      <c r="G18" s="15">
        <f t="shared" si="1"/>
        <v>3273158.1250000005</v>
      </c>
      <c r="I18" s="562">
        <f>SUM(I7:I17)</f>
        <v>7534103.5000000037</v>
      </c>
      <c r="J18" s="26">
        <f t="shared" ref="J18" si="3">((H18-E18)/7*3)+E18</f>
        <v>0</v>
      </c>
      <c r="K18" s="563">
        <f>SUM(K7:K17)</f>
        <v>6191117.5714285737</v>
      </c>
      <c r="L18" s="26"/>
      <c r="M18" s="536"/>
      <c r="N18" s="31"/>
    </row>
    <row r="19" spans="1:14" x14ac:dyDescent="0.25">
      <c r="A19">
        <v>3306</v>
      </c>
      <c r="B19" t="s">
        <v>242</v>
      </c>
      <c r="C19" s="26">
        <v>516017.63775000005</v>
      </c>
      <c r="D19" s="26">
        <v>267375</v>
      </c>
      <c r="E19" s="15">
        <f>C19/12*5</f>
        <v>215007.34906250003</v>
      </c>
      <c r="F19" s="15">
        <f t="shared" si="0"/>
        <v>111406.25</v>
      </c>
      <c r="G19" s="15">
        <f t="shared" si="1"/>
        <v>326413.59906250006</v>
      </c>
      <c r="H19" s="15">
        <v>491143.68337500002</v>
      </c>
      <c r="I19" s="15">
        <v>254437.5</v>
      </c>
      <c r="J19" s="26">
        <v>412247.49233928573</v>
      </c>
      <c r="K19" s="26">
        <v>213571.35714285716</v>
      </c>
      <c r="L19" s="26">
        <f t="shared" ref="L19:L28" si="4">SUM(J19:K19)</f>
        <v>625818.84948214283</v>
      </c>
      <c r="M19" s="538"/>
      <c r="N19" s="31"/>
    </row>
    <row r="20" spans="1:14" x14ac:dyDescent="0.25">
      <c r="A20">
        <v>3850</v>
      </c>
      <c r="B20" t="s">
        <v>813</v>
      </c>
      <c r="C20" s="26">
        <v>149732.70475</v>
      </c>
      <c r="D20" s="26">
        <v>77625</v>
      </c>
      <c r="E20" s="15">
        <f t="shared" ref="E20:F26" si="5">C20/12*5</f>
        <v>62388.626979166664</v>
      </c>
      <c r="F20" s="15">
        <f t="shared" si="5"/>
        <v>32343.75</v>
      </c>
      <c r="G20" s="15">
        <f t="shared" si="1"/>
        <v>94732.376979166671</v>
      </c>
      <c r="H20" s="15">
        <v>122135.72587499999</v>
      </c>
      <c r="I20" s="15">
        <v>63250</v>
      </c>
      <c r="J20" s="26">
        <v>105064.52650595238</v>
      </c>
      <c r="K20" s="26">
        <v>54419.28571428571</v>
      </c>
      <c r="L20" s="26">
        <f t="shared" si="4"/>
        <v>159483.81222023809</v>
      </c>
      <c r="M20" s="536"/>
      <c r="N20" s="31"/>
    </row>
    <row r="21" spans="1:14" x14ac:dyDescent="0.25">
      <c r="A21">
        <v>5100</v>
      </c>
      <c r="B21" t="s">
        <v>164</v>
      </c>
      <c r="C21" s="26">
        <v>753431.78235937527</v>
      </c>
      <c r="D21" s="26">
        <v>330125</v>
      </c>
      <c r="E21" s="15">
        <f t="shared" si="5"/>
        <v>313929.90931640635</v>
      </c>
      <c r="F21" s="15">
        <f t="shared" si="5"/>
        <v>137552.08333333334</v>
      </c>
      <c r="G21" s="15">
        <f t="shared" si="1"/>
        <v>451481.99264973972</v>
      </c>
      <c r="H21" s="15">
        <v>694208.83942968783</v>
      </c>
      <c r="I21" s="15">
        <v>303487.5</v>
      </c>
      <c r="J21" s="26">
        <v>591690.59365066979</v>
      </c>
      <c r="K21" s="26">
        <v>258803.26190476189</v>
      </c>
      <c r="L21" s="26">
        <f t="shared" si="4"/>
        <v>850493.85555543168</v>
      </c>
      <c r="M21" s="538"/>
      <c r="N21" s="31"/>
    </row>
    <row r="22" spans="1:14" x14ac:dyDescent="0.25">
      <c r="A22">
        <v>5160</v>
      </c>
      <c r="B22" t="s">
        <v>305</v>
      </c>
      <c r="C22" s="26">
        <v>122645.24999999999</v>
      </c>
      <c r="D22" s="26">
        <v>54500</v>
      </c>
      <c r="E22" s="15">
        <f t="shared" si="5"/>
        <v>51102.187499999993</v>
      </c>
      <c r="F22" s="15">
        <f t="shared" si="5"/>
        <v>22708.333333333336</v>
      </c>
      <c r="G22" s="15">
        <f t="shared" si="1"/>
        <v>73810.520833333328</v>
      </c>
      <c r="H22" s="15">
        <v>110380.72499999998</v>
      </c>
      <c r="I22" s="15">
        <v>49050</v>
      </c>
      <c r="J22" s="26">
        <v>93443.274999999994</v>
      </c>
      <c r="K22" s="26">
        <v>41523.619047619053</v>
      </c>
      <c r="L22" s="26">
        <f t="shared" si="4"/>
        <v>134966.89404761905</v>
      </c>
      <c r="M22" s="536"/>
      <c r="N22" s="31"/>
    </row>
    <row r="23" spans="1:14" x14ac:dyDescent="0.25">
      <c r="A23">
        <v>5400</v>
      </c>
      <c r="B23" t="s">
        <v>914</v>
      </c>
      <c r="C23" s="26">
        <v>236705.33250000002</v>
      </c>
      <c r="D23" s="26">
        <v>105185</v>
      </c>
      <c r="E23" s="15">
        <f t="shared" si="5"/>
        <v>98627.221875000017</v>
      </c>
      <c r="F23" s="15">
        <f t="shared" si="5"/>
        <v>43827.083333333328</v>
      </c>
      <c r="G23" s="15">
        <f t="shared" si="1"/>
        <v>142454.30520833336</v>
      </c>
      <c r="H23" s="15">
        <v>183967.875</v>
      </c>
      <c r="I23" s="15">
        <v>81750</v>
      </c>
      <c r="J23" s="26">
        <v>162651.78750000001</v>
      </c>
      <c r="K23" s="26">
        <v>72277.761904761894</v>
      </c>
      <c r="L23" s="26">
        <f t="shared" si="4"/>
        <v>234929.5494047619</v>
      </c>
      <c r="M23" s="538"/>
      <c r="N23" s="31"/>
    </row>
    <row r="24" spans="1:14" x14ac:dyDescent="0.25">
      <c r="A24">
        <v>5410</v>
      </c>
      <c r="B24" t="s">
        <v>1096</v>
      </c>
      <c r="C24" s="26">
        <v>9811.6200000000008</v>
      </c>
      <c r="D24" s="26">
        <v>4360</v>
      </c>
      <c r="E24" s="15">
        <f t="shared" si="5"/>
        <v>4088.1750000000006</v>
      </c>
      <c r="F24" s="15">
        <f t="shared" si="5"/>
        <v>1816.6666666666665</v>
      </c>
      <c r="G24" s="15">
        <f t="shared" si="1"/>
        <v>5904.8416666666672</v>
      </c>
      <c r="H24" s="15">
        <v>4905.8100000000004</v>
      </c>
      <c r="I24" s="15">
        <v>2180</v>
      </c>
      <c r="J24" s="26">
        <v>4672.59</v>
      </c>
      <c r="K24" s="26">
        <v>2076.3809523809523</v>
      </c>
      <c r="L24" s="26">
        <f t="shared" si="4"/>
        <v>6748.9709523809524</v>
      </c>
      <c r="M24" s="536"/>
      <c r="N24" s="31"/>
    </row>
    <row r="25" spans="1:14" x14ac:dyDescent="0.25">
      <c r="A25">
        <v>5500</v>
      </c>
      <c r="B25" t="s">
        <v>165</v>
      </c>
      <c r="C25" s="26">
        <v>171703.34999999995</v>
      </c>
      <c r="D25" s="26">
        <v>76300</v>
      </c>
      <c r="E25" s="15">
        <f t="shared" si="5"/>
        <v>71543.062499999971</v>
      </c>
      <c r="F25" s="15">
        <f t="shared" si="5"/>
        <v>31791.666666666664</v>
      </c>
      <c r="G25" s="15">
        <f t="shared" si="1"/>
        <v>103334.72916666663</v>
      </c>
      <c r="H25" s="15">
        <v>220761.44999999998</v>
      </c>
      <c r="I25" s="15">
        <v>98100</v>
      </c>
      <c r="J25" s="26">
        <v>178127.8</v>
      </c>
      <c r="K25" s="26">
        <v>79155.523809523816</v>
      </c>
      <c r="L25" s="26">
        <f t="shared" si="4"/>
        <v>257283.3238095238</v>
      </c>
      <c r="M25" s="538"/>
      <c r="N25" s="31"/>
    </row>
    <row r="26" spans="1:14" x14ac:dyDescent="0.25">
      <c r="A26">
        <v>5700</v>
      </c>
      <c r="B26" t="s">
        <v>313</v>
      </c>
      <c r="C26" s="26">
        <v>59147.25</v>
      </c>
      <c r="D26" s="26">
        <v>27250</v>
      </c>
      <c r="E26" s="15">
        <f t="shared" si="5"/>
        <v>24644.6875</v>
      </c>
      <c r="F26" s="15">
        <f t="shared" si="5"/>
        <v>11354.166666666668</v>
      </c>
      <c r="G26" s="15">
        <f t="shared" si="1"/>
        <v>35998.854166666672</v>
      </c>
      <c r="H26" s="15">
        <v>65279.512499999997</v>
      </c>
      <c r="I26" s="15">
        <v>29975</v>
      </c>
      <c r="J26" s="26">
        <v>53669.612500000003</v>
      </c>
      <c r="K26" s="26">
        <v>24654.523809523809</v>
      </c>
      <c r="L26" s="26">
        <f t="shared" si="4"/>
        <v>78324.136309523805</v>
      </c>
      <c r="M26" s="536"/>
      <c r="N26" s="31"/>
    </row>
    <row r="27" spans="1:14" x14ac:dyDescent="0.25">
      <c r="A27">
        <v>5730</v>
      </c>
      <c r="B27" t="s">
        <v>166</v>
      </c>
      <c r="C27" s="26">
        <v>2125550.8831249992</v>
      </c>
      <c r="D27" s="26">
        <v>876851.66666666663</v>
      </c>
      <c r="E27" s="15">
        <f>C27/12*5</f>
        <v>885646.20130208309</v>
      </c>
      <c r="F27" s="15">
        <f>D27/12*5</f>
        <v>365354.86111111112</v>
      </c>
      <c r="G27" s="15">
        <f>SUM(E27:F27)</f>
        <v>1251001.0624131942</v>
      </c>
      <c r="H27" s="15">
        <v>2010175.2217499991</v>
      </c>
      <c r="I27" s="15">
        <v>819653.33333333337</v>
      </c>
      <c r="J27" s="26">
        <v>1663609.2100654757</v>
      </c>
      <c r="K27" s="26">
        <v>682234.20634920639</v>
      </c>
      <c r="L27" s="26">
        <f t="shared" si="4"/>
        <v>2345843.4164146818</v>
      </c>
      <c r="M27" s="538"/>
      <c r="N27" s="31"/>
    </row>
    <row r="28" spans="1:14" x14ac:dyDescent="0.25">
      <c r="A28">
        <v>5740</v>
      </c>
      <c r="B28" t="s">
        <v>461</v>
      </c>
      <c r="C28" s="26">
        <v>12539896.395488337</v>
      </c>
      <c r="D28" s="26">
        <v>3828075.9166666674</v>
      </c>
      <c r="E28" s="15">
        <f>C28/12*5</f>
        <v>5224956.8314534733</v>
      </c>
      <c r="F28" s="15">
        <f>D28/12*5</f>
        <v>1595031.6319444447</v>
      </c>
      <c r="G28" s="15">
        <f>SUM(E28:F28)</f>
        <v>6819988.4633979183</v>
      </c>
      <c r="H28" s="15">
        <v>11970171.842724178</v>
      </c>
      <c r="I28" s="15">
        <v>3590959.9166666688</v>
      </c>
      <c r="J28" s="26">
        <v>9812795.2648552042</v>
      </c>
      <c r="K28" s="26">
        <v>2949439.4682539692</v>
      </c>
      <c r="L28" s="26">
        <f t="shared" si="4"/>
        <v>12762234.733109172</v>
      </c>
      <c r="M28" s="536"/>
      <c r="N28" s="31"/>
    </row>
    <row r="29" spans="1:14" x14ac:dyDescent="0.25">
      <c r="L29" s="26"/>
      <c r="M29" s="538"/>
      <c r="N29" s="31"/>
    </row>
    <row r="30" spans="1:14" x14ac:dyDescent="0.25">
      <c r="L30" s="26"/>
      <c r="M30" s="536"/>
      <c r="N30" s="31"/>
    </row>
    <row r="31" spans="1:14" x14ac:dyDescent="0.25">
      <c r="L31" s="26"/>
      <c r="M31" s="536"/>
    </row>
    <row r="33" spans="12:13" x14ac:dyDescent="0.25">
      <c r="M33" s="26"/>
    </row>
    <row r="35" spans="12:13" x14ac:dyDescent="0.25">
      <c r="L35" s="26"/>
      <c r="M35" s="26"/>
    </row>
    <row r="37" spans="12:13" x14ac:dyDescent="0.25">
      <c r="L37" s="26"/>
      <c r="M37" s="26"/>
    </row>
    <row r="39" spans="12:13" x14ac:dyDescent="0.25">
      <c r="L39" s="26"/>
      <c r="M39" s="26"/>
    </row>
    <row r="41" spans="12:13" x14ac:dyDescent="0.25">
      <c r="L41" s="26"/>
      <c r="M41" s="26"/>
    </row>
    <row r="43" spans="12:13" x14ac:dyDescent="0.25">
      <c r="L43" s="26"/>
      <c r="M43" s="26"/>
    </row>
    <row r="45" spans="12:13" x14ac:dyDescent="0.25">
      <c r="L45" s="26"/>
      <c r="M45" s="26"/>
    </row>
    <row r="47" spans="12:13" x14ac:dyDescent="0.25">
      <c r="L47" s="26"/>
      <c r="M47" s="26"/>
    </row>
    <row r="49" spans="12:13" x14ac:dyDescent="0.25">
      <c r="L49" s="26"/>
      <c r="M49" s="26"/>
    </row>
    <row r="51" spans="12:13" x14ac:dyDescent="0.25">
      <c r="L51" s="26"/>
      <c r="M51" s="2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
  <sheetViews>
    <sheetView workbookViewId="0">
      <selection activeCell="J3" sqref="J3"/>
    </sheetView>
  </sheetViews>
  <sheetFormatPr defaultRowHeight="15" x14ac:dyDescent="0.25"/>
  <cols>
    <col min="2" max="2" width="38.42578125" customWidth="1"/>
    <col min="3" max="6" width="16.28515625" customWidth="1"/>
    <col min="7" max="7" width="18.5703125" customWidth="1"/>
    <col min="8" max="9" width="17" customWidth="1"/>
    <col min="10" max="11" width="16.85546875" customWidth="1"/>
    <col min="12" max="12" width="17.7109375" customWidth="1"/>
    <col min="13" max="13" width="16.85546875" customWidth="1"/>
    <col min="16" max="19" width="17" customWidth="1"/>
  </cols>
  <sheetData>
    <row r="1" spans="1:19" ht="45" x14ac:dyDescent="0.25">
      <c r="A1" s="551" t="s">
        <v>808</v>
      </c>
      <c r="B1" s="551" t="s">
        <v>35</v>
      </c>
      <c r="C1" s="535" t="s">
        <v>2137</v>
      </c>
      <c r="D1" s="535" t="s">
        <v>2138</v>
      </c>
      <c r="E1" s="535" t="s">
        <v>2139</v>
      </c>
      <c r="F1" s="535" t="s">
        <v>2140</v>
      </c>
      <c r="G1" s="535" t="s">
        <v>2141</v>
      </c>
      <c r="H1" s="535" t="s">
        <v>2164</v>
      </c>
      <c r="I1" s="535" t="s">
        <v>2165</v>
      </c>
      <c r="J1" s="535" t="s">
        <v>2166</v>
      </c>
      <c r="K1" s="535" t="s">
        <v>2167</v>
      </c>
      <c r="L1" s="535" t="s">
        <v>2168</v>
      </c>
      <c r="M1" s="551"/>
    </row>
    <row r="2" spans="1:19" x14ac:dyDescent="0.25">
      <c r="L2" s="26"/>
      <c r="M2" s="26"/>
    </row>
    <row r="3" spans="1:19" x14ac:dyDescent="0.25">
      <c r="A3">
        <v>1620</v>
      </c>
      <c r="B3" t="s">
        <v>176</v>
      </c>
      <c r="C3" s="26">
        <v>10500482.090158761</v>
      </c>
      <c r="D3" s="26">
        <v>1806084.9166666667</v>
      </c>
      <c r="E3" s="15">
        <f>C3/12*5</f>
        <v>4375200.8708994836</v>
      </c>
      <c r="F3" s="15">
        <f>D3/12*5</f>
        <v>752535.3819444445</v>
      </c>
      <c r="G3" s="15">
        <f>SUM(E3:F3)</f>
        <v>5127736.2528439276</v>
      </c>
      <c r="H3" s="15">
        <v>9849095.7614191771</v>
      </c>
      <c r="I3" s="15">
        <v>1687177.4166666667</v>
      </c>
      <c r="J3" s="26">
        <f>((H3-E3)/7*3)+E3</f>
        <v>6721155.8239793517</v>
      </c>
      <c r="K3" s="26">
        <f>((I3-F3)/7*3)+F3</f>
        <v>1153096.253968254</v>
      </c>
      <c r="L3" s="26">
        <f>SUM(J3:K3)</f>
        <v>7874252.0779476054</v>
      </c>
      <c r="R3" s="15"/>
      <c r="S3" s="15"/>
    </row>
    <row r="4" spans="1:19" x14ac:dyDescent="0.25">
      <c r="A4">
        <v>1630</v>
      </c>
      <c r="B4" t="s">
        <v>172</v>
      </c>
      <c r="C4" s="26">
        <v>5937676.3254366769</v>
      </c>
      <c r="D4" s="26">
        <v>807286.16666666651</v>
      </c>
      <c r="E4" s="15">
        <f t="shared" ref="E4:F19" si="0">C4/12*5</f>
        <v>2474031.8022652818</v>
      </c>
      <c r="F4" s="15">
        <f t="shared" si="0"/>
        <v>336369.23611111101</v>
      </c>
      <c r="G4" s="15">
        <f t="shared" ref="G4:G26" si="1">SUM(E4:F4)</f>
        <v>2810401.0383763928</v>
      </c>
      <c r="H4" s="15">
        <v>5968480.0704908334</v>
      </c>
      <c r="I4" s="15">
        <v>814452.83333333337</v>
      </c>
      <c r="J4" s="26">
        <f t="shared" ref="J4:J28" si="2">((H4-E4)/7*3)+E4</f>
        <v>3971652.4886476612</v>
      </c>
      <c r="K4" s="26">
        <f t="shared" ref="K4:K28" si="3">((I4-F4)/7*3)+F4</f>
        <v>541262.20634920627</v>
      </c>
      <c r="L4" s="26">
        <f t="shared" ref="L4:L28" si="4">SUM(J4:K4)</f>
        <v>4512914.6949968673</v>
      </c>
      <c r="M4" s="26"/>
      <c r="R4" s="15"/>
      <c r="S4" s="15"/>
    </row>
    <row r="5" spans="1:19" x14ac:dyDescent="0.25">
      <c r="A5">
        <v>1640</v>
      </c>
      <c r="B5" t="s">
        <v>173</v>
      </c>
      <c r="C5" s="26">
        <v>1745740.1951175001</v>
      </c>
      <c r="D5" s="26">
        <v>267075.5</v>
      </c>
      <c r="E5" s="15">
        <f t="shared" si="0"/>
        <v>727391.74796562514</v>
      </c>
      <c r="F5" s="15">
        <f t="shared" si="0"/>
        <v>111281.45833333334</v>
      </c>
      <c r="G5" s="15">
        <f t="shared" si="1"/>
        <v>838673.20629895851</v>
      </c>
      <c r="H5" s="15">
        <v>1714900.08207375</v>
      </c>
      <c r="I5" s="15">
        <v>262218</v>
      </c>
      <c r="J5" s="26">
        <f t="shared" si="2"/>
        <v>1150609.6054405358</v>
      </c>
      <c r="K5" s="26">
        <f t="shared" si="3"/>
        <v>175968.54761904763</v>
      </c>
      <c r="L5" s="26">
        <f t="shared" si="4"/>
        <v>1326578.1530595834</v>
      </c>
      <c r="R5" s="15"/>
      <c r="S5" s="15"/>
    </row>
    <row r="6" spans="1:19" x14ac:dyDescent="0.25">
      <c r="A6">
        <v>1650</v>
      </c>
      <c r="B6" t="s">
        <v>11</v>
      </c>
      <c r="C6" s="26">
        <v>13175763.181762923</v>
      </c>
      <c r="D6" s="26">
        <v>6655855.75</v>
      </c>
      <c r="E6" s="15">
        <f t="shared" si="0"/>
        <v>5489901.3257345511</v>
      </c>
      <c r="F6" s="15">
        <f t="shared" si="0"/>
        <v>2773273.229166667</v>
      </c>
      <c r="G6" s="15">
        <f t="shared" si="1"/>
        <v>8263174.554901218</v>
      </c>
      <c r="H6" s="15">
        <v>12077292.521921251</v>
      </c>
      <c r="I6" s="15">
        <v>6184859.083333333</v>
      </c>
      <c r="J6" s="26">
        <f t="shared" si="2"/>
        <v>8313068.9812431373</v>
      </c>
      <c r="K6" s="26">
        <f t="shared" si="3"/>
        <v>4235381.4523809524</v>
      </c>
      <c r="L6" s="26">
        <f t="shared" si="4"/>
        <v>12548450.433624089</v>
      </c>
      <c r="M6" s="26"/>
      <c r="R6" s="15"/>
      <c r="S6" s="15"/>
    </row>
    <row r="7" spans="1:19" x14ac:dyDescent="0.25">
      <c r="A7">
        <v>2180</v>
      </c>
      <c r="B7" t="s">
        <v>192</v>
      </c>
      <c r="C7" s="26">
        <v>14752023.060662922</v>
      </c>
      <c r="D7" s="536">
        <v>2922218.166666667</v>
      </c>
      <c r="E7" s="422">
        <f t="shared" si="0"/>
        <v>6146676.2752762167</v>
      </c>
      <c r="F7" s="537">
        <f t="shared" si="0"/>
        <v>1217590.902777778</v>
      </c>
      <c r="G7" s="15">
        <f t="shared" si="1"/>
        <v>7364267.1780539947</v>
      </c>
      <c r="H7" s="15">
        <v>13937076.470072009</v>
      </c>
      <c r="I7" s="537">
        <v>2726217.2333333371</v>
      </c>
      <c r="J7" s="26">
        <f t="shared" si="2"/>
        <v>9485419.2159029841</v>
      </c>
      <c r="K7" s="536">
        <f t="shared" si="3"/>
        <v>1864145.0444444462</v>
      </c>
      <c r="L7" s="26">
        <f t="shared" si="4"/>
        <v>11349564.26034743</v>
      </c>
      <c r="R7" s="15"/>
      <c r="S7" s="15"/>
    </row>
    <row r="8" spans="1:19" x14ac:dyDescent="0.25">
      <c r="A8">
        <v>2193</v>
      </c>
      <c r="B8" t="s">
        <v>441</v>
      </c>
      <c r="C8" s="26">
        <v>19848427.626996201</v>
      </c>
      <c r="D8" s="536">
        <v>3081263.833333333</v>
      </c>
      <c r="E8" s="422">
        <f t="shared" si="0"/>
        <v>8270178.1779150842</v>
      </c>
      <c r="F8" s="537">
        <f t="shared" si="0"/>
        <v>1283859.9305555555</v>
      </c>
      <c r="G8" s="15">
        <f t="shared" si="1"/>
        <v>9554038.1084706392</v>
      </c>
      <c r="H8" s="15">
        <v>19270790.545138761</v>
      </c>
      <c r="I8" s="537">
        <v>2992382.5</v>
      </c>
      <c r="J8" s="26">
        <f t="shared" si="2"/>
        <v>12984726.335296661</v>
      </c>
      <c r="K8" s="536">
        <f t="shared" si="3"/>
        <v>2016083.888888889</v>
      </c>
      <c r="L8" s="26">
        <f t="shared" si="4"/>
        <v>15000810.224185549</v>
      </c>
      <c r="M8" s="26"/>
      <c r="R8" s="15"/>
      <c r="S8" s="15"/>
    </row>
    <row r="9" spans="1:19" x14ac:dyDescent="0.25">
      <c r="A9">
        <v>2200</v>
      </c>
      <c r="B9" t="s">
        <v>574</v>
      </c>
      <c r="C9" s="26">
        <v>1910286.98263</v>
      </c>
      <c r="D9" s="536">
        <v>274059.66666666663</v>
      </c>
      <c r="E9" s="422">
        <f t="shared" si="0"/>
        <v>795952.90942916658</v>
      </c>
      <c r="F9" s="537">
        <f t="shared" si="0"/>
        <v>114191.52777777775</v>
      </c>
      <c r="G9" s="15">
        <f t="shared" si="1"/>
        <v>910144.43720694433</v>
      </c>
      <c r="H9" s="15">
        <v>1897573.3062237499</v>
      </c>
      <c r="I9" s="537">
        <v>271232.16666666663</v>
      </c>
      <c r="J9" s="26">
        <f t="shared" si="2"/>
        <v>1268075.936626845</v>
      </c>
      <c r="K9" s="536">
        <f t="shared" si="3"/>
        <v>181494.6587301587</v>
      </c>
      <c r="L9" s="26">
        <f t="shared" si="4"/>
        <v>1449570.5953570036</v>
      </c>
      <c r="M9" s="26"/>
      <c r="R9" s="15"/>
      <c r="S9" s="15"/>
    </row>
    <row r="10" spans="1:19" x14ac:dyDescent="0.25">
      <c r="A10">
        <v>2220</v>
      </c>
      <c r="B10" t="s">
        <v>195</v>
      </c>
      <c r="C10" s="26">
        <v>136091.94990000001</v>
      </c>
      <c r="D10" s="536">
        <v>26680.000000000004</v>
      </c>
      <c r="E10" s="422">
        <f t="shared" si="0"/>
        <v>56704.979124999998</v>
      </c>
      <c r="F10" s="537">
        <f t="shared" si="0"/>
        <v>11116.666666666668</v>
      </c>
      <c r="G10" s="15">
        <f t="shared" si="1"/>
        <v>67821.64579166667</v>
      </c>
      <c r="H10" s="15">
        <v>124257.86729999998</v>
      </c>
      <c r="I10" s="537">
        <v>24360</v>
      </c>
      <c r="J10" s="26">
        <f t="shared" si="2"/>
        <v>85656.216914285702</v>
      </c>
      <c r="K10" s="536">
        <f t="shared" si="3"/>
        <v>16792.380952380954</v>
      </c>
      <c r="L10" s="26">
        <f t="shared" si="4"/>
        <v>102448.59786666665</v>
      </c>
      <c r="M10" s="536"/>
      <c r="N10" s="31"/>
      <c r="R10" s="15"/>
      <c r="S10" s="15"/>
    </row>
    <row r="11" spans="1:19" x14ac:dyDescent="0.25">
      <c r="A11">
        <v>2271</v>
      </c>
      <c r="B11" t="s">
        <v>196</v>
      </c>
      <c r="C11" s="26">
        <v>257275.18256749999</v>
      </c>
      <c r="D11" s="536">
        <v>48691</v>
      </c>
      <c r="E11" s="422">
        <f t="shared" si="0"/>
        <v>107197.99273645833</v>
      </c>
      <c r="F11" s="537">
        <f t="shared" si="0"/>
        <v>20287.916666666668</v>
      </c>
      <c r="G11" s="15">
        <f t="shared" si="1"/>
        <v>127485.909403125</v>
      </c>
      <c r="H11" s="15">
        <v>245345.6638175</v>
      </c>
      <c r="I11" s="537">
        <v>46516</v>
      </c>
      <c r="J11" s="26">
        <f t="shared" si="2"/>
        <v>166404.13748547618</v>
      </c>
      <c r="K11" s="536">
        <f t="shared" si="3"/>
        <v>31528.523809523809</v>
      </c>
      <c r="L11" s="26">
        <f t="shared" si="4"/>
        <v>197932.661295</v>
      </c>
      <c r="M11" s="536"/>
      <c r="N11" s="31"/>
      <c r="R11" s="15"/>
      <c r="S11" s="15"/>
    </row>
    <row r="12" spans="1:19" x14ac:dyDescent="0.25">
      <c r="A12">
        <v>2272</v>
      </c>
      <c r="B12" t="s">
        <v>200</v>
      </c>
      <c r="C12" s="26">
        <v>459793.1014300001</v>
      </c>
      <c r="D12" s="536">
        <v>59604.666666666672</v>
      </c>
      <c r="E12" s="422">
        <f t="shared" si="0"/>
        <v>191580.45892916672</v>
      </c>
      <c r="F12" s="537">
        <f t="shared" si="0"/>
        <v>24835.277777777777</v>
      </c>
      <c r="G12" s="15">
        <f t="shared" si="1"/>
        <v>216415.7367069445</v>
      </c>
      <c r="H12" s="15">
        <v>456810.33723000012</v>
      </c>
      <c r="I12" s="537">
        <v>59218.000000000015</v>
      </c>
      <c r="J12" s="26">
        <f t="shared" si="2"/>
        <v>305250.40677238104</v>
      </c>
      <c r="K12" s="536">
        <f t="shared" si="3"/>
        <v>39570.730158730163</v>
      </c>
      <c r="L12" s="26">
        <f t="shared" si="4"/>
        <v>344821.13693111122</v>
      </c>
      <c r="M12" s="536"/>
      <c r="N12" s="31"/>
      <c r="R12" s="15"/>
      <c r="S12" s="15"/>
    </row>
    <row r="13" spans="1:19" x14ac:dyDescent="0.25">
      <c r="A13">
        <v>2300</v>
      </c>
      <c r="B13" t="s">
        <v>915</v>
      </c>
      <c r="C13" s="26">
        <v>737078.31837250013</v>
      </c>
      <c r="D13" s="536">
        <v>95550.166666666672</v>
      </c>
      <c r="E13" s="422">
        <f t="shared" si="0"/>
        <v>307115.96598854172</v>
      </c>
      <c r="F13" s="537">
        <f t="shared" si="0"/>
        <v>39812.569444444445</v>
      </c>
      <c r="G13" s="15">
        <f t="shared" si="1"/>
        <v>346928.53543298616</v>
      </c>
      <c r="H13" s="15">
        <v>705050.88777500007</v>
      </c>
      <c r="I13" s="537">
        <v>91398.333333333343</v>
      </c>
      <c r="J13" s="26">
        <f t="shared" si="2"/>
        <v>477659.50389702385</v>
      </c>
      <c r="K13" s="536">
        <f t="shared" si="3"/>
        <v>61920.753968253972</v>
      </c>
      <c r="L13" s="26">
        <f t="shared" si="4"/>
        <v>539580.25786527782</v>
      </c>
      <c r="M13" s="538"/>
      <c r="N13" s="31"/>
      <c r="R13" s="15"/>
      <c r="S13" s="15"/>
    </row>
    <row r="14" spans="1:19" x14ac:dyDescent="0.25">
      <c r="A14">
        <v>2340</v>
      </c>
      <c r="B14" t="s">
        <v>198</v>
      </c>
      <c r="C14" s="26">
        <v>1666798.5926274997</v>
      </c>
      <c r="D14" s="536">
        <v>278433.83333333331</v>
      </c>
      <c r="E14" s="422">
        <f t="shared" si="0"/>
        <v>694499.41359479155</v>
      </c>
      <c r="F14" s="537">
        <f t="shared" si="0"/>
        <v>116014.0972222222</v>
      </c>
      <c r="G14" s="15">
        <f t="shared" si="1"/>
        <v>810513.5108170138</v>
      </c>
      <c r="H14" s="15">
        <v>1550977.6054729992</v>
      </c>
      <c r="I14" s="537">
        <v>259213.59999999998</v>
      </c>
      <c r="J14" s="26">
        <f t="shared" si="2"/>
        <v>1061561.4958283091</v>
      </c>
      <c r="K14" s="536">
        <f t="shared" si="3"/>
        <v>177385.31269841269</v>
      </c>
      <c r="L14" s="26">
        <f t="shared" si="4"/>
        <v>1238946.8085267218</v>
      </c>
      <c r="M14" s="536"/>
      <c r="N14" s="31"/>
      <c r="R14" s="15"/>
      <c r="S14" s="15"/>
    </row>
    <row r="15" spans="1:19" x14ac:dyDescent="0.25">
      <c r="A15">
        <v>2360</v>
      </c>
      <c r="B15" t="s">
        <v>575</v>
      </c>
      <c r="C15" s="26">
        <v>171742.12373249998</v>
      </c>
      <c r="D15" s="536">
        <v>33669</v>
      </c>
      <c r="E15" s="422">
        <f t="shared" si="0"/>
        <v>71559.218221874995</v>
      </c>
      <c r="F15" s="537">
        <f t="shared" si="0"/>
        <v>14028.75</v>
      </c>
      <c r="G15" s="15">
        <f t="shared" si="1"/>
        <v>85587.968221874995</v>
      </c>
      <c r="H15" s="15">
        <v>175440.27454499999</v>
      </c>
      <c r="I15" s="537">
        <v>34394</v>
      </c>
      <c r="J15" s="26">
        <f t="shared" si="2"/>
        <v>116079.67093178572</v>
      </c>
      <c r="K15" s="536">
        <f t="shared" si="3"/>
        <v>22756.714285714286</v>
      </c>
      <c r="L15" s="26">
        <f t="shared" si="4"/>
        <v>138836.38521750001</v>
      </c>
      <c r="M15" s="538"/>
      <c r="N15" s="31"/>
      <c r="R15" s="15"/>
      <c r="S15" s="15"/>
    </row>
    <row r="16" spans="1:19" x14ac:dyDescent="0.25">
      <c r="A16">
        <v>2500</v>
      </c>
      <c r="B16" t="s">
        <v>2096</v>
      </c>
      <c r="C16" s="26">
        <v>211615.26814062503</v>
      </c>
      <c r="D16" s="536">
        <v>46221.666666666664</v>
      </c>
      <c r="E16" s="422">
        <f t="shared" si="0"/>
        <v>88173.028391927088</v>
      </c>
      <c r="F16" s="537">
        <f t="shared" si="0"/>
        <v>19259.027777777777</v>
      </c>
      <c r="G16" s="15">
        <f t="shared" si="1"/>
        <v>107432.05616970487</v>
      </c>
      <c r="H16" s="15">
        <v>218546.47669531254</v>
      </c>
      <c r="I16" s="537">
        <v>48059.166666666664</v>
      </c>
      <c r="J16" s="26">
        <f t="shared" si="2"/>
        <v>144047.36337909228</v>
      </c>
      <c r="K16" s="536">
        <f t="shared" si="3"/>
        <v>31601.944444444445</v>
      </c>
      <c r="L16" s="26">
        <f t="shared" si="4"/>
        <v>175649.30782353671</v>
      </c>
      <c r="M16" s="536"/>
      <c r="N16" s="31"/>
      <c r="R16" s="15"/>
      <c r="S16" s="15"/>
    </row>
    <row r="17" spans="1:19" x14ac:dyDescent="0.25">
      <c r="A17">
        <v>2750</v>
      </c>
      <c r="B17" t="s">
        <v>205</v>
      </c>
      <c r="C17" s="26">
        <v>2245587.2100749998</v>
      </c>
      <c r="D17" s="536">
        <v>989187.5</v>
      </c>
      <c r="E17" s="422">
        <f t="shared" si="0"/>
        <v>935661.33753124985</v>
      </c>
      <c r="F17" s="537">
        <f t="shared" si="0"/>
        <v>412161.45833333337</v>
      </c>
      <c r="G17" s="15">
        <f t="shared" si="1"/>
        <v>1347822.7958645832</v>
      </c>
      <c r="H17" s="15">
        <v>2220162.6017124997</v>
      </c>
      <c r="I17" s="537">
        <v>981112.5</v>
      </c>
      <c r="J17" s="26">
        <f t="shared" si="2"/>
        <v>1486161.8793232141</v>
      </c>
      <c r="K17" s="536">
        <f t="shared" si="3"/>
        <v>655997.61904761905</v>
      </c>
      <c r="L17" s="26">
        <f t="shared" si="4"/>
        <v>2142159.4983708332</v>
      </c>
      <c r="M17" s="538"/>
      <c r="N17" s="31"/>
      <c r="R17" s="15"/>
      <c r="S17" s="15"/>
    </row>
    <row r="18" spans="1:19" x14ac:dyDescent="0.25">
      <c r="A18">
        <v>2000</v>
      </c>
      <c r="B18" t="s">
        <v>463</v>
      </c>
      <c r="D18" s="539">
        <v>7855579.5000000009</v>
      </c>
      <c r="E18" s="15">
        <f>C18/12*5</f>
        <v>0</v>
      </c>
      <c r="F18" s="422">
        <f t="shared" si="0"/>
        <v>3273158.1250000005</v>
      </c>
      <c r="G18" s="15">
        <f t="shared" si="1"/>
        <v>3273158.1250000005</v>
      </c>
      <c r="I18" s="562">
        <f>SUM(I7:I17)</f>
        <v>7534103.5000000037</v>
      </c>
      <c r="J18" s="26">
        <f t="shared" si="2"/>
        <v>0</v>
      </c>
      <c r="K18" s="563">
        <f t="shared" si="3"/>
        <v>5099277.5714285728</v>
      </c>
      <c r="L18" s="26"/>
      <c r="M18" s="536"/>
      <c r="N18" s="31"/>
    </row>
    <row r="19" spans="1:19" x14ac:dyDescent="0.25">
      <c r="A19">
        <v>3306</v>
      </c>
      <c r="B19" t="s">
        <v>242</v>
      </c>
      <c r="C19" s="26">
        <v>516017.63775000005</v>
      </c>
      <c r="D19" s="26">
        <v>267375</v>
      </c>
      <c r="E19" s="15">
        <f>C19/12*5</f>
        <v>215007.34906250003</v>
      </c>
      <c r="F19" s="15">
        <f t="shared" si="0"/>
        <v>111406.25</v>
      </c>
      <c r="G19" s="15">
        <f t="shared" si="1"/>
        <v>326413.59906250006</v>
      </c>
      <c r="H19" s="15">
        <v>491143.68337500002</v>
      </c>
      <c r="I19" s="15">
        <v>254437.5</v>
      </c>
      <c r="J19" s="26">
        <f t="shared" si="2"/>
        <v>333351.49233928573</v>
      </c>
      <c r="K19" s="26">
        <f t="shared" si="3"/>
        <v>172705.35714285716</v>
      </c>
      <c r="L19" s="26">
        <f t="shared" si="4"/>
        <v>506056.84948214289</v>
      </c>
      <c r="M19" s="538"/>
      <c r="N19" s="31"/>
      <c r="R19" s="15"/>
      <c r="S19" s="15"/>
    </row>
    <row r="20" spans="1:19" x14ac:dyDescent="0.25">
      <c r="A20">
        <v>3850</v>
      </c>
      <c r="B20" t="s">
        <v>813</v>
      </c>
      <c r="C20" s="26">
        <v>149732.70475</v>
      </c>
      <c r="D20" s="26">
        <v>77625</v>
      </c>
      <c r="E20" s="15">
        <f t="shared" ref="E20:F26" si="5">C20/12*5</f>
        <v>62388.626979166664</v>
      </c>
      <c r="F20" s="15">
        <f t="shared" si="5"/>
        <v>32343.75</v>
      </c>
      <c r="G20" s="15">
        <f t="shared" si="1"/>
        <v>94732.376979166671</v>
      </c>
      <c r="H20" s="15">
        <v>122135.72587499999</v>
      </c>
      <c r="I20" s="15">
        <v>63250</v>
      </c>
      <c r="J20" s="26">
        <f t="shared" si="2"/>
        <v>87994.526505952381</v>
      </c>
      <c r="K20" s="26">
        <f t="shared" si="3"/>
        <v>45589.28571428571</v>
      </c>
      <c r="L20" s="26">
        <f t="shared" si="4"/>
        <v>133583.81222023809</v>
      </c>
      <c r="M20" s="536"/>
      <c r="N20" s="31"/>
      <c r="R20" s="15"/>
      <c r="S20" s="15"/>
    </row>
    <row r="21" spans="1:19" x14ac:dyDescent="0.25">
      <c r="A21">
        <v>5100</v>
      </c>
      <c r="B21" t="s">
        <v>164</v>
      </c>
      <c r="C21" s="26">
        <v>753431.78235937527</v>
      </c>
      <c r="D21" s="26">
        <v>330125</v>
      </c>
      <c r="E21" s="15">
        <f t="shared" si="5"/>
        <v>313929.90931640635</v>
      </c>
      <c r="F21" s="15">
        <f t="shared" si="5"/>
        <v>137552.08333333334</v>
      </c>
      <c r="G21" s="15">
        <f t="shared" si="1"/>
        <v>451481.99264973972</v>
      </c>
      <c r="H21" s="15">
        <v>694208.83942968783</v>
      </c>
      <c r="I21" s="15">
        <v>303487.5</v>
      </c>
      <c r="J21" s="26">
        <f t="shared" si="2"/>
        <v>476906.59365066985</v>
      </c>
      <c r="K21" s="26">
        <f t="shared" si="3"/>
        <v>208667.26190476189</v>
      </c>
      <c r="L21" s="26">
        <f t="shared" si="4"/>
        <v>685573.85555543168</v>
      </c>
      <c r="M21" s="538"/>
      <c r="N21" s="31"/>
      <c r="R21" s="15"/>
      <c r="S21" s="15"/>
    </row>
    <row r="22" spans="1:19" x14ac:dyDescent="0.25">
      <c r="A22">
        <v>5160</v>
      </c>
      <c r="B22" t="s">
        <v>305</v>
      </c>
      <c r="C22" s="26">
        <v>122645.24999999999</v>
      </c>
      <c r="D22" s="26">
        <v>54500</v>
      </c>
      <c r="E22" s="15">
        <f t="shared" si="5"/>
        <v>51102.187499999993</v>
      </c>
      <c r="F22" s="15">
        <f t="shared" si="5"/>
        <v>22708.333333333336</v>
      </c>
      <c r="G22" s="15">
        <f t="shared" si="1"/>
        <v>73810.520833333328</v>
      </c>
      <c r="H22" s="15">
        <v>110380.72499999998</v>
      </c>
      <c r="I22" s="15">
        <v>49050</v>
      </c>
      <c r="J22" s="26">
        <f t="shared" si="2"/>
        <v>76507.274999999994</v>
      </c>
      <c r="K22" s="26">
        <f t="shared" si="3"/>
        <v>33997.619047619053</v>
      </c>
      <c r="L22" s="26">
        <f t="shared" si="4"/>
        <v>110504.89404761905</v>
      </c>
      <c r="M22" s="536"/>
      <c r="N22" s="31"/>
      <c r="R22" s="15"/>
      <c r="S22" s="15"/>
    </row>
    <row r="23" spans="1:19" x14ac:dyDescent="0.25">
      <c r="A23">
        <v>5400</v>
      </c>
      <c r="B23" t="s">
        <v>914</v>
      </c>
      <c r="C23" s="26">
        <v>236705.33250000002</v>
      </c>
      <c r="D23" s="26">
        <v>105185</v>
      </c>
      <c r="E23" s="15">
        <f t="shared" si="5"/>
        <v>98627.221875000017</v>
      </c>
      <c r="F23" s="15">
        <f t="shared" si="5"/>
        <v>43827.083333333328</v>
      </c>
      <c r="G23" s="15">
        <f t="shared" si="1"/>
        <v>142454.30520833336</v>
      </c>
      <c r="H23" s="15">
        <v>183967.875</v>
      </c>
      <c r="I23" s="15">
        <v>81750</v>
      </c>
      <c r="J23" s="26">
        <f t="shared" si="2"/>
        <v>135201.78750000001</v>
      </c>
      <c r="K23" s="26">
        <f t="shared" si="3"/>
        <v>60079.761904761901</v>
      </c>
      <c r="L23" s="26">
        <f t="shared" si="4"/>
        <v>195281.5494047619</v>
      </c>
      <c r="M23" s="538"/>
      <c r="N23" s="31"/>
      <c r="R23" s="15"/>
      <c r="S23" s="15"/>
    </row>
    <row r="24" spans="1:19" x14ac:dyDescent="0.25">
      <c r="A24">
        <v>5410</v>
      </c>
      <c r="B24" t="s">
        <v>1096</v>
      </c>
      <c r="C24" s="26">
        <v>9811.6200000000008</v>
      </c>
      <c r="D24" s="26">
        <v>4360</v>
      </c>
      <c r="E24" s="15">
        <f t="shared" si="5"/>
        <v>4088.1750000000006</v>
      </c>
      <c r="F24" s="15">
        <f t="shared" si="5"/>
        <v>1816.6666666666665</v>
      </c>
      <c r="G24" s="15">
        <f t="shared" si="1"/>
        <v>5904.8416666666672</v>
      </c>
      <c r="H24" s="15">
        <v>4905.8100000000004</v>
      </c>
      <c r="I24" s="15">
        <v>2180</v>
      </c>
      <c r="J24" s="26">
        <f t="shared" si="2"/>
        <v>4438.59</v>
      </c>
      <c r="K24" s="26">
        <f t="shared" si="3"/>
        <v>1972.3809523809523</v>
      </c>
      <c r="L24" s="26">
        <f t="shared" si="4"/>
        <v>6410.9709523809524</v>
      </c>
      <c r="M24" s="536"/>
      <c r="N24" s="31"/>
      <c r="R24" s="15"/>
      <c r="S24" s="15"/>
    </row>
    <row r="25" spans="1:19" x14ac:dyDescent="0.25">
      <c r="A25">
        <v>5500</v>
      </c>
      <c r="B25" t="s">
        <v>165</v>
      </c>
      <c r="C25" s="26">
        <v>171703.34999999995</v>
      </c>
      <c r="D25" s="26">
        <v>76300</v>
      </c>
      <c r="E25" s="15">
        <f t="shared" si="5"/>
        <v>71543.062499999971</v>
      </c>
      <c r="F25" s="15">
        <f t="shared" si="5"/>
        <v>31791.666666666664</v>
      </c>
      <c r="G25" s="15">
        <f t="shared" si="1"/>
        <v>103334.72916666663</v>
      </c>
      <c r="H25" s="15">
        <v>220761.44999999998</v>
      </c>
      <c r="I25" s="15">
        <v>98100</v>
      </c>
      <c r="J25" s="26">
        <f t="shared" si="2"/>
        <v>135493.79999999999</v>
      </c>
      <c r="K25" s="26">
        <f t="shared" si="3"/>
        <v>60209.523809523816</v>
      </c>
      <c r="L25" s="26">
        <f t="shared" si="4"/>
        <v>195703.3238095238</v>
      </c>
      <c r="M25" s="538"/>
      <c r="N25" s="31"/>
      <c r="R25" s="15"/>
      <c r="S25" s="15"/>
    </row>
    <row r="26" spans="1:19" x14ac:dyDescent="0.25">
      <c r="A26">
        <v>5700</v>
      </c>
      <c r="B26" t="s">
        <v>313</v>
      </c>
      <c r="C26" s="26">
        <v>59147.25</v>
      </c>
      <c r="D26" s="26">
        <v>27250</v>
      </c>
      <c r="E26" s="15">
        <f t="shared" si="5"/>
        <v>24644.6875</v>
      </c>
      <c r="F26" s="15">
        <f t="shared" si="5"/>
        <v>11354.166666666668</v>
      </c>
      <c r="G26" s="15">
        <f t="shared" si="1"/>
        <v>35998.854166666672</v>
      </c>
      <c r="H26" s="15">
        <v>65279.512499999997</v>
      </c>
      <c r="I26" s="15">
        <v>29975</v>
      </c>
      <c r="J26" s="26">
        <f t="shared" si="2"/>
        <v>42059.612500000003</v>
      </c>
      <c r="K26" s="26">
        <f t="shared" si="3"/>
        <v>19334.523809523809</v>
      </c>
      <c r="L26" s="26">
        <f t="shared" si="4"/>
        <v>61394.136309523812</v>
      </c>
      <c r="M26" s="536"/>
      <c r="N26" s="31"/>
      <c r="R26" s="15"/>
      <c r="S26" s="15"/>
    </row>
    <row r="27" spans="1:19" x14ac:dyDescent="0.25">
      <c r="A27">
        <v>5730</v>
      </c>
      <c r="B27" t="s">
        <v>166</v>
      </c>
      <c r="C27" s="26">
        <v>2125550.8831249992</v>
      </c>
      <c r="D27" s="26">
        <v>876851.66666666663</v>
      </c>
      <c r="E27" s="15">
        <f>C27/12*5</f>
        <v>885646.20130208309</v>
      </c>
      <c r="F27" s="15">
        <f>D27/12*5</f>
        <v>365354.86111111112</v>
      </c>
      <c r="G27" s="15">
        <f>SUM(E27:F27)</f>
        <v>1251001.0624131942</v>
      </c>
      <c r="H27" s="15">
        <v>2010175.2217499991</v>
      </c>
      <c r="I27" s="15">
        <v>819653.33333333337</v>
      </c>
      <c r="J27" s="26">
        <f t="shared" si="2"/>
        <v>1367587.2100654757</v>
      </c>
      <c r="K27" s="26">
        <f t="shared" si="3"/>
        <v>560054.20634920639</v>
      </c>
      <c r="L27" s="26">
        <f t="shared" si="4"/>
        <v>1927641.4164146821</v>
      </c>
      <c r="M27" s="538"/>
      <c r="N27" s="31"/>
      <c r="R27" s="15"/>
      <c r="S27" s="15"/>
    </row>
    <row r="28" spans="1:19" x14ac:dyDescent="0.25">
      <c r="A28">
        <v>5740</v>
      </c>
      <c r="B28" t="s">
        <v>461</v>
      </c>
      <c r="C28" s="26">
        <v>12539896.395488337</v>
      </c>
      <c r="D28" s="26">
        <v>3828075.9166666674</v>
      </c>
      <c r="E28" s="15">
        <f>C28/12*5</f>
        <v>5224956.8314534733</v>
      </c>
      <c r="F28" s="15">
        <f>D28/12*5</f>
        <v>1595031.6319444447</v>
      </c>
      <c r="G28" s="15">
        <f>SUM(E28:F28)</f>
        <v>6819988.4633979183</v>
      </c>
      <c r="H28" s="15">
        <v>11970171.842724178</v>
      </c>
      <c r="I28" s="15">
        <v>3590959.9166666688</v>
      </c>
      <c r="J28" s="26">
        <f t="shared" si="2"/>
        <v>8115763.2648552042</v>
      </c>
      <c r="K28" s="26">
        <f t="shared" si="3"/>
        <v>2450429.4682539692</v>
      </c>
      <c r="L28" s="26">
        <f t="shared" si="4"/>
        <v>10566192.733109172</v>
      </c>
      <c r="M28" s="536"/>
      <c r="N28" s="31"/>
      <c r="R28" s="15"/>
      <c r="S28" s="15"/>
    </row>
    <row r="29" spans="1:19" x14ac:dyDescent="0.25">
      <c r="M29" s="538"/>
      <c r="N29" s="31"/>
    </row>
    <row r="30" spans="1:19" x14ac:dyDescent="0.25">
      <c r="L30" s="26"/>
      <c r="M30" s="536"/>
      <c r="N30" s="31"/>
    </row>
    <row r="31" spans="1:19" x14ac:dyDescent="0.25">
      <c r="L31" s="26"/>
      <c r="M31" s="536"/>
    </row>
    <row r="33" spans="12:13" x14ac:dyDescent="0.25">
      <c r="M33" s="26"/>
    </row>
    <row r="35" spans="12:13" x14ac:dyDescent="0.25">
      <c r="L35" s="26"/>
      <c r="M35" s="26"/>
    </row>
    <row r="37" spans="12:13" x14ac:dyDescent="0.25">
      <c r="L37" s="26"/>
      <c r="M37" s="26"/>
    </row>
    <row r="39" spans="12:13" x14ac:dyDescent="0.25">
      <c r="L39" s="26"/>
      <c r="M39" s="26"/>
    </row>
    <row r="41" spans="12:13" x14ac:dyDescent="0.25">
      <c r="L41" s="26"/>
      <c r="M41" s="26"/>
    </row>
    <row r="43" spans="12:13" x14ac:dyDescent="0.25">
      <c r="L43" s="26"/>
      <c r="M43" s="26"/>
    </row>
    <row r="45" spans="12:13" x14ac:dyDescent="0.25">
      <c r="L45" s="26"/>
      <c r="M45" s="26"/>
    </row>
    <row r="47" spans="12:13" x14ac:dyDescent="0.25">
      <c r="L47" s="26"/>
      <c r="M47" s="26"/>
    </row>
    <row r="49" spans="12:13" x14ac:dyDescent="0.25">
      <c r="L49" s="26"/>
      <c r="M49" s="26"/>
    </row>
    <row r="51" spans="12:13" x14ac:dyDescent="0.25">
      <c r="L51" s="26"/>
      <c r="M51" s="26"/>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workbookViewId="0">
      <selection activeCell="G3" sqref="G3"/>
    </sheetView>
  </sheetViews>
  <sheetFormatPr defaultRowHeight="15" x14ac:dyDescent="0.25"/>
  <cols>
    <col min="2" max="2" width="38.42578125" customWidth="1"/>
    <col min="3" max="6" width="16.28515625" customWidth="1"/>
    <col min="7" max="7" width="18.5703125" customWidth="1"/>
    <col min="8" max="9" width="20.42578125" customWidth="1"/>
    <col min="11" max="11" width="34.5703125" customWidth="1"/>
    <col min="12" max="12" width="17" customWidth="1"/>
    <col min="13" max="13" width="16.85546875" customWidth="1"/>
  </cols>
  <sheetData>
    <row r="1" spans="1:14" ht="45" x14ac:dyDescent="0.25">
      <c r="A1" s="534" t="s">
        <v>808</v>
      </c>
      <c r="B1" s="534" t="s">
        <v>35</v>
      </c>
      <c r="C1" s="535" t="s">
        <v>2137</v>
      </c>
      <c r="D1" s="535" t="s">
        <v>2138</v>
      </c>
      <c r="E1" s="535" t="s">
        <v>2139</v>
      </c>
      <c r="F1" s="535" t="s">
        <v>2140</v>
      </c>
      <c r="G1" s="535" t="s">
        <v>2141</v>
      </c>
      <c r="L1" s="534"/>
      <c r="M1" s="534"/>
    </row>
    <row r="2" spans="1:14" x14ac:dyDescent="0.25">
      <c r="L2" s="26"/>
      <c r="M2" s="26"/>
    </row>
    <row r="3" spans="1:14" x14ac:dyDescent="0.25">
      <c r="A3">
        <v>1620</v>
      </c>
      <c r="B3" t="s">
        <v>176</v>
      </c>
      <c r="C3" s="26">
        <v>10500482.090158761</v>
      </c>
      <c r="D3" s="26">
        <v>1806084.9166666667</v>
      </c>
      <c r="E3" s="15">
        <f>C3/12*5</f>
        <v>4375200.8708994836</v>
      </c>
      <c r="F3" s="15">
        <f>D3/12*5</f>
        <v>752535.3819444445</v>
      </c>
      <c r="G3" s="15">
        <f>SUM(E3:F3)</f>
        <v>5127736.2528439276</v>
      </c>
    </row>
    <row r="4" spans="1:14" x14ac:dyDescent="0.25">
      <c r="A4">
        <v>1630</v>
      </c>
      <c r="B4" t="s">
        <v>172</v>
      </c>
      <c r="C4" s="26">
        <v>5937676.3254366769</v>
      </c>
      <c r="D4" s="26">
        <v>807286.16666666651</v>
      </c>
      <c r="E4" s="15">
        <f t="shared" ref="E4:F19" si="0">C4/12*5</f>
        <v>2474031.8022652818</v>
      </c>
      <c r="F4" s="15">
        <f t="shared" si="0"/>
        <v>336369.23611111101</v>
      </c>
      <c r="G4" s="15">
        <f t="shared" ref="G4:G26" si="1">SUM(E4:F4)</f>
        <v>2810401.0383763928</v>
      </c>
      <c r="L4" s="26"/>
      <c r="M4" s="26"/>
    </row>
    <row r="5" spans="1:14" x14ac:dyDescent="0.25">
      <c r="A5">
        <v>1640</v>
      </c>
      <c r="B5" t="s">
        <v>173</v>
      </c>
      <c r="C5" s="26">
        <v>1745740.1951175001</v>
      </c>
      <c r="D5" s="26">
        <v>267075.5</v>
      </c>
      <c r="E5" s="15">
        <f t="shared" si="0"/>
        <v>727391.74796562514</v>
      </c>
      <c r="F5" s="15">
        <f t="shared" si="0"/>
        <v>111281.45833333334</v>
      </c>
      <c r="G5" s="15">
        <f t="shared" si="1"/>
        <v>838673.20629895851</v>
      </c>
    </row>
    <row r="6" spans="1:14" x14ac:dyDescent="0.25">
      <c r="A6">
        <v>1650</v>
      </c>
      <c r="B6" t="s">
        <v>11</v>
      </c>
      <c r="C6" s="26">
        <v>13175763.181762923</v>
      </c>
      <c r="D6" s="26">
        <v>6655855.75</v>
      </c>
      <c r="E6" s="15">
        <f t="shared" si="0"/>
        <v>5489901.3257345511</v>
      </c>
      <c r="F6" s="15">
        <f t="shared" si="0"/>
        <v>2773273.229166667</v>
      </c>
      <c r="G6" s="15">
        <f t="shared" si="1"/>
        <v>8263174.554901218</v>
      </c>
      <c r="L6" s="26"/>
      <c r="M6" s="26"/>
    </row>
    <row r="7" spans="1:14" x14ac:dyDescent="0.25">
      <c r="A7">
        <v>2180</v>
      </c>
      <c r="B7" t="s">
        <v>192</v>
      </c>
      <c r="C7" s="26">
        <v>14752023.060662922</v>
      </c>
      <c r="D7" s="536">
        <v>2922218.166666667</v>
      </c>
      <c r="E7" s="422">
        <f t="shared" si="0"/>
        <v>6146676.2752762167</v>
      </c>
      <c r="F7" s="537">
        <f t="shared" si="0"/>
        <v>1217590.902777778</v>
      </c>
      <c r="G7" s="15">
        <f t="shared" si="1"/>
        <v>7364267.1780539947</v>
      </c>
    </row>
    <row r="8" spans="1:14" x14ac:dyDescent="0.25">
      <c r="A8">
        <v>2193</v>
      </c>
      <c r="B8" t="s">
        <v>441</v>
      </c>
      <c r="C8" s="26">
        <v>19848427.626996201</v>
      </c>
      <c r="D8" s="536">
        <v>3081263.833333333</v>
      </c>
      <c r="E8" s="422">
        <f t="shared" si="0"/>
        <v>8270178.1779150842</v>
      </c>
      <c r="F8" s="537">
        <f t="shared" si="0"/>
        <v>1283859.9305555555</v>
      </c>
      <c r="G8" s="15">
        <f t="shared" si="1"/>
        <v>9554038.1084706392</v>
      </c>
      <c r="L8" s="26"/>
      <c r="M8" s="26"/>
    </row>
    <row r="9" spans="1:14" x14ac:dyDescent="0.25">
      <c r="A9">
        <v>2200</v>
      </c>
      <c r="B9" t="s">
        <v>574</v>
      </c>
      <c r="C9" s="26">
        <v>1910286.98263</v>
      </c>
      <c r="D9" s="536">
        <v>274059.66666666663</v>
      </c>
      <c r="E9" s="422">
        <f t="shared" si="0"/>
        <v>795952.90942916658</v>
      </c>
      <c r="F9" s="537">
        <f t="shared" si="0"/>
        <v>114191.52777777775</v>
      </c>
      <c r="G9" s="15">
        <f t="shared" si="1"/>
        <v>910144.43720694433</v>
      </c>
      <c r="L9" s="26"/>
      <c r="M9" s="26"/>
    </row>
    <row r="10" spans="1:14" x14ac:dyDescent="0.25">
      <c r="A10">
        <v>2220</v>
      </c>
      <c r="B10" t="s">
        <v>195</v>
      </c>
      <c r="C10" s="26">
        <v>136091.94990000001</v>
      </c>
      <c r="D10" s="536">
        <v>26680.000000000004</v>
      </c>
      <c r="E10" s="422">
        <f t="shared" si="0"/>
        <v>56704.979124999998</v>
      </c>
      <c r="F10" s="537">
        <f t="shared" si="0"/>
        <v>11116.666666666668</v>
      </c>
      <c r="G10" s="15">
        <f t="shared" si="1"/>
        <v>67821.64579166667</v>
      </c>
      <c r="L10" s="26"/>
      <c r="M10" s="536"/>
      <c r="N10" s="31"/>
    </row>
    <row r="11" spans="1:14" x14ac:dyDescent="0.25">
      <c r="A11">
        <v>2271</v>
      </c>
      <c r="B11" t="s">
        <v>196</v>
      </c>
      <c r="C11" s="26">
        <v>257275.18256749999</v>
      </c>
      <c r="D11" s="536">
        <v>48691</v>
      </c>
      <c r="E11" s="422">
        <f t="shared" si="0"/>
        <v>107197.99273645833</v>
      </c>
      <c r="F11" s="537">
        <f t="shared" si="0"/>
        <v>20287.916666666668</v>
      </c>
      <c r="G11" s="15">
        <f t="shared" si="1"/>
        <v>127485.909403125</v>
      </c>
      <c r="L11" s="26"/>
      <c r="M11" s="536"/>
      <c r="N11" s="31"/>
    </row>
    <row r="12" spans="1:14" x14ac:dyDescent="0.25">
      <c r="A12">
        <v>2272</v>
      </c>
      <c r="B12" t="s">
        <v>200</v>
      </c>
      <c r="C12" s="26">
        <v>459793.1014300001</v>
      </c>
      <c r="D12" s="536">
        <v>59604.666666666672</v>
      </c>
      <c r="E12" s="422">
        <f t="shared" si="0"/>
        <v>191580.45892916672</v>
      </c>
      <c r="F12" s="537">
        <f t="shared" si="0"/>
        <v>24835.277777777777</v>
      </c>
      <c r="G12" s="15">
        <f t="shared" si="1"/>
        <v>216415.7367069445</v>
      </c>
      <c r="L12" s="26"/>
      <c r="M12" s="536"/>
      <c r="N12" s="31"/>
    </row>
    <row r="13" spans="1:14" x14ac:dyDescent="0.25">
      <c r="A13">
        <v>2300</v>
      </c>
      <c r="B13" t="s">
        <v>915</v>
      </c>
      <c r="C13" s="26">
        <v>737078.31837250013</v>
      </c>
      <c r="D13" s="536">
        <v>95550.166666666672</v>
      </c>
      <c r="E13" s="422">
        <f t="shared" si="0"/>
        <v>307115.96598854172</v>
      </c>
      <c r="F13" s="537">
        <f t="shared" si="0"/>
        <v>39812.569444444445</v>
      </c>
      <c r="G13" s="15">
        <f t="shared" si="1"/>
        <v>346928.53543298616</v>
      </c>
      <c r="M13" s="538"/>
      <c r="N13" s="31"/>
    </row>
    <row r="14" spans="1:14" x14ac:dyDescent="0.25">
      <c r="A14">
        <v>2340</v>
      </c>
      <c r="B14" t="s">
        <v>198</v>
      </c>
      <c r="C14" s="26">
        <v>1666798.5926274997</v>
      </c>
      <c r="D14" s="536">
        <v>278433.83333333331</v>
      </c>
      <c r="E14" s="422">
        <f t="shared" si="0"/>
        <v>694499.41359479155</v>
      </c>
      <c r="F14" s="537">
        <f t="shared" si="0"/>
        <v>116014.0972222222</v>
      </c>
      <c r="G14" s="15">
        <f t="shared" si="1"/>
        <v>810513.5108170138</v>
      </c>
      <c r="L14" s="26"/>
      <c r="M14" s="536"/>
      <c r="N14" s="31"/>
    </row>
    <row r="15" spans="1:14" x14ac:dyDescent="0.25">
      <c r="A15">
        <v>2360</v>
      </c>
      <c r="B15" t="s">
        <v>575</v>
      </c>
      <c r="C15" s="26">
        <v>171742.12373249998</v>
      </c>
      <c r="D15" s="536">
        <v>33669</v>
      </c>
      <c r="E15" s="422">
        <f t="shared" si="0"/>
        <v>71559.218221874995</v>
      </c>
      <c r="F15" s="537">
        <f t="shared" si="0"/>
        <v>14028.75</v>
      </c>
      <c r="G15" s="15">
        <f t="shared" si="1"/>
        <v>85587.968221874995</v>
      </c>
      <c r="M15" s="538"/>
      <c r="N15" s="31"/>
    </row>
    <row r="16" spans="1:14" x14ac:dyDescent="0.25">
      <c r="A16">
        <v>2500</v>
      </c>
      <c r="B16" t="s">
        <v>2096</v>
      </c>
      <c r="C16" s="26">
        <v>211615.26814062503</v>
      </c>
      <c r="D16" s="536">
        <v>46221.666666666664</v>
      </c>
      <c r="E16" s="422">
        <f t="shared" si="0"/>
        <v>88173.028391927088</v>
      </c>
      <c r="F16" s="537">
        <f t="shared" si="0"/>
        <v>19259.027777777777</v>
      </c>
      <c r="G16" s="15">
        <f t="shared" si="1"/>
        <v>107432.05616970487</v>
      </c>
      <c r="L16" s="26"/>
      <c r="M16" s="536"/>
      <c r="N16" s="31"/>
    </row>
    <row r="17" spans="1:14" x14ac:dyDescent="0.25">
      <c r="A17">
        <v>2750</v>
      </c>
      <c r="B17" t="s">
        <v>205</v>
      </c>
      <c r="C17" s="26">
        <v>2245587.2100749998</v>
      </c>
      <c r="D17" s="536">
        <v>989187.5</v>
      </c>
      <c r="E17" s="422">
        <f t="shared" si="0"/>
        <v>935661.33753124985</v>
      </c>
      <c r="F17" s="537">
        <f t="shared" si="0"/>
        <v>412161.45833333337</v>
      </c>
      <c r="G17" s="15">
        <f t="shared" si="1"/>
        <v>1347822.7958645832</v>
      </c>
      <c r="M17" s="538"/>
      <c r="N17" s="31"/>
    </row>
    <row r="18" spans="1:14" x14ac:dyDescent="0.25">
      <c r="A18">
        <v>2000</v>
      </c>
      <c r="B18" t="s">
        <v>463</v>
      </c>
      <c r="D18" s="539">
        <v>7855579.5000000009</v>
      </c>
      <c r="E18" s="15">
        <f>C18/12*5</f>
        <v>0</v>
      </c>
      <c r="F18" s="422">
        <f t="shared" si="0"/>
        <v>3273158.1250000005</v>
      </c>
      <c r="G18" s="15">
        <f t="shared" si="1"/>
        <v>3273158.1250000005</v>
      </c>
      <c r="L18" s="26"/>
      <c r="M18" s="536"/>
      <c r="N18" s="31"/>
    </row>
    <row r="19" spans="1:14" x14ac:dyDescent="0.25">
      <c r="A19">
        <v>3306</v>
      </c>
      <c r="B19" t="s">
        <v>242</v>
      </c>
      <c r="C19" s="26">
        <v>516017.63775000005</v>
      </c>
      <c r="D19" s="26">
        <v>267375</v>
      </c>
      <c r="E19" s="15">
        <f>C19/12*5</f>
        <v>215007.34906250003</v>
      </c>
      <c r="F19" s="15">
        <f t="shared" si="0"/>
        <v>111406.25</v>
      </c>
      <c r="G19" s="15">
        <f t="shared" si="1"/>
        <v>326413.59906250006</v>
      </c>
      <c r="M19" s="538"/>
      <c r="N19" s="31"/>
    </row>
    <row r="20" spans="1:14" x14ac:dyDescent="0.25">
      <c r="A20">
        <v>3850</v>
      </c>
      <c r="B20" t="s">
        <v>813</v>
      </c>
      <c r="C20" s="26">
        <v>149732.70475</v>
      </c>
      <c r="D20" s="26">
        <v>77625</v>
      </c>
      <c r="E20" s="15">
        <f t="shared" ref="E20:F26" si="2">C20/12*5</f>
        <v>62388.626979166664</v>
      </c>
      <c r="F20" s="15">
        <f t="shared" si="2"/>
        <v>32343.75</v>
      </c>
      <c r="G20" s="15">
        <f t="shared" si="1"/>
        <v>94732.376979166671</v>
      </c>
      <c r="L20" s="26"/>
      <c r="M20" s="536"/>
      <c r="N20" s="31"/>
    </row>
    <row r="21" spans="1:14" x14ac:dyDescent="0.25">
      <c r="A21">
        <v>5100</v>
      </c>
      <c r="B21" t="s">
        <v>164</v>
      </c>
      <c r="C21" s="26">
        <v>753431.78235937527</v>
      </c>
      <c r="D21" s="26">
        <v>330125</v>
      </c>
      <c r="E21" s="15">
        <f t="shared" si="2"/>
        <v>313929.90931640635</v>
      </c>
      <c r="F21" s="15">
        <f t="shared" si="2"/>
        <v>137552.08333333334</v>
      </c>
      <c r="G21" s="15">
        <f t="shared" si="1"/>
        <v>451481.99264973972</v>
      </c>
      <c r="M21" s="538"/>
      <c r="N21" s="31"/>
    </row>
    <row r="22" spans="1:14" x14ac:dyDescent="0.25">
      <c r="A22">
        <v>5160</v>
      </c>
      <c r="B22" t="s">
        <v>305</v>
      </c>
      <c r="C22" s="26">
        <v>122645.24999999999</v>
      </c>
      <c r="D22" s="26">
        <v>54500</v>
      </c>
      <c r="E22" s="15">
        <f t="shared" si="2"/>
        <v>51102.187499999993</v>
      </c>
      <c r="F22" s="15">
        <f t="shared" si="2"/>
        <v>22708.333333333336</v>
      </c>
      <c r="G22" s="15">
        <f t="shared" si="1"/>
        <v>73810.520833333328</v>
      </c>
      <c r="L22" s="26"/>
      <c r="M22" s="536"/>
      <c r="N22" s="31"/>
    </row>
    <row r="23" spans="1:14" x14ac:dyDescent="0.25">
      <c r="A23">
        <v>5400</v>
      </c>
      <c r="B23" t="s">
        <v>914</v>
      </c>
      <c r="C23" s="26">
        <v>236705.33250000002</v>
      </c>
      <c r="D23" s="26">
        <v>105185</v>
      </c>
      <c r="E23" s="15">
        <f t="shared" si="2"/>
        <v>98627.221875000017</v>
      </c>
      <c r="F23" s="15">
        <f t="shared" si="2"/>
        <v>43827.083333333328</v>
      </c>
      <c r="G23" s="15">
        <f t="shared" si="1"/>
        <v>142454.30520833336</v>
      </c>
      <c r="M23" s="538"/>
      <c r="N23" s="31"/>
    </row>
    <row r="24" spans="1:14" x14ac:dyDescent="0.25">
      <c r="A24">
        <v>5410</v>
      </c>
      <c r="B24" t="s">
        <v>1096</v>
      </c>
      <c r="C24" s="26">
        <v>9811.6200000000008</v>
      </c>
      <c r="D24" s="26">
        <v>4360</v>
      </c>
      <c r="E24" s="15">
        <f t="shared" si="2"/>
        <v>4088.1750000000006</v>
      </c>
      <c r="F24" s="15">
        <f t="shared" si="2"/>
        <v>1816.6666666666665</v>
      </c>
      <c r="G24" s="15">
        <f t="shared" si="1"/>
        <v>5904.8416666666672</v>
      </c>
      <c r="L24" s="26"/>
      <c r="M24" s="536"/>
      <c r="N24" s="31"/>
    </row>
    <row r="25" spans="1:14" x14ac:dyDescent="0.25">
      <c r="A25">
        <v>5500</v>
      </c>
      <c r="B25" t="s">
        <v>165</v>
      </c>
      <c r="C25" s="26">
        <v>171703.34999999995</v>
      </c>
      <c r="D25" s="26">
        <v>76300</v>
      </c>
      <c r="E25" s="15">
        <f t="shared" si="2"/>
        <v>71543.062499999971</v>
      </c>
      <c r="F25" s="15">
        <f t="shared" si="2"/>
        <v>31791.666666666664</v>
      </c>
      <c r="G25" s="15">
        <f t="shared" si="1"/>
        <v>103334.72916666663</v>
      </c>
      <c r="M25" s="538"/>
      <c r="N25" s="31"/>
    </row>
    <row r="26" spans="1:14" x14ac:dyDescent="0.25">
      <c r="A26">
        <v>5700</v>
      </c>
      <c r="B26" t="s">
        <v>313</v>
      </c>
      <c r="C26" s="26">
        <v>59147.25</v>
      </c>
      <c r="D26" s="26">
        <v>27250</v>
      </c>
      <c r="E26" s="15">
        <f t="shared" si="2"/>
        <v>24644.6875</v>
      </c>
      <c r="F26" s="15">
        <f t="shared" si="2"/>
        <v>11354.166666666668</v>
      </c>
      <c r="G26" s="15">
        <f t="shared" si="1"/>
        <v>35998.854166666672</v>
      </c>
      <c r="L26" s="26"/>
      <c r="M26" s="536"/>
      <c r="N26" s="31"/>
    </row>
    <row r="27" spans="1:14" x14ac:dyDescent="0.25">
      <c r="A27">
        <v>5730</v>
      </c>
      <c r="B27" t="s">
        <v>166</v>
      </c>
      <c r="C27" s="26">
        <v>2125550.8831249992</v>
      </c>
      <c r="D27" s="26">
        <v>876851.66666666663</v>
      </c>
      <c r="E27" s="15">
        <f>C27/12*5</f>
        <v>885646.20130208309</v>
      </c>
      <c r="F27" s="15">
        <f>D27/12*5</f>
        <v>365354.86111111112</v>
      </c>
      <c r="G27" s="15">
        <f>SUM(E27:F27)</f>
        <v>1251001.0624131942</v>
      </c>
      <c r="M27" s="538"/>
      <c r="N27" s="31"/>
    </row>
    <row r="28" spans="1:14" x14ac:dyDescent="0.25">
      <c r="A28">
        <v>5740</v>
      </c>
      <c r="B28" t="s">
        <v>461</v>
      </c>
      <c r="C28" s="26">
        <v>12539896.395488337</v>
      </c>
      <c r="D28" s="26">
        <v>3828075.9166666674</v>
      </c>
      <c r="E28" s="15">
        <f>C28/12*5</f>
        <v>5224956.8314534733</v>
      </c>
      <c r="F28" s="15">
        <f>D28/12*5</f>
        <v>1595031.6319444447</v>
      </c>
      <c r="G28" s="15">
        <f>SUM(E28:F28)</f>
        <v>6819988.4633979183</v>
      </c>
      <c r="L28" s="26"/>
      <c r="M28" s="536"/>
      <c r="N28" s="31"/>
    </row>
    <row r="29" spans="1:14" x14ac:dyDescent="0.25">
      <c r="M29" s="538"/>
      <c r="N29" s="31"/>
    </row>
    <row r="30" spans="1:14" x14ac:dyDescent="0.25">
      <c r="L30" s="26"/>
      <c r="M30" s="536"/>
      <c r="N30" s="31"/>
    </row>
    <row r="31" spans="1:14" x14ac:dyDescent="0.25">
      <c r="L31" s="26"/>
      <c r="M31" s="536"/>
    </row>
    <row r="33" spans="12:13" x14ac:dyDescent="0.25">
      <c r="M33" s="26"/>
    </row>
    <row r="35" spans="12:13" x14ac:dyDescent="0.25">
      <c r="L35" s="26"/>
      <c r="M35" s="26"/>
    </row>
    <row r="37" spans="12:13" x14ac:dyDescent="0.25">
      <c r="L37" s="26"/>
      <c r="M37" s="26"/>
    </row>
    <row r="39" spans="12:13" x14ac:dyDescent="0.25">
      <c r="L39" s="26"/>
      <c r="M39" s="26"/>
    </row>
    <row r="41" spans="12:13" x14ac:dyDescent="0.25">
      <c r="L41" s="26"/>
      <c r="M41" s="26"/>
    </row>
    <row r="43" spans="12:13" x14ac:dyDescent="0.25">
      <c r="L43" s="26"/>
      <c r="M43" s="26"/>
    </row>
    <row r="45" spans="12:13" x14ac:dyDescent="0.25">
      <c r="L45" s="26"/>
      <c r="M45" s="26"/>
    </row>
    <row r="47" spans="12:13" x14ac:dyDescent="0.25">
      <c r="L47" s="26"/>
      <c r="M47" s="26"/>
    </row>
    <row r="49" spans="12:13" x14ac:dyDescent="0.25">
      <c r="L49" s="26"/>
      <c r="M49" s="26"/>
    </row>
    <row r="51" spans="12:13" x14ac:dyDescent="0.25">
      <c r="L51" s="26"/>
      <c r="M51" s="26"/>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26</vt:i4>
      </vt:variant>
      <vt:variant>
        <vt:lpstr>Namngivna områden</vt:lpstr>
      </vt:variant>
      <vt:variant>
        <vt:i4>16</vt:i4>
      </vt:variant>
    </vt:vector>
  </HeadingPairs>
  <TitlesOfParts>
    <vt:vector size="42" baseType="lpstr">
      <vt:lpstr>underlag medverkande 2 föreg</vt:lpstr>
      <vt:lpstr>INFO RTV 2019</vt:lpstr>
      <vt:lpstr>Start</vt:lpstr>
      <vt:lpstr>Totalt per inst</vt:lpstr>
      <vt:lpstr>Bokforder Dec - prel avr</vt:lpstr>
      <vt:lpstr>Utfördelat tom nov</vt:lpstr>
      <vt:lpstr>Utfördelat tom okt</vt:lpstr>
      <vt:lpstr>Utfördelat tom aug</vt:lpstr>
      <vt:lpstr>Utfördelat tom maj</vt:lpstr>
      <vt:lpstr>Medv</vt:lpstr>
      <vt:lpstr>Kursansv till medv</vt:lpstr>
      <vt:lpstr>Inst per termin</vt:lpstr>
      <vt:lpstr>Prognos 2c t Anna 190913</vt:lpstr>
      <vt:lpstr>Prognos 2b t Anna 190611</vt:lpstr>
      <vt:lpstr>Prognos 2 t Anna 190401</vt:lpstr>
      <vt:lpstr>Prognos 1 t Anna</vt:lpstr>
      <vt:lpstr>kurser alla</vt:lpstr>
      <vt:lpstr>Prislapp</vt:lpstr>
      <vt:lpstr>kurspris</vt:lpstr>
      <vt:lpstr>Orgenheter</vt:lpstr>
      <vt:lpstr>Program</vt:lpstr>
      <vt:lpstr>Ansvar kurs</vt:lpstr>
      <vt:lpstr>Totalt pivot</vt:lpstr>
      <vt:lpstr>Pivot Kursmedv % (2)</vt:lpstr>
      <vt:lpstr>Pivot Kursmedv %</vt:lpstr>
      <vt:lpstr>underlag medverkande 2</vt:lpstr>
      <vt:lpstr>'Ansvar kurs'!Utskriftsområde</vt:lpstr>
      <vt:lpstr>'Bokforder Dec - prel avr'!Utskriftsområde</vt:lpstr>
      <vt:lpstr>'kurser alla'!Utskriftsområde</vt:lpstr>
      <vt:lpstr>kurspris!Utskriftsområde</vt:lpstr>
      <vt:lpstr>Medv!Utskriftsområde</vt:lpstr>
      <vt:lpstr>Start!Utskriftsområde</vt:lpstr>
      <vt:lpstr>'Totalt per inst'!Utskriftsområde</vt:lpstr>
      <vt:lpstr>'underlag medverkande 2'!Utskriftsområde</vt:lpstr>
      <vt:lpstr>'underlag medverkande 2 föreg'!Utskriftsområde</vt:lpstr>
      <vt:lpstr>'Ansvar kurs'!Utskriftsrubriker</vt:lpstr>
      <vt:lpstr>'Bokforder Dec - prel avr'!Utskriftsrubriker</vt:lpstr>
      <vt:lpstr>'Kursansv till medv'!Utskriftsrubriker</vt:lpstr>
      <vt:lpstr>kurspris!Utskriftsrubriker</vt:lpstr>
      <vt:lpstr>Medv!Utskriftsrubriker</vt:lpstr>
      <vt:lpstr>'Pivot Kursmedv % (2)'!Utskriftsrubriker</vt:lpstr>
      <vt:lpstr>'Totalt pivot'!Utskriftsrubriker</vt:lpstr>
    </vt:vector>
  </TitlesOfParts>
  <Company>USE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Ulla Sehlberg</dc:creator>
  <cp:lastModifiedBy>Agnetha Simm</cp:lastModifiedBy>
  <cp:lastPrinted>2019-12-11T08:28:10Z</cp:lastPrinted>
  <dcterms:created xsi:type="dcterms:W3CDTF">2005-02-02T07:57:19Z</dcterms:created>
  <dcterms:modified xsi:type="dcterms:W3CDTF">2019-12-11T12:38:59Z</dcterms:modified>
</cp:coreProperties>
</file>